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19619C27-25F8-4FCF-B7A8-1CFD30637A5C}"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Report!$A$1:$H$899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2" i="1" l="1"/>
  <c r="C191" i="1"/>
  <c r="C190" i="1"/>
  <c r="C176" i="1"/>
  <c r="K189" i="1"/>
  <c r="B184" i="1"/>
  <c r="C218" i="1"/>
  <c r="C220" i="1" s="1"/>
  <c r="C204" i="1"/>
  <c r="C206" i="1" s="1"/>
  <c r="C134" i="1"/>
  <c r="C120" i="1"/>
  <c r="C122" i="1" s="1"/>
  <c r="C106" i="1"/>
  <c r="C108" i="1" s="1"/>
  <c r="C92" i="1"/>
  <c r="C94" i="1" s="1"/>
  <c r="J268" i="1"/>
  <c r="J267" i="1"/>
  <c r="J595" i="1"/>
  <c r="J266" i="1"/>
  <c r="J265" i="1"/>
  <c r="J264" i="1"/>
  <c r="J262" i="1"/>
  <c r="J261" i="1"/>
  <c r="J260" i="1"/>
  <c r="J346" i="1"/>
  <c r="I259" i="1"/>
  <c r="J431" i="1"/>
  <c r="J263" i="1"/>
  <c r="K295" i="1"/>
  <c r="J295" i="1"/>
  <c r="I295" i="1"/>
  <c r="J293" i="1"/>
  <c r="I660" i="1"/>
  <c r="I656" i="1"/>
  <c r="I652" i="1"/>
  <c r="I648" i="1"/>
  <c r="I644" i="1"/>
  <c r="I640" i="1"/>
  <c r="I636" i="1"/>
  <c r="I632" i="1"/>
  <c r="I628" i="1"/>
  <c r="I624" i="1"/>
  <c r="I620" i="1"/>
  <c r="I615" i="1"/>
  <c r="I612" i="1"/>
  <c r="I609" i="1"/>
  <c r="I606" i="1"/>
  <c r="I603" i="1"/>
  <c r="I600" i="1"/>
  <c r="I597" i="1"/>
  <c r="I590" i="1"/>
  <c r="I586" i="1"/>
  <c r="I582" i="1"/>
  <c r="I578" i="1"/>
  <c r="I574" i="1"/>
  <c r="I570" i="1"/>
  <c r="I566" i="1"/>
  <c r="I562" i="1"/>
  <c r="I558" i="1"/>
  <c r="I554" i="1"/>
  <c r="I550" i="1"/>
  <c r="I548" i="1"/>
  <c r="I541" i="1"/>
  <c r="I531" i="1"/>
  <c r="I526" i="1"/>
  <c r="I521" i="1"/>
  <c r="I516" i="1"/>
  <c r="I511" i="1"/>
  <c r="I506" i="1"/>
  <c r="I501" i="1"/>
  <c r="I496" i="1"/>
  <c r="I491" i="1"/>
  <c r="I489" i="1"/>
  <c r="I483" i="1"/>
  <c r="I479" i="1"/>
  <c r="I475" i="1"/>
  <c r="I471" i="1"/>
  <c r="I467" i="1"/>
  <c r="I463" i="1"/>
  <c r="I459" i="1"/>
  <c r="I453" i="1"/>
  <c r="I450" i="1"/>
  <c r="I447" i="1"/>
  <c r="I444" i="1"/>
  <c r="I441" i="1"/>
  <c r="I438" i="1"/>
  <c r="I435" i="1"/>
  <c r="I432" i="1"/>
  <c r="I429" i="1"/>
  <c r="I423" i="1"/>
  <c r="I420" i="1"/>
  <c r="I417" i="1"/>
  <c r="I414" i="1"/>
  <c r="I411" i="1"/>
  <c r="I408" i="1"/>
  <c r="I401" i="1"/>
  <c r="I397" i="1"/>
  <c r="I393" i="1"/>
  <c r="I389" i="1"/>
  <c r="I385" i="1"/>
  <c r="I381" i="1"/>
  <c r="I377" i="1"/>
  <c r="I373" i="1"/>
  <c r="I369" i="1"/>
  <c r="I365" i="1"/>
  <c r="I363" i="1"/>
  <c r="I358" i="1"/>
  <c r="I355" i="1"/>
  <c r="I352" i="1"/>
  <c r="I349" i="1"/>
  <c r="I346" i="1"/>
  <c r="I339" i="1"/>
  <c r="I335" i="1"/>
  <c r="I331" i="1"/>
  <c r="I327" i="1"/>
  <c r="I323" i="1"/>
  <c r="I319" i="1"/>
  <c r="I315" i="1"/>
  <c r="I311" i="1"/>
  <c r="I307" i="1"/>
  <c r="I303" i="1"/>
  <c r="I296" i="1"/>
  <c r="I294" i="1"/>
  <c r="I292" i="1"/>
  <c r="I290" i="1"/>
  <c r="I288" i="1"/>
  <c r="E663" i="1"/>
  <c r="D663" i="1"/>
  <c r="E662" i="1"/>
  <c r="D662" i="1"/>
  <c r="F662" i="1" s="1"/>
  <c r="H662" i="1" s="1"/>
  <c r="A662" i="1"/>
  <c r="A663" i="1" s="1"/>
  <c r="E661" i="1"/>
  <c r="D661" i="1"/>
  <c r="E659" i="1"/>
  <c r="D659" i="1"/>
  <c r="E658" i="1"/>
  <c r="D658" i="1"/>
  <c r="A658" i="1"/>
  <c r="A659" i="1" s="1"/>
  <c r="E657" i="1"/>
  <c r="D657" i="1"/>
  <c r="E655" i="1"/>
  <c r="D655" i="1"/>
  <c r="E654" i="1"/>
  <c r="D654" i="1"/>
  <c r="A654" i="1"/>
  <c r="A655" i="1" s="1"/>
  <c r="E653" i="1"/>
  <c r="D653" i="1"/>
  <c r="E650" i="1"/>
  <c r="D650" i="1"/>
  <c r="E649" i="1"/>
  <c r="D649" i="1"/>
  <c r="E651" i="1"/>
  <c r="D651" i="1"/>
  <c r="A650" i="1"/>
  <c r="A651" i="1" s="1"/>
  <c r="E647" i="1"/>
  <c r="D647" i="1"/>
  <c r="E646" i="1"/>
  <c r="D646" i="1"/>
  <c r="A646" i="1"/>
  <c r="A647" i="1" s="1"/>
  <c r="E645" i="1"/>
  <c r="D645" i="1"/>
  <c r="E643" i="1"/>
  <c r="D643" i="1"/>
  <c r="E642" i="1"/>
  <c r="D642" i="1"/>
  <c r="A642" i="1"/>
  <c r="A643" i="1" s="1"/>
  <c r="E641" i="1"/>
  <c r="D641" i="1"/>
  <c r="E638" i="1"/>
  <c r="D638" i="1"/>
  <c r="E637" i="1"/>
  <c r="D637" i="1"/>
  <c r="E639" i="1"/>
  <c r="D639" i="1"/>
  <c r="A638" i="1"/>
  <c r="A639" i="1" s="1"/>
  <c r="E635" i="1"/>
  <c r="D635" i="1"/>
  <c r="E634" i="1"/>
  <c r="D634" i="1"/>
  <c r="A634" i="1"/>
  <c r="A635" i="1" s="1"/>
  <c r="E633" i="1"/>
  <c r="D633" i="1"/>
  <c r="E631" i="1"/>
  <c r="D631" i="1"/>
  <c r="E630" i="1"/>
  <c r="D630" i="1"/>
  <c r="A630" i="1"/>
  <c r="A631" i="1" s="1"/>
  <c r="E629" i="1"/>
  <c r="D629" i="1"/>
  <c r="E626" i="1"/>
  <c r="D626" i="1"/>
  <c r="F626" i="1" s="1"/>
  <c r="H626" i="1" s="1"/>
  <c r="D625" i="1"/>
  <c r="E627" i="1"/>
  <c r="D627" i="1"/>
  <c r="A626" i="1"/>
  <c r="A627" i="1" s="1"/>
  <c r="E625" i="1"/>
  <c r="E623" i="1"/>
  <c r="D623" i="1"/>
  <c r="E616" i="1"/>
  <c r="D616" i="1"/>
  <c r="E614" i="1"/>
  <c r="D614" i="1"/>
  <c r="E613" i="1"/>
  <c r="D613" i="1"/>
  <c r="E611" i="1"/>
  <c r="D611" i="1"/>
  <c r="E610" i="1"/>
  <c r="D610" i="1"/>
  <c r="E608" i="1"/>
  <c r="E607" i="1"/>
  <c r="D607" i="1"/>
  <c r="D608" i="1"/>
  <c r="E605" i="1"/>
  <c r="D605" i="1"/>
  <c r="E604" i="1"/>
  <c r="D604" i="1"/>
  <c r="E602" i="1"/>
  <c r="D602" i="1"/>
  <c r="E601" i="1"/>
  <c r="D601" i="1"/>
  <c r="D598" i="1"/>
  <c r="E580" i="1"/>
  <c r="D580" i="1"/>
  <c r="E584" i="1"/>
  <c r="D584" i="1"/>
  <c r="E592" i="1"/>
  <c r="D592" i="1"/>
  <c r="E593" i="1"/>
  <c r="D593" i="1"/>
  <c r="E591" i="1"/>
  <c r="D591" i="1"/>
  <c r="E587" i="1"/>
  <c r="D587" i="1"/>
  <c r="E589" i="1"/>
  <c r="D589" i="1"/>
  <c r="E585" i="1"/>
  <c r="D585" i="1"/>
  <c r="E583" i="1"/>
  <c r="D583" i="1"/>
  <c r="F583" i="1" s="1"/>
  <c r="H583" i="1" s="1"/>
  <c r="E581" i="1"/>
  <c r="D581" i="1"/>
  <c r="E579" i="1"/>
  <c r="D579" i="1"/>
  <c r="D577" i="1"/>
  <c r="E575" i="1"/>
  <c r="D575" i="1"/>
  <c r="E577" i="1"/>
  <c r="E576" i="1"/>
  <c r="D576" i="1"/>
  <c r="D571" i="1"/>
  <c r="E573" i="1"/>
  <c r="D573" i="1"/>
  <c r="E571" i="1"/>
  <c r="E569" i="1"/>
  <c r="D569" i="1"/>
  <c r="E568" i="1"/>
  <c r="D568" i="1"/>
  <c r="E567" i="1"/>
  <c r="D567" i="1"/>
  <c r="D565" i="1"/>
  <c r="E565" i="1"/>
  <c r="E564" i="1"/>
  <c r="D564" i="1"/>
  <c r="E563" i="1"/>
  <c r="D563" i="1"/>
  <c r="E561" i="1"/>
  <c r="D561" i="1"/>
  <c r="E560" i="1"/>
  <c r="D560" i="1"/>
  <c r="E559" i="1"/>
  <c r="D559" i="1"/>
  <c r="E555" i="1"/>
  <c r="E553" i="1"/>
  <c r="E552" i="1"/>
  <c r="E551" i="1"/>
  <c r="E557" i="1"/>
  <c r="E556" i="1"/>
  <c r="D555" i="1"/>
  <c r="D557" i="1"/>
  <c r="D556" i="1"/>
  <c r="D553" i="1"/>
  <c r="D552" i="1"/>
  <c r="D551" i="1"/>
  <c r="E302" i="1"/>
  <c r="D302" i="1"/>
  <c r="E545" i="1"/>
  <c r="D545" i="1"/>
  <c r="E544" i="1"/>
  <c r="D544" i="1"/>
  <c r="E543" i="1"/>
  <c r="D543" i="1"/>
  <c r="E542" i="1"/>
  <c r="D542" i="1"/>
  <c r="E540" i="1"/>
  <c r="D540" i="1"/>
  <c r="E539" i="1"/>
  <c r="D539" i="1"/>
  <c r="E538" i="1"/>
  <c r="D538" i="1"/>
  <c r="E537" i="1"/>
  <c r="D537" i="1"/>
  <c r="E535" i="1"/>
  <c r="D535" i="1"/>
  <c r="E534" i="1"/>
  <c r="D534" i="1"/>
  <c r="E533" i="1"/>
  <c r="D533" i="1"/>
  <c r="E532" i="1"/>
  <c r="D532" i="1"/>
  <c r="D528" i="1"/>
  <c r="E530" i="1"/>
  <c r="D530" i="1"/>
  <c r="E529" i="1"/>
  <c r="D529" i="1"/>
  <c r="E528" i="1"/>
  <c r="E527" i="1"/>
  <c r="D527" i="1"/>
  <c r="E525" i="1"/>
  <c r="D525" i="1"/>
  <c r="E524" i="1"/>
  <c r="D524" i="1"/>
  <c r="E523" i="1"/>
  <c r="D523" i="1"/>
  <c r="E522" i="1"/>
  <c r="D522" i="1"/>
  <c r="E520" i="1"/>
  <c r="D520" i="1"/>
  <c r="E519" i="1"/>
  <c r="D519" i="1"/>
  <c r="E518" i="1"/>
  <c r="D518" i="1"/>
  <c r="E517" i="1"/>
  <c r="D517" i="1"/>
  <c r="D515" i="1"/>
  <c r="E514" i="1"/>
  <c r="D514" i="1"/>
  <c r="E515" i="1"/>
  <c r="E513" i="1"/>
  <c r="D513" i="1"/>
  <c r="E512" i="1"/>
  <c r="D512" i="1"/>
  <c r="E510" i="1"/>
  <c r="D510" i="1"/>
  <c r="E509" i="1"/>
  <c r="D509" i="1"/>
  <c r="E508" i="1"/>
  <c r="D508" i="1"/>
  <c r="E507" i="1"/>
  <c r="D507" i="1"/>
  <c r="E505" i="1"/>
  <c r="D505" i="1"/>
  <c r="E504" i="1"/>
  <c r="D504" i="1"/>
  <c r="E503" i="1"/>
  <c r="D503" i="1"/>
  <c r="E502" i="1"/>
  <c r="D502" i="1"/>
  <c r="D498" i="1"/>
  <c r="E500" i="1"/>
  <c r="D500" i="1"/>
  <c r="E499" i="1"/>
  <c r="D499" i="1"/>
  <c r="E498" i="1"/>
  <c r="E497" i="1"/>
  <c r="D497" i="1"/>
  <c r="E492" i="1"/>
  <c r="D492" i="1"/>
  <c r="D490" i="1"/>
  <c r="E486" i="1"/>
  <c r="D486" i="1"/>
  <c r="E485" i="1"/>
  <c r="D485" i="1"/>
  <c r="E484" i="1"/>
  <c r="D484" i="1"/>
  <c r="E482" i="1"/>
  <c r="D482" i="1"/>
  <c r="E480" i="1"/>
  <c r="D480" i="1"/>
  <c r="E478" i="1"/>
  <c r="D478" i="1"/>
  <c r="E477" i="1"/>
  <c r="D477" i="1"/>
  <c r="E476" i="1"/>
  <c r="D476" i="1"/>
  <c r="E474" i="1"/>
  <c r="D474" i="1"/>
  <c r="E473" i="1"/>
  <c r="D473" i="1"/>
  <c r="E472" i="1"/>
  <c r="D472" i="1"/>
  <c r="E468" i="1"/>
  <c r="D468" i="1"/>
  <c r="E470" i="1"/>
  <c r="D470" i="1"/>
  <c r="E469" i="1"/>
  <c r="D469" i="1"/>
  <c r="D466" i="1"/>
  <c r="D464" i="1"/>
  <c r="D461" i="1"/>
  <c r="D462" i="1"/>
  <c r="E466" i="1"/>
  <c r="E464" i="1"/>
  <c r="E449" i="1"/>
  <c r="D449" i="1"/>
  <c r="E448" i="1"/>
  <c r="D448" i="1"/>
  <c r="E455" i="1"/>
  <c r="D455" i="1"/>
  <c r="E454" i="1"/>
  <c r="D454" i="1"/>
  <c r="E452" i="1"/>
  <c r="D452" i="1"/>
  <c r="E451" i="1"/>
  <c r="D451" i="1"/>
  <c r="E446" i="1"/>
  <c r="D445" i="1"/>
  <c r="D446" i="1"/>
  <c r="E445" i="1"/>
  <c r="E443" i="1"/>
  <c r="D443" i="1"/>
  <c r="E442" i="1"/>
  <c r="D442" i="1"/>
  <c r="E440" i="1"/>
  <c r="D440" i="1"/>
  <c r="E439" i="1"/>
  <c r="D439" i="1"/>
  <c r="E437" i="1"/>
  <c r="D437" i="1"/>
  <c r="E436" i="1"/>
  <c r="D436" i="1"/>
  <c r="E434" i="1"/>
  <c r="D434" i="1"/>
  <c r="E433" i="1"/>
  <c r="D433" i="1"/>
  <c r="D431" i="1"/>
  <c r="D425" i="1"/>
  <c r="E425" i="1"/>
  <c r="E422" i="1"/>
  <c r="D422" i="1"/>
  <c r="E419" i="1"/>
  <c r="D419" i="1"/>
  <c r="E418" i="1"/>
  <c r="D418" i="1"/>
  <c r="E416" i="1"/>
  <c r="D416" i="1"/>
  <c r="E415" i="1"/>
  <c r="D415" i="1"/>
  <c r="E413" i="1"/>
  <c r="D413" i="1"/>
  <c r="E412" i="1"/>
  <c r="D412" i="1"/>
  <c r="D410" i="1"/>
  <c r="D409" i="1"/>
  <c r="E404" i="1"/>
  <c r="D404" i="1"/>
  <c r="E403" i="1"/>
  <c r="D403" i="1"/>
  <c r="E402" i="1"/>
  <c r="D402" i="1"/>
  <c r="E400" i="1"/>
  <c r="D400" i="1"/>
  <c r="E399" i="1"/>
  <c r="D399" i="1"/>
  <c r="E398" i="1"/>
  <c r="D398" i="1"/>
  <c r="E396" i="1"/>
  <c r="D396" i="1"/>
  <c r="E395" i="1"/>
  <c r="D395" i="1"/>
  <c r="E394" i="1"/>
  <c r="D394" i="1"/>
  <c r="E392" i="1"/>
  <c r="D392" i="1"/>
  <c r="E391" i="1"/>
  <c r="D391" i="1"/>
  <c r="E390" i="1"/>
  <c r="D390" i="1"/>
  <c r="E388" i="1"/>
  <c r="D388" i="1"/>
  <c r="E387" i="1"/>
  <c r="D387" i="1"/>
  <c r="E386" i="1"/>
  <c r="D386" i="1"/>
  <c r="E384" i="1"/>
  <c r="D384" i="1"/>
  <c r="E383" i="1"/>
  <c r="D383" i="1"/>
  <c r="E382" i="1"/>
  <c r="D382" i="1"/>
  <c r="E380" i="1"/>
  <c r="D380" i="1"/>
  <c r="E379" i="1"/>
  <c r="D379" i="1"/>
  <c r="E378" i="1"/>
  <c r="D378" i="1"/>
  <c r="E376" i="1"/>
  <c r="D376" i="1"/>
  <c r="E374" i="1"/>
  <c r="D374" i="1"/>
  <c r="E372" i="1"/>
  <c r="D372" i="1"/>
  <c r="E371" i="1"/>
  <c r="D371" i="1"/>
  <c r="E370" i="1"/>
  <c r="E368" i="1"/>
  <c r="D368" i="1"/>
  <c r="E364" i="1"/>
  <c r="D364" i="1"/>
  <c r="D360" i="1"/>
  <c r="E360" i="1"/>
  <c r="E357" i="1"/>
  <c r="D357" i="1"/>
  <c r="E354" i="1"/>
  <c r="D354" i="1"/>
  <c r="E353" i="1"/>
  <c r="D353" i="1"/>
  <c r="E351" i="1"/>
  <c r="D351" i="1"/>
  <c r="E350" i="1"/>
  <c r="D350" i="1"/>
  <c r="H184" i="1"/>
  <c r="C219" i="1" l="1"/>
  <c r="D189" i="1"/>
  <c r="J187" i="1"/>
  <c r="D196" i="1"/>
  <c r="D194" i="1"/>
  <c r="D192" i="1"/>
  <c r="D190" i="1"/>
  <c r="J188" i="1"/>
  <c r="C187" i="1" s="1"/>
  <c r="D187" i="1" s="1"/>
  <c r="J186" i="1"/>
  <c r="J183" i="1"/>
  <c r="J185" i="1" s="1"/>
  <c r="D195" i="1"/>
  <c r="D191" i="1"/>
  <c r="D193" i="1"/>
  <c r="C121" i="1"/>
  <c r="C205" i="1"/>
  <c r="C107" i="1"/>
  <c r="J193" i="1"/>
  <c r="J195" i="1"/>
  <c r="F577" i="1"/>
  <c r="H577" i="1" s="1"/>
  <c r="J189" i="1"/>
  <c r="J190" i="1" s="1"/>
  <c r="J194" i="1"/>
  <c r="C93" i="1"/>
  <c r="C248" i="1"/>
  <c r="F654" i="1"/>
  <c r="H654" i="1" s="1"/>
  <c r="F607" i="1"/>
  <c r="H607" i="1" s="1"/>
  <c r="F587" i="1"/>
  <c r="H587" i="1" s="1"/>
  <c r="F601" i="1"/>
  <c r="H601" i="1" s="1"/>
  <c r="F605" i="1"/>
  <c r="H605" i="1" s="1"/>
  <c r="F629" i="1"/>
  <c r="H629" i="1" s="1"/>
  <c r="C263" i="1"/>
  <c r="C254" i="1"/>
  <c r="F625" i="1"/>
  <c r="F638" i="1"/>
  <c r="H638" i="1" s="1"/>
  <c r="C260" i="1"/>
  <c r="F658" i="1"/>
  <c r="H658" i="1" s="1"/>
  <c r="F633" i="1"/>
  <c r="H633" i="1" s="1"/>
  <c r="F637" i="1"/>
  <c r="H637" i="1" s="1"/>
  <c r="C262" i="1"/>
  <c r="C251" i="1"/>
  <c r="C266" i="1"/>
  <c r="F604" i="1"/>
  <c r="H604" i="1" s="1"/>
  <c r="C249" i="1"/>
  <c r="F645" i="1"/>
  <c r="H645" i="1" s="1"/>
  <c r="F571" i="1"/>
  <c r="H571" i="1" s="1"/>
  <c r="F641" i="1"/>
  <c r="H641" i="1" s="1"/>
  <c r="F630" i="1"/>
  <c r="H630" i="1" s="1"/>
  <c r="F634" i="1"/>
  <c r="H634" i="1" s="1"/>
  <c r="F650" i="1"/>
  <c r="H650" i="1" s="1"/>
  <c r="F655" i="1"/>
  <c r="H655" i="1" s="1"/>
  <c r="F659" i="1"/>
  <c r="H659" i="1" s="1"/>
  <c r="F663" i="1"/>
  <c r="H663" i="1" s="1"/>
  <c r="F528" i="1"/>
  <c r="H528" i="1" s="1"/>
  <c r="F631" i="1"/>
  <c r="H631" i="1" s="1"/>
  <c r="F635" i="1"/>
  <c r="H635" i="1" s="1"/>
  <c r="F555" i="1"/>
  <c r="H555" i="1" s="1"/>
  <c r="F464" i="1"/>
  <c r="H464" i="1" s="1"/>
  <c r="F446" i="1"/>
  <c r="H446" i="1" s="1"/>
  <c r="F602" i="1"/>
  <c r="H602" i="1" s="1"/>
  <c r="F651" i="1"/>
  <c r="H651" i="1" s="1"/>
  <c r="F653" i="1"/>
  <c r="H653" i="1" s="1"/>
  <c r="F657" i="1"/>
  <c r="H657" i="1" s="1"/>
  <c r="F661" i="1"/>
  <c r="H661" i="1" s="1"/>
  <c r="F515" i="1"/>
  <c r="H515" i="1" s="1"/>
  <c r="F514" i="1"/>
  <c r="H514" i="1" s="1"/>
  <c r="F517" i="1"/>
  <c r="H517" i="1" s="1"/>
  <c r="F518" i="1"/>
  <c r="H518" i="1" s="1"/>
  <c r="F519" i="1"/>
  <c r="H519" i="1" s="1"/>
  <c r="F520" i="1"/>
  <c r="H520" i="1" s="1"/>
  <c r="F522" i="1"/>
  <c r="H522" i="1" s="1"/>
  <c r="F523" i="1"/>
  <c r="H523" i="1" s="1"/>
  <c r="F524" i="1"/>
  <c r="H524" i="1" s="1"/>
  <c r="F525" i="1"/>
  <c r="H525" i="1" s="1"/>
  <c r="F527" i="1"/>
  <c r="H527" i="1" s="1"/>
  <c r="F529" i="1"/>
  <c r="H529" i="1" s="1"/>
  <c r="F530" i="1"/>
  <c r="H530" i="1" s="1"/>
  <c r="F557" i="1"/>
  <c r="H557" i="1" s="1"/>
  <c r="F565" i="1"/>
  <c r="H565" i="1" s="1"/>
  <c r="F567" i="1"/>
  <c r="H567" i="1" s="1"/>
  <c r="F568" i="1"/>
  <c r="H568" i="1" s="1"/>
  <c r="F569" i="1"/>
  <c r="H569" i="1" s="1"/>
  <c r="F616" i="1"/>
  <c r="H616" i="1" s="1"/>
  <c r="F627" i="1"/>
  <c r="H627" i="1" s="1"/>
  <c r="F639" i="1"/>
  <c r="H639" i="1" s="1"/>
  <c r="F642" i="1"/>
  <c r="H642" i="1" s="1"/>
  <c r="F643" i="1"/>
  <c r="H643" i="1" s="1"/>
  <c r="F646" i="1"/>
  <c r="H646" i="1" s="1"/>
  <c r="F647" i="1"/>
  <c r="H647" i="1" s="1"/>
  <c r="F649" i="1"/>
  <c r="H649" i="1" s="1"/>
  <c r="F486" i="1"/>
  <c r="H486" i="1" s="1"/>
  <c r="F576" i="1"/>
  <c r="H576" i="1" s="1"/>
  <c r="F575" i="1"/>
  <c r="H575" i="1" s="1"/>
  <c r="F592" i="1"/>
  <c r="H592" i="1" s="1"/>
  <c r="F584" i="1"/>
  <c r="H584" i="1" s="1"/>
  <c r="F580" i="1"/>
  <c r="H580" i="1" s="1"/>
  <c r="F608" i="1"/>
  <c r="H608" i="1" s="1"/>
  <c r="F610" i="1"/>
  <c r="H610" i="1" s="1"/>
  <c r="F611" i="1"/>
  <c r="H611" i="1" s="1"/>
  <c r="F613" i="1"/>
  <c r="H613" i="1" s="1"/>
  <c r="F614" i="1"/>
  <c r="H614" i="1" s="1"/>
  <c r="F581" i="1"/>
  <c r="H581" i="1" s="1"/>
  <c r="F585" i="1"/>
  <c r="H585" i="1" s="1"/>
  <c r="F593" i="1"/>
  <c r="H593" i="1" s="1"/>
  <c r="F498" i="1"/>
  <c r="H498" i="1" s="1"/>
  <c r="F502" i="1"/>
  <c r="H502" i="1" s="1"/>
  <c r="F503" i="1"/>
  <c r="H503" i="1" s="1"/>
  <c r="F504" i="1"/>
  <c r="H504" i="1" s="1"/>
  <c r="F505" i="1"/>
  <c r="H505" i="1" s="1"/>
  <c r="F507" i="1"/>
  <c r="H507" i="1" s="1"/>
  <c r="F508" i="1"/>
  <c r="H508" i="1" s="1"/>
  <c r="F509" i="1"/>
  <c r="H509" i="1" s="1"/>
  <c r="F510" i="1"/>
  <c r="H510" i="1" s="1"/>
  <c r="F512" i="1"/>
  <c r="H512" i="1" s="1"/>
  <c r="F513" i="1"/>
  <c r="H513" i="1" s="1"/>
  <c r="F559" i="1"/>
  <c r="H559" i="1" s="1"/>
  <c r="F560" i="1"/>
  <c r="H560" i="1" s="1"/>
  <c r="F561" i="1"/>
  <c r="H561" i="1" s="1"/>
  <c r="F563" i="1"/>
  <c r="H563" i="1" s="1"/>
  <c r="F564" i="1"/>
  <c r="H564" i="1" s="1"/>
  <c r="F579" i="1"/>
  <c r="H579" i="1" s="1"/>
  <c r="F589" i="1"/>
  <c r="H589" i="1" s="1"/>
  <c r="F591" i="1"/>
  <c r="H591" i="1" s="1"/>
  <c r="F573" i="1"/>
  <c r="H573" i="1" s="1"/>
  <c r="F556" i="1"/>
  <c r="H556" i="1" s="1"/>
  <c r="F466" i="1"/>
  <c r="H466" i="1" s="1"/>
  <c r="F468" i="1"/>
  <c r="F485" i="1"/>
  <c r="H485" i="1" s="1"/>
  <c r="F497" i="1"/>
  <c r="H497" i="1" s="1"/>
  <c r="F499" i="1"/>
  <c r="H499" i="1" s="1"/>
  <c r="F500" i="1"/>
  <c r="H500" i="1" s="1"/>
  <c r="F532" i="1"/>
  <c r="H532" i="1" s="1"/>
  <c r="F533" i="1"/>
  <c r="H533" i="1" s="1"/>
  <c r="F534" i="1"/>
  <c r="H534" i="1" s="1"/>
  <c r="F535" i="1"/>
  <c r="H535" i="1" s="1"/>
  <c r="F537" i="1"/>
  <c r="H537" i="1" s="1"/>
  <c r="F538" i="1"/>
  <c r="H538" i="1" s="1"/>
  <c r="F539" i="1"/>
  <c r="H539" i="1" s="1"/>
  <c r="F540" i="1"/>
  <c r="H540" i="1" s="1"/>
  <c r="F542" i="1"/>
  <c r="H542" i="1" s="1"/>
  <c r="F543" i="1"/>
  <c r="H543" i="1" s="1"/>
  <c r="F544" i="1"/>
  <c r="H544" i="1" s="1"/>
  <c r="F545" i="1"/>
  <c r="H545" i="1" s="1"/>
  <c r="F302" i="1"/>
  <c r="F360" i="1"/>
  <c r="H360" i="1" s="1"/>
  <c r="F451" i="1"/>
  <c r="H451" i="1" s="1"/>
  <c r="F452" i="1"/>
  <c r="H452" i="1" s="1"/>
  <c r="F454" i="1"/>
  <c r="H454" i="1" s="1"/>
  <c r="F455" i="1"/>
  <c r="H455" i="1" s="1"/>
  <c r="F448" i="1"/>
  <c r="H448" i="1" s="1"/>
  <c r="F449" i="1"/>
  <c r="H449" i="1" s="1"/>
  <c r="F445" i="1"/>
  <c r="H445" i="1" s="1"/>
  <c r="F425" i="1"/>
  <c r="H425" i="1" s="1"/>
  <c r="F469" i="1"/>
  <c r="H469" i="1" s="1"/>
  <c r="F470" i="1"/>
  <c r="H470" i="1" s="1"/>
  <c r="F472" i="1"/>
  <c r="H472" i="1" s="1"/>
  <c r="F473" i="1"/>
  <c r="H473" i="1" s="1"/>
  <c r="F474" i="1"/>
  <c r="H474" i="1" s="1"/>
  <c r="F476" i="1"/>
  <c r="H476" i="1" s="1"/>
  <c r="F477" i="1"/>
  <c r="H477" i="1" s="1"/>
  <c r="F478" i="1"/>
  <c r="H478" i="1" s="1"/>
  <c r="F480" i="1"/>
  <c r="H480" i="1" s="1"/>
  <c r="F482" i="1"/>
  <c r="H482" i="1" s="1"/>
  <c r="F484" i="1"/>
  <c r="H484" i="1" s="1"/>
  <c r="F422" i="1"/>
  <c r="H422" i="1" s="1"/>
  <c r="F433" i="1"/>
  <c r="F434" i="1"/>
  <c r="H434" i="1" s="1"/>
  <c r="F436" i="1"/>
  <c r="H436" i="1" s="1"/>
  <c r="F437" i="1"/>
  <c r="H437" i="1" s="1"/>
  <c r="F439" i="1"/>
  <c r="H439" i="1" s="1"/>
  <c r="F440" i="1"/>
  <c r="H440" i="1" s="1"/>
  <c r="F442" i="1"/>
  <c r="H442" i="1" s="1"/>
  <c r="F443" i="1"/>
  <c r="H443" i="1" s="1"/>
  <c r="F390" i="1"/>
  <c r="H390" i="1" s="1"/>
  <c r="F391" i="1"/>
  <c r="H391" i="1" s="1"/>
  <c r="F392" i="1"/>
  <c r="H392" i="1" s="1"/>
  <c r="F394" i="1"/>
  <c r="H394" i="1" s="1"/>
  <c r="F395" i="1"/>
  <c r="H395" i="1" s="1"/>
  <c r="F396" i="1"/>
  <c r="H396" i="1" s="1"/>
  <c r="F398" i="1"/>
  <c r="H398" i="1" s="1"/>
  <c r="F399" i="1"/>
  <c r="H399" i="1" s="1"/>
  <c r="F400" i="1"/>
  <c r="H400" i="1" s="1"/>
  <c r="F402" i="1"/>
  <c r="H402" i="1" s="1"/>
  <c r="F403" i="1"/>
  <c r="H403" i="1" s="1"/>
  <c r="F404" i="1"/>
  <c r="H404" i="1" s="1"/>
  <c r="F412" i="1"/>
  <c r="F413" i="1"/>
  <c r="H413" i="1" s="1"/>
  <c r="F415" i="1"/>
  <c r="H415" i="1" s="1"/>
  <c r="F416" i="1"/>
  <c r="H416" i="1" s="1"/>
  <c r="F418" i="1"/>
  <c r="H418" i="1" s="1"/>
  <c r="F419" i="1"/>
  <c r="H419" i="1" s="1"/>
  <c r="F357" i="1"/>
  <c r="H357" i="1" s="1"/>
  <c r="F378" i="1"/>
  <c r="H378" i="1" s="1"/>
  <c r="F379" i="1"/>
  <c r="H379" i="1" s="1"/>
  <c r="F380" i="1"/>
  <c r="H380" i="1" s="1"/>
  <c r="F382" i="1"/>
  <c r="H382" i="1" s="1"/>
  <c r="F383" i="1"/>
  <c r="H383" i="1" s="1"/>
  <c r="F384" i="1"/>
  <c r="H384" i="1" s="1"/>
  <c r="F386" i="1"/>
  <c r="H386" i="1" s="1"/>
  <c r="F387" i="1"/>
  <c r="H387" i="1" s="1"/>
  <c r="F388" i="1"/>
  <c r="H388" i="1" s="1"/>
  <c r="F350" i="1"/>
  <c r="F351" i="1"/>
  <c r="H351" i="1" s="1"/>
  <c r="F353" i="1"/>
  <c r="H353" i="1" s="1"/>
  <c r="F354" i="1"/>
  <c r="H354" i="1" s="1"/>
  <c r="J191" i="1" l="1"/>
  <c r="J192" i="1" s="1"/>
  <c r="E263" i="1"/>
  <c r="E260" i="1"/>
  <c r="H625" i="1"/>
  <c r="G268" i="1" s="1"/>
  <c r="C268" i="1"/>
  <c r="E268" i="1"/>
  <c r="I262" i="1"/>
  <c r="H412" i="1"/>
  <c r="G262" i="1" s="1"/>
  <c r="E262" i="1"/>
  <c r="G254" i="1"/>
  <c r="E254" i="1"/>
  <c r="H468" i="1"/>
  <c r="G251" i="1" s="1"/>
  <c r="E251" i="1"/>
  <c r="H433" i="1"/>
  <c r="G263" i="1" s="1"/>
  <c r="H350" i="1"/>
  <c r="G260" i="1" s="1"/>
  <c r="H302" i="1"/>
  <c r="E342" i="1"/>
  <c r="D342" i="1"/>
  <c r="E341" i="1"/>
  <c r="D341" i="1"/>
  <c r="E340" i="1"/>
  <c r="D340" i="1"/>
  <c r="E326" i="1"/>
  <c r="D326" i="1"/>
  <c r="E325" i="1"/>
  <c r="D325" i="1"/>
  <c r="E324" i="1"/>
  <c r="D324" i="1"/>
  <c r="E338" i="1"/>
  <c r="D338" i="1"/>
  <c r="E337" i="1"/>
  <c r="D337" i="1"/>
  <c r="E336" i="1"/>
  <c r="D336" i="1"/>
  <c r="E334" i="1"/>
  <c r="D334" i="1"/>
  <c r="E333" i="1"/>
  <c r="D333" i="1"/>
  <c r="E332" i="1"/>
  <c r="D332" i="1"/>
  <c r="E330" i="1"/>
  <c r="D330" i="1"/>
  <c r="E329" i="1"/>
  <c r="D329" i="1"/>
  <c r="E328" i="1"/>
  <c r="D328" i="1"/>
  <c r="D322" i="1"/>
  <c r="D320" i="1"/>
  <c r="E322" i="1"/>
  <c r="E321" i="1"/>
  <c r="D321" i="1"/>
  <c r="E320" i="1"/>
  <c r="E318" i="1"/>
  <c r="D318" i="1"/>
  <c r="E317" i="1"/>
  <c r="D317" i="1"/>
  <c r="E316" i="1"/>
  <c r="D316" i="1"/>
  <c r="E314" i="1"/>
  <c r="D314" i="1"/>
  <c r="E313" i="1"/>
  <c r="D313" i="1"/>
  <c r="E312" i="1"/>
  <c r="D312" i="1"/>
  <c r="E310" i="1"/>
  <c r="D310" i="1"/>
  <c r="E309" i="1"/>
  <c r="D309" i="1"/>
  <c r="E308" i="1"/>
  <c r="D308" i="1"/>
  <c r="E295" i="1"/>
  <c r="D295" i="1"/>
  <c r="E293" i="1"/>
  <c r="D293" i="1"/>
  <c r="E291" i="1"/>
  <c r="D291" i="1"/>
  <c r="J196" i="1" l="1"/>
  <c r="C188" i="1" s="1"/>
  <c r="F340" i="1"/>
  <c r="H340" i="1" s="1"/>
  <c r="F325" i="1"/>
  <c r="H325" i="1" s="1"/>
  <c r="F342" i="1"/>
  <c r="H342" i="1" s="1"/>
  <c r="F326" i="1"/>
  <c r="H326" i="1" s="1"/>
  <c r="F320" i="1"/>
  <c r="H320" i="1" s="1"/>
  <c r="F324" i="1"/>
  <c r="H324" i="1" s="1"/>
  <c r="F341" i="1"/>
  <c r="H341" i="1" s="1"/>
  <c r="F322" i="1"/>
  <c r="H322" i="1" s="1"/>
  <c r="F321" i="1"/>
  <c r="H321" i="1" s="1"/>
  <c r="F328" i="1"/>
  <c r="H328" i="1" s="1"/>
  <c r="F329" i="1"/>
  <c r="H329" i="1" s="1"/>
  <c r="F330" i="1"/>
  <c r="H330" i="1" s="1"/>
  <c r="F332" i="1"/>
  <c r="H332" i="1" s="1"/>
  <c r="F333" i="1"/>
  <c r="H333" i="1" s="1"/>
  <c r="F334" i="1"/>
  <c r="H334" i="1" s="1"/>
  <c r="F336" i="1"/>
  <c r="H336" i="1" s="1"/>
  <c r="F337" i="1"/>
  <c r="H337" i="1" s="1"/>
  <c r="F338" i="1"/>
  <c r="H338" i="1" s="1"/>
  <c r="F295" i="1"/>
  <c r="H295" i="1" s="1"/>
  <c r="F308" i="1"/>
  <c r="H308" i="1" s="1"/>
  <c r="F309" i="1"/>
  <c r="H309" i="1" s="1"/>
  <c r="F310" i="1"/>
  <c r="H310" i="1" s="1"/>
  <c r="F312" i="1"/>
  <c r="H312" i="1" s="1"/>
  <c r="F313" i="1"/>
  <c r="H313" i="1" s="1"/>
  <c r="F314" i="1"/>
  <c r="H314" i="1" s="1"/>
  <c r="F316" i="1"/>
  <c r="H316" i="1" s="1"/>
  <c r="F317" i="1"/>
  <c r="H317" i="1" s="1"/>
  <c r="F318" i="1"/>
  <c r="H318" i="1" s="1"/>
  <c r="F291" i="1"/>
  <c r="H291" i="1" s="1"/>
  <c r="A666" i="1"/>
  <c r="A667" i="1" s="1"/>
  <c r="A668" i="1" s="1"/>
  <c r="A669" i="1" s="1"/>
  <c r="A670" i="1" s="1"/>
  <c r="A671" i="1" s="1"/>
  <c r="A672" i="1" s="1"/>
  <c r="A673" i="1" s="1"/>
  <c r="E187" i="1" l="1"/>
  <c r="D188" i="1"/>
  <c r="I184" i="1" s="1"/>
  <c r="J184" i="1"/>
  <c r="G187" i="1"/>
  <c r="K203" i="1"/>
  <c r="K217" i="1"/>
  <c r="B212" i="1"/>
  <c r="J223" i="1" s="1"/>
  <c r="K175" i="1"/>
  <c r="B170" i="1"/>
  <c r="B156" i="1"/>
  <c r="K146" i="1"/>
  <c r="B142" i="1"/>
  <c r="K91" i="1"/>
  <c r="H170" i="1"/>
  <c r="H212" i="1"/>
  <c r="H156" i="1"/>
  <c r="H142" i="1"/>
  <c r="I185" i="1" l="1"/>
  <c r="I183" i="1" s="1"/>
  <c r="C185" i="1" s="1"/>
  <c r="J215" i="1"/>
  <c r="D218" i="1"/>
  <c r="D221" i="1"/>
  <c r="D217" i="1"/>
  <c r="D223" i="1"/>
  <c r="D219" i="1"/>
  <c r="D222" i="1"/>
  <c r="D224" i="1"/>
  <c r="D220" i="1"/>
  <c r="J216" i="1"/>
  <c r="C215" i="1" s="1"/>
  <c r="J214" i="1"/>
  <c r="J211" i="1"/>
  <c r="J213" i="1" s="1"/>
  <c r="J217" i="1"/>
  <c r="J218" i="1" s="1"/>
  <c r="J222" i="1"/>
  <c r="J221" i="1"/>
  <c r="J174" i="1"/>
  <c r="C173" i="1" s="1"/>
  <c r="D173" i="1" s="1"/>
  <c r="D182" i="1"/>
  <c r="D178" i="1"/>
  <c r="D175" i="1"/>
  <c r="J173" i="1"/>
  <c r="J172" i="1"/>
  <c r="D181" i="1"/>
  <c r="D177" i="1"/>
  <c r="D179" i="1"/>
  <c r="J169" i="1"/>
  <c r="J171" i="1" s="1"/>
  <c r="D180" i="1"/>
  <c r="D176" i="1"/>
  <c r="J175" i="1"/>
  <c r="J176" i="1" s="1"/>
  <c r="J179" i="1"/>
  <c r="J181" i="1"/>
  <c r="J180" i="1"/>
  <c r="J155" i="1"/>
  <c r="J157" i="1" s="1"/>
  <c r="D168" i="1"/>
  <c r="D164" i="1"/>
  <c r="D167" i="1"/>
  <c r="D163" i="1"/>
  <c r="J159" i="1"/>
  <c r="D162" i="1"/>
  <c r="D165" i="1"/>
  <c r="D161" i="1"/>
  <c r="J160" i="1"/>
  <c r="C159" i="1" s="1"/>
  <c r="D159" i="1" s="1"/>
  <c r="J158" i="1"/>
  <c r="D166" i="1"/>
  <c r="J165" i="1"/>
  <c r="J167" i="1"/>
  <c r="J161" i="1"/>
  <c r="J162" i="1" s="1"/>
  <c r="J166" i="1"/>
  <c r="J144" i="1"/>
  <c r="D154" i="1"/>
  <c r="D153" i="1"/>
  <c r="D149" i="1"/>
  <c r="J145" i="1"/>
  <c r="J146" i="1"/>
  <c r="C145" i="1" s="1"/>
  <c r="D145" i="1" s="1"/>
  <c r="J141" i="1"/>
  <c r="J143" i="1" s="1"/>
  <c r="D150" i="1"/>
  <c r="D152" i="1"/>
  <c r="D148" i="1"/>
  <c r="D151" i="1"/>
  <c r="D147" i="1"/>
  <c r="J151" i="1"/>
  <c r="J147" i="1"/>
  <c r="J148" i="1" s="1"/>
  <c r="J152" i="1"/>
  <c r="J153" i="1"/>
  <c r="C99" i="1"/>
  <c r="B100" i="1" s="1"/>
  <c r="J219" i="1" l="1"/>
  <c r="J220" i="1" s="1"/>
  <c r="D215" i="1"/>
  <c r="J177" i="1"/>
  <c r="J178" i="1" s="1"/>
  <c r="J163" i="1"/>
  <c r="J164" i="1" s="1"/>
  <c r="C160" i="1" s="1"/>
  <c r="J149" i="1"/>
  <c r="J109" i="1"/>
  <c r="J110" i="1"/>
  <c r="H100" i="1"/>
  <c r="J224" i="1" l="1"/>
  <c r="C216" i="1" s="1"/>
  <c r="G215" i="1" s="1"/>
  <c r="J182" i="1"/>
  <c r="C174" i="1" s="1"/>
  <c r="J168" i="1"/>
  <c r="J156" i="1" s="1"/>
  <c r="G159" i="1"/>
  <c r="D160" i="1"/>
  <c r="I156" i="1" s="1"/>
  <c r="I157" i="1" s="1"/>
  <c r="E159" i="1"/>
  <c r="J150" i="1"/>
  <c r="J154" i="1" s="1"/>
  <c r="C146" i="1" s="1"/>
  <c r="G145" i="1" s="1"/>
  <c r="J104" i="1"/>
  <c r="C103" i="1" s="1"/>
  <c r="D106" i="1"/>
  <c r="D111" i="1"/>
  <c r="J103" i="1"/>
  <c r="D109" i="1"/>
  <c r="D107" i="1"/>
  <c r="D105" i="1"/>
  <c r="D112" i="1"/>
  <c r="J102" i="1"/>
  <c r="D108" i="1"/>
  <c r="J105" i="1"/>
  <c r="J106" i="1" s="1"/>
  <c r="J111" i="1" s="1"/>
  <c r="D110" i="1"/>
  <c r="J99" i="1"/>
  <c r="J101" i="1" s="1"/>
  <c r="E215" i="1" l="1"/>
  <c r="D216" i="1"/>
  <c r="I212" i="1" s="1"/>
  <c r="I213" i="1" s="1"/>
  <c r="J212" i="1"/>
  <c r="E173" i="1"/>
  <c r="D174" i="1"/>
  <c r="I170" i="1" s="1"/>
  <c r="I171" i="1" s="1"/>
  <c r="G173" i="1"/>
  <c r="J170" i="1"/>
  <c r="I155" i="1"/>
  <c r="C157" i="1" s="1"/>
  <c r="J142" i="1"/>
  <c r="D146" i="1"/>
  <c r="I142" i="1" s="1"/>
  <c r="I143" i="1" s="1"/>
  <c r="E145" i="1"/>
  <c r="D103" i="1"/>
  <c r="J107" i="1"/>
  <c r="J108" i="1" s="1"/>
  <c r="I211" i="1" l="1"/>
  <c r="C213" i="1" s="1"/>
  <c r="I169" i="1"/>
  <c r="C171" i="1" s="1"/>
  <c r="I141" i="1"/>
  <c r="C143" i="1" s="1"/>
  <c r="J112" i="1"/>
  <c r="C104" i="1" s="1"/>
  <c r="J100" i="1" s="1"/>
  <c r="E549" i="1"/>
  <c r="D549" i="1"/>
  <c r="E490" i="1"/>
  <c r="E103" i="1" l="1"/>
  <c r="D104" i="1"/>
  <c r="I100" i="1" s="1"/>
  <c r="I101" i="1" s="1"/>
  <c r="G103" i="1"/>
  <c r="F549" i="1"/>
  <c r="E305" i="1"/>
  <c r="E253" i="1" l="1"/>
  <c r="C253" i="1"/>
  <c r="I266" i="1" s="1"/>
  <c r="I99" i="1"/>
  <c r="C101" i="1" s="1"/>
  <c r="F364" i="1"/>
  <c r="F490" i="1"/>
  <c r="H549" i="1"/>
  <c r="G253" i="1" s="1"/>
  <c r="H364" i="1" l="1"/>
  <c r="H490" i="1"/>
  <c r="C85" i="1"/>
  <c r="B86" i="1" s="1"/>
  <c r="E622" i="1"/>
  <c r="D622" i="1"/>
  <c r="E621" i="1"/>
  <c r="D621" i="1"/>
  <c r="E599" i="1"/>
  <c r="D599" i="1"/>
  <c r="C267" i="1" s="1"/>
  <c r="I267" i="1" s="1"/>
  <c r="E598" i="1"/>
  <c r="E495" i="1"/>
  <c r="D495" i="1"/>
  <c r="E494" i="1"/>
  <c r="D494" i="1"/>
  <c r="E493" i="1"/>
  <c r="D493" i="1"/>
  <c r="E462" i="1"/>
  <c r="E461" i="1"/>
  <c r="E460" i="1"/>
  <c r="D460" i="1"/>
  <c r="C264" i="1" s="1"/>
  <c r="I264" i="1" s="1"/>
  <c r="E431" i="1"/>
  <c r="E430" i="1"/>
  <c r="D430" i="1"/>
  <c r="C250" i="1" s="1"/>
  <c r="I263" i="1" s="1"/>
  <c r="E410" i="1"/>
  <c r="E409" i="1"/>
  <c r="E375" i="1"/>
  <c r="D375" i="1"/>
  <c r="D370" i="1"/>
  <c r="E367" i="1"/>
  <c r="D367" i="1"/>
  <c r="E366" i="1"/>
  <c r="D366" i="1"/>
  <c r="E348" i="1"/>
  <c r="D348" i="1"/>
  <c r="E347" i="1"/>
  <c r="D347" i="1"/>
  <c r="C247" i="1" s="1"/>
  <c r="I260" i="1" s="1"/>
  <c r="E306" i="1"/>
  <c r="D306" i="1"/>
  <c r="D305" i="1"/>
  <c r="C246" i="1" s="1"/>
  <c r="E304" i="1"/>
  <c r="D304" i="1"/>
  <c r="E289" i="1"/>
  <c r="D289" i="1"/>
  <c r="C245" i="1" s="1"/>
  <c r="A622" i="1"/>
  <c r="A623" i="1" s="1"/>
  <c r="H86" i="1"/>
  <c r="C261" i="1" l="1"/>
  <c r="I261" i="1" s="1"/>
  <c r="C265" i="1"/>
  <c r="C259" i="1"/>
  <c r="J259" i="1" s="1"/>
  <c r="J270" i="1" s="1"/>
  <c r="F623" i="1"/>
  <c r="J90" i="1"/>
  <c r="C89" i="1" s="1"/>
  <c r="J89" i="1"/>
  <c r="J88" i="1"/>
  <c r="J85" i="1"/>
  <c r="J87" i="1" s="1"/>
  <c r="D98" i="1"/>
  <c r="D97" i="1"/>
  <c r="D96" i="1"/>
  <c r="D95" i="1"/>
  <c r="D94" i="1"/>
  <c r="D93" i="1"/>
  <c r="D92" i="1"/>
  <c r="D91" i="1"/>
  <c r="J91" i="1"/>
  <c r="J92" i="1" s="1"/>
  <c r="J97" i="1" s="1"/>
  <c r="J95" i="1"/>
  <c r="J96" i="1"/>
  <c r="F622" i="1"/>
  <c r="H622" i="1" s="1"/>
  <c r="F598" i="1"/>
  <c r="F599" i="1"/>
  <c r="H599" i="1" s="1"/>
  <c r="F621" i="1"/>
  <c r="F553" i="1"/>
  <c r="H553" i="1" s="1"/>
  <c r="F552" i="1"/>
  <c r="H552" i="1" s="1"/>
  <c r="F495" i="1"/>
  <c r="H495" i="1" s="1"/>
  <c r="F494" i="1"/>
  <c r="H494" i="1" s="1"/>
  <c r="F493" i="1"/>
  <c r="F462" i="1"/>
  <c r="H462" i="1" s="1"/>
  <c r="F461" i="1"/>
  <c r="H461" i="1" s="1"/>
  <c r="E265" i="1" l="1"/>
  <c r="C255" i="1"/>
  <c r="I268" i="1" s="1"/>
  <c r="E255" i="1"/>
  <c r="H598" i="1"/>
  <c r="G267" i="1" s="1"/>
  <c r="E267" i="1"/>
  <c r="H493" i="1"/>
  <c r="G265" i="1" s="1"/>
  <c r="C269" i="1"/>
  <c r="H623" i="1"/>
  <c r="J93" i="1"/>
  <c r="J94" i="1" s="1"/>
  <c r="F551" i="1"/>
  <c r="E266" i="1" s="1"/>
  <c r="H621" i="1"/>
  <c r="F492" i="1"/>
  <c r="F460" i="1"/>
  <c r="E264" i="1" s="1"/>
  <c r="G255" i="1" l="1"/>
  <c r="C252" i="1"/>
  <c r="E252" i="1"/>
  <c r="H551" i="1"/>
  <c r="G266" i="1" s="1"/>
  <c r="D89" i="1"/>
  <c r="J98" i="1"/>
  <c r="C90" i="1" s="1"/>
  <c r="H492" i="1"/>
  <c r="G252" i="1" s="1"/>
  <c r="H460" i="1"/>
  <c r="G264" i="1" s="1"/>
  <c r="F430" i="1"/>
  <c r="I265" i="1" l="1"/>
  <c r="C256" i="1"/>
  <c r="C270" i="1" s="1"/>
  <c r="E89" i="1"/>
  <c r="D90" i="1"/>
  <c r="I86" i="1" s="1"/>
  <c r="I87" i="1" s="1"/>
  <c r="G89" i="1"/>
  <c r="J86" i="1"/>
  <c r="H430" i="1"/>
  <c r="F431" i="1"/>
  <c r="H431" i="1" s="1"/>
  <c r="F409" i="1"/>
  <c r="F410" i="1"/>
  <c r="H410" i="1" s="1"/>
  <c r="F372" i="1"/>
  <c r="H372" i="1" s="1"/>
  <c r="F371" i="1"/>
  <c r="H371" i="1" s="1"/>
  <c r="A371" i="1"/>
  <c r="A372" i="1" s="1"/>
  <c r="A368" i="1"/>
  <c r="E250" i="1" l="1"/>
  <c r="G250" i="1"/>
  <c r="E249" i="1"/>
  <c r="I85" i="1"/>
  <c r="C87" i="1" s="1"/>
  <c r="D83" i="1"/>
  <c r="H409" i="1"/>
  <c r="G249" i="1" s="1"/>
  <c r="F376" i="1"/>
  <c r="H376" i="1" s="1"/>
  <c r="F375" i="1"/>
  <c r="H375" i="1" s="1"/>
  <c r="F374" i="1"/>
  <c r="H374" i="1" s="1"/>
  <c r="F370" i="1"/>
  <c r="H370" i="1" s="1"/>
  <c r="F368" i="1"/>
  <c r="F367" i="1"/>
  <c r="H367" i="1" s="1"/>
  <c r="F366" i="1"/>
  <c r="F347" i="1"/>
  <c r="F348" i="1"/>
  <c r="E248" i="1" l="1"/>
  <c r="E261" i="1"/>
  <c r="E247" i="1"/>
  <c r="B128" i="1"/>
  <c r="H348" i="1"/>
  <c r="H368" i="1"/>
  <c r="G248" i="1" s="1"/>
  <c r="H366" i="1"/>
  <c r="G261" i="1" s="1"/>
  <c r="H347" i="1"/>
  <c r="F293" i="1"/>
  <c r="H293" i="1" s="1"/>
  <c r="H128" i="1"/>
  <c r="G247" i="1" l="1"/>
  <c r="D139" i="1"/>
  <c r="D135" i="1"/>
  <c r="D134" i="1"/>
  <c r="J131" i="1"/>
  <c r="D138" i="1"/>
  <c r="J130" i="1"/>
  <c r="J127" i="1"/>
  <c r="J129" i="1" s="1"/>
  <c r="D137" i="1"/>
  <c r="D133" i="1"/>
  <c r="J132" i="1"/>
  <c r="C131" i="1" s="1"/>
  <c r="D131" i="1" s="1"/>
  <c r="D140" i="1"/>
  <c r="D136" i="1"/>
  <c r="J138" i="1"/>
  <c r="J137" i="1"/>
  <c r="J133" i="1"/>
  <c r="J134" i="1" s="1"/>
  <c r="J139" i="1" s="1"/>
  <c r="E43" i="1"/>
  <c r="J135" i="1" l="1"/>
  <c r="J136" i="1" s="1"/>
  <c r="B666" i="1"/>
  <c r="J140" i="1" l="1"/>
  <c r="C132" i="1" s="1"/>
  <c r="E131" i="1" s="1"/>
  <c r="F277" i="1"/>
  <c r="H277" i="1" s="1"/>
  <c r="F278" i="1"/>
  <c r="H278" i="1" s="1"/>
  <c r="F279" i="1"/>
  <c r="H279" i="1" s="1"/>
  <c r="F276" i="1"/>
  <c r="H276" i="1" s="1"/>
  <c r="G131" i="1" l="1"/>
  <c r="J128" i="1"/>
  <c r="D132" i="1"/>
  <c r="I128" i="1" s="1"/>
  <c r="I129" i="1" s="1"/>
  <c r="G60" i="1"/>
  <c r="C60" i="1"/>
  <c r="I127" i="1" l="1"/>
  <c r="C129" i="1" s="1"/>
  <c r="S33" i="1"/>
  <c r="F11" i="5" l="1"/>
  <c r="G11" i="5" s="1"/>
  <c r="F10" i="5"/>
  <c r="G10" i="5" s="1"/>
  <c r="F9" i="5"/>
  <c r="G9" i="5" s="1"/>
  <c r="F8" i="5"/>
  <c r="G8" i="5" s="1"/>
  <c r="F7" i="5"/>
  <c r="G7" i="5" s="1"/>
  <c r="G6" i="5"/>
  <c r="F6" i="5"/>
  <c r="F5" i="5"/>
  <c r="G5" i="5" s="1"/>
  <c r="G12" i="5" s="1"/>
  <c r="D690" i="1"/>
  <c r="B667" i="1"/>
  <c r="F306" i="1"/>
  <c r="H306" i="1" s="1"/>
  <c r="F305" i="1"/>
  <c r="E246" i="1" s="1"/>
  <c r="F304" i="1"/>
  <c r="E259" i="1" s="1"/>
  <c r="F289" i="1"/>
  <c r="E245" i="1" s="1"/>
  <c r="A277" i="1"/>
  <c r="A278" i="1" s="1"/>
  <c r="A279" i="1" s="1"/>
  <c r="F237" i="1"/>
  <c r="D79" i="1"/>
  <c r="D64" i="1"/>
  <c r="C51" i="1"/>
  <c r="E44" i="1"/>
  <c r="E45" i="1" s="1"/>
  <c r="E31" i="1"/>
  <c r="E28" i="1"/>
  <c r="E26" i="1"/>
  <c r="C16" i="1"/>
  <c r="I15" i="1"/>
  <c r="Z13" i="1"/>
  <c r="E8" i="1"/>
  <c r="E3" i="1"/>
  <c r="H114" i="1"/>
  <c r="H198" i="1"/>
  <c r="E256" i="1" l="1"/>
  <c r="E269" i="1"/>
  <c r="H305" i="1"/>
  <c r="G246" i="1" s="1"/>
  <c r="H304" i="1"/>
  <c r="G259" i="1" s="1"/>
  <c r="H289" i="1"/>
  <c r="J118" i="1"/>
  <c r="C117" i="1" s="1"/>
  <c r="D122" i="1"/>
  <c r="D124" i="1"/>
  <c r="J117" i="1"/>
  <c r="D123" i="1"/>
  <c r="J113" i="1"/>
  <c r="J115" i="1" s="1"/>
  <c r="D121" i="1"/>
  <c r="J116" i="1"/>
  <c r="D120" i="1"/>
  <c r="D126" i="1"/>
  <c r="D125" i="1"/>
  <c r="D119" i="1"/>
  <c r="J197" i="1"/>
  <c r="J199" i="1" s="1"/>
  <c r="D206" i="1"/>
  <c r="D208" i="1"/>
  <c r="J202" i="1"/>
  <c r="C201" i="1" s="1"/>
  <c r="D207" i="1"/>
  <c r="J201" i="1"/>
  <c r="D205" i="1"/>
  <c r="J200" i="1"/>
  <c r="D204" i="1"/>
  <c r="D210" i="1"/>
  <c r="D209" i="1"/>
  <c r="B198" i="1"/>
  <c r="B114" i="1"/>
  <c r="E270" i="1" l="1"/>
  <c r="G269" i="1"/>
  <c r="G245" i="1"/>
  <c r="G256" i="1" s="1"/>
  <c r="D201" i="1"/>
  <c r="D117" i="1"/>
  <c r="D203" i="1"/>
  <c r="J208" i="1"/>
  <c r="J207" i="1"/>
  <c r="J203" i="1"/>
  <c r="J204" i="1" s="1"/>
  <c r="J209" i="1" s="1"/>
  <c r="J124" i="1"/>
  <c r="J123" i="1"/>
  <c r="J119" i="1"/>
  <c r="J120" i="1" s="1"/>
  <c r="J121" i="1" s="1"/>
  <c r="J122" i="1" s="1"/>
  <c r="G270" i="1" l="1"/>
  <c r="J205" i="1"/>
  <c r="J206" i="1" s="1"/>
  <c r="J125" i="1"/>
  <c r="J126" i="1" s="1"/>
  <c r="C118" i="1" l="1"/>
  <c r="J210" i="1"/>
  <c r="C202" i="1" s="1"/>
  <c r="E201" i="1" l="1"/>
  <c r="D202" i="1"/>
  <c r="I198" i="1" s="1"/>
  <c r="I199" i="1" s="1"/>
  <c r="G201" i="1"/>
  <c r="J198" i="1"/>
  <c r="D118" i="1"/>
  <c r="I114" i="1" s="1"/>
  <c r="I115" i="1" s="1"/>
  <c r="E117" i="1"/>
  <c r="G117" i="1"/>
  <c r="J114" i="1"/>
  <c r="D84" i="1"/>
  <c r="F84" i="1"/>
  <c r="I197" i="1" l="1"/>
  <c r="C199" i="1" s="1"/>
  <c r="I113" i="1"/>
  <c r="C1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C61"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230"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8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<sst xmlns="http://schemas.openxmlformats.org/spreadsheetml/2006/main" count="1664" uniqueCount="488">
  <si>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</si>
  <si>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</si>
  <si>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</si>
  <si>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</si>
  <si>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</si>
  <si>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</si>
  <si>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</si>
  <si>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</si>
  <si>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</si>
  <si>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</si>
  <si>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</si>
  <si>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</si>
  <si>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</si>
  <si>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</si>
  <si>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</si>
  <si>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</si>
  <si>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</si>
  <si>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</si>
  <si>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</si>
  <si>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</si>
  <si>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</si>
  <si>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</si>
  <si>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</si>
  <si>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</si>
  <si>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</si>
  <si>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</si>
  <si>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</si>
  <si>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</si>
  <si>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</si>
  <si>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</si>
  <si>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</si>
  <si>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</si>
  <si>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</si>
  <si>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</si>
  <si>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</si>
  <si>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</si>
  <si>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</si>
  <si>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</si>
  <si>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</si>
  <si>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</si>
  <si>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</si>
  <si>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</si>
  <si>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</si>
  <si>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</si>
  <si>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</si>
  <si>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</si>
  <si>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</si>
  <si>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</si>
  <si>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</si>
  <si>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</si>
  <si>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</si>
  <si>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</si>
  <si>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</si>
  <si>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</si>
  <si>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</si>
  <si>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</si>
  <si>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</si>
  <si>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</si>
  <si>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</si>
  <si>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</si>
  <si>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</si>
  <si>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</si>
  <si>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</si>
  <si>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</si>
  <si>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</si>
  <si>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</si>
  <si>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</si>
  <si>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</si>
  <si>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</si>
  <si>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</si>
  <si>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</si>
  <si>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</si>
  <si>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</si>
  <si>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</si>
  <si>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</si>
  <si>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</si>
  <si>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</si>
  <si>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</si>
  <si>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</si>
  <si>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</si>
  <si>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</si>
  <si>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</si>
  <si>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</si>
  <si>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</si>
  <si>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</si>
  <si>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</si>
  <si>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</si>
  <si>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</si>
  <si>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</si>
  <si>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</si>
  <si>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</si>
  <si>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</si>
  <si>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</si>
  <si>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</si>
  <si>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</si>
  <si>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</si>
  <si>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</si>
  <si>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</si>
  <si>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</si>
  <si>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</si>
  <si>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</si>
  <si>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</si>
  <si>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</si>
  <si>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</si>
  <si>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</si>
  <si>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</si>
  <si>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</si>
  <si>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</si>
  <si>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</si>
  <si>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</si>
  <si>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</si>
  <si>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</si>
  <si>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</si>
  <si>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</si>
  <si>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</si>
  <si>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</si>
  <si>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</si>
  <si>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</si>
  <si>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</si>
  <si>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</si>
  <si>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</si>
  <si>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</si>
  <si>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</si>
  <si>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</si>
  <si>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</si>
  <si>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</si>
  <si>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</si>
  <si>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</si>
  <si>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</si>
  <si>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</si>
  <si>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</si>
  <si>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</si>
  <si>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</si>
  <si>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</si>
  <si>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</si>
  <si>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</si>
  <si>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</si>
  <si>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</si>
  <si>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</si>
  <si>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</si>
  <si>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</si>
  <si>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</si>
  <si>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</si>
  <si>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</si>
  <si>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</si>
  <si>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</si>
  <si>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</si>
  <si>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</si>
  <si>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</si>
  <si>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</si>
  <si>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</si>
  <si>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</si>
  <si>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</si>
  <si>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</si>
  <si>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</si>
  <si>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</si>
  <si>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</si>
  <si>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</si>
  <si>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</si>
  <si>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</si>
  <si>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</si>
  <si>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</si>
  <si>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</si>
  <si>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</si>
  <si>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</si>
  <si>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</si>
  <si>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</si>
  <si>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</si>
  <si>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</si>
  <si>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</si>
  <si>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</si>
  <si>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</si>
  <si>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</si>
  <si>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</si>
  <si>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</si>
  <si>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</si>
  <si>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</si>
  <si>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</si>
  <si>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</si>
  <si>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</si>
  <si>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</si>
  <si>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</si>
  <si>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</si>
  <si>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</si>
  <si>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</si>
  <si>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</si>
  <si>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</si>
  <si>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</si>
  <si>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</si>
  <si>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</si>
  <si>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</si>
  <si>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</si>
  <si>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</si>
  <si>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</si>
  <si>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</si>
  <si>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</si>
  <si>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</si>
  <si>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</si>
  <si>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</si>
  <si>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</si>
  <si>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</si>
  <si>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</si>
  <si>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</si>
  <si>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</si>
  <si>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</si>
  <si>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</si>
  <si>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</si>
  <si>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</si>
  <si>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</si>
  <si>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</si>
  <si>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</si>
  <si>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</si>
  <si>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</si>
  <si>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</si>
  <si>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</si>
  <si>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</si>
  <si>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</si>
  <si>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</si>
  <si>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</si>
  <si>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</si>
  <si>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</si>
  <si>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</si>
  <si>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</si>
  <si>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</si>
  <si>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</si>
  <si>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</si>
  <si>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</si>
  <si>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</si>
  <si>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</si>
  <si>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</si>
  <si>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</si>
  <si>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</si>
  <si>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</si>
  <si>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</si>
  <si>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</si>
  <si>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</si>
  <si>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</si>
  <si>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</si>
  <si>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</si>
  <si>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</si>
  <si>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</si>
  <si>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</si>
  <si>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</si>
  <si>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</si>
  <si>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</si>
  <si>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</si>
  <si>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</si>
  <si>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</si>
  <si>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</si>
  <si>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</si>
  <si>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</si>
  <si>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</si>
  <si>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</si>
  <si>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</si>
  <si>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</si>
  <si>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</si>
  <si>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</si>
  <si>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</si>
  <si>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</si>
  <si>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</si>
  <si>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</si>
  <si>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</si>
  <si>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</si>
  <si>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</si>
  <si>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</si>
  <si>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</si>
  <si>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</si>
  <si>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</si>
  <si>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</si>
  <si>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</si>
  <si>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</si>
  <si>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</si>
  <si>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</si>
  <si>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</si>
  <si>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</si>
  <si>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</si>
  <si>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</si>
  <si>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</si>
  <si>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</si>
  <si>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</si>
  <si>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</si>
  <si>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</si>
  <si>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</si>
  <si>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</si>
  <si>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</si>
  <si>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</si>
  <si>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</si>
  <si>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</si>
  <si>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</si>
  <si>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</si>
  <si>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</si>
  <si>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</si>
  <si>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</si>
  <si>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</si>
  <si>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</si>
  <si>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</si>
  <si>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</si>
  <si>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MICL Creaters LLP</t>
  </si>
  <si>
    <t>Aaradhya Onepark</t>
  </si>
  <si>
    <t xml:space="preserve">Meenalochani CHSL, Shree Nataraj CHSL, Belvedere CHSL, Honeycomb CHSL, Balaji Prasad CHSL, Neelkanth Chhaya CHSL, Sarvabandhu CHSL, Awadhpuri CHSL, Ashwamedh CHSL, Lalit Prakash CHSL.
</t>
  </si>
  <si>
    <t>P51800054477</t>
  </si>
  <si>
    <t>FP No</t>
  </si>
  <si>
    <t>353/5/A, 353/7, 353/8, 353/9, 353/17, 353/11, 353/12, 353/13, 353/15, 353/16 &amp; 353/46 Redevelopement of " Meenalochani CHSL, Shree Nataraj CHSL, Belvedere CHSL, Honeycomb CHSL, Balaji Prasad CHSL, Neelkanth Chhaya CHSL, Sarvabandhu CHSL, Awadhpuri CHSL, Ashwamedh CHSL, Lalit Prakash CHSL "</t>
  </si>
  <si>
    <t>Ghatkopar</t>
  </si>
  <si>
    <t>R B Mehta Marg</t>
  </si>
  <si>
    <t xml:space="preserve">Sidhu Wadi </t>
  </si>
  <si>
    <t>900M from Ghatkopar Railway Station</t>
  </si>
  <si>
    <t>Ghatkopar East</t>
  </si>
  <si>
    <t>Valmiki CHSL</t>
  </si>
  <si>
    <t>PGD Manor Chandini CHS</t>
  </si>
  <si>
    <t>Kailas Niwas</t>
  </si>
  <si>
    <t>Swami Narayan Temple</t>
  </si>
  <si>
    <t xml:space="preserve">Other Plot </t>
  </si>
  <si>
    <t>Residential Building</t>
  </si>
  <si>
    <t>https://maps.app.goo.gl/oaRGfGLSLga9LUT6A</t>
  </si>
  <si>
    <t>19.0773338,72.907399</t>
  </si>
  <si>
    <t>As per RERA - 31/07/2028</t>
  </si>
  <si>
    <t xml:space="preserve">Building No.1 ( Tower No.1) = 3B + G + 1st to 16th Floor
Building No.2 ( Tower No.2 to 11) = 3B + G + 1st to 18th Floor
</t>
  </si>
  <si>
    <t>Fitness Centre, Swimming pool, Sports Bar, Mini Theatre and a rooftop garden, Kids' Play Areas / Sand Pits, Indoor Games, etc.</t>
  </si>
  <si>
    <t>1st Floor For Fitness Centre, Escape Zone, Spa &amp; Lobby</t>
  </si>
  <si>
    <t>5BHK</t>
  </si>
  <si>
    <t>Ground Floor For Society Office, Meter Room, Parking &amp; Lobby</t>
  </si>
  <si>
    <t>3BHK</t>
  </si>
  <si>
    <t>2BHK</t>
  </si>
  <si>
    <t>11 Towers</t>
  </si>
  <si>
    <t>1st, 2nd &amp; 3rd Basement For Parking, Pump, Room Fire Tank, Sludge Tank, Domestic Tank &amp; Raw Water Tank</t>
  </si>
  <si>
    <t>Building No.1</t>
  </si>
  <si>
    <t xml:space="preserve">Building No.2 </t>
  </si>
  <si>
    <t>RERA Carpet area</t>
  </si>
  <si>
    <t>Deck Area</t>
  </si>
  <si>
    <t>Rehab</t>
  </si>
  <si>
    <t>Sale</t>
  </si>
  <si>
    <t>4BHK</t>
  </si>
  <si>
    <t>Sale/Rehab/Mhada</t>
  </si>
  <si>
    <t>3rd Floor</t>
  </si>
  <si>
    <t>6th Floor</t>
  </si>
  <si>
    <t>2nd Floor For Residential</t>
  </si>
  <si>
    <t xml:space="preserve">10th Floor </t>
  </si>
  <si>
    <t>10th, 12th, 14th &amp; 18th Floor</t>
  </si>
  <si>
    <t>6th &amp; 8th Floor</t>
  </si>
  <si>
    <t>17th &amp; 18th Floor</t>
  </si>
  <si>
    <t>2nd to 6th Floor For Residential</t>
  </si>
  <si>
    <t>14th, 16th &amp; 18th Floor</t>
  </si>
  <si>
    <t>2nd &amp; 3rd Floor For Residential</t>
  </si>
  <si>
    <t xml:space="preserve">Refuge Area </t>
  </si>
  <si>
    <t>Refuge Area</t>
  </si>
  <si>
    <t>We considered Gross carpet area = Net carpet + Deck Area.</t>
  </si>
  <si>
    <t xml:space="preserve">Please check for Environment Clearance Certificate , Fire NOC.
</t>
  </si>
  <si>
    <t>Tower 4</t>
  </si>
  <si>
    <t>Tower 5</t>
  </si>
  <si>
    <t>Tower 6</t>
  </si>
  <si>
    <t>Tower 7</t>
  </si>
  <si>
    <t>Tower 8</t>
  </si>
  <si>
    <t>Tower 9</t>
  </si>
  <si>
    <t>Tower 10</t>
  </si>
  <si>
    <t>Building 1</t>
  </si>
  <si>
    <t>Building 2</t>
  </si>
  <si>
    <t>Tower 1</t>
  </si>
  <si>
    <t>Tower 2</t>
  </si>
  <si>
    <t>Tower 3</t>
  </si>
  <si>
    <t>Tower 11</t>
  </si>
  <si>
    <t>Building No.2 ( Tower No.4) = 3B + G + 1st to 18th Floor</t>
  </si>
  <si>
    <t>Building No.2 ( Tower No.5) = 3B + G + 1st to 18th Floor</t>
  </si>
  <si>
    <t>Building No.2 ( Tower No.6) = 3B + G + 1st to 18th Floor</t>
  </si>
  <si>
    <t>Building No.2 ( Tower No.7) = 3B + G + 1st to 18th Floor</t>
  </si>
  <si>
    <t>Building No.2 ( Tower No.8) = 3B + G + 1st to 18th Floor</t>
  </si>
  <si>
    <t>Building No.2 ( Tower No.10) = 3B + G + 1st to 18th Floor</t>
  </si>
  <si>
    <t>Building No.2 ( Tower No.11) = 3B + G + 1st to 18th Floor</t>
  </si>
  <si>
    <t>Building No.2 ( Tower No.2) = 3B + G + 1st to 18th Floor</t>
  </si>
  <si>
    <t>Building No.2 ( Tower No.3 to 8) = 3B + G + 1st to 18th Floor</t>
  </si>
  <si>
    <t>Building No.2 ( Tower No.9, 10, 11) = 3B + G + 1st to 18th Floor</t>
  </si>
  <si>
    <r>
      <t xml:space="preserve">Proposed Amenities :                                                                                                                                                                                                                         </t>
    </r>
    <r>
      <rPr>
        <b/>
        <sz val="12"/>
        <rFont val="Times New Roman"/>
        <family val="1"/>
      </rPr>
      <t xml:space="preserve">                                               </t>
    </r>
  </si>
  <si>
    <t>Mr.Rajnish Golecha 9833817968</t>
  </si>
  <si>
    <t>Ground Floor For Society Office, Meter Room, BMS Room, Changing Room, Parking &amp; Lobby</t>
  </si>
  <si>
    <t>Ground Floor For Society Office, Meter Room, Drivers Room, Sub Station No.1, Fitness Centre, Parking &amp; Lobby</t>
  </si>
  <si>
    <t>Ground Floor For Society Office, Meter Room, Fire Control Room, Changing Room, Parking &amp; Lobby</t>
  </si>
  <si>
    <t>Ground Floor For Society Office, Meter Room, Fire Control Room, Parking &amp; Lobby</t>
  </si>
  <si>
    <t>Ground Floor For Society Office, Meter Room, Sub Station No.2, Parking &amp; Lobby</t>
  </si>
  <si>
    <t>1st Floor For Fitness Centre &amp; Lobby</t>
  </si>
  <si>
    <t>1st Floor For Residential, Fitness Centre &amp; Lobby</t>
  </si>
  <si>
    <t>1st Floor For Residential, BMS Room &amp; Lobby</t>
  </si>
  <si>
    <t>1st Floor For Fitness Centre, BMS Room &amp; Lobby</t>
  </si>
  <si>
    <t>P-16663/2023/N Ward/FP-CFO/1/New.</t>
  </si>
  <si>
    <t>Total Sale Flat</t>
  </si>
  <si>
    <t xml:space="preserve">Details of Residential in Building   </t>
  </si>
  <si>
    <t>Building No.1 ( Tower No.1) = 3B + G + 1st to 16th Floor (Height-62.38mtrs)
Building No.2 ( Tower No.2 to 11) = 3B + G + 1st to 18th Floor (Height-62.17mtrs)</t>
  </si>
  <si>
    <t>SIA/MH/INFRA2/443014/2023</t>
  </si>
  <si>
    <t xml:space="preserve">Plot Area-13128.52 Sq.M.
Net Plot Area-13128.52 Sq.M.
Proposed Builtup Area-128661.62 Sq.M.
</t>
  </si>
  <si>
    <t>Total Rehab Flat</t>
  </si>
  <si>
    <t>Approved Plans, CC, Fire Noc, Environment Clearance Certificate</t>
  </si>
  <si>
    <t>2.5BHK</t>
  </si>
  <si>
    <t>Building No.1 ( Tower No.1) = 3B + G + 1st to 18th Floor</t>
  </si>
  <si>
    <t>Miss. Payal : 9130021100</t>
  </si>
  <si>
    <t>Building No.2 ( Tower No.3) = 3B + G + 1st to 18th Floor</t>
  </si>
  <si>
    <t>P-16663/2023)/N Ward/FP/FCC/1/New</t>
  </si>
  <si>
    <t>Re-endorsement of Plinth C.C upto top of Basement level and Full C.C for Building no. 1 of Tower 1 and Building no. 2 of Tower No 7, 8, 9, 10 &amp; 11 as per approved amended plans dated 29.10.2024.</t>
  </si>
  <si>
    <t>P-16663/2023)/N Ward/FP/FCC/1/Amend</t>
  </si>
  <si>
    <t>Full C.C. to Tower No. 2 &amp; 3 of Building No. 2 as per the approved amended plans dated 29.10.2024.</t>
  </si>
  <si>
    <t>We have updated latest CC from MCGM site (On 05/05/2025).</t>
  </si>
  <si>
    <t>Vijendra</t>
  </si>
  <si>
    <t>Construction work is in process at the time of Visit. Internal visit was not allowed.</t>
  </si>
  <si>
    <t>Building No.2 ( Tower No.9, 10) = 3B + G + 1st to 18th Floor</t>
  </si>
  <si>
    <t>Building nomenclature is taken as per builder letter provided on mail by bank officials. Letter attached below.</t>
  </si>
  <si>
    <t>Building No.1 Tower No.1 = Reserve
Building No.2 Tower No.2 = Breeze
Building No.2 Tower No.3 = Crest
Building No.2 Tower No.4 = Dove
Building No.2 Tower No.5 = Evan
Building No.2 Tower No.6 = Fiona
Building No.2 Tower No.7 = Glen
Building No.2 Tower No.8 = Hazel
Building No.2 Tower No.9 = Iris
Building No.2 Tower No.10 = Jade
Building No.2 Tower No.11 = Klara</t>
  </si>
  <si>
    <t>Tower No.1 (Sale Flats) : Reserve</t>
  </si>
  <si>
    <t>Tower No.2 : Breeze</t>
  </si>
  <si>
    <t xml:space="preserve">Tower No.3 : Crest </t>
  </si>
  <si>
    <t>Tower No.4 : Dove</t>
  </si>
  <si>
    <t>Tower No.5 : Evan</t>
  </si>
  <si>
    <t>Tower No.6 : Fiona</t>
  </si>
  <si>
    <t>Tower No.7 : Glen</t>
  </si>
  <si>
    <t xml:space="preserve">Tower No.8 : Hazel </t>
  </si>
  <si>
    <t>Tower No.9 : Iris</t>
  </si>
  <si>
    <t>Tower No.10 : Jade</t>
  </si>
  <si>
    <t>Tower No.11 : Klara</t>
  </si>
  <si>
    <t>Remark No.11 :</t>
  </si>
  <si>
    <t>P-16663/2023)/N WARD/FP/337/1/Amend</t>
  </si>
  <si>
    <t>Ground Floor For Entrance Lobby, Meter Room, Parking &amp; Lounge Area</t>
  </si>
  <si>
    <t>Ground Floor For Society Office, Parking &amp; Lobby</t>
  </si>
  <si>
    <t>Ground Floor For Meter Room, Parking &amp; Lobby</t>
  </si>
  <si>
    <t>2nd to 5th, 7th, 9th, 11th &amp; 13th Floor For Residential</t>
  </si>
  <si>
    <t>14th Floor</t>
  </si>
  <si>
    <t xml:space="preserve"> 6th, 8th, 10th &amp; 12th Floor For Residential (Refuge Area At Midlanding)</t>
  </si>
  <si>
    <t xml:space="preserve">15th Floor </t>
  </si>
  <si>
    <t>16th Floor</t>
  </si>
  <si>
    <t xml:space="preserve"> - </t>
  </si>
  <si>
    <t xml:space="preserve">9th Floor For Residential (Refuge Area At Midlanding) </t>
  </si>
  <si>
    <t xml:space="preserve">7th Floor For Residential (Refuge Area At Midlanding) </t>
  </si>
  <si>
    <t xml:space="preserve">2nd to 6th, 8th Floor For Residential </t>
  </si>
  <si>
    <t>12th Floor</t>
  </si>
  <si>
    <t>15th Floor (Refuge Area at Midlanding)</t>
  </si>
  <si>
    <t>17th Floor (Refuge Area at Midlanding)</t>
  </si>
  <si>
    <t>16th, 18th Floor</t>
  </si>
  <si>
    <t>11th, 13th Floor For Residential (Refuge Area at Midlanding)</t>
  </si>
  <si>
    <t>13th Floor</t>
  </si>
  <si>
    <t>2nd to 6th, 8th to 11th, 15th to 18th Floor For Residential</t>
  </si>
  <si>
    <t>7th Floor for Residential (Part Refuge Area)</t>
  </si>
  <si>
    <t>14th Floor for Residential (Part Refuge Area)</t>
  </si>
  <si>
    <t>5th Floor</t>
  </si>
  <si>
    <t>4th Floor</t>
  </si>
  <si>
    <t>7th Floor (Refuge Area at Midlanding)</t>
  </si>
  <si>
    <t>9th &amp; 11th Floor (Refuge Area at Midlanding)</t>
  </si>
  <si>
    <t>8th &amp; 10th Floor</t>
  </si>
  <si>
    <t>12th, 14th, 16th &amp; 18th Floor</t>
  </si>
  <si>
    <t>13th, 15th &amp; 17th Floor (Refuge Area At Midlanding)</t>
  </si>
  <si>
    <t>2nd to 4th, 8th, 10th, 11th, 13th, 15th to 18th Floor For Residential</t>
  </si>
  <si>
    <t>5th &amp; 12th Floor</t>
  </si>
  <si>
    <t>9th Floor</t>
  </si>
  <si>
    <t xml:space="preserve">14th Floor For Residential (Refuge Area At Midlanding) </t>
  </si>
  <si>
    <t>3rd &amp; 8th Floor</t>
  </si>
  <si>
    <t>7th &amp; 9th Floor (Refuge Area at Midlanding)</t>
  </si>
  <si>
    <t>11th, 13th &amp; 15th Floor (Refuge Area at Midlanding)</t>
  </si>
  <si>
    <t>8th Floor</t>
  </si>
  <si>
    <t>9th, 11th to 13th, 15th to 16th Floor</t>
  </si>
  <si>
    <t>14th Floor For Residential (Part Refuge Area &amp; Society Office)</t>
  </si>
  <si>
    <t>Refuge Area &amp; Society Office</t>
  </si>
  <si>
    <t>10th to 12th Floor</t>
  </si>
  <si>
    <t>10th Floor</t>
  </si>
  <si>
    <t>11th Floor For Residential (Refuge Area At Midlanding)</t>
  </si>
  <si>
    <t>13th Floor For Residential (Refuge Area At Midlanding)</t>
  </si>
  <si>
    <t>15th Floor For Residential (Refuge Area At Midlanding)</t>
  </si>
  <si>
    <t>17th Floor For Residential (Refuge Area At Midlanding)</t>
  </si>
  <si>
    <t>1st Floor For Residential, Amenity, Fitness Center</t>
  </si>
  <si>
    <t>15th to 17th Floor</t>
  </si>
  <si>
    <t>18th Floor</t>
  </si>
  <si>
    <t>2nd, 4th to 6th Floor For Residential</t>
  </si>
  <si>
    <t>8th, 10th, 12th, 14th, 16th Floor</t>
  </si>
  <si>
    <t xml:space="preserve">11th, 13th, 15th, 17th Floor For Residential (Refuge Area At Midlanding) </t>
  </si>
  <si>
    <t xml:space="preserve">7th &amp; 9th Floor For Residential (Refuge Area At Midlanding) </t>
  </si>
  <si>
    <t>3rd to 6th, 10th Floor</t>
  </si>
  <si>
    <t xml:space="preserve">11th Floor For Residential (Refuge Area At Midlanding) </t>
  </si>
  <si>
    <t xml:space="preserve">13th Floor For Residential (Refuge Area At Midlanding) </t>
  </si>
  <si>
    <t>14th &amp; 16th Floor</t>
  </si>
  <si>
    <t xml:space="preserve">15th Floor For Residential (Refuge Area At Midlanding) </t>
  </si>
  <si>
    <t xml:space="preserve">17th Floor For Residential (Refuge Area At Midlanding) </t>
  </si>
  <si>
    <t>OK</t>
  </si>
  <si>
    <t>We have updated latest approved plans on 06/05/2025</t>
  </si>
  <si>
    <t>Residential Area Details : (Rehab Flat)</t>
  </si>
  <si>
    <t>Residential Area Details : (Sale Flat)</t>
  </si>
  <si>
    <t>3.5BHK Duplex with 15th Floor</t>
  </si>
  <si>
    <t>3.5BHK
Duplex with 16th Floor</t>
  </si>
  <si>
    <t>5th &amp; 6th Floor</t>
  </si>
  <si>
    <t>Sale Flats - 247, Rehab Flats - 220</t>
  </si>
  <si>
    <t>Building Details Floor Wise</t>
  </si>
  <si>
    <t>Mr Narayan Gawali (Project Incharge)</t>
  </si>
  <si>
    <t>Building No.2 ( Tower No. 8) = 3B + G + 1st to 18th Floor</t>
  </si>
  <si>
    <t>Gaurav Panchal</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</si>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</sst>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6">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rgb="FF333333"/>
      <name val="Arial"/>
      <family val="2"/>
    </font>
    <font>
      <sz val="18"/>
      <color rgb="FF333333"/>
      <name val="Conv_GothamRoundedBook_21018"/>
    </font>
    <font>
      <sz val="24"/>
      <color rgb="FF202124"/>
      <name val="Arial"/>
      <family val="2"/>
    </font>
    <font>
      <sz val="11"/>
      <color theme="1"/>
      <name val="Arial"/>
      <family val="2"/>
    </font>
    <font>
      <sz val="12"/>
      <color rgb="FF111111"/>
      <name val="Arial"/>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0" fillId="0" borderId="25" xfId="0" applyBorder="1"/>
    <xf numFmtId="0" fontId="0" fillId="0" borderId="8" xfId="0" applyBorder="1"/>
    <xf numFmtId="0" fontId="0" fillId="0" borderId="1" xfId="0" applyBorder="1" applyAlignment="1">
      <alignment vertical="top" wrapText="1"/>
    </xf>
    <xf numFmtId="0" fontId="31" fillId="0" borderId="0" xfId="0" applyFont="1"/>
    <xf numFmtId="0" fontId="32" fillId="0" borderId="0" xfId="0" applyFont="1" applyAlignment="1">
      <alignment horizontal="left" vertical="center" readingOrder="1"/>
    </xf>
    <xf numFmtId="0" fontId="33" fillId="0" borderId="0" xfId="0" applyFont="1" applyAlignment="1">
      <alignment horizontal="left" vertical="center" wrapText="1"/>
    </xf>
    <xf numFmtId="0" fontId="34" fillId="0" borderId="0" xfId="0" applyFont="1"/>
    <xf numFmtId="0" fontId="35" fillId="0" borderId="0" xfId="0" applyFont="1"/>
    <xf numFmtId="1" fontId="6" fillId="0" borderId="0" xfId="1" applyNumberFormat="1" applyFont="1" applyAlignment="1" applyProtection="1">
      <alignment horizontal="center" vertical="center" wrapText="1"/>
      <protection locked="0"/>
    </xf>
    <xf numFmtId="1" fontId="7" fillId="0" borderId="1" xfId="1" applyNumberFormat="1" applyFont="1" applyBorder="1" applyAlignment="1">
      <alignment horizontal="center" vertical="center"/>
    </xf>
    <xf numFmtId="1" fontId="7" fillId="0" borderId="0" xfId="1" applyNumberFormat="1" applyFont="1" applyAlignment="1">
      <alignment horizontal="left" vertical="center"/>
    </xf>
    <xf numFmtId="0" fontId="7" fillId="0" borderId="0" xfId="1" applyFont="1" applyAlignment="1">
      <alignment horizontal="center"/>
    </xf>
    <xf numFmtId="1" fontId="6" fillId="0" borderId="3"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7" fillId="0" borderId="7"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0" fontId="14" fillId="0" borderId="1" xfId="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0" xfId="0" applyNumberFormat="1" applyFont="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1" fontId="10" fillId="0" borderId="34" xfId="0" applyNumberFormat="1" applyFont="1" applyBorder="1" applyAlignment="1" applyProtection="1">
      <alignment horizontal="center" vertical="top" wrapText="1"/>
      <protection locked="0"/>
    </xf>
    <xf numFmtId="1" fontId="10" fillId="0" borderId="35"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8" fillId="5" borderId="8" xfId="1" applyNumberFormat="1" applyFont="1" applyFill="1" applyBorder="1" applyAlignment="1" applyProtection="1">
      <alignment horizontal="center" vertical="top" wrapText="1"/>
      <protection locked="0"/>
    </xf>
    <xf numFmtId="1" fontId="8" fillId="5" borderId="21" xfId="1" applyNumberFormat="1" applyFont="1" applyFill="1" applyBorder="1" applyAlignment="1" applyProtection="1">
      <alignment horizontal="center" vertical="top" wrapText="1"/>
      <protection locked="0"/>
    </xf>
    <xf numFmtId="1" fontId="8" fillId="5" borderId="9" xfId="1" applyNumberFormat="1"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8" fillId="5" borderId="1" xfId="1" applyNumberFormat="1" applyFont="1" applyFill="1" applyBorder="1" applyAlignment="1" applyProtection="1">
      <alignment horizontal="center" vertical="top" wrapText="1"/>
      <protection locked="0"/>
    </xf>
    <xf numFmtId="1" fontId="8" fillId="3" borderId="8" xfId="1" applyNumberFormat="1" applyFont="1" applyFill="1" applyBorder="1" applyAlignment="1" applyProtection="1">
      <alignment horizontal="center" vertical="top" wrapText="1"/>
      <protection locked="0"/>
    </xf>
    <xf numFmtId="1" fontId="8" fillId="3" borderId="21" xfId="1" applyNumberFormat="1" applyFont="1" applyFill="1" applyBorder="1" applyAlignment="1" applyProtection="1">
      <alignment horizontal="center" vertical="top" wrapText="1"/>
      <protection locked="0"/>
    </xf>
    <xf numFmtId="1" fontId="8" fillId="3" borderId="9" xfId="1" applyNumberFormat="1" applyFont="1" applyFill="1" applyBorder="1" applyAlignment="1" applyProtection="1">
      <alignment horizontal="center" vertical="top" wrapText="1"/>
      <protection locked="0"/>
    </xf>
    <xf numFmtId="0" fontId="7" fillId="0" borderId="0" xfId="1" applyFont="1" applyAlignment="1">
      <alignment horizontal="center" vertical="center"/>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1" fontId="7" fillId="0" borderId="1" xfId="0"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36"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8" fillId="3" borderId="1" xfId="1" applyNumberFormat="1" applyFont="1" applyFill="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top" wrapText="1"/>
      <protection locked="0"/>
    </xf>
    <xf numFmtId="1" fontId="8" fillId="4" borderId="1" xfId="1" applyNumberFormat="1" applyFont="1" applyFill="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6" fillId="0" borderId="0" xfId="1" applyNumberFormat="1" applyFont="1" applyAlignment="1" applyProtection="1">
      <alignment horizontal="left" vertical="top" wrapText="1"/>
      <protection locked="0"/>
    </xf>
    <xf numFmtId="1" fontId="8" fillId="6" borderId="1" xfId="0" applyNumberFormat="1" applyFont="1" applyFill="1" applyBorder="1" applyAlignment="1" applyProtection="1">
      <alignment horizontal="center" vertical="center"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859</xdr:row>
      <xdr:rowOff>38100</xdr:rowOff>
    </xdr:from>
    <xdr:to>
      <xdr:col>6</xdr:col>
      <xdr:colOff>419100</xdr:colOff>
      <xdr:row>872</xdr:row>
      <xdr:rowOff>28574</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71525" y="123901200"/>
          <a:ext cx="4495800" cy="2590800"/>
        </a:xfrm>
        <a:prstGeom prst="rect">
          <a:avLst/>
        </a:prstGeom>
        <a:ln>
          <a:solidFill>
            <a:schemeClr val="tx1"/>
          </a:solidFill>
        </a:ln>
      </xdr:spPr>
    </xdr:pic>
    <xdr:clientData/>
  </xdr:twoCellAnchor>
  <xdr:twoCellAnchor editAs="oneCell">
    <xdr:from>
      <xdr:col>1</xdr:col>
      <xdr:colOff>209550</xdr:colOff>
      <xdr:row>873</xdr:row>
      <xdr:rowOff>104775</xdr:rowOff>
    </xdr:from>
    <xdr:to>
      <xdr:col>6</xdr:col>
      <xdr:colOff>262868</xdr:colOff>
      <xdr:row>888</xdr:row>
      <xdr:rowOff>103893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971550" y="126768225"/>
          <a:ext cx="4139543" cy="2999492"/>
        </a:xfrm>
        <a:prstGeom prst="rect">
          <a:avLst/>
        </a:prstGeom>
      </xdr:spPr>
    </xdr:pic>
    <xdr:clientData/>
  </xdr:twoCellAnchor>
  <xdr:twoCellAnchor editAs="oneCell">
    <xdr:from>
      <xdr:col>8</xdr:col>
      <xdr:colOff>238125</xdr:colOff>
      <xdr:row>15</xdr:row>
      <xdr:rowOff>733425</xdr:rowOff>
    </xdr:from>
    <xdr:to>
      <xdr:col>13</xdr:col>
      <xdr:colOff>132798</xdr:colOff>
      <xdr:row>16</xdr:row>
      <xdr:rowOff>504675</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stretch>
          <a:fillRect/>
        </a:stretch>
      </xdr:blipFill>
      <xdr:spPr>
        <a:xfrm>
          <a:off x="6553200" y="5362575"/>
          <a:ext cx="4419048" cy="1200000"/>
        </a:xfrm>
        <a:prstGeom prst="rect">
          <a:avLst/>
        </a:prstGeom>
      </xdr:spPr>
    </xdr:pic>
    <xdr:clientData/>
  </xdr:twoCellAnchor>
  <xdr:twoCellAnchor editAs="oneCell">
    <xdr:from>
      <xdr:col>11</xdr:col>
      <xdr:colOff>1054661</xdr:colOff>
      <xdr:row>12</xdr:row>
      <xdr:rowOff>163045</xdr:rowOff>
    </xdr:from>
    <xdr:to>
      <xdr:col>16</xdr:col>
      <xdr:colOff>62019</xdr:colOff>
      <xdr:row>15</xdr:row>
      <xdr:rowOff>1412776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433611" y="3147545"/>
          <a:ext cx="3534908" cy="2868981"/>
        </a:xfrm>
        <a:prstGeom prst="rect">
          <a:avLst/>
        </a:prstGeom>
      </xdr:spPr>
    </xdr:pic>
    <xdr:clientData/>
  </xdr:twoCellAnchor>
  <xdr:twoCellAnchor editAs="oneCell">
    <xdr:from>
      <xdr:col>8</xdr:col>
      <xdr:colOff>76200</xdr:colOff>
      <xdr:row>36</xdr:row>
      <xdr:rowOff>95250</xdr:rowOff>
    </xdr:from>
    <xdr:to>
      <xdr:col>12</xdr:col>
      <xdr:colOff>414532</xdr:colOff>
      <xdr:row>45</xdr:row>
      <xdr:rowOff>95025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6867525" y="10782300"/>
          <a:ext cx="4348357" cy="1800000"/>
        </a:xfrm>
        <a:prstGeom prst="rect">
          <a:avLst/>
        </a:prstGeom>
      </xdr:spPr>
    </xdr:pic>
    <xdr:clientData/>
  </xdr:twoCellAnchor>
  <xdr:twoCellAnchor editAs="oneCell">
    <xdr:from>
      <xdr:col>8</xdr:col>
      <xdr:colOff>114300</xdr:colOff>
      <xdr:row>56</xdr:row>
      <xdr:rowOff>228600</xdr:rowOff>
    </xdr:from>
    <xdr:to>
      <xdr:col>13</xdr:col>
      <xdr:colOff>695381</xdr:colOff>
      <xdr:row>61</xdr:row>
      <xdr:rowOff>39825</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a:stretch>
          <a:fillRect/>
        </a:stretch>
      </xdr:blipFill>
      <xdr:spPr>
        <a:xfrm>
          <a:off x="6429375" y="14611350"/>
          <a:ext cx="5105456" cy="1440000"/>
        </a:xfrm>
        <a:prstGeom prst="rect">
          <a:avLst/>
        </a:prstGeom>
      </xdr:spPr>
    </xdr:pic>
    <xdr:clientData/>
  </xdr:twoCellAnchor>
  <xdr:twoCellAnchor>
    <xdr:from>
      <xdr:col>0</xdr:col>
      <xdr:colOff>215763</xdr:colOff>
      <xdr:row>732</xdr:row>
      <xdr:rowOff>12423</xdr:rowOff>
    </xdr:from>
    <xdr:to>
      <xdr:col>7</xdr:col>
      <xdr:colOff>384314</xdr:colOff>
      <xdr:row>771</xdr:row>
      <xdr:rowOff>159025</xdr:rowOff>
    </xdr:to>
    <xdr:grpSp>
      <xdr:nvGrpSpPr>
        <xdr:cNvPr id="16" name="Group 15">
          <a:extLst>
            <a:ext uri="{FF2B5EF4-FFF2-40B4-BE49-F238E27FC236}">
              <a16:creationId xmlns:a16="http://schemas.microsoft.com/office/drawing/2014/main" id="{5B4FFEBF-E087-19CF-1D6B-7DE68508CB22}"/>
            </a:ext>
          </a:extLst>
        </xdr:cNvPr>
        <xdr:cNvGrpSpPr/>
      </xdr:nvGrpSpPr>
      <xdr:grpSpPr>
        <a:xfrm>
          <a:off x="215763" y="152240973"/>
          <a:ext cx="5750201" cy="7947577"/>
          <a:chOff x="142875" y="147383224"/>
          <a:chExt cx="6263289" cy="8483718"/>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
          <a:stretch>
            <a:fillRect/>
          </a:stretch>
        </xdr:blipFill>
        <xdr:spPr>
          <a:xfrm>
            <a:off x="1334328" y="152646821"/>
            <a:ext cx="3735803" cy="3220121"/>
          </a:xfrm>
          <a:prstGeom prst="rect">
            <a:avLst/>
          </a:prstGeom>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142875" y="147383224"/>
            <a:ext cx="6263289" cy="5199703"/>
          </a:xfrm>
          <a:prstGeom prst="rect">
            <a:avLst/>
          </a:prstGeom>
          <a:ln>
            <a:solidFill>
              <a:schemeClr val="tx1"/>
            </a:solidFill>
          </a:ln>
        </xdr:spPr>
      </xdr:pic>
      <xdr:sp macro="" textlink="">
        <xdr:nvSpPr>
          <xdr:cNvPr id="38" name="TextBox 4">
            <a:extLst>
              <a:ext uri="{FF2B5EF4-FFF2-40B4-BE49-F238E27FC236}">
                <a16:creationId xmlns:a16="http://schemas.microsoft.com/office/drawing/2014/main" id="{00000000-0008-0000-0000-000026000000}"/>
              </a:ext>
            </a:extLst>
          </xdr:cNvPr>
          <xdr:cNvSpPr txBox="1"/>
        </xdr:nvSpPr>
        <xdr:spPr>
          <a:xfrm>
            <a:off x="2833408" y="148297774"/>
            <a:ext cx="881397" cy="3052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11</a:t>
            </a:r>
            <a:endParaRPr lang="en-IN" sz="1400" b="1">
              <a:solidFill>
                <a:srgbClr val="FF0000"/>
              </a:solidFill>
            </a:endParaRPr>
          </a:p>
        </xdr:txBody>
      </xdr:sp>
      <xdr:sp macro="" textlink="">
        <xdr:nvSpPr>
          <xdr:cNvPr id="39" name="TextBox 5">
            <a:extLst>
              <a:ext uri="{FF2B5EF4-FFF2-40B4-BE49-F238E27FC236}">
                <a16:creationId xmlns:a16="http://schemas.microsoft.com/office/drawing/2014/main" id="{00000000-0008-0000-0000-000027000000}"/>
              </a:ext>
            </a:extLst>
          </xdr:cNvPr>
          <xdr:cNvSpPr txBox="1"/>
        </xdr:nvSpPr>
        <xdr:spPr>
          <a:xfrm>
            <a:off x="2070476" y="149422564"/>
            <a:ext cx="881810" cy="3065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10</a:t>
            </a:r>
            <a:endParaRPr lang="en-IN" sz="1400" b="1">
              <a:solidFill>
                <a:srgbClr val="FF0000"/>
              </a:solidFill>
            </a:endParaRPr>
          </a:p>
        </xdr:txBody>
      </xdr:sp>
      <xdr:sp macro="" textlink="">
        <xdr:nvSpPr>
          <xdr:cNvPr id="40" name="TextBox 6">
            <a:extLst>
              <a:ext uri="{FF2B5EF4-FFF2-40B4-BE49-F238E27FC236}">
                <a16:creationId xmlns:a16="http://schemas.microsoft.com/office/drawing/2014/main" id="{00000000-0008-0000-0000-000028000000}"/>
              </a:ext>
            </a:extLst>
          </xdr:cNvPr>
          <xdr:cNvSpPr txBox="1"/>
        </xdr:nvSpPr>
        <xdr:spPr>
          <a:xfrm>
            <a:off x="1162878" y="148765177"/>
            <a:ext cx="791682" cy="3065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9</a:t>
            </a:r>
            <a:endParaRPr lang="en-IN" sz="1400" b="1">
              <a:solidFill>
                <a:srgbClr val="FF0000"/>
              </a:solidFill>
            </a:endParaRPr>
          </a:p>
        </xdr:txBody>
      </xdr:sp>
      <xdr:sp macro="" textlink="">
        <xdr:nvSpPr>
          <xdr:cNvPr id="41" name="TextBox 7">
            <a:extLst>
              <a:ext uri="{FF2B5EF4-FFF2-40B4-BE49-F238E27FC236}">
                <a16:creationId xmlns:a16="http://schemas.microsoft.com/office/drawing/2014/main" id="{00000000-0008-0000-0000-000029000000}"/>
              </a:ext>
            </a:extLst>
          </xdr:cNvPr>
          <xdr:cNvSpPr txBox="1"/>
        </xdr:nvSpPr>
        <xdr:spPr>
          <a:xfrm>
            <a:off x="1381953" y="149729099"/>
            <a:ext cx="791682" cy="3052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8</a:t>
            </a:r>
            <a:endParaRPr lang="en-IN" sz="1400" b="1">
              <a:solidFill>
                <a:srgbClr val="FF0000"/>
              </a:solidFill>
            </a:endParaRPr>
          </a:p>
        </xdr:txBody>
      </xdr:sp>
      <xdr:sp macro="" textlink="">
        <xdr:nvSpPr>
          <xdr:cNvPr id="42" name="TextBox 8">
            <a:extLst>
              <a:ext uri="{FF2B5EF4-FFF2-40B4-BE49-F238E27FC236}">
                <a16:creationId xmlns:a16="http://schemas.microsoft.com/office/drawing/2014/main" id="{00000000-0008-0000-0000-00002A000000}"/>
              </a:ext>
            </a:extLst>
          </xdr:cNvPr>
          <xdr:cNvSpPr txBox="1"/>
        </xdr:nvSpPr>
        <xdr:spPr>
          <a:xfrm>
            <a:off x="2173635" y="150484801"/>
            <a:ext cx="790439" cy="3052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7</a:t>
            </a:r>
            <a:endParaRPr lang="en-IN" sz="1400" b="1">
              <a:solidFill>
                <a:srgbClr val="FF0000"/>
              </a:solidFill>
            </a:endParaRPr>
          </a:p>
        </xdr:txBody>
      </xdr:sp>
      <xdr:sp macro="" textlink="">
        <xdr:nvSpPr>
          <xdr:cNvPr id="43" name="TextBox 9">
            <a:extLst>
              <a:ext uri="{FF2B5EF4-FFF2-40B4-BE49-F238E27FC236}">
                <a16:creationId xmlns:a16="http://schemas.microsoft.com/office/drawing/2014/main" id="{00000000-0008-0000-0000-00002B000000}"/>
              </a:ext>
            </a:extLst>
          </xdr:cNvPr>
          <xdr:cNvSpPr txBox="1"/>
        </xdr:nvSpPr>
        <xdr:spPr>
          <a:xfrm>
            <a:off x="2286240" y="151025265"/>
            <a:ext cx="790439" cy="30653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6</a:t>
            </a:r>
            <a:endParaRPr lang="en-IN" sz="1400" b="1">
              <a:solidFill>
                <a:srgbClr val="FF0000"/>
              </a:solidFill>
            </a:endParaRPr>
          </a:p>
        </xdr:txBody>
      </xdr:sp>
      <xdr:sp macro="" textlink="">
        <xdr:nvSpPr>
          <xdr:cNvPr id="44" name="TextBox 10">
            <a:extLst>
              <a:ext uri="{FF2B5EF4-FFF2-40B4-BE49-F238E27FC236}">
                <a16:creationId xmlns:a16="http://schemas.microsoft.com/office/drawing/2014/main" id="{00000000-0008-0000-0000-00002C000000}"/>
              </a:ext>
            </a:extLst>
          </xdr:cNvPr>
          <xdr:cNvSpPr txBox="1"/>
        </xdr:nvSpPr>
        <xdr:spPr>
          <a:xfrm>
            <a:off x="3091814" y="151018461"/>
            <a:ext cx="790026" cy="30653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5</a:t>
            </a:r>
            <a:endParaRPr lang="en-IN" sz="1400" b="1">
              <a:solidFill>
                <a:srgbClr val="FF0000"/>
              </a:solidFill>
            </a:endParaRPr>
          </a:p>
        </xdr:txBody>
      </xdr:sp>
      <xdr:sp macro="" textlink="">
        <xdr:nvSpPr>
          <xdr:cNvPr id="45" name="TextBox 11">
            <a:extLst>
              <a:ext uri="{FF2B5EF4-FFF2-40B4-BE49-F238E27FC236}">
                <a16:creationId xmlns:a16="http://schemas.microsoft.com/office/drawing/2014/main" id="{00000000-0008-0000-0000-00002D000000}"/>
              </a:ext>
            </a:extLst>
          </xdr:cNvPr>
          <xdr:cNvSpPr txBox="1"/>
        </xdr:nvSpPr>
        <xdr:spPr>
          <a:xfrm>
            <a:off x="3032762" y="150270955"/>
            <a:ext cx="790026" cy="3052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4</a:t>
            </a:r>
            <a:endParaRPr lang="en-IN" sz="1400" b="1">
              <a:solidFill>
                <a:srgbClr val="FF0000"/>
              </a:solidFill>
            </a:endParaRPr>
          </a:p>
        </xdr:txBody>
      </xdr:sp>
      <xdr:sp macro="" textlink="">
        <xdr:nvSpPr>
          <xdr:cNvPr id="46" name="TextBox 12">
            <a:extLst>
              <a:ext uri="{FF2B5EF4-FFF2-40B4-BE49-F238E27FC236}">
                <a16:creationId xmlns:a16="http://schemas.microsoft.com/office/drawing/2014/main" id="{00000000-0008-0000-0000-00002E000000}"/>
              </a:ext>
            </a:extLst>
          </xdr:cNvPr>
          <xdr:cNvSpPr txBox="1"/>
        </xdr:nvSpPr>
        <xdr:spPr>
          <a:xfrm>
            <a:off x="3357990" y="149200842"/>
            <a:ext cx="790026" cy="3065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3</a:t>
            </a:r>
            <a:endParaRPr lang="en-IN" sz="1400" b="1">
              <a:solidFill>
                <a:srgbClr val="FF0000"/>
              </a:solidFill>
            </a:endParaRPr>
          </a:p>
        </xdr:txBody>
      </xdr:sp>
      <xdr:sp macro="" textlink="">
        <xdr:nvSpPr>
          <xdr:cNvPr id="47" name="TextBox 13">
            <a:extLst>
              <a:ext uri="{FF2B5EF4-FFF2-40B4-BE49-F238E27FC236}">
                <a16:creationId xmlns:a16="http://schemas.microsoft.com/office/drawing/2014/main" id="{00000000-0008-0000-0000-00002F000000}"/>
              </a:ext>
            </a:extLst>
          </xdr:cNvPr>
          <xdr:cNvSpPr txBox="1"/>
        </xdr:nvSpPr>
        <xdr:spPr>
          <a:xfrm>
            <a:off x="4222170" y="149200842"/>
            <a:ext cx="789197" cy="3065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2</a:t>
            </a:r>
            <a:endParaRPr lang="en-IN" sz="1400" b="1">
              <a:solidFill>
                <a:srgbClr val="FF0000"/>
              </a:solidFill>
            </a:endParaRPr>
          </a:p>
        </xdr:txBody>
      </xdr:sp>
      <xdr:sp macro="" textlink="">
        <xdr:nvSpPr>
          <xdr:cNvPr id="48" name="TextBox 14">
            <a:extLst>
              <a:ext uri="{FF2B5EF4-FFF2-40B4-BE49-F238E27FC236}">
                <a16:creationId xmlns:a16="http://schemas.microsoft.com/office/drawing/2014/main" id="{00000000-0008-0000-0000-000030000000}"/>
              </a:ext>
            </a:extLst>
          </xdr:cNvPr>
          <xdr:cNvSpPr txBox="1"/>
        </xdr:nvSpPr>
        <xdr:spPr>
          <a:xfrm>
            <a:off x="5102915" y="148936627"/>
            <a:ext cx="792096" cy="3052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Tower 1</a:t>
            </a:r>
            <a:endParaRPr lang="en-IN" sz="1400" b="1">
              <a:solidFill>
                <a:srgbClr val="FF0000"/>
              </a:solidFill>
            </a:endParaRPr>
          </a:p>
        </xdr:txBody>
      </xdr:sp>
    </xdr:grpSp>
    <xdr:clientData/>
  </xdr:twoCellAnchor>
  <xdr:twoCellAnchor>
    <xdr:from>
      <xdr:col>2</xdr:col>
      <xdr:colOff>209550</xdr:colOff>
      <xdr:row>875</xdr:row>
      <xdr:rowOff>104775</xdr:rowOff>
    </xdr:from>
    <xdr:to>
      <xdr:col>4</xdr:col>
      <xdr:colOff>666750</xdr:colOff>
      <xdr:row>887</xdr:row>
      <xdr:rowOff>47625</xdr:rowOff>
    </xdr:to>
    <xdr:sp macro="" textlink="">
      <xdr:nvSpPr>
        <xdr:cNvPr id="4" name="Freeform 3">
          <a:extLst>
            <a:ext uri="{FF2B5EF4-FFF2-40B4-BE49-F238E27FC236}">
              <a16:creationId xmlns:a16="http://schemas.microsoft.com/office/drawing/2014/main" id="{00000000-0008-0000-0000-000004000000}"/>
            </a:ext>
          </a:extLst>
        </xdr:cNvPr>
        <xdr:cNvSpPr/>
      </xdr:nvSpPr>
      <xdr:spPr>
        <a:xfrm>
          <a:off x="1885950" y="134112000"/>
          <a:ext cx="2352675" cy="2343150"/>
        </a:xfrm>
        <a:custGeom>
          <a:avLst/>
          <a:gdLst>
            <a:gd name="connsiteX0" fmla="*/ 1400175 w 2352675"/>
            <a:gd name="connsiteY0" fmla="*/ 0 h 2343150"/>
            <a:gd name="connsiteX1" fmla="*/ 2162175 w 2352675"/>
            <a:gd name="connsiteY1" fmla="*/ 285750 h 2343150"/>
            <a:gd name="connsiteX2" fmla="*/ 1905000 w 2352675"/>
            <a:gd name="connsiteY2" fmla="*/ 838200 h 2343150"/>
            <a:gd name="connsiteX3" fmla="*/ 2352675 w 2352675"/>
            <a:gd name="connsiteY3" fmla="*/ 1095375 h 2343150"/>
            <a:gd name="connsiteX4" fmla="*/ 1285875 w 2352675"/>
            <a:gd name="connsiteY4" fmla="*/ 2343150 h 2343150"/>
            <a:gd name="connsiteX5" fmla="*/ 0 w 2352675"/>
            <a:gd name="connsiteY5" fmla="*/ 1828800 h 2343150"/>
            <a:gd name="connsiteX6" fmla="*/ 733425 w 2352675"/>
            <a:gd name="connsiteY6" fmla="*/ 390525 h 2343150"/>
            <a:gd name="connsiteX7" fmla="*/ 1114425 w 2352675"/>
            <a:gd name="connsiteY7" fmla="*/ 533400 h 2343150"/>
            <a:gd name="connsiteX8" fmla="*/ 1400175 w 2352675"/>
            <a:gd name="connsiteY8" fmla="*/ 0 h 2343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352675" h="2343150">
              <a:moveTo>
                <a:pt x="1400175" y="0"/>
              </a:moveTo>
              <a:lnTo>
                <a:pt x="2162175" y="285750"/>
              </a:lnTo>
              <a:lnTo>
                <a:pt x="1905000" y="838200"/>
              </a:lnTo>
              <a:lnTo>
                <a:pt x="2352675" y="1095375"/>
              </a:lnTo>
              <a:lnTo>
                <a:pt x="1285875" y="2343150"/>
              </a:lnTo>
              <a:lnTo>
                <a:pt x="0" y="1828800"/>
              </a:lnTo>
              <a:lnTo>
                <a:pt x="733425" y="390525"/>
              </a:lnTo>
              <a:lnTo>
                <a:pt x="1114425" y="533400"/>
              </a:lnTo>
              <a:lnTo>
                <a:pt x="1400175"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536575</xdr:colOff>
      <xdr:row>689</xdr:row>
      <xdr:rowOff>152400</xdr:rowOff>
    </xdr:from>
    <xdr:to>
      <xdr:col>15</xdr:col>
      <xdr:colOff>455619</xdr:colOff>
      <xdr:row>721</xdr:row>
      <xdr:rowOff>85934</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851650" y="143779875"/>
          <a:ext cx="6091244" cy="6334334"/>
          <a:chOff x="127000" y="128866900"/>
          <a:chExt cx="6364294" cy="6232734"/>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866775" y="132939634"/>
            <a:ext cx="1624519"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73069" y="132939634"/>
            <a:ext cx="2865387"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39796" y="128866900"/>
            <a:ext cx="2978285" cy="396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27000" y="132939634"/>
            <a:ext cx="1617750"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55929" y="128866900"/>
            <a:ext cx="2978285" cy="3960000"/>
          </a:xfrm>
          <a:prstGeom prst="rect">
            <a:avLst/>
          </a:prstGeom>
          <a:ln>
            <a:solidFill>
              <a:schemeClr val="tx1"/>
            </a:solidFill>
          </a:ln>
        </xdr:spPr>
      </xdr:pic>
    </xdr:grpSp>
    <xdr:clientData/>
  </xdr:twoCellAnchor>
  <xdr:twoCellAnchor editAs="oneCell">
    <xdr:from>
      <xdr:col>0</xdr:col>
      <xdr:colOff>480392</xdr:colOff>
      <xdr:row>774</xdr:row>
      <xdr:rowOff>82275</xdr:rowOff>
    </xdr:from>
    <xdr:to>
      <xdr:col>7</xdr:col>
      <xdr:colOff>311427</xdr:colOff>
      <xdr:row>814</xdr:row>
      <xdr:rowOff>80935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a:stretch>
          <a:fillRect/>
        </a:stretch>
      </xdr:blipFill>
      <xdr:spPr>
        <a:xfrm>
          <a:off x="480392" y="156192884"/>
          <a:ext cx="5555974" cy="7949965"/>
        </a:xfrm>
        <a:prstGeom prst="rect">
          <a:avLst/>
        </a:prstGeom>
        <a:ln>
          <a:solidFill>
            <a:schemeClr val="tx1"/>
          </a:solidFill>
        </a:ln>
      </xdr:spPr>
    </xdr:pic>
    <xdr:clientData/>
  </xdr:twoCellAnchor>
  <xdr:twoCellAnchor editAs="oneCell">
    <xdr:from>
      <xdr:col>0</xdr:col>
      <xdr:colOff>527326</xdr:colOff>
      <xdr:row>816</xdr:row>
      <xdr:rowOff>181220</xdr:rowOff>
    </xdr:from>
    <xdr:to>
      <xdr:col>7</xdr:col>
      <xdr:colOff>132522</xdr:colOff>
      <xdr:row>856</xdr:row>
      <xdr:rowOff>106929</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5"/>
        <a:stretch>
          <a:fillRect/>
        </a:stretch>
      </xdr:blipFill>
      <xdr:spPr>
        <a:xfrm>
          <a:off x="527326" y="164243133"/>
          <a:ext cx="5330135" cy="7877013"/>
        </a:xfrm>
        <a:prstGeom prst="rect">
          <a:avLst/>
        </a:prstGeom>
        <a:ln>
          <a:solidFill>
            <a:schemeClr val="tx1"/>
          </a:solidFill>
        </a:ln>
      </xdr:spPr>
    </xdr:pic>
    <xdr:clientData/>
  </xdr:twoCellAnchor>
  <xdr:twoCellAnchor editAs="oneCell">
    <xdr:from>
      <xdr:col>11</xdr:col>
      <xdr:colOff>426720</xdr:colOff>
      <xdr:row>250</xdr:row>
      <xdr:rowOff>91440</xdr:rowOff>
    </xdr:from>
    <xdr:to>
      <xdr:col>25</xdr:col>
      <xdr:colOff>363378</xdr:colOff>
      <xdr:row>269</xdr:row>
      <xdr:rowOff>99586</xdr:rowOff>
    </xdr:to>
    <xdr:pic>
      <xdr:nvPicPr>
        <xdr:cNvPr id="3" name="Picture 2">
          <a:extLst>
            <a:ext uri="{FF2B5EF4-FFF2-40B4-BE49-F238E27FC236}">
              <a16:creationId xmlns:a16="http://schemas.microsoft.com/office/drawing/2014/main" id="{913BFEDE-3AAC-AC1E-4D30-3162DA81A6B4}"/>
            </a:ext>
          </a:extLst>
        </xdr:cNvPr>
        <xdr:cNvPicPr>
          <a:picLocks noChangeAspect="1"/>
        </xdr:cNvPicPr>
      </xdr:nvPicPr>
      <xdr:blipFill>
        <a:blip xmlns:r="http://schemas.openxmlformats.org/officeDocument/2006/relationships" r:embed="rId16"/>
        <a:stretch>
          <a:fillRect/>
        </a:stretch>
      </xdr:blipFill>
      <xdr:spPr>
        <a:xfrm>
          <a:off x="9616440" y="51724560"/>
          <a:ext cx="10231278" cy="3772426"/>
        </a:xfrm>
        <a:prstGeom prst="rect">
          <a:avLst/>
        </a:prstGeom>
      </xdr:spPr>
    </xdr:pic>
    <xdr:clientData/>
  </xdr:twoCellAnchor>
  <xdr:twoCellAnchor>
    <xdr:from>
      <xdr:col>0</xdr:col>
      <xdr:colOff>171450</xdr:colOff>
      <xdr:row>690</xdr:row>
      <xdr:rowOff>104776</xdr:rowOff>
    </xdr:from>
    <xdr:to>
      <xdr:col>7</xdr:col>
      <xdr:colOff>666750</xdr:colOff>
      <xdr:row>730</xdr:row>
      <xdr:rowOff>161926</xdr:rowOff>
    </xdr:to>
    <xdr:grpSp>
      <xdr:nvGrpSpPr>
        <xdr:cNvPr id="32" name="Group 31">
          <a:extLst>
            <a:ext uri="{FF2B5EF4-FFF2-40B4-BE49-F238E27FC236}">
              <a16:creationId xmlns:a16="http://schemas.microsoft.com/office/drawing/2014/main" id="{5000741B-8E72-48A8-8BFA-02AF19AF9565}"/>
            </a:ext>
          </a:extLst>
        </xdr:cNvPr>
        <xdr:cNvGrpSpPr/>
      </xdr:nvGrpSpPr>
      <xdr:grpSpPr>
        <a:xfrm>
          <a:off x="171450" y="143932276"/>
          <a:ext cx="6076950" cy="8058150"/>
          <a:chOff x="-9470" y="276288"/>
          <a:chExt cx="6867470" cy="9053351"/>
        </a:xfrm>
      </xdr:grpSpPr>
      <xdr:grpSp>
        <xdr:nvGrpSpPr>
          <xdr:cNvPr id="33" name="Group 32">
            <a:extLst>
              <a:ext uri="{FF2B5EF4-FFF2-40B4-BE49-F238E27FC236}">
                <a16:creationId xmlns:a16="http://schemas.microsoft.com/office/drawing/2014/main" id="{BE45A768-29AE-4E04-AED8-46364B3C45B1}"/>
              </a:ext>
            </a:extLst>
          </xdr:cNvPr>
          <xdr:cNvGrpSpPr/>
        </xdr:nvGrpSpPr>
        <xdr:grpSpPr>
          <a:xfrm>
            <a:off x="-9470" y="276288"/>
            <a:ext cx="6867470" cy="9053351"/>
            <a:chOff x="-9470" y="276288"/>
            <a:chExt cx="6867470" cy="9053351"/>
          </a:xfrm>
        </xdr:grpSpPr>
        <xdr:pic>
          <xdr:nvPicPr>
            <xdr:cNvPr id="60" name="Picture 59">
              <a:extLst>
                <a:ext uri="{FF2B5EF4-FFF2-40B4-BE49-F238E27FC236}">
                  <a16:creationId xmlns:a16="http://schemas.microsoft.com/office/drawing/2014/main" id="{55D27156-D787-47F6-9FF4-0C679D23AAEA}"/>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18056" y="280877"/>
              <a:ext cx="1754999" cy="2340000"/>
            </a:xfrm>
            <a:prstGeom prst="rect">
              <a:avLst/>
            </a:prstGeom>
            <a:ln>
              <a:solidFill>
                <a:schemeClr val="tx1"/>
              </a:solidFill>
            </a:ln>
          </xdr:spPr>
        </xdr:pic>
        <xdr:pic>
          <xdr:nvPicPr>
            <xdr:cNvPr id="61" name="Picture 60">
              <a:extLst>
                <a:ext uri="{FF2B5EF4-FFF2-40B4-BE49-F238E27FC236}">
                  <a16:creationId xmlns:a16="http://schemas.microsoft.com/office/drawing/2014/main" id="{2B5F3DD4-4ABC-463A-A0FA-2DA962E46E1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482275" y="276288"/>
              <a:ext cx="1755000" cy="2340000"/>
            </a:xfrm>
            <a:prstGeom prst="rect">
              <a:avLst/>
            </a:prstGeom>
            <a:ln>
              <a:solidFill>
                <a:schemeClr val="tx1"/>
              </a:solidFill>
            </a:ln>
          </xdr:spPr>
        </xdr:pic>
        <xdr:pic>
          <xdr:nvPicPr>
            <xdr:cNvPr id="62" name="Picture 61">
              <a:extLst>
                <a:ext uri="{FF2B5EF4-FFF2-40B4-BE49-F238E27FC236}">
                  <a16:creationId xmlns:a16="http://schemas.microsoft.com/office/drawing/2014/main" id="{59CEC35D-FB9B-4AEA-A200-EE0BCA8FF0FA}"/>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46495" y="276288"/>
              <a:ext cx="1755000" cy="2340000"/>
            </a:xfrm>
            <a:prstGeom prst="rect">
              <a:avLst/>
            </a:prstGeom>
            <a:ln>
              <a:solidFill>
                <a:schemeClr val="tx1"/>
              </a:solidFill>
            </a:ln>
          </xdr:spPr>
        </xdr:pic>
        <xdr:pic>
          <xdr:nvPicPr>
            <xdr:cNvPr id="63" name="Picture 62">
              <a:extLst>
                <a:ext uri="{FF2B5EF4-FFF2-40B4-BE49-F238E27FC236}">
                  <a16:creationId xmlns:a16="http://schemas.microsoft.com/office/drawing/2014/main" id="{3FAEC950-1F57-444B-BA52-4352286E224E}"/>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26310" y="2817131"/>
              <a:ext cx="2880000"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001451E5-4CED-4265-8D55-7D4E1AD6C00F}"/>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359763" y="2817131"/>
              <a:ext cx="3175037"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9A1991EF-3212-4D5A-AC61-1FBF00AE05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238000" y="5173385"/>
              <a:ext cx="1620000"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96296406-1414-4B5E-8666-95417632EFB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470" y="5173385"/>
              <a:ext cx="1620000" cy="2160000"/>
            </a:xfrm>
            <a:prstGeom prst="rect">
              <a:avLst/>
            </a:prstGeom>
            <a:ln>
              <a:solidFill>
                <a:schemeClr val="tx1"/>
              </a:solidFill>
            </a:ln>
          </xdr:spPr>
        </xdr:pic>
        <xdr:pic>
          <xdr:nvPicPr>
            <xdr:cNvPr id="67" name="Picture 66">
              <a:extLst>
                <a:ext uri="{FF2B5EF4-FFF2-40B4-BE49-F238E27FC236}">
                  <a16:creationId xmlns:a16="http://schemas.microsoft.com/office/drawing/2014/main" id="{8F52E3F7-0F79-4D7F-8CF6-FB20A657BE73}"/>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739763" y="5173385"/>
              <a:ext cx="1620000" cy="2160000"/>
            </a:xfrm>
            <a:prstGeom prst="rect">
              <a:avLst/>
            </a:prstGeom>
            <a:ln>
              <a:solidFill>
                <a:schemeClr val="tx1"/>
              </a:solidFill>
            </a:ln>
          </xdr:spPr>
        </xdr:pic>
        <xdr:pic>
          <xdr:nvPicPr>
            <xdr:cNvPr id="68" name="Picture 67">
              <a:extLst>
                <a:ext uri="{FF2B5EF4-FFF2-40B4-BE49-F238E27FC236}">
                  <a16:creationId xmlns:a16="http://schemas.microsoft.com/office/drawing/2014/main" id="{C9056C4B-7852-46F3-8E3D-A2D0A1CA752C}"/>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488767" y="5173385"/>
              <a:ext cx="1620000" cy="2160000"/>
            </a:xfrm>
            <a:prstGeom prst="rect">
              <a:avLst/>
            </a:prstGeom>
            <a:ln>
              <a:solidFill>
                <a:schemeClr val="tx1"/>
              </a:solidFill>
            </a:ln>
          </xdr:spPr>
        </xdr:pic>
        <xdr:pic>
          <xdr:nvPicPr>
            <xdr:cNvPr id="69" name="Picture 68">
              <a:extLst>
                <a:ext uri="{FF2B5EF4-FFF2-40B4-BE49-F238E27FC236}">
                  <a16:creationId xmlns:a16="http://schemas.microsoft.com/office/drawing/2014/main" id="{98491295-9548-45F8-B58F-053CE9CFAB16}"/>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808122" y="7529639"/>
              <a:ext cx="3200000" cy="1800000"/>
            </a:xfrm>
            <a:prstGeom prst="rect">
              <a:avLst/>
            </a:prstGeom>
            <a:ln>
              <a:solidFill>
                <a:schemeClr val="tx1"/>
              </a:solidFill>
            </a:ln>
          </xdr:spPr>
        </xdr:pic>
        <xdr:pic>
          <xdr:nvPicPr>
            <xdr:cNvPr id="70" name="Picture 69">
              <a:extLst>
                <a:ext uri="{FF2B5EF4-FFF2-40B4-BE49-F238E27FC236}">
                  <a16:creationId xmlns:a16="http://schemas.microsoft.com/office/drawing/2014/main" id="{400079F2-A470-4DA3-A6EB-DA4C1A58DF18}"/>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305730" y="7529639"/>
              <a:ext cx="1350000" cy="1800000"/>
            </a:xfrm>
            <a:prstGeom prst="rect">
              <a:avLst/>
            </a:prstGeom>
            <a:ln>
              <a:solidFill>
                <a:schemeClr val="tx1"/>
              </a:solidFill>
            </a:ln>
          </xdr:spPr>
        </xdr:pic>
      </xdr:grpSp>
      <xdr:sp macro="" textlink="">
        <xdr:nvSpPr>
          <xdr:cNvPr id="34" name="TextBox 52">
            <a:extLst>
              <a:ext uri="{FF2B5EF4-FFF2-40B4-BE49-F238E27FC236}">
                <a16:creationId xmlns:a16="http://schemas.microsoft.com/office/drawing/2014/main" id="{0EFD0BD7-0A1C-401E-AADA-28DDDD50BEB1}"/>
              </a:ext>
            </a:extLst>
          </xdr:cNvPr>
          <xdr:cNvSpPr txBox="1"/>
        </xdr:nvSpPr>
        <xdr:spPr>
          <a:xfrm>
            <a:off x="530276" y="300226"/>
            <a:ext cx="568953"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T1</a:t>
            </a:r>
            <a:endParaRPr lang="en-IN" sz="1800" b="1"/>
          </a:p>
        </xdr:txBody>
      </xdr:sp>
      <xdr:sp macro="" textlink="">
        <xdr:nvSpPr>
          <xdr:cNvPr id="35" name="TextBox 53">
            <a:extLst>
              <a:ext uri="{FF2B5EF4-FFF2-40B4-BE49-F238E27FC236}">
                <a16:creationId xmlns:a16="http://schemas.microsoft.com/office/drawing/2014/main" id="{CDFBADC3-E0CB-4D68-832F-8C519BA7F03D}"/>
              </a:ext>
            </a:extLst>
          </xdr:cNvPr>
          <xdr:cNvSpPr txBox="1"/>
        </xdr:nvSpPr>
        <xdr:spPr>
          <a:xfrm>
            <a:off x="3488849" y="300226"/>
            <a:ext cx="610674"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T2</a:t>
            </a:r>
            <a:endParaRPr lang="en-IN" sz="1800" b="1"/>
          </a:p>
        </xdr:txBody>
      </xdr:sp>
      <xdr:sp macro="" textlink="">
        <xdr:nvSpPr>
          <xdr:cNvPr id="49" name="TextBox 54">
            <a:extLst>
              <a:ext uri="{FF2B5EF4-FFF2-40B4-BE49-F238E27FC236}">
                <a16:creationId xmlns:a16="http://schemas.microsoft.com/office/drawing/2014/main" id="{2F21E0E1-F8FD-468F-B55E-2A7F66B0F126}"/>
              </a:ext>
            </a:extLst>
          </xdr:cNvPr>
          <xdr:cNvSpPr txBox="1"/>
        </xdr:nvSpPr>
        <xdr:spPr>
          <a:xfrm>
            <a:off x="4446495" y="300226"/>
            <a:ext cx="613907"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T3</a:t>
            </a:r>
            <a:endParaRPr lang="en-IN" sz="1800" b="1"/>
          </a:p>
        </xdr:txBody>
      </xdr:sp>
      <xdr:sp macro="" textlink="">
        <xdr:nvSpPr>
          <xdr:cNvPr id="51" name="TextBox 55">
            <a:extLst>
              <a:ext uri="{FF2B5EF4-FFF2-40B4-BE49-F238E27FC236}">
                <a16:creationId xmlns:a16="http://schemas.microsoft.com/office/drawing/2014/main" id="{262BEFB2-47FF-4076-A50C-C4E53AE240FA}"/>
              </a:ext>
            </a:extLst>
          </xdr:cNvPr>
          <xdr:cNvSpPr txBox="1"/>
        </xdr:nvSpPr>
        <xdr:spPr>
          <a:xfrm>
            <a:off x="1132541" y="3527799"/>
            <a:ext cx="504889"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T6</a:t>
            </a:r>
            <a:endParaRPr lang="en-IN" b="1"/>
          </a:p>
        </xdr:txBody>
      </xdr:sp>
      <xdr:sp macro="" textlink="">
        <xdr:nvSpPr>
          <xdr:cNvPr id="52" name="TextBox 56">
            <a:extLst>
              <a:ext uri="{FF2B5EF4-FFF2-40B4-BE49-F238E27FC236}">
                <a16:creationId xmlns:a16="http://schemas.microsoft.com/office/drawing/2014/main" id="{B3FB30A3-1408-4083-90B9-DA8AD24511C3}"/>
              </a:ext>
            </a:extLst>
          </xdr:cNvPr>
          <xdr:cNvSpPr txBox="1"/>
        </xdr:nvSpPr>
        <xdr:spPr>
          <a:xfrm>
            <a:off x="385033" y="3063953"/>
            <a:ext cx="520443"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T5</a:t>
            </a:r>
            <a:endParaRPr lang="en-IN" b="1"/>
          </a:p>
        </xdr:txBody>
      </xdr:sp>
      <xdr:sp macro="" textlink="">
        <xdr:nvSpPr>
          <xdr:cNvPr id="53" name="TextBox 57">
            <a:extLst>
              <a:ext uri="{FF2B5EF4-FFF2-40B4-BE49-F238E27FC236}">
                <a16:creationId xmlns:a16="http://schemas.microsoft.com/office/drawing/2014/main" id="{55C15588-D26A-4E86-B817-67E3F51BF442}"/>
              </a:ext>
            </a:extLst>
          </xdr:cNvPr>
          <xdr:cNvSpPr txBox="1"/>
        </xdr:nvSpPr>
        <xdr:spPr>
          <a:xfrm>
            <a:off x="1394984" y="2914326"/>
            <a:ext cx="533076"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T4</a:t>
            </a:r>
            <a:endParaRPr lang="en-IN" b="1"/>
          </a:p>
        </xdr:txBody>
      </xdr:sp>
      <xdr:sp macro="" textlink="">
        <xdr:nvSpPr>
          <xdr:cNvPr id="54" name="TextBox 58">
            <a:extLst>
              <a:ext uri="{FF2B5EF4-FFF2-40B4-BE49-F238E27FC236}">
                <a16:creationId xmlns:a16="http://schemas.microsoft.com/office/drawing/2014/main" id="{BFA5197E-ED0C-45B3-B179-D6DB05A93C38}"/>
              </a:ext>
            </a:extLst>
          </xdr:cNvPr>
          <xdr:cNvSpPr txBox="1"/>
        </xdr:nvSpPr>
        <xdr:spPr>
          <a:xfrm>
            <a:off x="5592623" y="3063953"/>
            <a:ext cx="511892"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T5</a:t>
            </a:r>
            <a:endParaRPr lang="en-IN" b="1"/>
          </a:p>
        </xdr:txBody>
      </xdr:sp>
      <xdr:sp macro="" textlink="">
        <xdr:nvSpPr>
          <xdr:cNvPr id="55" name="TextBox 59">
            <a:extLst>
              <a:ext uri="{FF2B5EF4-FFF2-40B4-BE49-F238E27FC236}">
                <a16:creationId xmlns:a16="http://schemas.microsoft.com/office/drawing/2014/main" id="{5984AA31-E1B9-429C-BEE6-D877429750E5}"/>
              </a:ext>
            </a:extLst>
          </xdr:cNvPr>
          <xdr:cNvSpPr txBox="1"/>
        </xdr:nvSpPr>
        <xdr:spPr>
          <a:xfrm>
            <a:off x="3404759" y="3316032"/>
            <a:ext cx="503889"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T7</a:t>
            </a:r>
            <a:endParaRPr lang="en-IN" b="1"/>
          </a:p>
        </xdr:txBody>
      </xdr:sp>
      <xdr:sp macro="" textlink="">
        <xdr:nvSpPr>
          <xdr:cNvPr id="56" name="TextBox 60">
            <a:extLst>
              <a:ext uri="{FF2B5EF4-FFF2-40B4-BE49-F238E27FC236}">
                <a16:creationId xmlns:a16="http://schemas.microsoft.com/office/drawing/2014/main" id="{0522CEB0-2B2C-47AF-9DBB-81C1DC9BD76D}"/>
              </a:ext>
            </a:extLst>
          </xdr:cNvPr>
          <xdr:cNvSpPr txBox="1"/>
        </xdr:nvSpPr>
        <xdr:spPr>
          <a:xfrm>
            <a:off x="183394" y="5195056"/>
            <a:ext cx="528328"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T8</a:t>
            </a:r>
            <a:endParaRPr lang="en-IN" b="1"/>
          </a:p>
        </xdr:txBody>
      </xdr:sp>
      <xdr:sp macro="" textlink="">
        <xdr:nvSpPr>
          <xdr:cNvPr id="57" name="TextBox 61">
            <a:extLst>
              <a:ext uri="{FF2B5EF4-FFF2-40B4-BE49-F238E27FC236}">
                <a16:creationId xmlns:a16="http://schemas.microsoft.com/office/drawing/2014/main" id="{8559576E-1AAB-4569-98A0-24CED7554353}"/>
              </a:ext>
            </a:extLst>
          </xdr:cNvPr>
          <xdr:cNvSpPr txBox="1"/>
        </xdr:nvSpPr>
        <xdr:spPr>
          <a:xfrm>
            <a:off x="4629840" y="5195056"/>
            <a:ext cx="473617" cy="385121"/>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T9</a:t>
            </a:r>
            <a:endParaRPr lang="en-IN" sz="1600" b="1"/>
          </a:p>
        </xdr:txBody>
      </xdr:sp>
      <xdr:sp macro="" textlink="">
        <xdr:nvSpPr>
          <xdr:cNvPr id="58" name="TextBox 62">
            <a:extLst>
              <a:ext uri="{FF2B5EF4-FFF2-40B4-BE49-F238E27FC236}">
                <a16:creationId xmlns:a16="http://schemas.microsoft.com/office/drawing/2014/main" id="{8D81123F-0EAD-494C-9A74-199BC7625587}"/>
              </a:ext>
            </a:extLst>
          </xdr:cNvPr>
          <xdr:cNvSpPr txBox="1"/>
        </xdr:nvSpPr>
        <xdr:spPr>
          <a:xfrm>
            <a:off x="2655729" y="5195056"/>
            <a:ext cx="628602"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T10</a:t>
            </a:r>
            <a:endParaRPr lang="en-IN" b="1"/>
          </a:p>
        </xdr:txBody>
      </xdr:sp>
      <xdr:sp macro="" textlink="">
        <xdr:nvSpPr>
          <xdr:cNvPr id="59" name="TextBox 63">
            <a:extLst>
              <a:ext uri="{FF2B5EF4-FFF2-40B4-BE49-F238E27FC236}">
                <a16:creationId xmlns:a16="http://schemas.microsoft.com/office/drawing/2014/main" id="{809740F3-16BB-4FED-9D1C-C1D28D2D6035}"/>
              </a:ext>
            </a:extLst>
          </xdr:cNvPr>
          <xdr:cNvSpPr txBox="1"/>
        </xdr:nvSpPr>
        <xdr:spPr>
          <a:xfrm>
            <a:off x="5248646" y="6900893"/>
            <a:ext cx="597531" cy="420348"/>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T11</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2</xdr:col>
      <xdr:colOff>2367914</xdr:colOff>
      <xdr:row>25</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5107" y="2680607"/>
          <a:ext cx="3851093" cy="2160000"/>
        </a:xfrm>
        <a:prstGeom prst="rect">
          <a:avLst/>
        </a:prstGeom>
      </xdr:spPr>
    </xdr:pic>
    <xdr:clientData/>
  </xdr:twoCellAnchor>
  <xdr:twoCellAnchor editAs="oneCell">
    <xdr:from>
      <xdr:col>3</xdr:col>
      <xdr:colOff>331357</xdr:colOff>
      <xdr:row>14</xdr:row>
      <xdr:rowOff>0</xdr:rowOff>
    </xdr:from>
    <xdr:to>
      <xdr:col>7</xdr:col>
      <xdr:colOff>390548</xdr:colOff>
      <xdr:row>25</xdr:row>
      <xdr:rowOff>64500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862536" y="2680607"/>
          <a:ext cx="3855583" cy="21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aRGfGLSLga9LUT6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858"/>
  <sheetViews>
    <sheetView tabSelected="1" view="pageBreakPreview" topLeftCell="A681" zoomScaleNormal="100" zoomScaleSheetLayoutView="100" zoomScalePageLayoutView="85" workbookViewId="0">
      <selection activeCell="M658" sqref="M658"/>
    </sheetView>
  </sheetViews>
  <sheetFormatPr defaultColWidth="9.140625" defaultRowHeight="15.7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6.570312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c r="A1" s="186" t="s">
        <v>162</v>
      </c>
      <c r="B1" s="186"/>
      <c r="C1" s="186"/>
      <c r="D1" s="186"/>
      <c r="E1" s="186"/>
      <c r="F1" s="186"/>
      <c r="G1" s="186"/>
      <c r="H1" s="186"/>
    </row>
    <row r="2" spans="1:26" ht="16.5" customHeight="1">
      <c r="A2" s="187" t="s">
        <v>0</v>
      </c>
      <c r="B2" s="187"/>
      <c r="C2" s="187"/>
      <c r="D2" s="187"/>
      <c r="E2" s="187"/>
      <c r="F2" s="187"/>
      <c r="G2" s="187"/>
      <c r="H2" s="187"/>
    </row>
    <row r="3" spans="1:26">
      <c r="A3" s="163" t="s">
        <v>1</v>
      </c>
      <c r="B3" s="163"/>
      <c r="C3" s="163"/>
      <c r="D3" s="163"/>
      <c r="E3" s="163" t="str">
        <f ca="1">TEXT(TODAY(),"DD/MM/YYYY")</f>
        <v>13/08/2025</v>
      </c>
      <c r="F3" s="163"/>
      <c r="G3" s="163"/>
      <c r="H3" s="163"/>
      <c r="K3" s="52" t="s">
        <v>231</v>
      </c>
      <c r="L3" s="51" t="s">
        <v>229</v>
      </c>
      <c r="M3" s="51" t="s">
        <v>234</v>
      </c>
      <c r="N3" s="51" t="s">
        <v>232</v>
      </c>
      <c r="O3" s="51" t="s">
        <v>233</v>
      </c>
      <c r="P3" s="51" t="s">
        <v>235</v>
      </c>
    </row>
    <row r="4" spans="1:26" ht="15" customHeight="1">
      <c r="A4" s="163" t="s">
        <v>228</v>
      </c>
      <c r="B4" s="163"/>
      <c r="C4" s="163"/>
      <c r="D4" s="163"/>
      <c r="E4" s="163" t="s">
        <v>229</v>
      </c>
      <c r="F4" s="163"/>
      <c r="G4" s="163"/>
      <c r="H4" s="163"/>
      <c r="K4" s="50" t="s">
        <v>230</v>
      </c>
      <c r="L4" s="51" t="s">
        <v>168</v>
      </c>
      <c r="M4" s="51" t="s">
        <v>239</v>
      </c>
      <c r="N4" s="51" t="s">
        <v>241</v>
      </c>
      <c r="O4" s="51" t="s">
        <v>243</v>
      </c>
      <c r="P4" s="51"/>
    </row>
    <row r="5" spans="1:26" ht="15" customHeight="1">
      <c r="A5" s="163" t="s">
        <v>2</v>
      </c>
      <c r="B5" s="163"/>
      <c r="C5" s="163"/>
      <c r="D5" s="163"/>
      <c r="E5" s="163" t="s">
        <v>168</v>
      </c>
      <c r="F5" s="163"/>
      <c r="G5" s="163"/>
      <c r="H5" s="163"/>
      <c r="K5" s="50"/>
      <c r="L5" s="51" t="s">
        <v>236</v>
      </c>
      <c r="M5" s="51" t="s">
        <v>240</v>
      </c>
      <c r="N5" s="51" t="s">
        <v>242</v>
      </c>
      <c r="O5" s="51" t="s">
        <v>244</v>
      </c>
      <c r="P5" s="51"/>
    </row>
    <row r="6" spans="1:26">
      <c r="A6" s="163" t="s">
        <v>3</v>
      </c>
      <c r="B6" s="163"/>
      <c r="C6" s="163"/>
      <c r="D6" s="163"/>
      <c r="E6" s="188">
        <v>45881</v>
      </c>
      <c r="F6" s="163"/>
      <c r="G6" s="163"/>
      <c r="H6" s="163"/>
      <c r="I6" s="60"/>
      <c r="K6" s="50"/>
      <c r="L6" s="51" t="s">
        <v>237</v>
      </c>
      <c r="M6" s="51"/>
      <c r="N6" s="51"/>
      <c r="O6" s="51" t="s">
        <v>245</v>
      </c>
      <c r="P6" s="51"/>
    </row>
    <row r="7" spans="1:26" ht="16.5" customHeight="1">
      <c r="A7" s="163" t="s">
        <v>4</v>
      </c>
      <c r="B7" s="163"/>
      <c r="C7" s="163"/>
      <c r="D7" s="163"/>
      <c r="E7" s="105" t="s">
        <v>297</v>
      </c>
      <c r="F7" s="105"/>
      <c r="G7" s="105"/>
      <c r="H7" s="105"/>
      <c r="K7" s="50"/>
      <c r="L7" s="51" t="s">
        <v>238</v>
      </c>
      <c r="M7" s="51"/>
      <c r="N7" s="51"/>
      <c r="O7" s="51" t="s">
        <v>245</v>
      </c>
      <c r="P7" s="51"/>
    </row>
    <row r="8" spans="1:26" ht="15" customHeight="1">
      <c r="A8" s="163" t="s">
        <v>5</v>
      </c>
      <c r="B8" s="163"/>
      <c r="C8" s="163"/>
      <c r="D8" s="163"/>
      <c r="E8" s="163" t="str">
        <f>E7</f>
        <v>MICL Creaters LLP</v>
      </c>
      <c r="F8" s="163"/>
      <c r="G8" s="163"/>
      <c r="H8" s="163"/>
      <c r="K8" s="50"/>
      <c r="L8" s="51"/>
      <c r="M8" s="51"/>
      <c r="N8" s="51"/>
      <c r="O8" s="51" t="s">
        <v>246</v>
      </c>
      <c r="P8" s="51"/>
    </row>
    <row r="9" spans="1:26">
      <c r="A9" s="163" t="s">
        <v>6</v>
      </c>
      <c r="B9" s="163"/>
      <c r="C9" s="163"/>
      <c r="D9" s="163"/>
      <c r="E9" s="108" t="s">
        <v>298</v>
      </c>
      <c r="F9" s="108"/>
      <c r="G9" s="108"/>
      <c r="H9" s="108"/>
      <c r="K9" s="50"/>
      <c r="L9" s="51"/>
      <c r="M9" s="51"/>
      <c r="N9" s="51"/>
      <c r="O9" s="51" t="s">
        <v>247</v>
      </c>
      <c r="P9" s="51"/>
    </row>
    <row r="10" spans="1:26">
      <c r="A10" s="163" t="s">
        <v>165</v>
      </c>
      <c r="B10" s="163"/>
      <c r="C10" s="163"/>
      <c r="D10" s="163"/>
      <c r="E10" s="163" t="s">
        <v>372</v>
      </c>
      <c r="F10" s="163"/>
      <c r="G10" s="163"/>
      <c r="H10" s="163"/>
      <c r="K10" s="50"/>
      <c r="L10" s="51"/>
      <c r="M10" s="51"/>
      <c r="N10" s="51"/>
      <c r="O10" s="51"/>
      <c r="P10" s="51"/>
    </row>
    <row r="11" spans="1:26">
      <c r="A11" s="163" t="s">
        <v>166</v>
      </c>
      <c r="B11" s="163"/>
      <c r="C11" s="163"/>
      <c r="D11" s="163"/>
      <c r="E11" s="163" t="s">
        <v>484</v>
      </c>
      <c r="F11" s="163"/>
      <c r="G11" s="163"/>
      <c r="H11" s="163"/>
      <c r="I11" s="163" t="s">
        <v>392</v>
      </c>
      <c r="J11" s="163"/>
      <c r="K11" s="163"/>
      <c r="L11" s="163"/>
    </row>
    <row r="12" spans="1:26" ht="175.5" customHeight="1">
      <c r="A12" s="163" t="s">
        <v>7</v>
      </c>
      <c r="B12" s="163"/>
      <c r="C12" s="163"/>
      <c r="D12" s="163"/>
      <c r="E12" s="153" t="s">
        <v>403</v>
      </c>
      <c r="F12" s="163"/>
      <c r="G12" s="163"/>
      <c r="H12" s="163"/>
    </row>
    <row r="13" spans="1:26" ht="80.25" customHeight="1">
      <c r="A13" s="163" t="s">
        <v>169</v>
      </c>
      <c r="B13" s="163"/>
      <c r="C13" s="163"/>
      <c r="D13" s="163"/>
      <c r="E13" s="153" t="s">
        <v>299</v>
      </c>
      <c r="F13" s="163"/>
      <c r="G13" s="163"/>
      <c r="H13" s="163"/>
      <c r="S13" s="51" t="s">
        <v>174</v>
      </c>
      <c r="T13" s="51" t="s">
        <v>184</v>
      </c>
      <c r="U13" s="51" t="s">
        <v>170</v>
      </c>
      <c r="V13" s="51" t="s">
        <v>189</v>
      </c>
      <c r="W13" s="51" t="s">
        <v>207</v>
      </c>
      <c r="X13"/>
      <c r="Y13" t="s">
        <v>189</v>
      </c>
      <c r="Z13" t="e">
        <f ca="1">OFFSET($S$13,1,MATCH($G20,$S$13:$W$13,0)-1,15,1)</f>
        <v>#VALUE!</v>
      </c>
    </row>
    <row r="14" spans="1:26" ht="32.25" customHeight="1">
      <c r="A14" s="151" t="s">
        <v>274</v>
      </c>
      <c r="B14" s="151"/>
      <c r="C14" s="151"/>
      <c r="D14" s="151"/>
      <c r="E14" s="153" t="s">
        <v>389</v>
      </c>
      <c r="F14" s="153"/>
      <c r="G14" s="153"/>
      <c r="H14" s="153"/>
      <c r="J14" s="61"/>
      <c r="S14" s="51" t="s">
        <v>175</v>
      </c>
      <c r="T14" s="51" t="s">
        <v>182</v>
      </c>
      <c r="U14" s="51" t="s">
        <v>204</v>
      </c>
      <c r="V14" s="51" t="s">
        <v>190</v>
      </c>
      <c r="W14" s="51" t="s">
        <v>208</v>
      </c>
      <c r="X14"/>
      <c r="Y14"/>
      <c r="Z14"/>
    </row>
    <row r="15" spans="1:26">
      <c r="A15" s="151" t="s">
        <v>8</v>
      </c>
      <c r="B15" s="151"/>
      <c r="C15" s="151"/>
      <c r="D15" s="151"/>
      <c r="E15" s="153" t="s">
        <v>300</v>
      </c>
      <c r="F15" s="163"/>
      <c r="G15" s="163"/>
      <c r="H15" s="163"/>
      <c r="I15" s="228" t="e">
        <f ca="1">OFFSET($D$5,1,MATCH($J13,$D$5:$H$5,0)-1,15,1)</f>
        <v>#N/A</v>
      </c>
      <c r="J15" s="229"/>
      <c r="K15" s="229"/>
      <c r="L15" s="229"/>
      <c r="M15" s="229"/>
      <c r="N15" s="229"/>
      <c r="O15" s="229"/>
      <c r="P15" s="229"/>
      <c r="S15" s="51" t="s">
        <v>176</v>
      </c>
      <c r="T15" s="51" t="s">
        <v>183</v>
      </c>
      <c r="U15" s="51" t="s">
        <v>205</v>
      </c>
      <c r="V15" s="51" t="s">
        <v>191</v>
      </c>
      <c r="W15" s="51" t="s">
        <v>221</v>
      </c>
      <c r="X15"/>
      <c r="Y15"/>
      <c r="Z15"/>
    </row>
    <row r="16" spans="1:26" ht="112.5" customHeight="1">
      <c r="A16" s="105" t="s">
        <v>9</v>
      </c>
      <c r="B16" s="105"/>
      <c r="C16" s="105" t="str">
        <f>CONCATENATE((IF(OR(E9="",E9="NA"),"",E9)),", ",(IF(OR(A17="",A17="NA"),"",A17)),".",(IF(OR(C17="",C17="NA"),"",C17)),", near ",(IF(OR(C22="",C22="NA"),"",C22)),", ",(IF(OR(C19="",C19="NA"),"",C19)),", ",(IF(OR(C18="",C18="NA"),"",C18)),", ",(IF(OR(G19="",G19="NA"),"",G19)),", ",(IF(OR(C20="",C20="NA"),"",C20)),", ",(IF(OR(C21="",C21="NA"),"",C21)),", ",(IF(OR(G20="",G20="NA"),"",G20))," - ",(IF(OR(G21="",G21="NA"),"",G21)),".")</f>
        <v>Aaradhya Onepark, FP No.353/5/A, 353/7, 353/8, 353/9, 353/17, 353/11, 353/12, 353/13, 353/15, 353/16 &amp; 353/46 Redevelopement of " Meenalochani CHSL, Shree Nataraj CHSL, Belvedere CHSL, Honeycomb CHSL, Balaji Prasad CHSL, Neelkanth Chhaya CHSL, Sarvabandhu CHSL, Awadhpuri CHSL, Ashwamedh CHSL, Lalit Prakash CHSL ", near Valmiki CHSL, R B Mehta Marg, Sidhu Wadi , Ghatkopar, Ghatkopar East, Kurla, Mumbai - 400077.</v>
      </c>
      <c r="D16" s="105"/>
      <c r="E16" s="105"/>
      <c r="F16" s="105"/>
      <c r="G16" s="105"/>
      <c r="H16" s="105"/>
      <c r="S16" s="51" t="s">
        <v>177</v>
      </c>
      <c r="T16" s="51" t="s">
        <v>185</v>
      </c>
      <c r="U16" s="51" t="s">
        <v>206</v>
      </c>
      <c r="V16" s="51" t="s">
        <v>192</v>
      </c>
      <c r="W16" s="51" t="s">
        <v>209</v>
      </c>
      <c r="X16"/>
      <c r="Y16"/>
      <c r="Z16"/>
    </row>
    <row r="17" spans="1:26" ht="80.25" customHeight="1">
      <c r="A17" s="153" t="s">
        <v>301</v>
      </c>
      <c r="B17" s="153"/>
      <c r="C17" s="153" t="s">
        <v>302</v>
      </c>
      <c r="D17" s="153"/>
      <c r="E17" s="153"/>
      <c r="F17" s="153"/>
      <c r="G17" s="153"/>
      <c r="H17" s="153"/>
      <c r="I17" s="60"/>
      <c r="S17" s="51" t="s">
        <v>178</v>
      </c>
      <c r="T17" s="51" t="s">
        <v>186</v>
      </c>
      <c r="U17" s="51" t="s">
        <v>170</v>
      </c>
      <c r="V17" s="51" t="s">
        <v>193</v>
      </c>
      <c r="W17" s="51" t="s">
        <v>210</v>
      </c>
      <c r="X17"/>
      <c r="Y17"/>
      <c r="Z17"/>
    </row>
    <row r="18" spans="1:26" ht="15.75" customHeight="1">
      <c r="A18" s="153" t="s">
        <v>160</v>
      </c>
      <c r="B18" s="153"/>
      <c r="C18" s="153" t="s">
        <v>305</v>
      </c>
      <c r="D18" s="153"/>
      <c r="E18" s="153"/>
      <c r="F18" s="153"/>
      <c r="G18" s="153"/>
      <c r="H18" s="153"/>
      <c r="S18" s="51" t="s">
        <v>179</v>
      </c>
      <c r="T18" s="51" t="s">
        <v>184</v>
      </c>
      <c r="U18" s="51"/>
      <c r="V18" s="51" t="s">
        <v>194</v>
      </c>
      <c r="W18" s="51" t="s">
        <v>211</v>
      </c>
      <c r="X18"/>
      <c r="Y18"/>
      <c r="Z18"/>
    </row>
    <row r="19" spans="1:26" ht="15.75" customHeight="1">
      <c r="A19" s="105" t="s">
        <v>10</v>
      </c>
      <c r="B19" s="105"/>
      <c r="C19" s="163" t="s">
        <v>304</v>
      </c>
      <c r="D19" s="163"/>
      <c r="E19" s="105" t="s">
        <v>68</v>
      </c>
      <c r="F19" s="105"/>
      <c r="G19" s="153" t="s">
        <v>303</v>
      </c>
      <c r="H19" s="153"/>
      <c r="J19"/>
      <c r="S19" s="51" t="s">
        <v>180</v>
      </c>
      <c r="T19" s="51" t="s">
        <v>187</v>
      </c>
      <c r="U19" s="51"/>
      <c r="V19" s="51" t="s">
        <v>195</v>
      </c>
      <c r="W19" s="51" t="s">
        <v>212</v>
      </c>
      <c r="X19"/>
      <c r="Y19"/>
      <c r="Z19"/>
    </row>
    <row r="20" spans="1:26">
      <c r="A20" s="151" t="s">
        <v>12</v>
      </c>
      <c r="B20" s="151"/>
      <c r="C20" s="153" t="s">
        <v>307</v>
      </c>
      <c r="D20" s="153"/>
      <c r="E20" s="105" t="s">
        <v>11</v>
      </c>
      <c r="F20" s="105"/>
      <c r="G20" s="185" t="s">
        <v>170</v>
      </c>
      <c r="H20" s="185"/>
      <c r="S20" s="51" t="s">
        <v>181</v>
      </c>
      <c r="T20" s="51" t="s">
        <v>188</v>
      </c>
      <c r="U20" s="51"/>
      <c r="V20" s="51" t="s">
        <v>196</v>
      </c>
      <c r="W20" s="51" t="s">
        <v>213</v>
      </c>
      <c r="X20"/>
      <c r="Y20"/>
      <c r="Z20"/>
    </row>
    <row r="21" spans="1:26">
      <c r="A21" s="151" t="s">
        <v>69</v>
      </c>
      <c r="B21" s="151"/>
      <c r="C21" s="153" t="s">
        <v>206</v>
      </c>
      <c r="D21" s="153"/>
      <c r="E21" s="105" t="s">
        <v>13</v>
      </c>
      <c r="F21" s="105"/>
      <c r="G21" s="153">
        <v>400077</v>
      </c>
      <c r="H21" s="153"/>
      <c r="S21" s="51"/>
      <c r="T21" s="51"/>
      <c r="U21" s="51"/>
      <c r="V21" s="51" t="s">
        <v>197</v>
      </c>
      <c r="W21" s="51" t="s">
        <v>214</v>
      </c>
      <c r="X21"/>
      <c r="Y21"/>
      <c r="Z21"/>
    </row>
    <row r="22" spans="1:26" ht="32.25" customHeight="1">
      <c r="A22" s="151" t="s">
        <v>119</v>
      </c>
      <c r="B22" s="151"/>
      <c r="C22" s="153" t="s">
        <v>308</v>
      </c>
      <c r="D22" s="153"/>
      <c r="E22" s="105" t="s">
        <v>14</v>
      </c>
      <c r="F22" s="105"/>
      <c r="G22" s="153" t="s">
        <v>306</v>
      </c>
      <c r="H22" s="153"/>
      <c r="S22" s="51"/>
      <c r="T22" s="51"/>
      <c r="U22" s="51"/>
      <c r="V22" s="51" t="s">
        <v>198</v>
      </c>
      <c r="W22" s="51" t="s">
        <v>215</v>
      </c>
      <c r="X22"/>
      <c r="Y22"/>
      <c r="Z22"/>
    </row>
    <row r="23" spans="1:26" ht="15" customHeight="1">
      <c r="A23" s="105" t="s">
        <v>71</v>
      </c>
      <c r="B23" s="105"/>
      <c r="C23" s="105"/>
      <c r="D23" s="105"/>
      <c r="E23" s="163" t="s">
        <v>15</v>
      </c>
      <c r="F23" s="163"/>
      <c r="G23" s="163"/>
      <c r="H23" s="163"/>
      <c r="S23" s="51"/>
      <c r="T23" s="51"/>
      <c r="U23" s="51"/>
      <c r="V23" s="51" t="s">
        <v>199</v>
      </c>
      <c r="W23" s="51" t="s">
        <v>216</v>
      </c>
      <c r="X23"/>
      <c r="Y23"/>
      <c r="Z23"/>
    </row>
    <row r="24" spans="1:26" ht="18.75" customHeight="1">
      <c r="A24" s="105"/>
      <c r="B24" s="105"/>
      <c r="C24" s="105"/>
      <c r="D24" s="105"/>
      <c r="E24" s="163"/>
      <c r="F24" s="163"/>
      <c r="G24" s="163"/>
      <c r="H24" s="163"/>
      <c r="S24" s="51"/>
      <c r="T24" s="51"/>
      <c r="U24" s="51"/>
      <c r="V24" s="51" t="s">
        <v>200</v>
      </c>
      <c r="W24" s="51" t="s">
        <v>217</v>
      </c>
      <c r="X24"/>
      <c r="Y24"/>
      <c r="Z24"/>
    </row>
    <row r="25" spans="1:26" ht="15" customHeight="1">
      <c r="A25" s="105" t="s">
        <v>16</v>
      </c>
      <c r="B25" s="105"/>
      <c r="C25" s="105"/>
      <c r="D25" s="105"/>
      <c r="E25" s="153" t="s">
        <v>17</v>
      </c>
      <c r="F25" s="153"/>
      <c r="G25" s="153"/>
      <c r="H25" s="153"/>
      <c r="S25" s="51"/>
      <c r="T25" s="51"/>
      <c r="U25" s="51"/>
      <c r="V25" s="51" t="s">
        <v>201</v>
      </c>
      <c r="W25" s="51" t="s">
        <v>218</v>
      </c>
      <c r="X25"/>
      <c r="Y25"/>
      <c r="Z25"/>
    </row>
    <row r="26" spans="1:26" ht="15" customHeight="1">
      <c r="A26" s="151" t="s">
        <v>18</v>
      </c>
      <c r="B26" s="151"/>
      <c r="C26" s="151"/>
      <c r="D26" s="151"/>
      <c r="E26" s="153" t="str">
        <f>IF(AND(G20="Mumbai"),"Upper Class","Middle Class")</f>
        <v>Upper Class</v>
      </c>
      <c r="F26" s="153"/>
      <c r="G26" s="153"/>
      <c r="H26" s="153"/>
      <c r="S26" s="51"/>
      <c r="T26" s="51"/>
      <c r="U26" s="51"/>
      <c r="V26" s="51" t="s">
        <v>202</v>
      </c>
      <c r="W26" s="51" t="s">
        <v>219</v>
      </c>
      <c r="X26"/>
      <c r="Y26"/>
      <c r="Z26"/>
    </row>
    <row r="27" spans="1:26">
      <c r="A27" s="151" t="s">
        <v>19</v>
      </c>
      <c r="B27" s="151"/>
      <c r="C27" s="151"/>
      <c r="D27" s="151"/>
      <c r="E27" s="153" t="s">
        <v>20</v>
      </c>
      <c r="F27" s="153"/>
      <c r="G27" s="153"/>
      <c r="H27" s="153"/>
      <c r="S27" s="51"/>
      <c r="T27" s="51"/>
      <c r="U27" s="51"/>
      <c r="V27" s="51" t="s">
        <v>203</v>
      </c>
      <c r="W27" s="51" t="s">
        <v>220</v>
      </c>
      <c r="X27"/>
      <c r="Y27"/>
      <c r="Z27"/>
    </row>
    <row r="28" spans="1:26" ht="15.75" customHeight="1">
      <c r="A28" s="151" t="s">
        <v>21</v>
      </c>
      <c r="B28" s="151"/>
      <c r="C28" s="151"/>
      <c r="D28" s="151"/>
      <c r="E28" s="153" t="str">
        <f>IF(AND(G20="Mumbai"),"Developed","Developing")</f>
        <v>Developed</v>
      </c>
      <c r="F28" s="153"/>
      <c r="G28" s="153"/>
      <c r="H28" s="153"/>
    </row>
    <row r="29" spans="1:26">
      <c r="A29" s="151" t="s">
        <v>22</v>
      </c>
      <c r="B29" s="151"/>
      <c r="C29" s="151"/>
      <c r="D29" s="151"/>
      <c r="E29" s="153" t="s">
        <v>23</v>
      </c>
      <c r="F29" s="153"/>
      <c r="G29" s="153"/>
      <c r="H29" s="153"/>
    </row>
    <row r="30" spans="1:26" ht="15.75" customHeight="1">
      <c r="A30" s="151" t="s">
        <v>76</v>
      </c>
      <c r="B30" s="151"/>
      <c r="C30" s="151"/>
      <c r="D30" s="151"/>
      <c r="E30" s="153" t="s">
        <v>77</v>
      </c>
      <c r="F30" s="153"/>
      <c r="G30" s="153"/>
      <c r="H30" s="153"/>
      <c r="I30" s="62"/>
    </row>
    <row r="31" spans="1:26" ht="15" customHeight="1">
      <c r="A31" s="151" t="s">
        <v>30</v>
      </c>
      <c r="B31" s="151"/>
      <c r="C31" s="151"/>
      <c r="D31" s="151"/>
      <c r="E31" s="153"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53"/>
      <c r="G31" s="153"/>
      <c r="H31" s="153"/>
    </row>
    <row r="32" spans="1:26" ht="15.75" customHeight="1">
      <c r="A32" s="151" t="s">
        <v>88</v>
      </c>
      <c r="B32" s="151"/>
      <c r="C32" s="151"/>
      <c r="D32" s="151"/>
      <c r="E32" s="153" t="s">
        <v>31</v>
      </c>
      <c r="F32" s="153"/>
      <c r="G32" s="153"/>
      <c r="H32" s="153"/>
    </row>
    <row r="33" spans="1:19" s="21" customFormat="1">
      <c r="A33" s="184" t="s">
        <v>89</v>
      </c>
      <c r="B33" s="184"/>
      <c r="C33" s="181" t="s">
        <v>171</v>
      </c>
      <c r="D33" s="182"/>
      <c r="E33" s="183"/>
      <c r="F33" s="181" t="s">
        <v>29</v>
      </c>
      <c r="G33" s="182"/>
      <c r="H33" s="183"/>
      <c r="S33" s="21" t="e">
        <f ca="1">OFFSET($S$13,1,MATCH($G20,$S$13:$W$13,0)-1,15,1)</f>
        <v>#VALUE!</v>
      </c>
    </row>
    <row r="34" spans="1:19" s="21" customFormat="1">
      <c r="A34" s="169" t="s">
        <v>24</v>
      </c>
      <c r="B34" s="169" t="s">
        <v>28</v>
      </c>
      <c r="C34" s="170" t="s">
        <v>312</v>
      </c>
      <c r="D34" s="171"/>
      <c r="E34" s="172"/>
      <c r="F34" s="170" t="s">
        <v>311</v>
      </c>
      <c r="G34" s="171"/>
      <c r="H34" s="172"/>
    </row>
    <row r="35" spans="1:19">
      <c r="A35" s="169" t="s">
        <v>25</v>
      </c>
      <c r="B35" s="169" t="s">
        <v>28</v>
      </c>
      <c r="C35" s="170" t="s">
        <v>10</v>
      </c>
      <c r="D35" s="171"/>
      <c r="E35" s="172"/>
      <c r="F35" s="170" t="s">
        <v>304</v>
      </c>
      <c r="G35" s="171"/>
      <c r="H35" s="172"/>
    </row>
    <row r="36" spans="1:19" s="21" customFormat="1">
      <c r="A36" s="169" t="s">
        <v>27</v>
      </c>
      <c r="B36" s="169" t="s">
        <v>28</v>
      </c>
      <c r="C36" s="170" t="s">
        <v>313</v>
      </c>
      <c r="D36" s="171"/>
      <c r="E36" s="172"/>
      <c r="F36" s="170" t="s">
        <v>309</v>
      </c>
      <c r="G36" s="171"/>
      <c r="H36" s="172"/>
    </row>
    <row r="37" spans="1:19">
      <c r="A37" s="169" t="s">
        <v>26</v>
      </c>
      <c r="B37" s="169" t="s">
        <v>28</v>
      </c>
      <c r="C37" s="170" t="s">
        <v>313</v>
      </c>
      <c r="D37" s="171"/>
      <c r="E37" s="172"/>
      <c r="F37" s="170" t="s">
        <v>310</v>
      </c>
      <c r="G37" s="171"/>
      <c r="H37" s="172"/>
    </row>
    <row r="38" spans="1:19">
      <c r="A38" s="151" t="s">
        <v>275</v>
      </c>
      <c r="B38" s="151"/>
      <c r="C38" s="151"/>
      <c r="D38" s="151"/>
      <c r="E38" s="151"/>
      <c r="F38" s="151"/>
      <c r="G38" s="151"/>
      <c r="H38" s="151"/>
    </row>
    <row r="39" spans="1:19" ht="15.75" customHeight="1">
      <c r="A39" s="151" t="s">
        <v>163</v>
      </c>
      <c r="B39" s="151"/>
      <c r="C39" s="162" t="s">
        <v>315</v>
      </c>
      <c r="D39" s="162"/>
      <c r="E39" s="162"/>
      <c r="F39" s="162"/>
      <c r="G39" s="162"/>
      <c r="H39" s="162"/>
    </row>
    <row r="40" spans="1:19">
      <c r="A40" s="151" t="s">
        <v>159</v>
      </c>
      <c r="B40" s="151"/>
      <c r="C40" s="152" t="s">
        <v>314</v>
      </c>
      <c r="D40" s="153"/>
      <c r="E40" s="153"/>
      <c r="F40" s="153"/>
      <c r="G40" s="153"/>
      <c r="H40" s="153"/>
    </row>
    <row r="41" spans="1:19">
      <c r="A41" s="162" t="s">
        <v>32</v>
      </c>
      <c r="B41" s="162"/>
      <c r="C41" s="162"/>
      <c r="D41" s="162"/>
      <c r="E41" s="162"/>
      <c r="F41" s="162"/>
      <c r="G41" s="162"/>
      <c r="H41" s="162"/>
    </row>
    <row r="42" spans="1:19">
      <c r="A42" s="151" t="s">
        <v>33</v>
      </c>
      <c r="B42" s="151"/>
      <c r="C42" s="151"/>
      <c r="D42" s="151"/>
      <c r="E42" s="173">
        <v>13128.52</v>
      </c>
      <c r="F42" s="173"/>
      <c r="G42" s="173"/>
      <c r="H42" s="173"/>
    </row>
    <row r="43" spans="1:19">
      <c r="A43" s="151" t="s">
        <v>34</v>
      </c>
      <c r="B43" s="151"/>
      <c r="C43" s="151"/>
      <c r="D43" s="151"/>
      <c r="E43" s="176">
        <f>52514.4/E42</f>
        <v>4.0000243744153945</v>
      </c>
      <c r="F43" s="176"/>
      <c r="G43" s="176"/>
      <c r="H43" s="176"/>
    </row>
    <row r="44" spans="1:19">
      <c r="A44" s="151" t="s">
        <v>35</v>
      </c>
      <c r="B44" s="151"/>
      <c r="C44" s="151"/>
      <c r="D44" s="151"/>
      <c r="E44" s="176">
        <f>E46/E42-E43</f>
        <v>1.0325360360497609</v>
      </c>
      <c r="F44" s="176"/>
      <c r="G44" s="176"/>
      <c r="H44" s="176"/>
    </row>
    <row r="45" spans="1:19">
      <c r="A45" s="151" t="s">
        <v>36</v>
      </c>
      <c r="B45" s="151"/>
      <c r="C45" s="151"/>
      <c r="D45" s="151"/>
      <c r="E45" s="176">
        <f>E43+E44</f>
        <v>5.0325604104651553</v>
      </c>
      <c r="F45" s="176"/>
      <c r="G45" s="176"/>
      <c r="H45" s="176"/>
    </row>
    <row r="46" spans="1:19">
      <c r="A46" s="151" t="s">
        <v>87</v>
      </c>
      <c r="B46" s="151"/>
      <c r="C46" s="151"/>
      <c r="D46" s="151"/>
      <c r="E46" s="177">
        <v>66070.070000000007</v>
      </c>
      <c r="F46" s="177"/>
      <c r="G46" s="177"/>
      <c r="H46" s="177"/>
    </row>
    <row r="47" spans="1:19">
      <c r="A47" s="163" t="s">
        <v>37</v>
      </c>
      <c r="B47" s="163"/>
      <c r="C47" s="163"/>
      <c r="D47" s="163"/>
      <c r="E47" s="163" t="s">
        <v>324</v>
      </c>
      <c r="F47" s="163"/>
      <c r="G47" s="163"/>
      <c r="H47" s="163"/>
    </row>
    <row r="48" spans="1:19">
      <c r="A48" s="162" t="s">
        <v>38</v>
      </c>
      <c r="B48" s="162"/>
      <c r="C48" s="162"/>
      <c r="D48" s="162"/>
      <c r="E48" s="162"/>
      <c r="F48" s="162"/>
      <c r="G48" s="162"/>
      <c r="H48" s="162"/>
    </row>
    <row r="49" spans="1:24" ht="33.75" customHeight="1">
      <c r="A49" s="105" t="s">
        <v>148</v>
      </c>
      <c r="B49" s="105"/>
      <c r="C49" s="108" t="s">
        <v>250</v>
      </c>
      <c r="D49" s="108"/>
      <c r="E49" s="108"/>
      <c r="F49" s="108"/>
      <c r="G49" s="108"/>
      <c r="H49" s="108"/>
      <c r="R49" t="s">
        <v>248</v>
      </c>
      <c r="S49" t="s">
        <v>170</v>
      </c>
      <c r="T49" t="s">
        <v>174</v>
      </c>
      <c r="U49" t="s">
        <v>189</v>
      </c>
      <c r="V49" t="s">
        <v>184</v>
      </c>
    </row>
    <row r="50" spans="1:24" ht="31.5" customHeight="1">
      <c r="A50" s="105" t="s">
        <v>39</v>
      </c>
      <c r="B50" s="105"/>
      <c r="C50" s="105" t="s">
        <v>416</v>
      </c>
      <c r="D50" s="105"/>
      <c r="E50" s="105"/>
      <c r="F50" s="17" t="s">
        <v>40</v>
      </c>
      <c r="G50" s="106">
        <v>45594</v>
      </c>
      <c r="H50" s="105"/>
      <c r="R50"/>
      <c r="S50" t="s">
        <v>249</v>
      </c>
      <c r="T50" t="s">
        <v>254</v>
      </c>
      <c r="U50" t="s">
        <v>265</v>
      </c>
      <c r="V50" t="s">
        <v>270</v>
      </c>
    </row>
    <row r="51" spans="1:24" ht="31.5" customHeight="1">
      <c r="A51" s="105" t="s">
        <v>41</v>
      </c>
      <c r="B51" s="105"/>
      <c r="C51" s="105" t="str">
        <f>C50</f>
        <v>P-16663/2023)/N WARD/FP/337/1/Amend</v>
      </c>
      <c r="D51" s="105"/>
      <c r="E51" s="105"/>
      <c r="F51" s="17" t="s">
        <v>40</v>
      </c>
      <c r="G51" s="106">
        <v>45594</v>
      </c>
      <c r="H51" s="105"/>
      <c r="R51"/>
      <c r="S51" t="s">
        <v>250</v>
      </c>
      <c r="T51" t="s">
        <v>255</v>
      </c>
      <c r="U51" t="s">
        <v>263</v>
      </c>
      <c r="V51" t="s">
        <v>271</v>
      </c>
    </row>
    <row r="52" spans="1:24" s="22" customFormat="1" ht="15.75" customHeight="1">
      <c r="A52" s="92" t="s">
        <v>152</v>
      </c>
      <c r="B52" s="93"/>
      <c r="C52" s="105" t="s">
        <v>394</v>
      </c>
      <c r="D52" s="105"/>
      <c r="E52" s="105"/>
      <c r="F52" s="17" t="s">
        <v>40</v>
      </c>
      <c r="G52" s="106">
        <v>45699</v>
      </c>
      <c r="H52" s="105"/>
      <c r="R52"/>
      <c r="S52" t="s">
        <v>251</v>
      </c>
      <c r="T52" t="s">
        <v>256</v>
      </c>
      <c r="U52" t="s">
        <v>253</v>
      </c>
      <c r="V52" t="s">
        <v>272</v>
      </c>
    </row>
    <row r="53" spans="1:24" s="22" customFormat="1" ht="82.5" customHeight="1">
      <c r="A53" s="94"/>
      <c r="B53" s="95"/>
      <c r="C53" s="105" t="s">
        <v>395</v>
      </c>
      <c r="D53" s="105"/>
      <c r="E53" s="105"/>
      <c r="F53" s="17" t="s">
        <v>118</v>
      </c>
      <c r="G53" s="106">
        <v>46063</v>
      </c>
      <c r="H53" s="105"/>
      <c r="R53"/>
      <c r="S53" t="s">
        <v>252</v>
      </c>
      <c r="T53" t="s">
        <v>259</v>
      </c>
      <c r="U53" t="s">
        <v>266</v>
      </c>
    </row>
    <row r="54" spans="1:24" s="22" customFormat="1" ht="15.75" customHeight="1">
      <c r="A54" s="94"/>
      <c r="B54" s="95"/>
      <c r="C54" s="105" t="s">
        <v>396</v>
      </c>
      <c r="D54" s="105"/>
      <c r="E54" s="105"/>
      <c r="F54" s="17" t="s">
        <v>40</v>
      </c>
      <c r="G54" s="106">
        <v>45743</v>
      </c>
      <c r="H54" s="105"/>
      <c r="R54"/>
      <c r="S54" t="s">
        <v>251</v>
      </c>
      <c r="T54" t="s">
        <v>256</v>
      </c>
      <c r="U54" t="s">
        <v>253</v>
      </c>
      <c r="V54" t="s">
        <v>272</v>
      </c>
    </row>
    <row r="55" spans="1:24" s="22" customFormat="1" ht="55.5" customHeight="1">
      <c r="A55" s="96"/>
      <c r="B55" s="97"/>
      <c r="C55" s="105" t="s">
        <v>397</v>
      </c>
      <c r="D55" s="105"/>
      <c r="E55" s="105"/>
      <c r="F55" s="17" t="s">
        <v>118</v>
      </c>
      <c r="G55" s="106">
        <v>46005</v>
      </c>
      <c r="H55" s="105"/>
      <c r="R55"/>
      <c r="S55" t="s">
        <v>252</v>
      </c>
      <c r="T55" t="s">
        <v>259</v>
      </c>
      <c r="U55" t="s">
        <v>266</v>
      </c>
    </row>
    <row r="56" spans="1:24" s="22" customFormat="1">
      <c r="A56" s="153" t="s">
        <v>276</v>
      </c>
      <c r="B56" s="153"/>
      <c r="C56" s="105" t="s">
        <v>382</v>
      </c>
      <c r="D56" s="105"/>
      <c r="E56" s="105"/>
      <c r="F56" s="17" t="s">
        <v>40</v>
      </c>
      <c r="G56" s="106">
        <v>45160</v>
      </c>
      <c r="H56" s="105"/>
      <c r="R56"/>
      <c r="S56" t="s">
        <v>251</v>
      </c>
      <c r="T56" t="s">
        <v>256</v>
      </c>
      <c r="U56" t="s">
        <v>253</v>
      </c>
      <c r="V56" t="s">
        <v>272</v>
      </c>
    </row>
    <row r="57" spans="1:24" s="22" customFormat="1" ht="48" customHeight="1">
      <c r="A57" s="153"/>
      <c r="B57" s="153"/>
      <c r="C57" s="159" t="s">
        <v>385</v>
      </c>
      <c r="D57" s="159"/>
      <c r="E57" s="159"/>
      <c r="F57" s="159"/>
      <c r="G57" s="159"/>
      <c r="H57" s="159"/>
      <c r="R57"/>
      <c r="S57" t="s">
        <v>253</v>
      </c>
      <c r="T57" t="s">
        <v>257</v>
      </c>
      <c r="U57" t="s">
        <v>267</v>
      </c>
      <c r="V57" s="20"/>
      <c r="W57" s="20"/>
      <c r="X57" s="20"/>
    </row>
    <row r="58" spans="1:24" s="22" customFormat="1" ht="33.75" customHeight="1">
      <c r="A58" s="153" t="s">
        <v>277</v>
      </c>
      <c r="B58" s="153"/>
      <c r="C58" s="105" t="s">
        <v>386</v>
      </c>
      <c r="D58" s="105"/>
      <c r="E58" s="105"/>
      <c r="F58" s="17" t="s">
        <v>40</v>
      </c>
      <c r="G58" s="106">
        <v>45260</v>
      </c>
      <c r="H58" s="105"/>
      <c r="R58"/>
      <c r="S58" s="20"/>
      <c r="T58" t="s">
        <v>258</v>
      </c>
      <c r="U58" t="s">
        <v>268</v>
      </c>
      <c r="V58" s="20"/>
      <c r="W58" s="20"/>
      <c r="X58" s="20"/>
    </row>
    <row r="59" spans="1:24" s="22" customFormat="1" ht="46.5" customHeight="1">
      <c r="A59" s="153"/>
      <c r="B59" s="153"/>
      <c r="C59" s="105" t="s">
        <v>387</v>
      </c>
      <c r="D59" s="105"/>
      <c r="E59" s="105"/>
      <c r="F59" s="105"/>
      <c r="G59" s="105"/>
      <c r="H59" s="105"/>
      <c r="R59"/>
      <c r="S59" s="20"/>
      <c r="T59" t="s">
        <v>260</v>
      </c>
      <c r="U59" t="s">
        <v>269</v>
      </c>
      <c r="V59" s="20"/>
      <c r="W59" s="20"/>
      <c r="X59" s="20"/>
    </row>
    <row r="60" spans="1:24" s="22" customFormat="1" ht="15.75" hidden="1" customHeight="1">
      <c r="A60" s="217" t="s">
        <v>278</v>
      </c>
      <c r="B60" s="218"/>
      <c r="C60" s="178" t="str">
        <f>C59</f>
        <v xml:space="preserve">Plot Area-13128.52 Sq.M.
Net Plot Area-13128.52 Sq.M.
Proposed Builtup Area-128661.62 Sq.M.
</v>
      </c>
      <c r="D60" s="179"/>
      <c r="E60" s="180"/>
      <c r="F60" s="17" t="s">
        <v>40</v>
      </c>
      <c r="G60" s="178">
        <f>G59</f>
        <v>0</v>
      </c>
      <c r="H60" s="180"/>
      <c r="R60"/>
      <c r="S60" s="20"/>
      <c r="T60" t="s">
        <v>261</v>
      </c>
      <c r="U60" s="20" t="s">
        <v>292</v>
      </c>
      <c r="V60" s="20"/>
      <c r="W60" s="20"/>
      <c r="X60" s="20"/>
    </row>
    <row r="61" spans="1:24" s="22" customFormat="1" ht="33.75" hidden="1" customHeight="1">
      <c r="A61" s="219"/>
      <c r="B61" s="220"/>
      <c r="C61" s="178"/>
      <c r="D61" s="179"/>
      <c r="E61" s="179"/>
      <c r="F61" s="179"/>
      <c r="G61" s="179"/>
      <c r="H61" s="180"/>
      <c r="R61"/>
      <c r="S61" s="20"/>
      <c r="T61" t="s">
        <v>262</v>
      </c>
      <c r="U61" s="20"/>
      <c r="V61" s="20"/>
      <c r="W61" s="20"/>
      <c r="X61" s="20"/>
    </row>
    <row r="62" spans="1:24">
      <c r="A62" s="221" t="s">
        <v>42</v>
      </c>
      <c r="B62" s="222"/>
      <c r="C62" s="221" t="s">
        <v>101</v>
      </c>
      <c r="D62" s="223"/>
      <c r="E62" s="222"/>
      <c r="F62" s="42" t="s">
        <v>40</v>
      </c>
      <c r="G62" s="226" t="s">
        <v>28</v>
      </c>
      <c r="H62" s="227"/>
      <c r="R62"/>
      <c r="T62" t="s">
        <v>264</v>
      </c>
    </row>
    <row r="63" spans="1:24">
      <c r="A63" s="197" t="s">
        <v>44</v>
      </c>
      <c r="B63" s="197"/>
      <c r="C63" s="197"/>
      <c r="D63" s="197"/>
      <c r="E63" s="197"/>
      <c r="F63" s="197"/>
      <c r="G63" s="197"/>
      <c r="H63" s="197"/>
      <c r="T63" t="s">
        <v>273</v>
      </c>
    </row>
    <row r="64" spans="1:24">
      <c r="A64" s="105" t="s">
        <v>86</v>
      </c>
      <c r="B64" s="105"/>
      <c r="C64" s="105"/>
      <c r="D64" s="224">
        <f>E46</f>
        <v>66070.070000000007</v>
      </c>
      <c r="E64" s="224"/>
      <c r="F64" s="224"/>
      <c r="G64" s="224"/>
      <c r="H64" s="224"/>
      <c r="R64"/>
    </row>
    <row r="65" spans="1:19">
      <c r="A65" s="153" t="s">
        <v>45</v>
      </c>
      <c r="B65" s="163"/>
      <c r="C65" s="163"/>
      <c r="D65" s="224" t="s">
        <v>482</v>
      </c>
      <c r="E65" s="224"/>
      <c r="F65" s="224"/>
      <c r="G65" s="224"/>
      <c r="H65" s="224"/>
      <c r="I65" s="23"/>
      <c r="R65"/>
    </row>
    <row r="66" spans="1:19" ht="33" customHeight="1">
      <c r="A66" s="166" t="s">
        <v>46</v>
      </c>
      <c r="B66" s="167"/>
      <c r="C66" s="168"/>
      <c r="D66" s="164" t="s">
        <v>317</v>
      </c>
      <c r="E66" s="165"/>
      <c r="F66" s="165"/>
      <c r="G66" s="165"/>
      <c r="H66" s="165"/>
      <c r="R66"/>
    </row>
    <row r="67" spans="1:19" ht="15.75" customHeight="1">
      <c r="A67" s="166" t="s">
        <v>84</v>
      </c>
      <c r="B67" s="167"/>
      <c r="C67" s="168"/>
      <c r="D67" s="245" t="s">
        <v>391</v>
      </c>
      <c r="E67" s="246"/>
      <c r="F67" s="246"/>
      <c r="G67" s="246"/>
      <c r="H67" s="247"/>
      <c r="R67"/>
    </row>
    <row r="68" spans="1:19" ht="15.75" customHeight="1">
      <c r="A68" s="236"/>
      <c r="B68" s="237"/>
      <c r="C68" s="238"/>
      <c r="D68" s="242" t="s">
        <v>368</v>
      </c>
      <c r="E68" s="243"/>
      <c r="F68" s="243"/>
      <c r="G68" s="243"/>
      <c r="H68" s="244"/>
      <c r="R68"/>
    </row>
    <row r="69" spans="1:19" ht="15.75" customHeight="1">
      <c r="A69" s="236"/>
      <c r="B69" s="237"/>
      <c r="C69" s="238"/>
      <c r="D69" s="242" t="s">
        <v>369</v>
      </c>
      <c r="E69" s="243"/>
      <c r="F69" s="243"/>
      <c r="G69" s="243"/>
      <c r="H69" s="244"/>
      <c r="R69"/>
    </row>
    <row r="70" spans="1:19" ht="15.75" hidden="1" customHeight="1">
      <c r="A70" s="236"/>
      <c r="B70" s="237"/>
      <c r="C70" s="238"/>
      <c r="D70" s="242" t="s">
        <v>361</v>
      </c>
      <c r="E70" s="243"/>
      <c r="F70" s="243"/>
      <c r="G70" s="243"/>
      <c r="H70" s="244"/>
      <c r="R70"/>
    </row>
    <row r="71" spans="1:19" ht="15.75" hidden="1" customHeight="1">
      <c r="A71" s="236"/>
      <c r="B71" s="237"/>
      <c r="C71" s="238"/>
      <c r="D71" s="242" t="s">
        <v>362</v>
      </c>
      <c r="E71" s="243"/>
      <c r="F71" s="243"/>
      <c r="G71" s="243"/>
      <c r="H71" s="244"/>
      <c r="R71"/>
    </row>
    <row r="72" spans="1:19" ht="15.75" hidden="1" customHeight="1">
      <c r="A72" s="236"/>
      <c r="B72" s="237"/>
      <c r="C72" s="238"/>
      <c r="D72" s="242" t="s">
        <v>363</v>
      </c>
      <c r="E72" s="243"/>
      <c r="F72" s="243"/>
      <c r="G72" s="243"/>
      <c r="H72" s="244"/>
      <c r="R72"/>
    </row>
    <row r="73" spans="1:19" ht="15.75" hidden="1" customHeight="1">
      <c r="A73" s="236"/>
      <c r="B73" s="237"/>
      <c r="C73" s="238"/>
      <c r="D73" s="242" t="s">
        <v>364</v>
      </c>
      <c r="E73" s="243"/>
      <c r="F73" s="243"/>
      <c r="G73" s="243"/>
      <c r="H73" s="244"/>
      <c r="R73"/>
    </row>
    <row r="74" spans="1:19" ht="15.75" hidden="1" customHeight="1">
      <c r="A74" s="236"/>
      <c r="B74" s="237"/>
      <c r="C74" s="238"/>
      <c r="D74" s="242" t="s">
        <v>365</v>
      </c>
      <c r="E74" s="243"/>
      <c r="F74" s="243"/>
      <c r="G74" s="243"/>
      <c r="H74" s="244"/>
      <c r="R74"/>
    </row>
    <row r="75" spans="1:19" ht="15.75" customHeight="1">
      <c r="A75" s="236"/>
      <c r="B75" s="237"/>
      <c r="C75" s="238"/>
      <c r="D75" s="242" t="s">
        <v>370</v>
      </c>
      <c r="E75" s="243"/>
      <c r="F75" s="243"/>
      <c r="G75" s="243"/>
      <c r="H75" s="244"/>
      <c r="R75"/>
    </row>
    <row r="76" spans="1:19" ht="15.75" hidden="1" customHeight="1">
      <c r="A76" s="236"/>
      <c r="B76" s="237"/>
      <c r="C76" s="238"/>
      <c r="D76" s="233" t="s">
        <v>366</v>
      </c>
      <c r="E76" s="234"/>
      <c r="F76" s="234"/>
      <c r="G76" s="234"/>
      <c r="H76" s="235"/>
      <c r="R76"/>
    </row>
    <row r="77" spans="1:19" ht="15.75" hidden="1" customHeight="1">
      <c r="A77" s="239"/>
      <c r="B77" s="240"/>
      <c r="C77" s="241"/>
      <c r="D77" s="233" t="s">
        <v>367</v>
      </c>
      <c r="E77" s="234"/>
      <c r="F77" s="234"/>
      <c r="G77" s="234"/>
      <c r="H77" s="235"/>
      <c r="R77"/>
    </row>
    <row r="78" spans="1:19" ht="15.75" customHeight="1">
      <c r="A78" s="151" t="s">
        <v>43</v>
      </c>
      <c r="B78" s="151"/>
      <c r="C78" s="151"/>
      <c r="D78" s="174" t="s">
        <v>316</v>
      </c>
      <c r="E78" s="174"/>
      <c r="F78" s="174"/>
      <c r="G78" s="174"/>
      <c r="H78" s="174"/>
      <c r="I78" s="63"/>
      <c r="J78" s="24"/>
      <c r="K78" s="23"/>
      <c r="L78" s="231"/>
      <c r="M78" s="231"/>
      <c r="N78" s="231"/>
      <c r="O78" s="231"/>
      <c r="P78" s="231"/>
      <c r="S78"/>
    </row>
    <row r="79" spans="1:19" ht="15.75" customHeight="1">
      <c r="A79" s="151" t="s">
        <v>82</v>
      </c>
      <c r="B79" s="151"/>
      <c r="C79" s="151"/>
      <c r="D79" s="175" t="str">
        <f>(IF(G62="NA","60 Years After Completion",IF(G62&lt;&gt;"NA",""&amp;60-ROUNDDOWN((E3-G62)/360,0)&amp;" Years"," ")))</f>
        <v>60 Years After Completion</v>
      </c>
      <c r="E79" s="175"/>
      <c r="F79" s="175"/>
      <c r="G79" s="175"/>
      <c r="H79" s="175"/>
      <c r="I79" s="64"/>
      <c r="L79" s="231"/>
      <c r="M79" s="231"/>
      <c r="N79" s="231"/>
      <c r="O79" s="231"/>
      <c r="P79" s="231"/>
      <c r="S79"/>
    </row>
    <row r="80" spans="1:19" ht="15.75" customHeight="1">
      <c r="A80" s="151" t="s">
        <v>83</v>
      </c>
      <c r="B80" s="151"/>
      <c r="C80" s="151"/>
      <c r="D80" s="105" t="s">
        <v>23</v>
      </c>
      <c r="E80" s="105"/>
      <c r="F80" s="105"/>
      <c r="G80" s="105"/>
      <c r="H80" s="105"/>
      <c r="I80" s="63"/>
      <c r="J80" s="25"/>
      <c r="K80" s="25"/>
      <c r="L80" s="231"/>
      <c r="M80" s="231"/>
      <c r="N80" s="231"/>
      <c r="O80" s="231"/>
      <c r="P80" s="231"/>
      <c r="S80"/>
    </row>
    <row r="81" spans="1:19" ht="39" customHeight="1">
      <c r="A81" s="163" t="s">
        <v>371</v>
      </c>
      <c r="B81" s="163"/>
      <c r="C81" s="163"/>
      <c r="D81" s="153" t="s">
        <v>318</v>
      </c>
      <c r="E81" s="105"/>
      <c r="F81" s="105"/>
      <c r="G81" s="105"/>
      <c r="H81" s="105"/>
      <c r="S81"/>
    </row>
    <row r="82" spans="1:19">
      <c r="A82" s="105" t="s">
        <v>145</v>
      </c>
      <c r="B82" s="105"/>
      <c r="C82" s="105"/>
      <c r="D82" s="105" t="s">
        <v>28</v>
      </c>
      <c r="E82" s="105"/>
      <c r="F82" s="105"/>
      <c r="G82" s="105"/>
      <c r="H82" s="105"/>
      <c r="I82" s="26"/>
      <c r="J82" s="26"/>
      <c r="K82" s="26"/>
      <c r="L82" s="26"/>
      <c r="M82" s="26"/>
      <c r="N82" s="26"/>
    </row>
    <row r="83" spans="1:19" ht="15.75" customHeight="1">
      <c r="A83" s="225" t="s">
        <v>81</v>
      </c>
      <c r="B83" s="225"/>
      <c r="C83" s="225"/>
      <c r="D83" s="248" t="str">
        <f ca="1">(IF(E89&gt;95%,"Nothing",IF(G89&gt;0%,"Cement, Aggregate, Steel, etc",IF(E89=0%,"Work not yet Started"))))</f>
        <v>Cement, Aggregate, Steel, etc</v>
      </c>
      <c r="E83" s="248"/>
      <c r="F83" s="248"/>
      <c r="G83" s="248"/>
      <c r="H83" s="248"/>
      <c r="J83" s="25"/>
      <c r="S83"/>
    </row>
    <row r="84" spans="1:19" ht="33.75" customHeight="1" thickBot="1">
      <c r="A84" s="105" t="s">
        <v>114</v>
      </c>
      <c r="B84" s="105"/>
      <c r="C84" s="105"/>
      <c r="D84" s="153" t="str">
        <f ca="1">(IF(D83="Nothing","Yes",IF(D83="Cement, Aggregate, Steel, etc","Under Construction",IF(D83="Work not yet Started","Work not yet Started"))))</f>
        <v>Under Construction</v>
      </c>
      <c r="E84" s="153"/>
      <c r="F84" s="153" t="str">
        <f ca="1">(IF(D83="Nothing","Yes",IF(D83="Cement, Aggregate, Steel, etc","Under Construction",IF(D83="Work not yet Started","Work not yet Started"))))</f>
        <v>Under Construction</v>
      </c>
      <c r="G84" s="153"/>
      <c r="H84" s="153"/>
      <c r="S84"/>
    </row>
    <row r="85" spans="1:19" ht="15.75" customHeight="1">
      <c r="A85" s="107" t="s">
        <v>137</v>
      </c>
      <c r="B85" s="107"/>
      <c r="C85" s="107" t="str">
        <f>D67</f>
        <v>Building No.1 ( Tower No.1) = 3B + G + 1st to 18th Floor</v>
      </c>
      <c r="D85" s="107"/>
      <c r="E85" s="107"/>
      <c r="F85" s="107"/>
      <c r="G85" s="107"/>
      <c r="H85" s="107"/>
      <c r="I85" s="77" t="str">
        <f ca="1">IF(D98=100%,"All work Completed. Possession granted to the Building.",IF(D97=100%,"All work Completed, Waiting for OC",I86&amp;""&amp;I87&amp;""&amp;J86&amp;""&amp;J85&amp;" "&amp;J87))</f>
        <v>Excavation, Plinth Completed, RCC upto 6 Slab, Brickwork upto 5 Floor, Internal Plaster upto 3.75 Floor, External Plaster upto 3.5 Floor Completed</v>
      </c>
      <c r="J85" s="47" t="str">
        <f ca="1">(IF(C91=(D86+F86+H86),"",IF(C91&gt;0,", RCC upto "&amp;C91&amp;" Slab","")))&amp;(IF(C92=H86,"",IF(C92&gt;0,", Brickwork upto "&amp;C92&amp;" Floor","")))&amp;(IF(C93=H86,"",IF(C93&gt;0,", Internal Plaster upto "&amp;C93&amp;" Floor","")))&amp;(IF(C94=H86,"",IF(C94&gt;0,", External Plaster upto "&amp;C94&amp;" Floor","")))&amp;(IF(C95=H86,"",IF(C95&gt;0,", Flooring upto "&amp;C95&amp;" Floor","")))&amp;(IF(C96=H86,"",IF(C96&gt;0,", Painting upto "&amp;C96&amp;" Floor","")))&amp;(IF(C97=H86,"",IF(C97&gt;0,", Finishing upto "&amp;C97&amp;" Floor","")))&amp;(IF(C98=H86,"",IF(C98&gt;0,", Possession upto "&amp;C98&amp;" Floor","")))</f>
        <v>, RCC upto 6 Slab, Brickwork upto 5 Floor, Internal Plaster upto 3.75 Floor, External Plaster upto 3.5 Floor</v>
      </c>
    </row>
    <row r="86" spans="1:19">
      <c r="A86" s="44" t="s">
        <v>139</v>
      </c>
      <c r="B86" s="44">
        <f>IF(AND(ISNUMBER(SEARCH("1B",C85))),1,IF(AND(ISNUMBER(SEARCH("2B",C85))),2,IF(AND(ISNUMBER(SEARCH("3B",C85))),3,IF(AND(ISNUMBER(SEARCH("4B",C85))),4,IF(ISNUMBER(SEARCH("5B",C85)),5,0)))))</f>
        <v>3</v>
      </c>
      <c r="C86" s="44" t="s">
        <v>67</v>
      </c>
      <c r="D86" s="44">
        <v>1</v>
      </c>
      <c r="E86" s="44" t="s">
        <v>66</v>
      </c>
      <c r="F86" s="44">
        <v>0</v>
      </c>
      <c r="G86" s="45" t="s">
        <v>75</v>
      </c>
      <c r="H86" s="44">
        <f ca="1">--TRIM(RIGHT(SUBSTITUTE(LEFT(C85,_xlfn.AGGREGATE(16,6,FIND({0,1,2,3,4,5,6,7,8,9},C85,ROW(INDIRECT("1:"&amp;LEN(C85)))),1))," ",REPT(" ",LEN(C85))),LEN(C85)))</f>
        <v>18</v>
      </c>
      <c r="I86" s="78" t="str">
        <f ca="1">IF(D89=100%,"Excavation","")&amp;IF(D90=100%,", Plinth","")&amp;IF(D91=100%,", RCC Slab","")&amp;IF(D92=100%,", Brickwork","")&amp;IF(D93=100%,", Internal Plaster","")&amp;IF(D94=100%,", External Plaster","")&amp;IF(D95=100%,", Flooring","")&amp;IF(D96=100%,", Painting","")&amp;IF(D97=100%,", Building common Amenities","")</f>
        <v>Excavation, Plinth</v>
      </c>
      <c r="J86" s="49" t="str">
        <f ca="1">(IF(C89=0,"Work not yet Started.",IF(D89=25%,"Piling work in process",IF(D89=50%,"Excavation work in process",IF(D89=100%,"","0")))))&amp;(IF(C90=0%,"",IF(C90=J91,", Footing work is process",IF(C90=J92,", Footing work Completed",IF(C90=J93,", 1st Basement Completed",IF(C90=J94,", 1st &amp; 2nd Basement Completed",IF(C90=J95,", 1st to 3rd Basement Completed",IF(C90=J96,", 1st to 4th Basement Completed",IF(C90=J97,", Plinth work is process",IF(C90=J98,"","0"))))))))))</f>
        <v/>
      </c>
    </row>
    <row r="87" spans="1:19" ht="30.75" customHeight="1">
      <c r="A87" s="108" t="s">
        <v>85</v>
      </c>
      <c r="B87" s="108"/>
      <c r="C87" s="109" t="str">
        <f ca="1">(IF($G$62="NA",I85,"All work Completed. OC Received."))</f>
        <v>Excavation, Plinth Completed, RCC upto 6 Slab, Brickwork upto 5 Floor, Internal Plaster upto 3.75 Floor, External Plaster upto 3.5 Floor Completed</v>
      </c>
      <c r="D87" s="109"/>
      <c r="E87" s="109"/>
      <c r="F87" s="109"/>
      <c r="G87" s="109"/>
      <c r="H87" s="109"/>
      <c r="I87" s="78" t="str">
        <f ca="1">IF(I86&lt;&gt;""," Completed","")</f>
        <v xml:space="preserve"> Completed</v>
      </c>
      <c r="J87" s="49" t="str">
        <f ca="1">IF(J85&lt;&gt;"","Completed","")</f>
        <v>Completed</v>
      </c>
    </row>
    <row r="88" spans="1:19" ht="15.75" customHeight="1">
      <c r="A88" s="110" t="s">
        <v>47</v>
      </c>
      <c r="B88" s="110"/>
      <c r="C88" s="41" t="s">
        <v>136</v>
      </c>
      <c r="D88" s="41" t="s">
        <v>78</v>
      </c>
      <c r="E88" s="110" t="s">
        <v>80</v>
      </c>
      <c r="F88" s="110"/>
      <c r="G88" s="110" t="s">
        <v>79</v>
      </c>
      <c r="H88" s="110"/>
      <c r="I88" s="13" t="s">
        <v>138</v>
      </c>
      <c r="J88" s="27">
        <f ca="1">H86*25%</f>
        <v>4.5</v>
      </c>
    </row>
    <row r="89" spans="1:19">
      <c r="A89" s="110" t="s">
        <v>125</v>
      </c>
      <c r="B89" s="110"/>
      <c r="C89" s="72">
        <f ca="1">J90</f>
        <v>18</v>
      </c>
      <c r="D89" s="18">
        <f ca="1">((100/H86)*C89)/100</f>
        <v>1</v>
      </c>
      <c r="E89" s="111">
        <f ca="1">(((C90/H86*10)+(40/(D86+F86+H86)*C91)+(7.5/(H86)*C92)+(7.5/(H86)*C93)+(10/H86*C94)+(10/H86*C95)+(5/H86*C96)+(5/H86*C97)+(5/H86*C98))/100)</f>
        <v>0.28221856725146194</v>
      </c>
      <c r="F89" s="111"/>
      <c r="G89" s="111">
        <f ca="1">((((C89/H86)*20)+((C90/H86)*25)+(30/(H86+F86+D86)*C91)+(5/H86*C92)+(5/H86*C93)+(5/H86*C94)+(5/H86*C95)+(0/H86*C96)+(0/H86*C97)+(5/H86*C98))/100)</f>
        <v>0.57876461988304084</v>
      </c>
      <c r="H89" s="111"/>
      <c r="I89" s="13" t="s">
        <v>96</v>
      </c>
      <c r="J89" s="28">
        <f ca="1">H86*50%</f>
        <v>9</v>
      </c>
    </row>
    <row r="90" spans="1:19">
      <c r="A90" s="110" t="s">
        <v>48</v>
      </c>
      <c r="B90" s="110"/>
      <c r="C90" s="73">
        <f ca="1">J98</f>
        <v>18</v>
      </c>
      <c r="D90" s="18">
        <f ca="1">((100/H86)*C90)/100</f>
        <v>1</v>
      </c>
      <c r="E90" s="111"/>
      <c r="F90" s="111"/>
      <c r="G90" s="111"/>
      <c r="H90" s="111"/>
      <c r="I90" s="13" t="s">
        <v>97</v>
      </c>
      <c r="J90" s="28">
        <f ca="1">H86</f>
        <v>18</v>
      </c>
    </row>
    <row r="91" spans="1:19" ht="15.75" customHeight="1">
      <c r="A91" s="110" t="s">
        <v>126</v>
      </c>
      <c r="B91" s="110"/>
      <c r="C91" s="41">
        <v>6</v>
      </c>
      <c r="D91" s="18">
        <f ca="1">((100/(D86+F86+H86))*C91)/100</f>
        <v>0.31578947368421056</v>
      </c>
      <c r="E91" s="111"/>
      <c r="F91" s="111"/>
      <c r="G91" s="111"/>
      <c r="H91" s="111"/>
      <c r="I91" s="13" t="s">
        <v>98</v>
      </c>
      <c r="J91" s="29">
        <f ca="1">(IF(B86&gt;1,(H86/(B86+2)),H86/4))</f>
        <v>3.6</v>
      </c>
      <c r="K91" s="20">
        <f>0.12*17</f>
        <v>2.04</v>
      </c>
    </row>
    <row r="92" spans="1:19" ht="15.75" customHeight="1">
      <c r="A92" s="110" t="s">
        <v>133</v>
      </c>
      <c r="B92" s="110" t="s">
        <v>127</v>
      </c>
      <c r="C92" s="41">
        <f>C91-D86</f>
        <v>5</v>
      </c>
      <c r="D92" s="18">
        <f ca="1">((100/H86)*C92)/100</f>
        <v>0.27777777777777779</v>
      </c>
      <c r="E92" s="111"/>
      <c r="F92" s="111"/>
      <c r="G92" s="111"/>
      <c r="H92" s="111"/>
      <c r="I92" s="13" t="s">
        <v>99</v>
      </c>
      <c r="J92" s="29">
        <f ca="1">(IF(B86&gt;1,(H86/(B86+2)+J91),H86/4+J91))</f>
        <v>7.2</v>
      </c>
    </row>
    <row r="93" spans="1:19" ht="15.75" customHeight="1">
      <c r="A93" s="110" t="s">
        <v>134</v>
      </c>
      <c r="B93" s="110" t="s">
        <v>127</v>
      </c>
      <c r="C93" s="76">
        <f>C92*0.75</f>
        <v>3.75</v>
      </c>
      <c r="D93" s="18">
        <f ca="1">((100/H86)*C93)/100</f>
        <v>0.20833333333333331</v>
      </c>
      <c r="E93" s="111"/>
      <c r="F93" s="111"/>
      <c r="G93" s="111"/>
      <c r="H93" s="111"/>
      <c r="I93" s="13" t="s">
        <v>143</v>
      </c>
      <c r="J93" s="29">
        <f ca="1">(IF(B86&gt;1,(H86/(B86+2)+J92),0))</f>
        <v>10.8</v>
      </c>
    </row>
    <row r="94" spans="1:19" ht="15" customHeight="1">
      <c r="A94" s="110" t="s">
        <v>132</v>
      </c>
      <c r="B94" s="110" t="s">
        <v>129</v>
      </c>
      <c r="C94" s="76">
        <f>C92*0.7</f>
        <v>3.5</v>
      </c>
      <c r="D94" s="18">
        <f ca="1">((100/(H86))*C94)/100</f>
        <v>0.19444444444444442</v>
      </c>
      <c r="E94" s="111"/>
      <c r="F94" s="111"/>
      <c r="G94" s="111"/>
      <c r="H94" s="111"/>
      <c r="I94" s="13" t="s">
        <v>140</v>
      </c>
      <c r="J94" s="29">
        <f ca="1">(IF(B86&gt;2,(H86/(B86+2)+J93),0))</f>
        <v>14.4</v>
      </c>
    </row>
    <row r="95" spans="1:19" ht="15.75" customHeight="1">
      <c r="A95" s="110" t="s">
        <v>128</v>
      </c>
      <c r="B95" s="110" t="s">
        <v>128</v>
      </c>
      <c r="C95" s="41">
        <v>0</v>
      </c>
      <c r="D95" s="18">
        <f ca="1">((100/H86)*C95)/100</f>
        <v>0</v>
      </c>
      <c r="E95" s="111"/>
      <c r="F95" s="111"/>
      <c r="G95" s="111"/>
      <c r="H95" s="111"/>
      <c r="I95" s="13" t="s">
        <v>141</v>
      </c>
      <c r="J95" s="30">
        <f>(IF(B86&gt;3,(H86/(B86+2)+J94),0))</f>
        <v>0</v>
      </c>
    </row>
    <row r="96" spans="1:19" ht="15.75" customHeight="1">
      <c r="A96" s="110" t="s">
        <v>135</v>
      </c>
      <c r="B96" s="110"/>
      <c r="C96" s="41">
        <v>0</v>
      </c>
      <c r="D96" s="18">
        <f ca="1">((100/H86)*C96)/100</f>
        <v>0</v>
      </c>
      <c r="E96" s="111"/>
      <c r="F96" s="111"/>
      <c r="G96" s="111"/>
      <c r="H96" s="111"/>
      <c r="I96" s="13" t="s">
        <v>142</v>
      </c>
      <c r="J96" s="29">
        <f>(IF(B86&gt;4,(H86/(B86+2)+J95),0))</f>
        <v>0</v>
      </c>
    </row>
    <row r="97" spans="1:10" ht="15.75" customHeight="1">
      <c r="A97" s="110" t="s">
        <v>130</v>
      </c>
      <c r="B97" s="110" t="s">
        <v>130</v>
      </c>
      <c r="C97" s="41">
        <v>0</v>
      </c>
      <c r="D97" s="18">
        <f ca="1">((100/(H86))*C97)/100</f>
        <v>0</v>
      </c>
      <c r="E97" s="111"/>
      <c r="F97" s="111"/>
      <c r="G97" s="111"/>
      <c r="H97" s="111"/>
      <c r="I97" s="13" t="s">
        <v>144</v>
      </c>
      <c r="J97" s="29">
        <f>(IF(B86=1,(H86/(B86+3)+J92),IF(B86=0,(H86/4+J92),IF(B86&gt;1,0))))</f>
        <v>0</v>
      </c>
    </row>
    <row r="98" spans="1:10" ht="16.5" thickBot="1">
      <c r="A98" s="110" t="s">
        <v>131</v>
      </c>
      <c r="B98" s="110"/>
      <c r="C98" s="41">
        <v>0</v>
      </c>
      <c r="D98" s="18">
        <f ca="1">((100/(H86))*C98)/100</f>
        <v>0</v>
      </c>
      <c r="E98" s="111"/>
      <c r="F98" s="111"/>
      <c r="G98" s="111"/>
      <c r="H98" s="111"/>
      <c r="I98" s="14" t="s">
        <v>100</v>
      </c>
      <c r="J98" s="31">
        <f ca="1">(IF(B86&gt;1.5,(H86/(B86+2)+J92+MAX(0,J93-J92)+MAX(0,J94-J93)+MAX(0,J95-J94)+MAX(0,J96-J95)+MAX(0,J97-J96)),IF(B86=1,(H86/(B86+3)+J97),IF(B86=0,H86/4+J97))))</f>
        <v>18</v>
      </c>
    </row>
    <row r="99" spans="1:10" ht="15.75" customHeight="1">
      <c r="A99" s="107" t="s">
        <v>137</v>
      </c>
      <c r="B99" s="107"/>
      <c r="C99" s="107" t="str">
        <f>D68</f>
        <v>Building No.2 ( Tower No.2) = 3B + G + 1st to 18th Floor</v>
      </c>
      <c r="D99" s="107"/>
      <c r="E99" s="107"/>
      <c r="F99" s="107"/>
      <c r="G99" s="107"/>
      <c r="H99" s="107"/>
      <c r="I99" s="77" t="str">
        <f ca="1">IF(D112=100%,"All work Completed. Possession granted to the Building.",IF(D111=100%,"All work Completed, Waiting for OC",I100&amp;""&amp;I101&amp;""&amp;J100&amp;""&amp;J99&amp;" "&amp;J101))</f>
        <v>Excavation, Plinth Completed, RCC upto 3 Slab, Brickwork upto 2 Floor, Internal Plaster upto 1.5 Floor, External Plaster upto 1.4 Floor Completed</v>
      </c>
      <c r="J99" s="47" t="str">
        <f ca="1">(IF(C105=(D100+F100+H100),"",IF(C105&gt;0,", RCC upto "&amp;C105&amp;" Slab","")))&amp;(IF(C106=H100,"",IF(C106&gt;0,", Brickwork upto "&amp;C106&amp;" Floor","")))&amp;(IF(C107=H100,"",IF(C107&gt;0,", Internal Plaster upto "&amp;C107&amp;" Floor","")))&amp;(IF(C108=H100,"",IF(C108&gt;0,", External Plaster upto "&amp;C108&amp;" Floor","")))&amp;(IF(C109=H100,"",IF(C109&gt;0,", Flooring upto "&amp;C109&amp;" Floor","")))&amp;(IF(C110=H100,"",IF(C110&gt;0,", Painting upto "&amp;C110&amp;" Floor","")))&amp;(IF(C111=H100,"",IF(C111&gt;0,", Finishing upto "&amp;C111&amp;" Floor","")))&amp;(IF(C112=H100,"",IF(C112&gt;0,", Possession upto "&amp;C112&amp;" Floor","")))</f>
        <v>, RCC upto 3 Slab, Brickwork upto 2 Floor, Internal Plaster upto 1.5 Floor, External Plaster upto 1.4 Floor</v>
      </c>
    </row>
    <row r="100" spans="1:10">
      <c r="A100" s="44" t="s">
        <v>139</v>
      </c>
      <c r="B100" s="44">
        <f>IF(AND(ISNUMBER(SEARCH("1B",C99))),1,IF(AND(ISNUMBER(SEARCH("2B",C99))),2,IF(AND(ISNUMBER(SEARCH("3B",C99))),3,IF(AND(ISNUMBER(SEARCH("4B",C99))),4,IF(ISNUMBER(SEARCH("5B",C99)),5,0)))))</f>
        <v>3</v>
      </c>
      <c r="C100" s="44" t="s">
        <v>67</v>
      </c>
      <c r="D100" s="44">
        <v>1</v>
      </c>
      <c r="E100" s="44" t="s">
        <v>66</v>
      </c>
      <c r="F100" s="44">
        <v>0</v>
      </c>
      <c r="G100" s="45" t="s">
        <v>75</v>
      </c>
      <c r="H100" s="44">
        <f ca="1">--TRIM(RIGHT(SUBSTITUTE(LEFT(C99,_xlfn.AGGREGATE(16,6,FIND({0,1,2,3,4,5,6,7,8,9},C99,ROW(INDIRECT("1:"&amp;LEN(C99)))),1))," ",REPT(" ",LEN(C99))),LEN(C99)))</f>
        <v>18</v>
      </c>
      <c r="I100" s="78" t="str">
        <f ca="1">IF(D103=100%,"Excavation","")&amp;IF(D104=100%,", Plinth","")&amp;IF(D105=100%,", RCC Slab","")&amp;IF(D106=100%,", Brickwork","")&amp;IF(D107=100%,", Internal Plaster","")&amp;IF(D108=100%,", External Plaster","")&amp;IF(D109=100%,", Flooring","")&amp;IF(D110=100%,", Painting","")&amp;IF(D111=100%,", Building common Amenities","")</f>
        <v>Excavation, Plinth</v>
      </c>
      <c r="J100" s="49" t="str">
        <f ca="1">(IF(C103=0,"Work not yet Started.",IF(D103=25%,"Piling work in process",IF(D103=50%,"Excavation work in process",IF(D103=100%,"","0")))))&amp;(IF(C104=0%,"",IF(C104=J105,", Footing work is process",IF(C104=J106,", Footing work Completed",IF(C104=J107,", 1st Basement Completed",IF(C104=J108,", 1st &amp; 2nd Basement Completed",IF(C104=J109,", 1st to 3rd Basement Completed",IF(C104=J110,", 1st to 4th Basement Completed",IF(C104=J111,", Plinth work is process",IF(C104=J112,"","0"))))))))))</f>
        <v/>
      </c>
    </row>
    <row r="101" spans="1:10" ht="31.5" customHeight="1">
      <c r="A101" s="108" t="s">
        <v>85</v>
      </c>
      <c r="B101" s="108"/>
      <c r="C101" s="109" t="str">
        <f ca="1">(IF($G$62="NA",I99,"All work Completed. OC Received."))</f>
        <v>Excavation, Plinth Completed, RCC upto 3 Slab, Brickwork upto 2 Floor, Internal Plaster upto 1.5 Floor, External Plaster upto 1.4 Floor Completed</v>
      </c>
      <c r="D101" s="109"/>
      <c r="E101" s="109"/>
      <c r="F101" s="109"/>
      <c r="G101" s="109"/>
      <c r="H101" s="109"/>
      <c r="I101" s="78" t="str">
        <f ca="1">IF(I100&lt;&gt;""," Completed","")</f>
        <v xml:space="preserve"> Completed</v>
      </c>
      <c r="J101" s="49" t="str">
        <f ca="1">IF(J99&lt;&gt;"","Completed","")</f>
        <v>Completed</v>
      </c>
    </row>
    <row r="102" spans="1:10" ht="15.75" customHeight="1">
      <c r="A102" s="110" t="s">
        <v>47</v>
      </c>
      <c r="B102" s="110"/>
      <c r="C102" s="41" t="s">
        <v>136</v>
      </c>
      <c r="D102" s="41" t="s">
        <v>78</v>
      </c>
      <c r="E102" s="110" t="s">
        <v>80</v>
      </c>
      <c r="F102" s="110"/>
      <c r="G102" s="110" t="s">
        <v>79</v>
      </c>
      <c r="H102" s="110"/>
      <c r="I102" s="13" t="s">
        <v>138</v>
      </c>
      <c r="J102" s="27">
        <f ca="1">H100*25%</f>
        <v>4.5</v>
      </c>
    </row>
    <row r="103" spans="1:10">
      <c r="A103" s="110" t="s">
        <v>125</v>
      </c>
      <c r="B103" s="110"/>
      <c r="C103" s="72">
        <f ca="1">J104</f>
        <v>18</v>
      </c>
      <c r="D103" s="18">
        <f ca="1">((100/H100)*C103)/100</f>
        <v>1</v>
      </c>
      <c r="E103" s="111">
        <f ca="1">(((C104/H100*10)+(40/(D100+F100+H100)*C105)+(7.5/(H100)*C106)+(7.5/(H100)*C107)+(10/H100*C108)+(10/H100*C109)+(5/H100*C110)+(5/H100*C111)+(5/H100*C112))/100)</f>
        <v>0.18551900584795322</v>
      </c>
      <c r="F103" s="111"/>
      <c r="G103" s="111">
        <f ca="1">((((C103/H100)*20)+((C104/H100)*25)+(30/(H100+F100+D100)*C105)+(5/H100*C106)+(5/H100*C107)+(5/H100*C108)+(5/H100*C109)+(0/H100*C110)+(0/H100*C111)+(5/H100*C112))/100)</f>
        <v>0.5109795321637427</v>
      </c>
      <c r="H103" s="111"/>
      <c r="I103" s="13" t="s">
        <v>96</v>
      </c>
      <c r="J103" s="28">
        <f ca="1">H100*50%</f>
        <v>9</v>
      </c>
    </row>
    <row r="104" spans="1:10">
      <c r="A104" s="110" t="s">
        <v>48</v>
      </c>
      <c r="B104" s="110"/>
      <c r="C104" s="73">
        <f ca="1">J112</f>
        <v>18</v>
      </c>
      <c r="D104" s="18">
        <f ca="1">((100/H100)*C104)/100</f>
        <v>1</v>
      </c>
      <c r="E104" s="111"/>
      <c r="F104" s="111"/>
      <c r="G104" s="111"/>
      <c r="H104" s="111"/>
      <c r="I104" s="13" t="s">
        <v>97</v>
      </c>
      <c r="J104" s="28">
        <f ca="1">H100</f>
        <v>18</v>
      </c>
    </row>
    <row r="105" spans="1:10" ht="15.75" customHeight="1">
      <c r="A105" s="110" t="s">
        <v>126</v>
      </c>
      <c r="B105" s="110"/>
      <c r="C105" s="41">
        <v>3</v>
      </c>
      <c r="D105" s="18">
        <f ca="1">((100/(D100+F100+H100))*C105)/100</f>
        <v>0.15789473684210528</v>
      </c>
      <c r="E105" s="111"/>
      <c r="F105" s="111"/>
      <c r="G105" s="111"/>
      <c r="H105" s="111"/>
      <c r="I105" s="13" t="s">
        <v>98</v>
      </c>
      <c r="J105" s="29">
        <f ca="1">(IF(B100&gt;1,(H100/(B100+2)),H100/4))</f>
        <v>3.6</v>
      </c>
    </row>
    <row r="106" spans="1:10" ht="15.75" customHeight="1">
      <c r="A106" s="110" t="s">
        <v>133</v>
      </c>
      <c r="B106" s="110" t="s">
        <v>127</v>
      </c>
      <c r="C106" s="41">
        <f>C105-D100</f>
        <v>2</v>
      </c>
      <c r="D106" s="18">
        <f ca="1">((100/H100)*C106)/100</f>
        <v>0.1111111111111111</v>
      </c>
      <c r="E106" s="111"/>
      <c r="F106" s="111"/>
      <c r="G106" s="111"/>
      <c r="H106" s="111"/>
      <c r="I106" s="13" t="s">
        <v>99</v>
      </c>
      <c r="J106" s="29">
        <f ca="1">(IF(B100&gt;1,(H100/(B100+2)+J105),H100/4+J105))</f>
        <v>7.2</v>
      </c>
    </row>
    <row r="107" spans="1:10" ht="15.75" customHeight="1">
      <c r="A107" s="110" t="s">
        <v>134</v>
      </c>
      <c r="B107" s="110" t="s">
        <v>127</v>
      </c>
      <c r="C107" s="76">
        <f>C106*0.75</f>
        <v>1.5</v>
      </c>
      <c r="D107" s="18">
        <f ca="1">((100/H100)*C107)/100</f>
        <v>8.3333333333333315E-2</v>
      </c>
      <c r="E107" s="111"/>
      <c r="F107" s="111"/>
      <c r="G107" s="111"/>
      <c r="H107" s="111"/>
      <c r="I107" s="13" t="s">
        <v>143</v>
      </c>
      <c r="J107" s="29">
        <f ca="1">(IF(B100&gt;1,(H100/(B100+2)+J106),0))</f>
        <v>10.8</v>
      </c>
    </row>
    <row r="108" spans="1:10" ht="15" customHeight="1">
      <c r="A108" s="110" t="s">
        <v>132</v>
      </c>
      <c r="B108" s="110" t="s">
        <v>129</v>
      </c>
      <c r="C108" s="76">
        <f>C106*0.7</f>
        <v>1.4</v>
      </c>
      <c r="D108" s="18">
        <f ca="1">((100/(H100))*C108)/100</f>
        <v>7.7777777777777765E-2</v>
      </c>
      <c r="E108" s="111"/>
      <c r="F108" s="111"/>
      <c r="G108" s="111"/>
      <c r="H108" s="111"/>
      <c r="I108" s="13" t="s">
        <v>140</v>
      </c>
      <c r="J108" s="29">
        <f ca="1">(IF(B100&gt;2,(H100/(B100+2)+J107),0))</f>
        <v>14.4</v>
      </c>
    </row>
    <row r="109" spans="1:10" ht="15.75" customHeight="1">
      <c r="A109" s="110" t="s">
        <v>128</v>
      </c>
      <c r="B109" s="110" t="s">
        <v>128</v>
      </c>
      <c r="C109" s="41">
        <v>0</v>
      </c>
      <c r="D109" s="18">
        <f ca="1">((100/H100)*C109)/100</f>
        <v>0</v>
      </c>
      <c r="E109" s="111"/>
      <c r="F109" s="111"/>
      <c r="G109" s="111"/>
      <c r="H109" s="111"/>
      <c r="I109" s="13" t="s">
        <v>141</v>
      </c>
      <c r="J109" s="30">
        <f>(IF(B100&gt;3,(H100/(B100+2)+J108),0))</f>
        <v>0</v>
      </c>
    </row>
    <row r="110" spans="1:10" ht="15.75" customHeight="1">
      <c r="A110" s="110" t="s">
        <v>135</v>
      </c>
      <c r="B110" s="110"/>
      <c r="C110" s="41">
        <v>0</v>
      </c>
      <c r="D110" s="18">
        <f ca="1">((100/H100)*C110)/100</f>
        <v>0</v>
      </c>
      <c r="E110" s="111"/>
      <c r="F110" s="111"/>
      <c r="G110" s="111"/>
      <c r="H110" s="111"/>
      <c r="I110" s="13" t="s">
        <v>142</v>
      </c>
      <c r="J110" s="29">
        <f>(IF(B100&gt;4,(H100/(B100+2)+J109),0))</f>
        <v>0</v>
      </c>
    </row>
    <row r="111" spans="1:10" ht="15.75" customHeight="1">
      <c r="A111" s="110" t="s">
        <v>130</v>
      </c>
      <c r="B111" s="110" t="s">
        <v>130</v>
      </c>
      <c r="C111" s="41">
        <v>0</v>
      </c>
      <c r="D111" s="18">
        <f ca="1">((100/(H100))*C111)/100</f>
        <v>0</v>
      </c>
      <c r="E111" s="111"/>
      <c r="F111" s="111"/>
      <c r="G111" s="111"/>
      <c r="H111" s="111"/>
      <c r="I111" s="13" t="s">
        <v>144</v>
      </c>
      <c r="J111" s="29">
        <f>(IF(B100=1,(H100/(B100+3)+J106),IF(B100=0,(H100/4+J106),IF(B100&gt;1,0))))</f>
        <v>0</v>
      </c>
    </row>
    <row r="112" spans="1:10" ht="16.5" thickBot="1">
      <c r="A112" s="110" t="s">
        <v>131</v>
      </c>
      <c r="B112" s="110"/>
      <c r="C112" s="41">
        <v>0</v>
      </c>
      <c r="D112" s="18">
        <f ca="1">((100/(H100))*C112)/100</f>
        <v>0</v>
      </c>
      <c r="E112" s="111"/>
      <c r="F112" s="111"/>
      <c r="G112" s="111"/>
      <c r="H112" s="111"/>
      <c r="I112" s="14" t="s">
        <v>100</v>
      </c>
      <c r="J112" s="31">
        <f ca="1">(IF(B100&gt;1.5,(H100/(B100+2)+J106+MAX(0,J107-J106)+MAX(0,J108-J107)+MAX(0,J109-J108)+MAX(0,J110-J109)+MAX(0,J111-J110)),IF(B100=1,(H100/(B100+3)+J111),IF(B100=0,H100/4+J111))))</f>
        <v>18</v>
      </c>
    </row>
    <row r="113" spans="1:10" ht="15.75" customHeight="1">
      <c r="A113" s="191" t="s">
        <v>137</v>
      </c>
      <c r="B113" s="192"/>
      <c r="C113" s="214" t="s">
        <v>393</v>
      </c>
      <c r="D113" s="215"/>
      <c r="E113" s="215"/>
      <c r="F113" s="215"/>
      <c r="G113" s="215"/>
      <c r="H113" s="216"/>
      <c r="I113" s="46" t="str">
        <f ca="1">IF(D126=100%,"All work Completed. Possession granted to the Building.",IF(D125=100%,"All work Completed, Waiting for OC",I114&amp;""&amp;I115&amp;""&amp;J114&amp;""&amp;J113&amp;" "&amp;J115))</f>
        <v>Excavation, Plinth Completed, RCC upto 4 Slab, Brickwork upto 3 Floor, Internal Plaster upto 2.25 Floor, External Plaster upto 2.1 Floor Completed</v>
      </c>
      <c r="J113" s="47" t="str">
        <f ca="1">(IF(C119=(D114+F114+H114),"",IF(C119&gt;0,", RCC upto "&amp;C119&amp;" Slab","")))&amp;(IF(C120=H114,"",IF(C120&gt;0,", Brickwork upto "&amp;C120&amp;" Floor","")))&amp;(IF(C121=H114,"",IF(C121&gt;0,", Internal Plaster upto "&amp;C121&amp;" Floor","")))&amp;(IF(C122=H114,"",IF(C122&gt;0,", External Plaster upto "&amp;C122&amp;" Floor","")))&amp;(IF(C123=H114,"",IF(C123&gt;0,", Flooring upto "&amp;C123&amp;" Floor","")))&amp;(IF(C124=H114,"",IF(C124&gt;0,", Painting upto "&amp;C124&amp;" Floor","")))&amp;(IF(C125=H114,"",IF(C125&gt;0,", Finishing upto "&amp;C125&amp;" Floor","")))&amp;(IF(C126=H114,"",IF(C126&gt;0,", Possession upto "&amp;C126&amp;" Floor","")))</f>
        <v>, RCC upto 4 Slab, Brickwork upto 3 Floor, Internal Plaster upto 2.25 Floor, External Plaster upto 2.1 Floor</v>
      </c>
    </row>
    <row r="114" spans="1:10">
      <c r="A114" s="15" t="s">
        <v>139</v>
      </c>
      <c r="B114" s="44">
        <f>IF(AND(ISNUMBER(SEARCH("1B",C113))),1,IF(AND(ISNUMBER(SEARCH("2B",C113))),2,IF(AND(ISNUMBER(SEARCH("3B",C113))),3,IF(AND(ISNUMBER(SEARCH("4B",C113))),4,IF(ISNUMBER(SEARCH("5B",C113)),5,0)))))</f>
        <v>3</v>
      </c>
      <c r="C114" s="44" t="s">
        <v>67</v>
      </c>
      <c r="D114" s="44">
        <v>1</v>
      </c>
      <c r="E114" s="44" t="s">
        <v>66</v>
      </c>
      <c r="F114" s="44">
        <v>0</v>
      </c>
      <c r="G114" s="45" t="s">
        <v>75</v>
      </c>
      <c r="H114" s="16">
        <f ca="1">--TRIM(RIGHT(SUBSTITUTE(LEFT(C113,_xlfn.AGGREGATE(16,6,FIND({0,1,2,3,4,5,6,7,8,9},C113,ROW(INDIRECT("1:"&amp;LEN(C113)))),1))," ",REPT(" ",LEN(C113))),LEN(C113)))</f>
        <v>18</v>
      </c>
      <c r="I114" s="48" t="str">
        <f ca="1">IF(D117=100%,"Excavation","")&amp;IF(D118=100%,", Plinth","")&amp;IF(D119=100%,", RCC Slab","")&amp;IF(D120=100%,", Brickwork","")&amp;IF(D121=100%,", Internal Plaster","")&amp;IF(D122=100%,", External Plaster","")&amp;IF(D123=100%,", Flooring","")&amp;IF(D124=100%,", Painting","")&amp;IF(D125=100%,", Building common Amenities","")</f>
        <v>Excavation, Plinth</v>
      </c>
      <c r="J114" s="49" t="str">
        <f ca="1">(IF(C117=0,"Work not yet Started.",IF(D117=25%,"Piling work in process",IF(D117=50%,"Excavation work in process",IF(D117=100%,"","0")))))&amp;(IF(C118=0%,"",IF(C118=J119,", Footing work is process",IF(C118=J120,", Footing work Completed",IF(C118=J121,", 1st Basement Completed",IF(C118=J122,", 1st &amp; 2nd Basement Completed",IF(C118=J123,", 1st to 3rd Basement Completed",IF(C118=J124,", 1st to 4th Basement Completed",IF(C118=J125,", Plinth work is process",IF(C118=J126,"","0"))))))))))</f>
        <v/>
      </c>
    </row>
    <row r="115" spans="1:10" ht="32.25" customHeight="1">
      <c r="A115" s="112" t="s">
        <v>85</v>
      </c>
      <c r="B115" s="108"/>
      <c r="C115" s="109" t="str">
        <f ca="1">(IF($G$62="NA",I113,"All work Completed. OC Received."))</f>
        <v>Excavation, Plinth Completed, RCC upto 4 Slab, Brickwork upto 3 Floor, Internal Plaster upto 2.25 Floor, External Plaster upto 2.1 Floor Completed</v>
      </c>
      <c r="D115" s="109"/>
      <c r="E115" s="109"/>
      <c r="F115" s="109"/>
      <c r="G115" s="109"/>
      <c r="H115" s="113"/>
      <c r="I115" s="48" t="str">
        <f ca="1">IF(I114&lt;&gt;""," Completed","")</f>
        <v xml:space="preserve"> Completed</v>
      </c>
      <c r="J115" s="49" t="str">
        <f ca="1">IF(J113&lt;&gt;"","Completed","")</f>
        <v>Completed</v>
      </c>
    </row>
    <row r="116" spans="1:10" ht="15.75" customHeight="1">
      <c r="A116" s="114" t="s">
        <v>47</v>
      </c>
      <c r="B116" s="110"/>
      <c r="C116" s="41" t="s">
        <v>136</v>
      </c>
      <c r="D116" s="41" t="s">
        <v>78</v>
      </c>
      <c r="E116" s="110" t="s">
        <v>80</v>
      </c>
      <c r="F116" s="110"/>
      <c r="G116" s="110" t="s">
        <v>79</v>
      </c>
      <c r="H116" s="115"/>
      <c r="I116" s="13" t="s">
        <v>138</v>
      </c>
      <c r="J116" s="27">
        <f ca="1">H114*25%</f>
        <v>4.5</v>
      </c>
    </row>
    <row r="117" spans="1:10">
      <c r="A117" s="110" t="s">
        <v>125</v>
      </c>
      <c r="B117" s="110"/>
      <c r="C117" s="72">
        <f ca="1">J118</f>
        <v>18</v>
      </c>
      <c r="D117" s="18">
        <f ca="1">((100/H114)*C117)/100</f>
        <v>1</v>
      </c>
      <c r="E117" s="111">
        <f ca="1">(((C118/H114*10)+(40/(D114+F114+H114)*C119)+(7.5/(H114)*C120)+(7.5/(H114)*C121)+(10/H114*C122)+(10/H114*C123)+(5/H114*C124)+(5/H114*C125)+(5/H114*C126))/100)</f>
        <v>0.21775219298245613</v>
      </c>
      <c r="F117" s="111"/>
      <c r="G117" s="111">
        <f ca="1">((((C117/H114)*20)+((C118/H114)*25)+(30/(H114+F114+D114)*C119)+(5/H114*C120)+(5/H114*C121)+(5/H114*C122)+(5/H114*C123)+(0/H114*C124)+(0/H114*C125)+(5/H114*C126))/100)</f>
        <v>0.53357456140350878</v>
      </c>
      <c r="H117" s="111"/>
      <c r="I117" s="13" t="s">
        <v>96</v>
      </c>
      <c r="J117" s="28">
        <f ca="1">H114*50%</f>
        <v>9</v>
      </c>
    </row>
    <row r="118" spans="1:10">
      <c r="A118" s="110" t="s">
        <v>48</v>
      </c>
      <c r="B118" s="110"/>
      <c r="C118" s="73">
        <f ca="1">J126</f>
        <v>18</v>
      </c>
      <c r="D118" s="18">
        <f ca="1">((100/H114)*C118)/100</f>
        <v>1</v>
      </c>
      <c r="E118" s="111"/>
      <c r="F118" s="111"/>
      <c r="G118" s="111"/>
      <c r="H118" s="111"/>
      <c r="I118" s="13" t="s">
        <v>97</v>
      </c>
      <c r="J118" s="28">
        <f ca="1">H114</f>
        <v>18</v>
      </c>
    </row>
    <row r="119" spans="1:10" ht="15.75" customHeight="1">
      <c r="A119" s="110" t="s">
        <v>126</v>
      </c>
      <c r="B119" s="110"/>
      <c r="C119" s="72">
        <v>4</v>
      </c>
      <c r="D119" s="18">
        <f ca="1">((100/(D114+F114+H114))*C119)/100</f>
        <v>0.2105263157894737</v>
      </c>
      <c r="E119" s="111"/>
      <c r="F119" s="111"/>
      <c r="G119" s="111"/>
      <c r="H119" s="111"/>
      <c r="I119" s="13" t="s">
        <v>98</v>
      </c>
      <c r="J119" s="29">
        <f ca="1">(IF(B114&gt;1,(H114/(B114+2)),H114/4))</f>
        <v>3.6</v>
      </c>
    </row>
    <row r="120" spans="1:10" ht="15.75" customHeight="1">
      <c r="A120" s="110" t="s">
        <v>133</v>
      </c>
      <c r="B120" s="110" t="s">
        <v>127</v>
      </c>
      <c r="C120" s="41">
        <f>C119-D114</f>
        <v>3</v>
      </c>
      <c r="D120" s="18">
        <f ca="1">((100/H114)*C120)/100</f>
        <v>0.16666666666666663</v>
      </c>
      <c r="E120" s="111"/>
      <c r="F120" s="111"/>
      <c r="G120" s="111"/>
      <c r="H120" s="111"/>
      <c r="I120" s="13" t="s">
        <v>99</v>
      </c>
      <c r="J120" s="29">
        <f ca="1">(IF(B114&gt;1,(H114/(B114+2)+J119),H114/4+J119))</f>
        <v>7.2</v>
      </c>
    </row>
    <row r="121" spans="1:10" ht="15.75" customHeight="1">
      <c r="A121" s="110" t="s">
        <v>134</v>
      </c>
      <c r="B121" s="110" t="s">
        <v>127</v>
      </c>
      <c r="C121" s="76">
        <f>C120*0.75</f>
        <v>2.25</v>
      </c>
      <c r="D121" s="18">
        <f ca="1">((100/H114)*C121)/100</f>
        <v>0.125</v>
      </c>
      <c r="E121" s="111"/>
      <c r="F121" s="111"/>
      <c r="G121" s="111"/>
      <c r="H121" s="111"/>
      <c r="I121" s="13" t="s">
        <v>143</v>
      </c>
      <c r="J121" s="29">
        <f ca="1">(IF(B114&gt;1,(H114/(B114+2)+J120),0))</f>
        <v>10.8</v>
      </c>
    </row>
    <row r="122" spans="1:10" ht="15" customHeight="1">
      <c r="A122" s="110" t="s">
        <v>132</v>
      </c>
      <c r="B122" s="110" t="s">
        <v>129</v>
      </c>
      <c r="C122" s="76">
        <f>C120*0.7</f>
        <v>2.0999999999999996</v>
      </c>
      <c r="D122" s="18">
        <f ca="1">((100/(H114))*C122)/100</f>
        <v>0.11666666666666664</v>
      </c>
      <c r="E122" s="111"/>
      <c r="F122" s="111"/>
      <c r="G122" s="111"/>
      <c r="H122" s="111"/>
      <c r="I122" s="13" t="s">
        <v>140</v>
      </c>
      <c r="J122" s="29">
        <f ca="1">(IF(B114&gt;2,(H114/(B114+2)+J121),0))</f>
        <v>14.4</v>
      </c>
    </row>
    <row r="123" spans="1:10" ht="15.75" customHeight="1">
      <c r="A123" s="110" t="s">
        <v>128</v>
      </c>
      <c r="B123" s="110" t="s">
        <v>128</v>
      </c>
      <c r="C123" s="41">
        <v>0</v>
      </c>
      <c r="D123" s="18">
        <f ca="1">((100/H114)*C123)/100</f>
        <v>0</v>
      </c>
      <c r="E123" s="111"/>
      <c r="F123" s="111"/>
      <c r="G123" s="111"/>
      <c r="H123" s="111"/>
      <c r="I123" s="13" t="s">
        <v>141</v>
      </c>
      <c r="J123" s="30">
        <f>(IF(B114&gt;3,(H114/(B114+2)+J122),0))</f>
        <v>0</v>
      </c>
    </row>
    <row r="124" spans="1:10" ht="15.75" customHeight="1">
      <c r="A124" s="110" t="s">
        <v>135</v>
      </c>
      <c r="B124" s="110"/>
      <c r="C124" s="41">
        <v>0</v>
      </c>
      <c r="D124" s="18">
        <f ca="1">((100/H114)*C124)/100</f>
        <v>0</v>
      </c>
      <c r="E124" s="111"/>
      <c r="F124" s="111"/>
      <c r="G124" s="111"/>
      <c r="H124" s="111"/>
      <c r="I124" s="13" t="s">
        <v>142</v>
      </c>
      <c r="J124" s="29">
        <f>(IF(B114&gt;4,(H114/(B114+2)+J123),0))</f>
        <v>0</v>
      </c>
    </row>
    <row r="125" spans="1:10" ht="15.75" customHeight="1">
      <c r="A125" s="110" t="s">
        <v>130</v>
      </c>
      <c r="B125" s="110" t="s">
        <v>130</v>
      </c>
      <c r="C125" s="41">
        <v>0</v>
      </c>
      <c r="D125" s="18">
        <f ca="1">((100/(H114))*C125)/100</f>
        <v>0</v>
      </c>
      <c r="E125" s="111"/>
      <c r="F125" s="111"/>
      <c r="G125" s="111"/>
      <c r="H125" s="111"/>
      <c r="I125" s="13" t="s">
        <v>144</v>
      </c>
      <c r="J125" s="29">
        <f>(IF(B114=1,(H114/(B114+3)+J120),IF(B114=0,(H114/4+J120),IF(B114&gt;1,0))))</f>
        <v>0</v>
      </c>
    </row>
    <row r="126" spans="1:10" ht="16.5" thickBot="1">
      <c r="A126" s="110" t="s">
        <v>131</v>
      </c>
      <c r="B126" s="110"/>
      <c r="C126" s="41">
        <v>0</v>
      </c>
      <c r="D126" s="18">
        <f ca="1">((100/(H114))*C126)/100</f>
        <v>0</v>
      </c>
      <c r="E126" s="111"/>
      <c r="F126" s="111"/>
      <c r="G126" s="111"/>
      <c r="H126" s="111"/>
      <c r="I126" s="14" t="s">
        <v>100</v>
      </c>
      <c r="J126" s="31">
        <f ca="1">(IF(B114&gt;1.5,(H114/(B114+2)+J120+MAX(0,J121-J120)+MAX(0,J122-J121)+MAX(0,J123-J122)+MAX(0,J124-J123)+MAX(0,J125-J124)),IF(B114=1,(H114/(B114+3)+J125),IF(B114=0,H114/4+J125))))</f>
        <v>18</v>
      </c>
    </row>
    <row r="127" spans="1:10" ht="15.75" customHeight="1">
      <c r="A127" s="107" t="s">
        <v>137</v>
      </c>
      <c r="B127" s="107"/>
      <c r="C127" s="107" t="s">
        <v>361</v>
      </c>
      <c r="D127" s="107"/>
      <c r="E127" s="107"/>
      <c r="F127" s="107"/>
      <c r="G127" s="107"/>
      <c r="H127" s="107"/>
      <c r="I127" s="77" t="str">
        <f ca="1">IF(D140=100%,"All work Completed. Possession granted to the Building.",IF(D139=100%,"All work Completed, Waiting for OC",I128&amp;""&amp;I129&amp;""&amp;J128&amp;""&amp;J127&amp;" "&amp;J129))</f>
        <v>Excavation, Plinth Completed, RCC upto 3 Slab, Brickwork upto 2 Floor Completed</v>
      </c>
      <c r="J127" s="47" t="str">
        <f ca="1">(IF(C133=(D128+F128+H128),"",IF(C133&gt;0,", RCC upto "&amp;C133&amp;" Slab","")))&amp;(IF(C134=H128,"",IF(C134&gt;0,", Brickwork upto "&amp;C134&amp;" Floor","")))&amp;(IF(C135=H128,"",IF(C135&gt;0,", Internal Plaster upto "&amp;C135&amp;" Floor","")))&amp;(IF(C136=H128,"",IF(C136&gt;0,", External Plaster upto "&amp;C136&amp;" Floor","")))&amp;(IF(C137=H128,"",IF(C137&gt;0,", Flooring upto "&amp;C137&amp;" Floor","")))&amp;(IF(C138=H128,"",IF(C138&gt;0,", Painting upto "&amp;C138&amp;" Floor","")))&amp;(IF(C139=H128,"",IF(C139&gt;0,", Finishing upto "&amp;C139&amp;" Floor","")))&amp;(IF(C140=H128,"",IF(C140&gt;0,", Possession upto "&amp;C140&amp;" Floor","")))</f>
        <v>, RCC upto 3 Slab, Brickwork upto 2 Floor</v>
      </c>
    </row>
    <row r="128" spans="1:10">
      <c r="A128" s="44" t="s">
        <v>139</v>
      </c>
      <c r="B128" s="44">
        <f>IF(AND(ISNUMBER(SEARCH("1B",C127))),1,IF(AND(ISNUMBER(SEARCH("2B",C127))),2,IF(AND(ISNUMBER(SEARCH("3B",C127))),3,IF(AND(ISNUMBER(SEARCH("4B",C127))),4,IF(ISNUMBER(SEARCH("5B",C127)),5,0)))))</f>
        <v>3</v>
      </c>
      <c r="C128" s="44" t="s">
        <v>67</v>
      </c>
      <c r="D128" s="44">
        <v>1</v>
      </c>
      <c r="E128" s="44" t="s">
        <v>66</v>
      </c>
      <c r="F128" s="44">
        <v>0</v>
      </c>
      <c r="G128" s="45" t="s">
        <v>75</v>
      </c>
      <c r="H128" s="44">
        <f ca="1">--TRIM(RIGHT(SUBSTITUTE(LEFT(C127,_xlfn.AGGREGATE(16,6,FIND({0,1,2,3,4,5,6,7,8,9},C127,ROW(INDIRECT("1:"&amp;LEN(C127)))),1))," ",REPT(" ",LEN(C127))),LEN(C127)))</f>
        <v>18</v>
      </c>
      <c r="I128" s="78" t="str">
        <f ca="1">IF(D131=100%,"Excavation","")&amp;IF(D132=100%,", Plinth","")&amp;IF(D133=100%,", RCC Slab","")&amp;IF(D134=100%,", Brickwork","")&amp;IF(D135=100%,", Internal Plaster","")&amp;IF(D136=100%,", External Plaster","")&amp;IF(D137=100%,", Flooring","")&amp;IF(D138=100%,", Painting","")&amp;IF(D139=100%,", Building common Amenities","")</f>
        <v>Excavation, Plinth</v>
      </c>
      <c r="J128" s="49" t="str">
        <f ca="1">(IF(C131=0,"Work not yet Started.",IF(D131=25%,"Piling work in process",IF(D131=50%,"Excavation work in process",IF(D131=100%,"","0")))))&amp;(IF(C132=0%,"",IF(C132=J133,", Footing work is process",IF(C132=J134,", Footing work Completed",IF(C132=J135,", 1st Basement Completed",IF(C132=J136,", 1st &amp; 2nd Basement Completed",IF(C132=J137,", 1st to 3rd Basement Completed",IF(C132=J138,", 1st to 4th Basement Completed",IF(C132=J139,", Plinth work is process",IF(C132=J140,"","0"))))))))))</f>
        <v/>
      </c>
    </row>
    <row r="129" spans="1:10">
      <c r="A129" s="108" t="s">
        <v>85</v>
      </c>
      <c r="B129" s="108"/>
      <c r="C129" s="109" t="str">
        <f ca="1">(IF($G$62="NA",I127,"All work Completed. OC Received."))</f>
        <v>Excavation, Plinth Completed, RCC upto 3 Slab, Brickwork upto 2 Floor Completed</v>
      </c>
      <c r="D129" s="109"/>
      <c r="E129" s="109"/>
      <c r="F129" s="109"/>
      <c r="G129" s="109"/>
      <c r="H129" s="109"/>
      <c r="I129" s="78" t="str">
        <f ca="1">IF(I128&lt;&gt;""," Completed","")</f>
        <v xml:space="preserve"> Completed</v>
      </c>
      <c r="J129" s="49" t="str">
        <f ca="1">IF(J127&lt;&gt;"","Completed","")</f>
        <v>Completed</v>
      </c>
    </row>
    <row r="130" spans="1:10" ht="15.75" customHeight="1">
      <c r="A130" s="110" t="s">
        <v>47</v>
      </c>
      <c r="B130" s="110"/>
      <c r="C130" s="41" t="s">
        <v>136</v>
      </c>
      <c r="D130" s="41" t="s">
        <v>78</v>
      </c>
      <c r="E130" s="110" t="s">
        <v>80</v>
      </c>
      <c r="F130" s="110"/>
      <c r="G130" s="110" t="s">
        <v>79</v>
      </c>
      <c r="H130" s="110"/>
      <c r="I130" s="13" t="s">
        <v>138</v>
      </c>
      <c r="J130" s="27">
        <f ca="1">H128*25%</f>
        <v>4.5</v>
      </c>
    </row>
    <row r="131" spans="1:10">
      <c r="A131" s="110" t="s">
        <v>125</v>
      </c>
      <c r="B131" s="110"/>
      <c r="C131" s="72">
        <f ca="1">J132</f>
        <v>18</v>
      </c>
      <c r="D131" s="18">
        <f ca="1">((100/H128)*C131)/100</f>
        <v>1</v>
      </c>
      <c r="E131" s="111">
        <f ca="1">(((C132/H128*10)+(40/(D128+F128+H128)*C133)+(7.5/(H128)*C134)+(7.5/(H128)*C135)+(10/H128*C136)+(10/H128*C137)+(5/H128*C138)+(5/H128*C139)+(5/H128*C140))/100)</f>
        <v>0.17149122807017544</v>
      </c>
      <c r="F131" s="111"/>
      <c r="G131" s="111">
        <f ca="1">((((C131/H128)*20)+((C132/H128)*25)+(30/(H128+F128+D128)*C133)+(5/H128*C134)+(5/H128*C135)+(5/H128*C136)+(5/H128*C137)+(0/H128*C138)+(0/H128*C139)+(5/H128*C140))/100)</f>
        <v>0.50292397660818711</v>
      </c>
      <c r="H131" s="111"/>
      <c r="I131" s="13" t="s">
        <v>96</v>
      </c>
      <c r="J131" s="28">
        <f ca="1">H128*50%</f>
        <v>9</v>
      </c>
    </row>
    <row r="132" spans="1:10">
      <c r="A132" s="110" t="s">
        <v>48</v>
      </c>
      <c r="B132" s="110"/>
      <c r="C132" s="73">
        <f ca="1">J140</f>
        <v>18</v>
      </c>
      <c r="D132" s="18">
        <f ca="1">((100/H128)*C132)/100</f>
        <v>1</v>
      </c>
      <c r="E132" s="111"/>
      <c r="F132" s="111"/>
      <c r="G132" s="111"/>
      <c r="H132" s="111"/>
      <c r="I132" s="13" t="s">
        <v>97</v>
      </c>
      <c r="J132" s="28">
        <f ca="1">H128</f>
        <v>18</v>
      </c>
    </row>
    <row r="133" spans="1:10" ht="15.75" customHeight="1">
      <c r="A133" s="110" t="s">
        <v>126</v>
      </c>
      <c r="B133" s="110"/>
      <c r="C133" s="72">
        <v>3</v>
      </c>
      <c r="D133" s="18">
        <f ca="1">((100/(D128+F128+H128))*C133)/100</f>
        <v>0.15789473684210528</v>
      </c>
      <c r="E133" s="111"/>
      <c r="F133" s="111"/>
      <c r="G133" s="111"/>
      <c r="H133" s="111"/>
      <c r="I133" s="13" t="s">
        <v>98</v>
      </c>
      <c r="J133" s="29">
        <f ca="1">(IF(B128&gt;1,(H128/(B128+2)),H128/4))</f>
        <v>3.6</v>
      </c>
    </row>
    <row r="134" spans="1:10" ht="15.75" customHeight="1">
      <c r="A134" s="110" t="s">
        <v>133</v>
      </c>
      <c r="B134" s="110" t="s">
        <v>127</v>
      </c>
      <c r="C134" s="41">
        <f>C133-D128</f>
        <v>2</v>
      </c>
      <c r="D134" s="18">
        <f ca="1">((100/H128)*C134)/100</f>
        <v>0.1111111111111111</v>
      </c>
      <c r="E134" s="111"/>
      <c r="F134" s="111"/>
      <c r="G134" s="111"/>
      <c r="H134" s="111"/>
      <c r="I134" s="13" t="s">
        <v>99</v>
      </c>
      <c r="J134" s="29">
        <f ca="1">(IF(B128&gt;1,(H128/(B128+2)+J133),H128/4+J133))</f>
        <v>7.2</v>
      </c>
    </row>
    <row r="135" spans="1:10" ht="15.75" customHeight="1">
      <c r="A135" s="110" t="s">
        <v>134</v>
      </c>
      <c r="B135" s="110" t="s">
        <v>127</v>
      </c>
      <c r="C135" s="41">
        <v>0</v>
      </c>
      <c r="D135" s="18">
        <f ca="1">((100/H128)*C135)/100</f>
        <v>0</v>
      </c>
      <c r="E135" s="111"/>
      <c r="F135" s="111"/>
      <c r="G135" s="111"/>
      <c r="H135" s="111"/>
      <c r="I135" s="13" t="s">
        <v>143</v>
      </c>
      <c r="J135" s="29">
        <f ca="1">(IF(B128&gt;1,(H128/(B128+2)+J134),0))</f>
        <v>10.8</v>
      </c>
    </row>
    <row r="136" spans="1:10" ht="15" customHeight="1">
      <c r="A136" s="110" t="s">
        <v>132</v>
      </c>
      <c r="B136" s="110" t="s">
        <v>129</v>
      </c>
      <c r="C136" s="41">
        <v>0</v>
      </c>
      <c r="D136" s="18">
        <f ca="1">((100/(H128))*C136)/100</f>
        <v>0</v>
      </c>
      <c r="E136" s="111"/>
      <c r="F136" s="111"/>
      <c r="G136" s="111"/>
      <c r="H136" s="111"/>
      <c r="I136" s="13" t="s">
        <v>140</v>
      </c>
      <c r="J136" s="29">
        <f ca="1">(IF(B128&gt;2,(H128/(B128+2)+J135),0))</f>
        <v>14.4</v>
      </c>
    </row>
    <row r="137" spans="1:10" ht="15.75" customHeight="1">
      <c r="A137" s="110" t="s">
        <v>128</v>
      </c>
      <c r="B137" s="110" t="s">
        <v>128</v>
      </c>
      <c r="C137" s="41">
        <v>0</v>
      </c>
      <c r="D137" s="18">
        <f ca="1">((100/H128)*C137)/100</f>
        <v>0</v>
      </c>
      <c r="E137" s="111"/>
      <c r="F137" s="111"/>
      <c r="G137" s="111"/>
      <c r="H137" s="111"/>
      <c r="I137" s="13" t="s">
        <v>141</v>
      </c>
      <c r="J137" s="30">
        <f>(IF(B128&gt;3,(H128/(B128+2)+J136),0))</f>
        <v>0</v>
      </c>
    </row>
    <row r="138" spans="1:10" ht="15.75" customHeight="1">
      <c r="A138" s="110" t="s">
        <v>135</v>
      </c>
      <c r="B138" s="110"/>
      <c r="C138" s="41">
        <v>0</v>
      </c>
      <c r="D138" s="18">
        <f ca="1">((100/H128)*C138)/100</f>
        <v>0</v>
      </c>
      <c r="E138" s="111"/>
      <c r="F138" s="111"/>
      <c r="G138" s="111"/>
      <c r="H138" s="111"/>
      <c r="I138" s="13" t="s">
        <v>142</v>
      </c>
      <c r="J138" s="29">
        <f>(IF(B128&gt;4,(H128/(B128+2)+J137),0))</f>
        <v>0</v>
      </c>
    </row>
    <row r="139" spans="1:10" ht="15.75" customHeight="1">
      <c r="A139" s="110" t="s">
        <v>130</v>
      </c>
      <c r="B139" s="110" t="s">
        <v>130</v>
      </c>
      <c r="C139" s="41">
        <v>0</v>
      </c>
      <c r="D139" s="18">
        <f ca="1">((100/(H128))*C139)/100</f>
        <v>0</v>
      </c>
      <c r="E139" s="111"/>
      <c r="F139" s="111"/>
      <c r="G139" s="111"/>
      <c r="H139" s="111"/>
      <c r="I139" s="13" t="s">
        <v>144</v>
      </c>
      <c r="J139" s="29">
        <f>(IF(B128=1,(H128/(B128+3)+J134),IF(B128=0,(H128/4+J134),IF(B128&gt;1,0))))</f>
        <v>0</v>
      </c>
    </row>
    <row r="140" spans="1:10" ht="16.5" thickBot="1">
      <c r="A140" s="110" t="s">
        <v>131</v>
      </c>
      <c r="B140" s="110"/>
      <c r="C140" s="41">
        <v>0</v>
      </c>
      <c r="D140" s="18">
        <f ca="1">((100/(H128))*C140)/100</f>
        <v>0</v>
      </c>
      <c r="E140" s="111"/>
      <c r="F140" s="111"/>
      <c r="G140" s="111"/>
      <c r="H140" s="111"/>
      <c r="I140" s="14" t="s">
        <v>100</v>
      </c>
      <c r="J140" s="31">
        <f ca="1">(IF(B128&gt;1.5,(H128/(B128+2)+J134+MAX(0,J135-J134)+MAX(0,J136-J135)+MAX(0,J137-J136)+MAX(0,J138-J137)+MAX(0,J139-J138)),IF(B128=1,(H128/(B128+3)+J139),IF(B128=0,H128/4+J139))))</f>
        <v>18</v>
      </c>
    </row>
    <row r="141" spans="1:10" ht="15.75" customHeight="1">
      <c r="A141" s="107" t="s">
        <v>137</v>
      </c>
      <c r="B141" s="107"/>
      <c r="C141" s="107" t="s">
        <v>362</v>
      </c>
      <c r="D141" s="107"/>
      <c r="E141" s="107"/>
      <c r="F141" s="107"/>
      <c r="G141" s="107"/>
      <c r="H141" s="107"/>
      <c r="I141" s="77" t="str">
        <f ca="1">IF(D154=100%,"All work Completed. Possession granted to the Building.",IF(D153=100%,"All work Completed, Waiting for OC",I142&amp;""&amp;I143&amp;""&amp;J142&amp;""&amp;J141&amp;" "&amp;J143))</f>
        <v>Excavation, Plinth Completed, RCC upto 1 Slab Completed</v>
      </c>
      <c r="J141" s="47" t="str">
        <f ca="1">(IF(C147=(D142+F142+H142),"",IF(C147&gt;0,", RCC upto "&amp;C147&amp;" Slab","")))&amp;(IF(C148=H142,"",IF(C148&gt;0,", Brickwork upto "&amp;C148&amp;" Floor","")))&amp;(IF(C149=H142,"",IF(C149&gt;0,", Internal Plaster upto "&amp;C149&amp;" Floor","")))&amp;(IF(C150=H142,"",IF(C150&gt;0,", External Plaster upto "&amp;C150&amp;" Floor","")))&amp;(IF(C151=H142,"",IF(C151&gt;0,", Flooring upto "&amp;C151&amp;" Floor","")))&amp;(IF(C152=H142,"",IF(C152&gt;0,", Painting upto "&amp;C152&amp;" Floor","")))&amp;(IF(C153=H142,"",IF(C153&gt;0,", Finishing upto "&amp;C153&amp;" Floor","")))&amp;(IF(C154=H142,"",IF(C154&gt;0,", Possession upto "&amp;C154&amp;" Floor","")))</f>
        <v>, RCC upto 1 Slab</v>
      </c>
    </row>
    <row r="142" spans="1:10">
      <c r="A142" s="44" t="s">
        <v>139</v>
      </c>
      <c r="B142" s="44">
        <f>IF(AND(ISNUMBER(SEARCH("1B",C141))),1,IF(AND(ISNUMBER(SEARCH("2B",C141))),2,IF(AND(ISNUMBER(SEARCH("3B",C141))),3,IF(AND(ISNUMBER(SEARCH("4B",C141))),4,IF(ISNUMBER(SEARCH("5B",C141)),5,0)))))</f>
        <v>3</v>
      </c>
      <c r="C142" s="44" t="s">
        <v>67</v>
      </c>
      <c r="D142" s="44">
        <v>1</v>
      </c>
      <c r="E142" s="44" t="s">
        <v>66</v>
      </c>
      <c r="F142" s="44">
        <v>0</v>
      </c>
      <c r="G142" s="45" t="s">
        <v>75</v>
      </c>
      <c r="H142" s="44">
        <f ca="1">--TRIM(RIGHT(SUBSTITUTE(LEFT(C141,_xlfn.AGGREGATE(16,6,FIND({0,1,2,3,4,5,6,7,8,9},C141,ROW(INDIRECT("1:"&amp;LEN(C141)))),1))," ",REPT(" ",LEN(C141))),LEN(C141)))</f>
        <v>18</v>
      </c>
      <c r="I142" s="78" t="str">
        <f ca="1">IF(D145=100%,"Excavation","")&amp;IF(D146=100%,", Plinth","")&amp;IF(D147=100%,", RCC Slab","")&amp;IF(D148=100%,", Brickwork","")&amp;IF(D149=100%,", Internal Plaster","")&amp;IF(D150=100%,", External Plaster","")&amp;IF(D151=100%,", Flooring","")&amp;IF(D152=100%,", Painting","")&amp;IF(D153=100%,", Building common Amenities","")</f>
        <v>Excavation, Plinth</v>
      </c>
      <c r="J142" s="49" t="str">
        <f ca="1">(IF(C145=0,"Work not yet Started.",IF(D145=25%,"Piling work in process",IF(D145=50%,"Excavation work in process",IF(D145=100%,"","0")))))&amp;(IF(C146=0%,"",IF(C146=J147,", Footing work is process",IF(C146=J148,", Footing work Completed",IF(C146=J149,", 1st Basement Completed",IF(C146=J150,", 1st &amp; 2nd Basement Completed",IF(C146=J151,", 1st to 3rd Basement Completed",IF(C146=J152,", 1st to 4th Basement Completed",IF(C146=J153,", Plinth work is process",IF(C146=J154,"","0"))))))))))</f>
        <v/>
      </c>
    </row>
    <row r="143" spans="1:10">
      <c r="A143" s="108" t="s">
        <v>85</v>
      </c>
      <c r="B143" s="108"/>
      <c r="C143" s="109" t="str">
        <f ca="1">(IF($G$62="NA",I141,"All work Completed. OC Received."))</f>
        <v>Excavation, Plinth Completed, RCC upto 1 Slab Completed</v>
      </c>
      <c r="D143" s="109"/>
      <c r="E143" s="109"/>
      <c r="F143" s="109"/>
      <c r="G143" s="109"/>
      <c r="H143" s="109"/>
      <c r="I143" s="78" t="str">
        <f ca="1">IF(I142&lt;&gt;""," Completed","")</f>
        <v xml:space="preserve"> Completed</v>
      </c>
      <c r="J143" s="49" t="str">
        <f ca="1">IF(J141&lt;&gt;"","Completed","")</f>
        <v>Completed</v>
      </c>
    </row>
    <row r="144" spans="1:10" ht="15.75" customHeight="1">
      <c r="A144" s="110" t="s">
        <v>47</v>
      </c>
      <c r="B144" s="110"/>
      <c r="C144" s="41" t="s">
        <v>136</v>
      </c>
      <c r="D144" s="41" t="s">
        <v>78</v>
      </c>
      <c r="E144" s="110" t="s">
        <v>80</v>
      </c>
      <c r="F144" s="110"/>
      <c r="G144" s="110" t="s">
        <v>79</v>
      </c>
      <c r="H144" s="110"/>
      <c r="I144" s="13" t="s">
        <v>138</v>
      </c>
      <c r="J144" s="27">
        <f ca="1">H142*25%</f>
        <v>4.5</v>
      </c>
    </row>
    <row r="145" spans="1:11">
      <c r="A145" s="114" t="s">
        <v>125</v>
      </c>
      <c r="B145" s="110"/>
      <c r="C145" s="72">
        <f ca="1">J146</f>
        <v>18</v>
      </c>
      <c r="D145" s="18">
        <f ca="1">((100/H142)*C145)/100</f>
        <v>1</v>
      </c>
      <c r="E145" s="121">
        <f ca="1">(((C146/H142*10)+(40/(D142+F142+H142)*C147)+(7.5/(H142)*C148)+(7.5/(H142)*C149)+(10/H142*C150)+(10/H142*C151)+(5/H142*C152)+(5/H142*C153)+(5/H142*C154))/100)</f>
        <v>0.12105263157894736</v>
      </c>
      <c r="F145" s="122"/>
      <c r="G145" s="121">
        <f ca="1">((((C145/H142)*20)+((C146/H142)*25)+(30/(H142+F142+D142)*C147)+(5/H142*C148)+(5/H142*C149)+(5/H142*C150)+(5/H142*C151)+(0/H142*C152)+(0/H142*C153)+(5/H142*C154))/100)</f>
        <v>0.46578947368421053</v>
      </c>
      <c r="H145" s="127"/>
      <c r="I145" s="13" t="s">
        <v>96</v>
      </c>
      <c r="J145" s="28">
        <f ca="1">H142*50%</f>
        <v>9</v>
      </c>
    </row>
    <row r="146" spans="1:11">
      <c r="A146" s="114" t="s">
        <v>48</v>
      </c>
      <c r="B146" s="110"/>
      <c r="C146" s="73">
        <f ca="1">J154</f>
        <v>18</v>
      </c>
      <c r="D146" s="18">
        <f ca="1">((100/H142)*C146)/100</f>
        <v>1</v>
      </c>
      <c r="E146" s="123"/>
      <c r="F146" s="124"/>
      <c r="G146" s="123"/>
      <c r="H146" s="128"/>
      <c r="I146" s="13" t="s">
        <v>97</v>
      </c>
      <c r="J146" s="28">
        <f ca="1">H142</f>
        <v>18</v>
      </c>
      <c r="K146" s="20">
        <f>0.15*3</f>
        <v>0.44999999999999996</v>
      </c>
    </row>
    <row r="147" spans="1:11" ht="15.75" customHeight="1">
      <c r="A147" s="114" t="s">
        <v>126</v>
      </c>
      <c r="B147" s="110"/>
      <c r="C147" s="72">
        <v>1</v>
      </c>
      <c r="D147" s="18">
        <f ca="1">((100/(D142+F142+H142))*C147)/100</f>
        <v>5.2631578947368425E-2</v>
      </c>
      <c r="E147" s="123"/>
      <c r="F147" s="124"/>
      <c r="G147" s="123"/>
      <c r="H147" s="128"/>
      <c r="I147" s="13" t="s">
        <v>98</v>
      </c>
      <c r="J147" s="29">
        <f ca="1">(IF(B142&gt;1,(H142/(B142+2)),H142/4))</f>
        <v>3.6</v>
      </c>
    </row>
    <row r="148" spans="1:11" ht="15.75" customHeight="1">
      <c r="A148" s="114" t="s">
        <v>133</v>
      </c>
      <c r="B148" s="110" t="s">
        <v>127</v>
      </c>
      <c r="C148" s="41">
        <v>0</v>
      </c>
      <c r="D148" s="18">
        <f ca="1">((100/H142)*C148)/100</f>
        <v>0</v>
      </c>
      <c r="E148" s="123"/>
      <c r="F148" s="124"/>
      <c r="G148" s="123"/>
      <c r="H148" s="128"/>
      <c r="I148" s="13" t="s">
        <v>99</v>
      </c>
      <c r="J148" s="29">
        <f ca="1">(IF(B142&gt;1,(H142/(B142+2)+J147),H142/4+J147))</f>
        <v>7.2</v>
      </c>
    </row>
    <row r="149" spans="1:11" ht="15.75" customHeight="1">
      <c r="A149" s="114" t="s">
        <v>134</v>
      </c>
      <c r="B149" s="110" t="s">
        <v>127</v>
      </c>
      <c r="C149" s="41">
        <v>0</v>
      </c>
      <c r="D149" s="18">
        <f ca="1">((100/H142)*C149)/100</f>
        <v>0</v>
      </c>
      <c r="E149" s="123"/>
      <c r="F149" s="124"/>
      <c r="G149" s="123"/>
      <c r="H149" s="128"/>
      <c r="I149" s="13" t="s">
        <v>143</v>
      </c>
      <c r="J149" s="29">
        <f ca="1">(IF(B142&gt;1,(H142/(B142+2)+J148),0))</f>
        <v>10.8</v>
      </c>
    </row>
    <row r="150" spans="1:11" ht="15" customHeight="1">
      <c r="A150" s="114" t="s">
        <v>132</v>
      </c>
      <c r="B150" s="110" t="s">
        <v>129</v>
      </c>
      <c r="C150" s="41">
        <v>0</v>
      </c>
      <c r="D150" s="18">
        <f ca="1">((100/(H142))*C150)/100</f>
        <v>0</v>
      </c>
      <c r="E150" s="123"/>
      <c r="F150" s="124"/>
      <c r="G150" s="123"/>
      <c r="H150" s="128"/>
      <c r="I150" s="13" t="s">
        <v>140</v>
      </c>
      <c r="J150" s="29">
        <f ca="1">(IF(B142&gt;2,(H142/(B142+2)+J149),0))</f>
        <v>14.4</v>
      </c>
    </row>
    <row r="151" spans="1:11" ht="15.75" customHeight="1">
      <c r="A151" s="114" t="s">
        <v>128</v>
      </c>
      <c r="B151" s="110" t="s">
        <v>128</v>
      </c>
      <c r="C151" s="41">
        <v>0</v>
      </c>
      <c r="D151" s="18">
        <f ca="1">((100/H142)*C151)/100</f>
        <v>0</v>
      </c>
      <c r="E151" s="123"/>
      <c r="F151" s="124"/>
      <c r="G151" s="123"/>
      <c r="H151" s="128"/>
      <c r="I151" s="13" t="s">
        <v>141</v>
      </c>
      <c r="J151" s="30">
        <f>(IF(B142&gt;3,(H142/(B142+2)+J150),0))</f>
        <v>0</v>
      </c>
    </row>
    <row r="152" spans="1:11" ht="15.75" customHeight="1">
      <c r="A152" s="114" t="s">
        <v>135</v>
      </c>
      <c r="B152" s="110"/>
      <c r="C152" s="41">
        <v>0</v>
      </c>
      <c r="D152" s="18">
        <f ca="1">((100/H142)*C152)/100</f>
        <v>0</v>
      </c>
      <c r="E152" s="123"/>
      <c r="F152" s="124"/>
      <c r="G152" s="123"/>
      <c r="H152" s="128"/>
      <c r="I152" s="13" t="s">
        <v>142</v>
      </c>
      <c r="J152" s="29">
        <f>(IF(B142&gt;4,(H142/(B142+2)+J151),0))</f>
        <v>0</v>
      </c>
    </row>
    <row r="153" spans="1:11" ht="15.75" customHeight="1">
      <c r="A153" s="114" t="s">
        <v>130</v>
      </c>
      <c r="B153" s="110" t="s">
        <v>130</v>
      </c>
      <c r="C153" s="41">
        <v>0</v>
      </c>
      <c r="D153" s="18">
        <f ca="1">((100/(H142))*C153)/100</f>
        <v>0</v>
      </c>
      <c r="E153" s="123"/>
      <c r="F153" s="124"/>
      <c r="G153" s="123"/>
      <c r="H153" s="128"/>
      <c r="I153" s="13" t="s">
        <v>144</v>
      </c>
      <c r="J153" s="29">
        <f>(IF(B142=1,(H142/(B142+3)+J148),IF(B142=0,(H142/4+J148),IF(B142&gt;1,0))))</f>
        <v>0</v>
      </c>
    </row>
    <row r="154" spans="1:11" ht="16.5" thickBot="1">
      <c r="A154" s="130" t="s">
        <v>131</v>
      </c>
      <c r="B154" s="131"/>
      <c r="C154" s="75">
        <v>0</v>
      </c>
      <c r="D154" s="19">
        <f ca="1">((100/(H142))*C154)/100</f>
        <v>0</v>
      </c>
      <c r="E154" s="125"/>
      <c r="F154" s="126"/>
      <c r="G154" s="125"/>
      <c r="H154" s="129"/>
      <c r="I154" s="14" t="s">
        <v>100</v>
      </c>
      <c r="J154" s="31">
        <f ca="1">(IF(B142&gt;1.5,(H142/(B142+2)+J148+MAX(0,J149-J148)+MAX(0,J150-J149)+MAX(0,J151-J150)+MAX(0,J152-J151)+MAX(0,J153-J152)),IF(B142=1,(H142/(B142+3)+J153),IF(B142=0,H142/4+J153))))</f>
        <v>18</v>
      </c>
    </row>
    <row r="155" spans="1:11" ht="15.75" customHeight="1">
      <c r="A155" s="116" t="s">
        <v>137</v>
      </c>
      <c r="B155" s="117"/>
      <c r="C155" s="118" t="s">
        <v>363</v>
      </c>
      <c r="D155" s="119"/>
      <c r="E155" s="119"/>
      <c r="F155" s="119"/>
      <c r="G155" s="119"/>
      <c r="H155" s="120"/>
      <c r="I155" s="46" t="str">
        <f ca="1">IF(D168=100%,"All work Completed. Possession granted to the Building.",IF(D167=100%,"All work Completed, Waiting for OC",I156&amp;""&amp;I157&amp;""&amp;J156&amp;""&amp;J155&amp;" "&amp;J157))</f>
        <v xml:space="preserve">Excavation Completed, 1st &amp; 2nd Basement Completed </v>
      </c>
      <c r="J155" s="47" t="str">
        <f ca="1">(IF(C161=(D156+F156+H156),"",IF(C161&gt;0,", RCC upto "&amp;C161&amp;" Slab","")))&amp;(IF(C162=H156,"",IF(C162&gt;0,", Brickwork upto "&amp;C162&amp;" Floor","")))&amp;(IF(C163=H156,"",IF(C163&gt;0,", Internal Plaster upto "&amp;C163&amp;" Floor","")))&amp;(IF(C164=H156,"",IF(C164&gt;0,", External Plaster upto "&amp;C164&amp;" Floor","")))&amp;(IF(C165=H156,"",IF(C165&gt;0,", Flooring upto "&amp;C165&amp;" Floor","")))&amp;(IF(C166=H156,"",IF(C166&gt;0,", Painting upto "&amp;C166&amp;" Floor","")))&amp;(IF(C167=H156,"",IF(C167&gt;0,", Finishing upto "&amp;C167&amp;" Floor","")))&amp;(IF(C168=H156,"",IF(C168&gt;0,", Possession upto "&amp;C168&amp;" Floor","")))</f>
        <v/>
      </c>
    </row>
    <row r="156" spans="1:11">
      <c r="A156" s="15" t="s">
        <v>139</v>
      </c>
      <c r="B156" s="44">
        <f>IF(AND(ISNUMBER(SEARCH("1B",C155))),1,IF(AND(ISNUMBER(SEARCH("2B",C155))),2,IF(AND(ISNUMBER(SEARCH("3B",C155))),3,IF(AND(ISNUMBER(SEARCH("4B",C155))),4,IF(ISNUMBER(SEARCH("5B",C155)),5,0)))))</f>
        <v>3</v>
      </c>
      <c r="C156" s="44" t="s">
        <v>67</v>
      </c>
      <c r="D156" s="44">
        <v>1</v>
      </c>
      <c r="E156" s="44" t="s">
        <v>66</v>
      </c>
      <c r="F156" s="44">
        <v>0</v>
      </c>
      <c r="G156" s="45" t="s">
        <v>75</v>
      </c>
      <c r="H156" s="16">
        <f ca="1">--TRIM(RIGHT(SUBSTITUTE(LEFT(C155,_xlfn.AGGREGATE(16,6,FIND({0,1,2,3,4,5,6,7,8,9},C155,ROW(INDIRECT("1:"&amp;LEN(C155)))),1))," ",REPT(" ",LEN(C155))),LEN(C155)))</f>
        <v>18</v>
      </c>
      <c r="I156" s="48" t="str">
        <f ca="1">IF(D159=100%,"Excavation","")&amp;IF(D160=100%,", Plinth","")&amp;IF(D161=100%,", RCC Slab","")&amp;IF(D162=100%,", Brickwork","")&amp;IF(D163=100%,", Internal Plaster","")&amp;IF(D164=100%,", External Plaster","")&amp;IF(D165=100%,", Flooring","")&amp;IF(D166=100%,", Painting","")&amp;IF(D167=100%,", Building common Amenities","")</f>
        <v>Excavation</v>
      </c>
      <c r="J156" s="49" t="str">
        <f ca="1">(IF(C159=0,"Work not yet Started.",IF(D159=25%,"Piling work in process",IF(D159=50%,"Excavation work in process",IF(D159=100%,"","0")))))&amp;(IF(C160=0%,"",IF(C160=J161,", Footing work is process",IF(C160=J162,", Footing work Completed",IF(C160=J163,", 1st Basement Completed",IF(C160=J164,", 1st &amp; 2nd Basement Completed",IF(C160=J165,", 1st to 3rd Basement Completed",IF(C160=J166,", 1st to 4th Basement Completed",IF(C160=J167,", Plinth work is process",IF(C160=J168,"","0"))))))))))</f>
        <v>, 1st &amp; 2nd Basement Completed</v>
      </c>
    </row>
    <row r="157" spans="1:11">
      <c r="A157" s="112" t="s">
        <v>85</v>
      </c>
      <c r="B157" s="108"/>
      <c r="C157" s="109" t="str">
        <f ca="1">(IF($G$62="NA",I155,"All work Completed. OC Received."))</f>
        <v xml:space="preserve">Excavation Completed, 1st &amp; 2nd Basement Completed </v>
      </c>
      <c r="D157" s="109"/>
      <c r="E157" s="109"/>
      <c r="F157" s="109"/>
      <c r="G157" s="109"/>
      <c r="H157" s="113"/>
      <c r="I157" s="48" t="str">
        <f ca="1">IF(I156&lt;&gt;""," Completed","")</f>
        <v xml:space="preserve"> Completed</v>
      </c>
      <c r="J157" s="49" t="str">
        <f ca="1">IF(J155&lt;&gt;"","Completed","")</f>
        <v/>
      </c>
    </row>
    <row r="158" spans="1:11" ht="15.75" customHeight="1">
      <c r="A158" s="114" t="s">
        <v>47</v>
      </c>
      <c r="B158" s="110"/>
      <c r="C158" s="41" t="s">
        <v>136</v>
      </c>
      <c r="D158" s="41" t="s">
        <v>78</v>
      </c>
      <c r="E158" s="110" t="s">
        <v>80</v>
      </c>
      <c r="F158" s="110"/>
      <c r="G158" s="110" t="s">
        <v>79</v>
      </c>
      <c r="H158" s="115"/>
      <c r="I158" s="13" t="s">
        <v>138</v>
      </c>
      <c r="J158" s="27">
        <f ca="1">H156*25%</f>
        <v>4.5</v>
      </c>
    </row>
    <row r="159" spans="1:11">
      <c r="A159" s="110" t="s">
        <v>125</v>
      </c>
      <c r="B159" s="110"/>
      <c r="C159" s="72">
        <f ca="1">J160</f>
        <v>18</v>
      </c>
      <c r="D159" s="18">
        <f ca="1">((100/H156)*C159)/100</f>
        <v>1</v>
      </c>
      <c r="E159" s="111">
        <f ca="1">(((C160/H156*10)+(40/(D156+F156+H156)*C161)+(7.5/(H156)*C162)+(7.5/(H156)*C163)+(10/H156*C164)+(10/H156*C165)+(5/H156*C166)+(5/H156*C167)+(5/H156*C168))/100)</f>
        <v>0.08</v>
      </c>
      <c r="F159" s="111"/>
      <c r="G159" s="111">
        <f ca="1">((((C159/H156)*20)+((C160/H156)*25)+(30/(H156+F156+D156)*C161)+(5/H156*C162)+(5/H156*C163)+(5/H156*C164)+(5/H156*C165)+(0/H156*C166)+(0/H156*C167)+(5/H156*C168))/100)</f>
        <v>0.4</v>
      </c>
      <c r="H159" s="111"/>
      <c r="I159" s="13" t="s">
        <v>96</v>
      </c>
      <c r="J159" s="28">
        <f ca="1">H156*50%</f>
        <v>9</v>
      </c>
    </row>
    <row r="160" spans="1:11">
      <c r="A160" s="110" t="s">
        <v>48</v>
      </c>
      <c r="B160" s="110"/>
      <c r="C160" s="73">
        <f ca="1">J164</f>
        <v>14.4</v>
      </c>
      <c r="D160" s="18">
        <f ca="1">((100/H156)*C160)/100</f>
        <v>0.8</v>
      </c>
      <c r="E160" s="111"/>
      <c r="F160" s="111"/>
      <c r="G160" s="111"/>
      <c r="H160" s="111"/>
      <c r="I160" s="13" t="s">
        <v>97</v>
      </c>
      <c r="J160" s="28">
        <f ca="1">H156</f>
        <v>18</v>
      </c>
    </row>
    <row r="161" spans="1:11" ht="15.75" customHeight="1">
      <c r="A161" s="110" t="s">
        <v>126</v>
      </c>
      <c r="B161" s="110"/>
      <c r="C161" s="72">
        <v>0</v>
      </c>
      <c r="D161" s="18">
        <f ca="1">((100/(D156+F156+H156))*C161)/100</f>
        <v>0</v>
      </c>
      <c r="E161" s="111"/>
      <c r="F161" s="111"/>
      <c r="G161" s="111"/>
      <c r="H161" s="111"/>
      <c r="I161" s="13" t="s">
        <v>98</v>
      </c>
      <c r="J161" s="29">
        <f ca="1">(IF(B156&gt;1,(H156/(B156+2)),H156/4))</f>
        <v>3.6</v>
      </c>
    </row>
    <row r="162" spans="1:11" ht="15.75" customHeight="1">
      <c r="A162" s="110" t="s">
        <v>133</v>
      </c>
      <c r="B162" s="110" t="s">
        <v>127</v>
      </c>
      <c r="C162" s="41">
        <v>0</v>
      </c>
      <c r="D162" s="18">
        <f ca="1">((100/H156)*C162)/100</f>
        <v>0</v>
      </c>
      <c r="E162" s="111"/>
      <c r="F162" s="111"/>
      <c r="G162" s="111"/>
      <c r="H162" s="111"/>
      <c r="I162" s="13" t="s">
        <v>99</v>
      </c>
      <c r="J162" s="29">
        <f ca="1">(IF(B156&gt;1,(H156/(B156+2)+J161),H156/4+J161))</f>
        <v>7.2</v>
      </c>
    </row>
    <row r="163" spans="1:11" ht="15.75" customHeight="1">
      <c r="A163" s="110" t="s">
        <v>134</v>
      </c>
      <c r="B163" s="110" t="s">
        <v>127</v>
      </c>
      <c r="C163" s="41">
        <v>0</v>
      </c>
      <c r="D163" s="18">
        <f ca="1">((100/H156)*C163)/100</f>
        <v>0</v>
      </c>
      <c r="E163" s="111"/>
      <c r="F163" s="111"/>
      <c r="G163" s="111"/>
      <c r="H163" s="111"/>
      <c r="I163" s="13" t="s">
        <v>143</v>
      </c>
      <c r="J163" s="29">
        <f ca="1">(IF(B156&gt;1,(H156/(B156+2)+J162),0))</f>
        <v>10.8</v>
      </c>
    </row>
    <row r="164" spans="1:11" ht="15" customHeight="1">
      <c r="A164" s="110" t="s">
        <v>132</v>
      </c>
      <c r="B164" s="110" t="s">
        <v>129</v>
      </c>
      <c r="C164" s="41">
        <v>0</v>
      </c>
      <c r="D164" s="18">
        <f ca="1">((100/(H156))*C164)/100</f>
        <v>0</v>
      </c>
      <c r="E164" s="111"/>
      <c r="F164" s="111"/>
      <c r="G164" s="111"/>
      <c r="H164" s="111"/>
      <c r="I164" s="13" t="s">
        <v>140</v>
      </c>
      <c r="J164" s="29">
        <f ca="1">(IF(B156&gt;2,(H156/(B156+2)+J163),0))</f>
        <v>14.4</v>
      </c>
    </row>
    <row r="165" spans="1:11" ht="15.75" customHeight="1">
      <c r="A165" s="110" t="s">
        <v>128</v>
      </c>
      <c r="B165" s="110" t="s">
        <v>128</v>
      </c>
      <c r="C165" s="41">
        <v>0</v>
      </c>
      <c r="D165" s="18">
        <f ca="1">((100/H156)*C165)/100</f>
        <v>0</v>
      </c>
      <c r="E165" s="111"/>
      <c r="F165" s="111"/>
      <c r="G165" s="111"/>
      <c r="H165" s="111"/>
      <c r="I165" s="13" t="s">
        <v>141</v>
      </c>
      <c r="J165" s="30">
        <f>(IF(B156&gt;3,(H156/(B156+2)+J164),0))</f>
        <v>0</v>
      </c>
    </row>
    <row r="166" spans="1:11" ht="15.75" customHeight="1">
      <c r="A166" s="110" t="s">
        <v>135</v>
      </c>
      <c r="B166" s="110"/>
      <c r="C166" s="41">
        <v>0</v>
      </c>
      <c r="D166" s="18">
        <f ca="1">((100/H156)*C166)/100</f>
        <v>0</v>
      </c>
      <c r="E166" s="111"/>
      <c r="F166" s="111"/>
      <c r="G166" s="111"/>
      <c r="H166" s="111"/>
      <c r="I166" s="13" t="s">
        <v>142</v>
      </c>
      <c r="J166" s="29">
        <f>(IF(B156&gt;4,(H156/(B156+2)+J165),0))</f>
        <v>0</v>
      </c>
    </row>
    <row r="167" spans="1:11" ht="15.75" customHeight="1">
      <c r="A167" s="110" t="s">
        <v>130</v>
      </c>
      <c r="B167" s="110" t="s">
        <v>130</v>
      </c>
      <c r="C167" s="41">
        <v>0</v>
      </c>
      <c r="D167" s="18">
        <f ca="1">((100/(H156))*C167)/100</f>
        <v>0</v>
      </c>
      <c r="E167" s="111"/>
      <c r="F167" s="111"/>
      <c r="G167" s="111"/>
      <c r="H167" s="111"/>
      <c r="I167" s="13" t="s">
        <v>144</v>
      </c>
      <c r="J167" s="29">
        <f>(IF(B156=1,(H156/(B156+3)+J162),IF(B156=0,(H156/4+J162),IF(B156&gt;1,0))))</f>
        <v>0</v>
      </c>
    </row>
    <row r="168" spans="1:11" ht="16.5" thickBot="1">
      <c r="A168" s="110" t="s">
        <v>131</v>
      </c>
      <c r="B168" s="110"/>
      <c r="C168" s="41">
        <v>0</v>
      </c>
      <c r="D168" s="18">
        <f ca="1">((100/(H156))*C168)/100</f>
        <v>0</v>
      </c>
      <c r="E168" s="111"/>
      <c r="F168" s="111"/>
      <c r="G168" s="111"/>
      <c r="H168" s="111"/>
      <c r="I168" s="14" t="s">
        <v>100</v>
      </c>
      <c r="J168" s="31">
        <f ca="1">(IF(B156&gt;1.5,(H156/(B156+2)+J162+MAX(0,J163-J162)+MAX(0,J164-J163)+MAX(0,J165-J164)+MAX(0,J166-J165)+MAX(0,J167-J166)),IF(B156=1,(H156/(B156+3)+J167),IF(B156=0,H156/4+J167))))</f>
        <v>18</v>
      </c>
    </row>
    <row r="169" spans="1:11" ht="15.75" customHeight="1">
      <c r="A169" s="107" t="s">
        <v>137</v>
      </c>
      <c r="B169" s="107"/>
      <c r="C169" s="107" t="s">
        <v>364</v>
      </c>
      <c r="D169" s="107"/>
      <c r="E169" s="107"/>
      <c r="F169" s="107"/>
      <c r="G169" s="107"/>
      <c r="H169" s="107"/>
      <c r="I169" s="77" t="str">
        <f ca="1">IF(D182=100%,"All work Completed. Possession granted to the Building.",IF(D181=100%,"All work Completed, Waiting for OC",I170&amp;""&amp;I171&amp;""&amp;J170&amp;""&amp;J169&amp;" "&amp;J171))</f>
        <v>Excavation, Plinth Completed, RCC upto 2 Slab, Brickwork upto 1 Floor Completed</v>
      </c>
      <c r="J169" s="47" t="str">
        <f ca="1">(IF(C175=(D170+F170+H170),"",IF(C175&gt;0,", RCC upto "&amp;C175&amp;" Slab","")))&amp;(IF(C176=H170,"",IF(C176&gt;0,", Brickwork upto "&amp;C176&amp;" Floor","")))&amp;(IF(C177=H170,"",IF(C177&gt;0,", Internal Plaster upto "&amp;C177&amp;" Floor","")))&amp;(IF(C178=H170,"",IF(C178&gt;0,", External Plaster upto "&amp;C178&amp;" Floor","")))&amp;(IF(C179=H170,"",IF(C179&gt;0,", Flooring upto "&amp;C179&amp;" Floor","")))&amp;(IF(C180=H170,"",IF(C180&gt;0,", Painting upto "&amp;C180&amp;" Floor","")))&amp;(IF(C181=H170,"",IF(C181&gt;0,", Finishing upto "&amp;C181&amp;" Floor","")))&amp;(IF(C182=H170,"",IF(C182&gt;0,", Possession upto "&amp;C182&amp;" Floor","")))</f>
        <v>, RCC upto 2 Slab, Brickwork upto 1 Floor</v>
      </c>
    </row>
    <row r="170" spans="1:11">
      <c r="A170" s="44" t="s">
        <v>139</v>
      </c>
      <c r="B170" s="44">
        <f>IF(AND(ISNUMBER(SEARCH("1B",C169))),1,IF(AND(ISNUMBER(SEARCH("2B",C169))),2,IF(AND(ISNUMBER(SEARCH("3B",C169))),3,IF(AND(ISNUMBER(SEARCH("4B",C169))),4,IF(ISNUMBER(SEARCH("5B",C169)),5,0)))))</f>
        <v>3</v>
      </c>
      <c r="C170" s="44" t="s">
        <v>67</v>
      </c>
      <c r="D170" s="44">
        <v>1</v>
      </c>
      <c r="E170" s="44" t="s">
        <v>66</v>
      </c>
      <c r="F170" s="44">
        <v>0</v>
      </c>
      <c r="G170" s="45" t="s">
        <v>75</v>
      </c>
      <c r="H170" s="44">
        <f ca="1">--TRIM(RIGHT(SUBSTITUTE(LEFT(C169,_xlfn.AGGREGATE(16,6,FIND({0,1,2,3,4,5,6,7,8,9},C169,ROW(INDIRECT("1:"&amp;LEN(C169)))),1))," ",REPT(" ",LEN(C169))),LEN(C169)))</f>
        <v>18</v>
      </c>
      <c r="I170" s="78" t="str">
        <f ca="1">IF(D173=100%,"Excavation","")&amp;IF(D174=100%,", Plinth","")&amp;IF(D175=100%,", RCC Slab","")&amp;IF(D176=100%,", Brickwork","")&amp;IF(D177=100%,", Internal Plaster","")&amp;IF(D178=100%,", External Plaster","")&amp;IF(D179=100%,", Flooring","")&amp;IF(D180=100%,", Painting","")&amp;IF(D181=100%,", Building common Amenities","")</f>
        <v>Excavation, Plinth</v>
      </c>
      <c r="J170" s="49" t="str">
        <f ca="1">(IF(C173=0,"Work not yet Started.",IF(D173=25%,"Piling work in process",IF(D173=50%,"Excavation work in process",IF(D173=100%,"","0")))))&amp;(IF(C174=0%,"",IF(C174=J175,", Footing work is process",IF(C174=J176,", Footing work Completed",IF(C174=J177,", 1st Basement Completed",IF(C174=J178,", 1st &amp; 2nd Basement Completed",IF(C174=J179,", 1st to 3rd Basement Completed",IF(C174=J180,", 1st to 4th Basement Completed",IF(C174=J181,", Plinth work is process",IF(C174=J182,"","0"))))))))))</f>
        <v/>
      </c>
    </row>
    <row r="171" spans="1:11">
      <c r="A171" s="108" t="s">
        <v>85</v>
      </c>
      <c r="B171" s="108"/>
      <c r="C171" s="109" t="str">
        <f ca="1">(IF($G$62="NA",I169,"All work Completed. OC Received."))</f>
        <v>Excavation, Plinth Completed, RCC upto 2 Slab, Brickwork upto 1 Floor Completed</v>
      </c>
      <c r="D171" s="109"/>
      <c r="E171" s="109"/>
      <c r="F171" s="109"/>
      <c r="G171" s="109"/>
      <c r="H171" s="109"/>
      <c r="I171" s="78" t="str">
        <f ca="1">IF(I170&lt;&gt;""," Completed","")</f>
        <v xml:space="preserve"> Completed</v>
      </c>
      <c r="J171" s="49" t="str">
        <f ca="1">IF(J169&lt;&gt;"","Completed","")</f>
        <v>Completed</v>
      </c>
    </row>
    <row r="172" spans="1:11" ht="15.75" customHeight="1">
      <c r="A172" s="110" t="s">
        <v>47</v>
      </c>
      <c r="B172" s="110"/>
      <c r="C172" s="41" t="s">
        <v>136</v>
      </c>
      <c r="D172" s="41" t="s">
        <v>78</v>
      </c>
      <c r="E172" s="110" t="s">
        <v>80</v>
      </c>
      <c r="F172" s="110"/>
      <c r="G172" s="110" t="s">
        <v>79</v>
      </c>
      <c r="H172" s="110"/>
      <c r="I172" s="13" t="s">
        <v>138</v>
      </c>
      <c r="J172" s="27">
        <f ca="1">H170*25%</f>
        <v>4.5</v>
      </c>
    </row>
    <row r="173" spans="1:11">
      <c r="A173" s="110" t="s">
        <v>125</v>
      </c>
      <c r="B173" s="110"/>
      <c r="C173" s="72">
        <f ca="1">J174</f>
        <v>18</v>
      </c>
      <c r="D173" s="18">
        <f ca="1">((100/H170)*C173)/100</f>
        <v>1</v>
      </c>
      <c r="E173" s="111">
        <f ca="1">(((C174/H170*10)+(40/(D170+F170+H170)*C175)+(7.5/(H170)*C176)+(7.5/(H170)*C177)+(10/H170*C178)+(10/H170*C179)+(5/H170*C180)+(5/H170*C181)+(5/H170*C182))/100)</f>
        <v>0.14627192982456139</v>
      </c>
      <c r="F173" s="111"/>
      <c r="G173" s="111">
        <f ca="1">((((C173/H170)*20)+((C174/H170)*25)+(30/(H170+F170+D170)*C175)+(5/H170*C176)+(5/H170*C177)+(5/H170*C178)+(5/H170*C179)+(0/H170*C180)+(0/H170*C181)+(5/H170*C182))/100)</f>
        <v>0.48435672514619882</v>
      </c>
      <c r="H173" s="111"/>
      <c r="I173" s="13" t="s">
        <v>96</v>
      </c>
      <c r="J173" s="28">
        <f ca="1">H170*50%</f>
        <v>9</v>
      </c>
    </row>
    <row r="174" spans="1:11">
      <c r="A174" s="110" t="s">
        <v>48</v>
      </c>
      <c r="B174" s="110"/>
      <c r="C174" s="73">
        <f ca="1">J182</f>
        <v>18</v>
      </c>
      <c r="D174" s="18">
        <f ca="1">((100/H170)*C174)/100</f>
        <v>1</v>
      </c>
      <c r="E174" s="111"/>
      <c r="F174" s="111"/>
      <c r="G174" s="111"/>
      <c r="H174" s="111"/>
      <c r="I174" s="13" t="s">
        <v>97</v>
      </c>
      <c r="J174" s="28">
        <f ca="1">H170</f>
        <v>18</v>
      </c>
    </row>
    <row r="175" spans="1:11" ht="15.75" customHeight="1">
      <c r="A175" s="110" t="s">
        <v>126</v>
      </c>
      <c r="B175" s="110"/>
      <c r="C175" s="72">
        <v>2</v>
      </c>
      <c r="D175" s="18">
        <f ca="1">((100/(D170+F170+H170))*C175)/100</f>
        <v>0.10526315789473685</v>
      </c>
      <c r="E175" s="111"/>
      <c r="F175" s="111"/>
      <c r="G175" s="111"/>
      <c r="H175" s="111"/>
      <c r="I175" s="13" t="s">
        <v>98</v>
      </c>
      <c r="J175" s="29">
        <f ca="1">(IF(B170&gt;1,(H170/(B170+2)),H170/4))</f>
        <v>3.6</v>
      </c>
      <c r="K175" s="20">
        <f>0.1*19</f>
        <v>1.9000000000000001</v>
      </c>
    </row>
    <row r="176" spans="1:11" ht="15.75" customHeight="1">
      <c r="A176" s="110" t="s">
        <v>133</v>
      </c>
      <c r="B176" s="110" t="s">
        <v>127</v>
      </c>
      <c r="C176" s="41">
        <f>C175-D170</f>
        <v>1</v>
      </c>
      <c r="D176" s="18">
        <f ca="1">((100/H170)*C176)/100</f>
        <v>5.5555555555555552E-2</v>
      </c>
      <c r="E176" s="111"/>
      <c r="F176" s="111"/>
      <c r="G176" s="111"/>
      <c r="H176" s="111"/>
      <c r="I176" s="13" t="s">
        <v>99</v>
      </c>
      <c r="J176" s="29">
        <f ca="1">(IF(B170&gt;1,(H170/(B170+2)+J175),H170/4+J175))</f>
        <v>7.2</v>
      </c>
    </row>
    <row r="177" spans="1:11" ht="15.75" customHeight="1">
      <c r="A177" s="110" t="s">
        <v>134</v>
      </c>
      <c r="B177" s="110" t="s">
        <v>127</v>
      </c>
      <c r="C177" s="41">
        <v>0</v>
      </c>
      <c r="D177" s="18">
        <f ca="1">((100/H170)*C177)/100</f>
        <v>0</v>
      </c>
      <c r="E177" s="111"/>
      <c r="F177" s="111"/>
      <c r="G177" s="111"/>
      <c r="H177" s="111"/>
      <c r="I177" s="13" t="s">
        <v>143</v>
      </c>
      <c r="J177" s="29">
        <f ca="1">(IF(B170&gt;1,(H170/(B170+2)+J176),0))</f>
        <v>10.8</v>
      </c>
    </row>
    <row r="178" spans="1:11" ht="15" customHeight="1">
      <c r="A178" s="110" t="s">
        <v>132</v>
      </c>
      <c r="B178" s="110" t="s">
        <v>129</v>
      </c>
      <c r="C178" s="41">
        <v>0</v>
      </c>
      <c r="D178" s="18">
        <f ca="1">((100/(H170))*C178)/100</f>
        <v>0</v>
      </c>
      <c r="E178" s="111"/>
      <c r="F178" s="111"/>
      <c r="G178" s="111"/>
      <c r="H178" s="111"/>
      <c r="I178" s="13" t="s">
        <v>140</v>
      </c>
      <c r="J178" s="29">
        <f ca="1">(IF(B170&gt;2,(H170/(B170+2)+J177),0))</f>
        <v>14.4</v>
      </c>
    </row>
    <row r="179" spans="1:11" ht="15.75" customHeight="1">
      <c r="A179" s="110" t="s">
        <v>128</v>
      </c>
      <c r="B179" s="110" t="s">
        <v>128</v>
      </c>
      <c r="C179" s="41">
        <v>0</v>
      </c>
      <c r="D179" s="18">
        <f ca="1">((100/H170)*C179)/100</f>
        <v>0</v>
      </c>
      <c r="E179" s="111"/>
      <c r="F179" s="111"/>
      <c r="G179" s="111"/>
      <c r="H179" s="111"/>
      <c r="I179" s="13" t="s">
        <v>141</v>
      </c>
      <c r="J179" s="30">
        <f>(IF(B170&gt;3,(H170/(B170+2)+J178),0))</f>
        <v>0</v>
      </c>
    </row>
    <row r="180" spans="1:11" ht="15.75" customHeight="1">
      <c r="A180" s="110" t="s">
        <v>135</v>
      </c>
      <c r="B180" s="110"/>
      <c r="C180" s="41">
        <v>0</v>
      </c>
      <c r="D180" s="18">
        <f ca="1">((100/H170)*C180)/100</f>
        <v>0</v>
      </c>
      <c r="E180" s="111"/>
      <c r="F180" s="111"/>
      <c r="G180" s="111"/>
      <c r="H180" s="111"/>
      <c r="I180" s="13" t="s">
        <v>142</v>
      </c>
      <c r="J180" s="29">
        <f>(IF(B170&gt;4,(H170/(B170+2)+J179),0))</f>
        <v>0</v>
      </c>
    </row>
    <row r="181" spans="1:11" ht="15.75" customHeight="1">
      <c r="A181" s="110" t="s">
        <v>130</v>
      </c>
      <c r="B181" s="110" t="s">
        <v>130</v>
      </c>
      <c r="C181" s="41">
        <v>0</v>
      </c>
      <c r="D181" s="18">
        <f ca="1">((100/(H170))*C181)/100</f>
        <v>0</v>
      </c>
      <c r="E181" s="111"/>
      <c r="F181" s="111"/>
      <c r="G181" s="111"/>
      <c r="H181" s="111"/>
      <c r="I181" s="13" t="s">
        <v>144</v>
      </c>
      <c r="J181" s="29">
        <f>(IF(B170=1,(H170/(B170+3)+J176),IF(B170=0,(H170/4+J176),IF(B170&gt;1,0))))</f>
        <v>0</v>
      </c>
    </row>
    <row r="182" spans="1:11" ht="16.5" thickBot="1">
      <c r="A182" s="110" t="s">
        <v>131</v>
      </c>
      <c r="B182" s="110"/>
      <c r="C182" s="41">
        <v>0</v>
      </c>
      <c r="D182" s="18">
        <f ca="1">((100/(H170))*C182)/100</f>
        <v>0</v>
      </c>
      <c r="E182" s="111"/>
      <c r="F182" s="111"/>
      <c r="G182" s="111"/>
      <c r="H182" s="111"/>
      <c r="I182" s="14" t="s">
        <v>100</v>
      </c>
      <c r="J182" s="31">
        <f ca="1">(IF(B170&gt;1.5,(H170/(B170+2)+J176+MAX(0,J177-J176)+MAX(0,J178-J177)+MAX(0,J179-J178)+MAX(0,J180-J179)+MAX(0,J181-J180)),IF(B170=1,(H170/(B170+3)+J181),IF(B170=0,H170/4+J181))))</f>
        <v>18</v>
      </c>
    </row>
    <row r="183" spans="1:11" ht="15.75" customHeight="1">
      <c r="A183" s="107" t="s">
        <v>137</v>
      </c>
      <c r="B183" s="107"/>
      <c r="C183" s="107" t="s">
        <v>485</v>
      </c>
      <c r="D183" s="107"/>
      <c r="E183" s="107"/>
      <c r="F183" s="107"/>
      <c r="G183" s="107"/>
      <c r="H183" s="107"/>
      <c r="I183" s="77" t="str">
        <f ca="1">IF(D196=100%,"All work Completed. Possession granted to the Building.",IF(D195=100%,"All work Completed, Waiting for OC",I184&amp;""&amp;I185&amp;""&amp;J184&amp;""&amp;J183&amp;" "&amp;J185))</f>
        <v>Excavation, Plinth Completed, RCC upto 5 Slab, Brickwork upto 4 Floor, Internal Plaster upto 3 Floor, External Plaster upto 2.8 Floor Completed</v>
      </c>
      <c r="J183" s="47" t="str">
        <f ca="1">(IF(C189=(D184+F184+H184),"",IF(C189&gt;0,", RCC upto "&amp;C189&amp;" Slab","")))&amp;(IF(C190=H184,"",IF(C190&gt;0,", Brickwork upto "&amp;C190&amp;" Floor","")))&amp;(IF(C191=H184,"",IF(C191&gt;0,", Internal Plaster upto "&amp;C191&amp;" Floor","")))&amp;(IF(C192=H184,"",IF(C192&gt;0,", External Plaster upto "&amp;C192&amp;" Floor","")))&amp;(IF(C193=H184,"",IF(C193&gt;0,", Flooring upto "&amp;C193&amp;" Floor","")))&amp;(IF(C194=H184,"",IF(C194&gt;0,", Painting upto "&amp;C194&amp;" Floor","")))&amp;(IF(C195=H184,"",IF(C195&gt;0,", Finishing upto "&amp;C195&amp;" Floor","")))&amp;(IF(C196=H184,"",IF(C196&gt;0,", Possession upto "&amp;C196&amp;" Floor","")))</f>
        <v>, RCC upto 5 Slab, Brickwork upto 4 Floor, Internal Plaster upto 3 Floor, External Plaster upto 2.8 Floor</v>
      </c>
    </row>
    <row r="184" spans="1:11">
      <c r="A184" s="44" t="s">
        <v>139</v>
      </c>
      <c r="B184" s="44">
        <f>IF(AND(ISNUMBER(SEARCH("1B",C183))),1,IF(AND(ISNUMBER(SEARCH("2B",C183))),2,IF(AND(ISNUMBER(SEARCH("3B",C183))),3,IF(AND(ISNUMBER(SEARCH("4B",C183))),4,IF(ISNUMBER(SEARCH("5B",C183)),5,0)))))</f>
        <v>3</v>
      </c>
      <c r="C184" s="44" t="s">
        <v>67</v>
      </c>
      <c r="D184" s="44">
        <v>1</v>
      </c>
      <c r="E184" s="44" t="s">
        <v>66</v>
      </c>
      <c r="F184" s="44">
        <v>0</v>
      </c>
      <c r="G184" s="45" t="s">
        <v>75</v>
      </c>
      <c r="H184" s="44">
        <f ca="1">--TRIM(RIGHT(SUBSTITUTE(LEFT(C183,_xlfn.AGGREGATE(16,6,FIND({0,1,2,3,4,5,6,7,8,9},C183,ROW(INDIRECT("1:"&amp;LEN(C183)))),1))," ",REPT(" ",LEN(C183))),LEN(C183)))</f>
        <v>18</v>
      </c>
      <c r="I184" s="78" t="str">
        <f ca="1">IF(D187=100%,"Excavation","")&amp;IF(D188=100%,", Plinth","")&amp;IF(D189=100%,", RCC Slab","")&amp;IF(D190=100%,", Brickwork","")&amp;IF(D191=100%,", Internal Plaster","")&amp;IF(D192=100%,", External Plaster","")&amp;IF(D193=100%,", Flooring","")&amp;IF(D194=100%,", Painting","")&amp;IF(D195=100%,", Building common Amenities","")</f>
        <v>Excavation, Plinth</v>
      </c>
      <c r="J184" s="49" t="str">
        <f ca="1">(IF(C187=0,"Work not yet Started.",IF(D187=25%,"Piling work in process",IF(D187=50%,"Excavation work in process",IF(D187=100%,"","0")))))&amp;(IF(C188=0%,"",IF(C188=J189,", Footing work is process",IF(C188=J190,", Footing work Completed",IF(C188=J191,", 1st Basement Completed",IF(C188=J192,", 1st &amp; 2nd Basement Completed",IF(C188=J193,", 1st to 3rd Basement Completed",IF(C188=J194,", 1st to 4th Basement Completed",IF(C188=J195,", Plinth work is process",IF(C188=J196,"","0"))))))))))</f>
        <v/>
      </c>
    </row>
    <row r="185" spans="1:11" ht="30.75" customHeight="1">
      <c r="A185" s="108" t="s">
        <v>85</v>
      </c>
      <c r="B185" s="108"/>
      <c r="C185" s="109" t="str">
        <f ca="1">(IF($G$62="NA",I183,"All work Completed. OC Received."))</f>
        <v>Excavation, Plinth Completed, RCC upto 5 Slab, Brickwork upto 4 Floor, Internal Plaster upto 3 Floor, External Plaster upto 2.8 Floor Completed</v>
      </c>
      <c r="D185" s="109"/>
      <c r="E185" s="109"/>
      <c r="F185" s="109"/>
      <c r="G185" s="109"/>
      <c r="H185" s="109"/>
      <c r="I185" s="78" t="str">
        <f ca="1">IF(I184&lt;&gt;""," Completed","")</f>
        <v xml:space="preserve"> Completed</v>
      </c>
      <c r="J185" s="49" t="str">
        <f ca="1">IF(J183&lt;&gt;"","Completed","")</f>
        <v>Completed</v>
      </c>
    </row>
    <row r="186" spans="1:11" ht="15.75" customHeight="1">
      <c r="A186" s="110" t="s">
        <v>47</v>
      </c>
      <c r="B186" s="110"/>
      <c r="C186" s="84" t="s">
        <v>136</v>
      </c>
      <c r="D186" s="84" t="s">
        <v>78</v>
      </c>
      <c r="E186" s="110" t="s">
        <v>80</v>
      </c>
      <c r="F186" s="110"/>
      <c r="G186" s="110" t="s">
        <v>79</v>
      </c>
      <c r="H186" s="110"/>
      <c r="I186" s="13" t="s">
        <v>138</v>
      </c>
      <c r="J186" s="27">
        <f ca="1">H184*25%</f>
        <v>4.5</v>
      </c>
    </row>
    <row r="187" spans="1:11">
      <c r="A187" s="110" t="s">
        <v>125</v>
      </c>
      <c r="B187" s="110"/>
      <c r="C187" s="72">
        <f ca="1">J188</f>
        <v>18</v>
      </c>
      <c r="D187" s="18">
        <f ca="1">((100/H184)*C187)/100</f>
        <v>1</v>
      </c>
      <c r="E187" s="111">
        <f ca="1">(((C188/H184*10)+(40/(D184+F184+H184)*C189)+(7.5/(H184)*C190)+(7.5/(H184)*C191)+(10/H184*C192)+(10/H184*C193)+(5/H184*C194)+(5/H184*C195)+(5/H184*C196))/100)</f>
        <v>0.24998538011695909</v>
      </c>
      <c r="F187" s="111"/>
      <c r="G187" s="111">
        <f ca="1">((((C187/H184)*20)+((C188/H184)*25)+(30/(H184+F184+D184)*C189)+(5/H184*C190)+(5/H184*C191)+(5/H184*C192)+(5/H184*C193)+(0/H184*C194)+(0/H184*C195)+(5/H184*C196))/100)</f>
        <v>0.55616959064327487</v>
      </c>
      <c r="H187" s="111"/>
      <c r="I187" s="13" t="s">
        <v>96</v>
      </c>
      <c r="J187" s="28">
        <f ca="1">H184*50%</f>
        <v>9</v>
      </c>
    </row>
    <row r="188" spans="1:11">
      <c r="A188" s="110" t="s">
        <v>48</v>
      </c>
      <c r="B188" s="110"/>
      <c r="C188" s="73">
        <f ca="1">J196</f>
        <v>18</v>
      </c>
      <c r="D188" s="18">
        <f ca="1">((100/H184)*C188)/100</f>
        <v>1</v>
      </c>
      <c r="E188" s="111"/>
      <c r="F188" s="111"/>
      <c r="G188" s="111"/>
      <c r="H188" s="111"/>
      <c r="I188" s="13" t="s">
        <v>97</v>
      </c>
      <c r="J188" s="28">
        <f ca="1">H184</f>
        <v>18</v>
      </c>
    </row>
    <row r="189" spans="1:11" ht="15.75" customHeight="1">
      <c r="A189" s="110" t="s">
        <v>126</v>
      </c>
      <c r="B189" s="110"/>
      <c r="C189" s="72">
        <v>5</v>
      </c>
      <c r="D189" s="18">
        <f ca="1">((100/(D184+F184+H184))*C189)/100</f>
        <v>0.26315789473684215</v>
      </c>
      <c r="E189" s="111"/>
      <c r="F189" s="111"/>
      <c r="G189" s="111"/>
      <c r="H189" s="111"/>
      <c r="I189" s="13" t="s">
        <v>98</v>
      </c>
      <c r="J189" s="29">
        <f ca="1">(IF(B184&gt;1,(H184/(B184+2)),H184/4))</f>
        <v>3.6</v>
      </c>
      <c r="K189" s="20">
        <f>0.1*19</f>
        <v>1.9000000000000001</v>
      </c>
    </row>
    <row r="190" spans="1:11" ht="15.75" customHeight="1">
      <c r="A190" s="110" t="s">
        <v>133</v>
      </c>
      <c r="B190" s="110" t="s">
        <v>127</v>
      </c>
      <c r="C190" s="84">
        <f>C189-D184</f>
        <v>4</v>
      </c>
      <c r="D190" s="18">
        <f ca="1">((100/H184)*C190)/100</f>
        <v>0.22222222222222221</v>
      </c>
      <c r="E190" s="111"/>
      <c r="F190" s="111"/>
      <c r="G190" s="111"/>
      <c r="H190" s="111"/>
      <c r="I190" s="13" t="s">
        <v>99</v>
      </c>
      <c r="J190" s="29">
        <f ca="1">(IF(B184&gt;1,(H184/(B184+2)+J189),H184/4+J189))</f>
        <v>7.2</v>
      </c>
    </row>
    <row r="191" spans="1:11" ht="15.75" customHeight="1">
      <c r="A191" s="110" t="s">
        <v>134</v>
      </c>
      <c r="B191" s="110" t="s">
        <v>127</v>
      </c>
      <c r="C191" s="84">
        <f>C190*0.75</f>
        <v>3</v>
      </c>
      <c r="D191" s="18">
        <f ca="1">((100/H184)*C191)/100</f>
        <v>0.16666666666666663</v>
      </c>
      <c r="E191" s="111"/>
      <c r="F191" s="111"/>
      <c r="G191" s="111"/>
      <c r="H191" s="111"/>
      <c r="I191" s="13" t="s">
        <v>143</v>
      </c>
      <c r="J191" s="29">
        <f ca="1">(IF(B184&gt;1,(H184/(B184+2)+J190),0))</f>
        <v>10.8</v>
      </c>
    </row>
    <row r="192" spans="1:11" ht="15" customHeight="1">
      <c r="A192" s="110" t="s">
        <v>132</v>
      </c>
      <c r="B192" s="110" t="s">
        <v>129</v>
      </c>
      <c r="C192" s="76">
        <f>C190*0.7</f>
        <v>2.8</v>
      </c>
      <c r="D192" s="18">
        <f ca="1">((100/(H184))*C192)/100</f>
        <v>0.15555555555555553</v>
      </c>
      <c r="E192" s="111"/>
      <c r="F192" s="111"/>
      <c r="G192" s="111"/>
      <c r="H192" s="111"/>
      <c r="I192" s="13" t="s">
        <v>140</v>
      </c>
      <c r="J192" s="29">
        <f ca="1">(IF(B184&gt;2,(H184/(B184+2)+J191),0))</f>
        <v>14.4</v>
      </c>
    </row>
    <row r="193" spans="1:11" ht="15.75" customHeight="1">
      <c r="A193" s="110" t="s">
        <v>128</v>
      </c>
      <c r="B193" s="110" t="s">
        <v>128</v>
      </c>
      <c r="C193" s="84">
        <v>0</v>
      </c>
      <c r="D193" s="18">
        <f ca="1">((100/H184)*C193)/100</f>
        <v>0</v>
      </c>
      <c r="E193" s="111"/>
      <c r="F193" s="111"/>
      <c r="G193" s="111"/>
      <c r="H193" s="111"/>
      <c r="I193" s="13" t="s">
        <v>141</v>
      </c>
      <c r="J193" s="30">
        <f>(IF(B184&gt;3,(H184/(B184+2)+J192),0))</f>
        <v>0</v>
      </c>
    </row>
    <row r="194" spans="1:11" ht="15.75" customHeight="1">
      <c r="A194" s="110" t="s">
        <v>135</v>
      </c>
      <c r="B194" s="110"/>
      <c r="C194" s="84">
        <v>0</v>
      </c>
      <c r="D194" s="18">
        <f ca="1">((100/H184)*C194)/100</f>
        <v>0</v>
      </c>
      <c r="E194" s="111"/>
      <c r="F194" s="111"/>
      <c r="G194" s="111"/>
      <c r="H194" s="111"/>
      <c r="I194" s="13" t="s">
        <v>142</v>
      </c>
      <c r="J194" s="29">
        <f>(IF(B184&gt;4,(H184/(B184+2)+J193),0))</f>
        <v>0</v>
      </c>
    </row>
    <row r="195" spans="1:11" ht="15.75" customHeight="1">
      <c r="A195" s="110" t="s">
        <v>130</v>
      </c>
      <c r="B195" s="110" t="s">
        <v>130</v>
      </c>
      <c r="C195" s="84">
        <v>0</v>
      </c>
      <c r="D195" s="18">
        <f ca="1">((100/(H184))*C195)/100</f>
        <v>0</v>
      </c>
      <c r="E195" s="111"/>
      <c r="F195" s="111"/>
      <c r="G195" s="111"/>
      <c r="H195" s="111"/>
      <c r="I195" s="13" t="s">
        <v>144</v>
      </c>
      <c r="J195" s="29">
        <f>(IF(B184=1,(H184/(B184+3)+J190),IF(B184=0,(H184/4+J190),IF(B184&gt;1,0))))</f>
        <v>0</v>
      </c>
    </row>
    <row r="196" spans="1:11" ht="16.5" thickBot="1">
      <c r="A196" s="110" t="s">
        <v>131</v>
      </c>
      <c r="B196" s="110"/>
      <c r="C196" s="84">
        <v>0</v>
      </c>
      <c r="D196" s="18">
        <f ca="1">((100/(H184))*C196)/100</f>
        <v>0</v>
      </c>
      <c r="E196" s="111"/>
      <c r="F196" s="111"/>
      <c r="G196" s="111"/>
      <c r="H196" s="111"/>
      <c r="I196" s="14" t="s">
        <v>100</v>
      </c>
      <c r="J196" s="31">
        <f ca="1">(IF(B184&gt;1.5,(H184/(B184+2)+J190+MAX(0,J191-J190)+MAX(0,J192-J191)+MAX(0,J193-J192)+MAX(0,J194-J193)+MAX(0,J195-J194)),IF(B184=1,(H184/(B184+3)+J195),IF(B184=0,H184/4+J195))))</f>
        <v>18</v>
      </c>
    </row>
    <row r="197" spans="1:11" ht="15.75" customHeight="1">
      <c r="A197" s="107" t="s">
        <v>137</v>
      </c>
      <c r="B197" s="107"/>
      <c r="C197" s="107" t="s">
        <v>401</v>
      </c>
      <c r="D197" s="107"/>
      <c r="E197" s="107"/>
      <c r="F197" s="107"/>
      <c r="G197" s="107"/>
      <c r="H197" s="107"/>
      <c r="I197" s="77" t="str">
        <f ca="1">IF(D210=100%,"All work Completed. Possession granted to the Building.",IF(D209=100%,"All work Completed, Waiting for OC",I198&amp;""&amp;I199&amp;""&amp;J198&amp;""&amp;J197&amp;" "&amp;J199))</f>
        <v>Excavation, Plinth Completed, RCC upto 10 Slab, Brickwork upto 9 Floor, Internal Plaster upto 6.75 Floor, External Plaster upto 6.3 Floor Completed</v>
      </c>
      <c r="J197" s="47" t="str">
        <f ca="1">(IF(C203=(D198+F198+H198),"",IF(C203&gt;0,", RCC upto "&amp;C203&amp;" Slab","")))&amp;(IF(C204=H198,"",IF(C204&gt;0,", Brickwork upto "&amp;C204&amp;" Floor","")))&amp;(IF(C205=H198,"",IF(C205&gt;0,", Internal Plaster upto "&amp;C205&amp;" Floor","")))&amp;(IF(C206=H198,"",IF(C206&gt;0,", External Plaster upto "&amp;C206&amp;" Floor","")))&amp;(IF(C207=H198,"",IF(C207&gt;0,", Flooring upto "&amp;C207&amp;" Floor","")))&amp;(IF(C208=H198,"",IF(C208&gt;0,", Painting upto "&amp;C208&amp;" Floor","")))&amp;(IF(C209=H198,"",IF(C209&gt;0,", Finishing upto "&amp;C209&amp;" Floor","")))&amp;(IF(C210=H198,"",IF(C210&gt;0,", Possession upto "&amp;C210&amp;" Floor","")))</f>
        <v>, RCC upto 10 Slab, Brickwork upto 9 Floor, Internal Plaster upto 6.75 Floor, External Plaster upto 6.3 Floor</v>
      </c>
    </row>
    <row r="198" spans="1:11">
      <c r="A198" s="44" t="s">
        <v>139</v>
      </c>
      <c r="B198" s="44">
        <f>IF(AND(ISNUMBER(SEARCH("1B",C197))),1,IF(AND(ISNUMBER(SEARCH("2B",C197))),2,IF(AND(ISNUMBER(SEARCH("3B",C197))),3,IF(AND(ISNUMBER(SEARCH("4B",C197))),4,IF(ISNUMBER(SEARCH("5B",C197)),5,0)))))</f>
        <v>3</v>
      </c>
      <c r="C198" s="44" t="s">
        <v>67</v>
      </c>
      <c r="D198" s="44">
        <v>1</v>
      </c>
      <c r="E198" s="44" t="s">
        <v>66</v>
      </c>
      <c r="F198" s="44">
        <v>0</v>
      </c>
      <c r="G198" s="45" t="s">
        <v>75</v>
      </c>
      <c r="H198" s="44">
        <f ca="1">--TRIM(RIGHT(SUBSTITUTE(LEFT(C197,_xlfn.AGGREGATE(16,6,FIND({0,1,2,3,4,5,6,7,8,9},C197,ROW(INDIRECT("1:"&amp;LEN(C197)))),1))," ",REPT(" ",LEN(C197))),LEN(C197)))</f>
        <v>18</v>
      </c>
      <c r="I198" s="78" t="str">
        <f ca="1">IF(D201=100%,"Excavation","")&amp;IF(D202=100%,", Plinth","")&amp;IF(D203=100%,", RCC Slab","")&amp;IF(D204=100%,", Brickwork","")&amp;IF(D205=100%,", Internal Plaster","")&amp;IF(D206=100%,", External Plaster","")&amp;IF(D207=100%,", Flooring","")&amp;IF(D208=100%,", Painting","")&amp;IF(D209=100%,", Building common Amenities","")</f>
        <v>Excavation, Plinth</v>
      </c>
      <c r="J198" s="49" t="str">
        <f ca="1">(IF(C201=0,"Work not yet Started.",IF(D201=25%,"Piling work in process",IF(D201=50%,"Excavation work in process",IF(D201=100%,"","0")))))&amp;(IF(C202=0%,"",IF(C202=J203,", Footing work is process",IF(C202=J204,", Footing work Completed",IF(C202=J205,", 1st Basement Completed",IF(C202=J206,", 1st &amp; 2nd Basement Completed",IF(C202=J207,", 1st to 3rd Basement Completed",IF(C202=J208,", 1st to 4th Basement Completed",IF(C202=J209,", Plinth work is process",IF(C202=J210,"","0"))))))))))</f>
        <v/>
      </c>
    </row>
    <row r="199" spans="1:11" ht="31.5" customHeight="1">
      <c r="A199" s="108" t="s">
        <v>85</v>
      </c>
      <c r="B199" s="108"/>
      <c r="C199" s="109" t="str">
        <f ca="1">(IF($G$62="NA",I197,"All work Completed. OC Received."))</f>
        <v>Excavation, Plinth Completed, RCC upto 10 Slab, Brickwork upto 9 Floor, Internal Plaster upto 6.75 Floor, External Plaster upto 6.3 Floor Completed</v>
      </c>
      <c r="D199" s="109"/>
      <c r="E199" s="109"/>
      <c r="F199" s="109"/>
      <c r="G199" s="109"/>
      <c r="H199" s="109"/>
      <c r="I199" s="78" t="str">
        <f ca="1">IF(I198&lt;&gt;""," Completed","")</f>
        <v xml:space="preserve"> Completed</v>
      </c>
      <c r="J199" s="49" t="str">
        <f ca="1">IF(J197&lt;&gt;"","Completed","")</f>
        <v>Completed</v>
      </c>
    </row>
    <row r="200" spans="1:11" ht="15.75" customHeight="1">
      <c r="A200" s="110" t="s">
        <v>47</v>
      </c>
      <c r="B200" s="110"/>
      <c r="C200" s="41" t="s">
        <v>136</v>
      </c>
      <c r="D200" s="41" t="s">
        <v>78</v>
      </c>
      <c r="E200" s="110" t="s">
        <v>80</v>
      </c>
      <c r="F200" s="110"/>
      <c r="G200" s="110" t="s">
        <v>79</v>
      </c>
      <c r="H200" s="110"/>
      <c r="I200" s="13" t="s">
        <v>138</v>
      </c>
      <c r="J200" s="27">
        <f ca="1">H198*25%</f>
        <v>4.5</v>
      </c>
    </row>
    <row r="201" spans="1:11">
      <c r="A201" s="110" t="s">
        <v>125</v>
      </c>
      <c r="B201" s="110"/>
      <c r="C201" s="41">
        <f ca="1">J202</f>
        <v>18</v>
      </c>
      <c r="D201" s="18">
        <f ca="1">((100/H198)*C201)/100</f>
        <v>1</v>
      </c>
      <c r="E201" s="111">
        <f ca="1">(((C202/H198*10)+(40/(D198+F198+H198)*C203)+(7.5/(H198)*C204)+(7.5/(H198)*C205)+(10/H198*C206)+(10/H198*C207)+(5/H198*C208)+(5/H198*C209)+(5/H198*C210))/100)</f>
        <v>0.41115131578947373</v>
      </c>
      <c r="F201" s="111"/>
      <c r="G201" s="111">
        <f ca="1">((((C201/H198)*20)+((C202/H198)*25)+(30/(H198+F198+D198)*C203)+(5/H198*C204)+(5/H198*C205)+(5/H198*C206)+(5/H198*C207)+(0/H198*C208)+(0/H198*C209)+(5/H198*C210))/100)</f>
        <v>0.66914473684210518</v>
      </c>
      <c r="H201" s="111"/>
      <c r="I201" s="13" t="s">
        <v>96</v>
      </c>
      <c r="J201" s="28">
        <f ca="1">H198*50%</f>
        <v>9</v>
      </c>
    </row>
    <row r="202" spans="1:11">
      <c r="A202" s="110" t="s">
        <v>48</v>
      </c>
      <c r="B202" s="110"/>
      <c r="C202" s="76">
        <f ca="1">J210</f>
        <v>18</v>
      </c>
      <c r="D202" s="18">
        <f ca="1">((100/H198)*C202)/100</f>
        <v>1</v>
      </c>
      <c r="E202" s="111"/>
      <c r="F202" s="111"/>
      <c r="G202" s="111"/>
      <c r="H202" s="111"/>
      <c r="I202" s="13" t="s">
        <v>97</v>
      </c>
      <c r="J202" s="28">
        <f ca="1">H198</f>
        <v>18</v>
      </c>
    </row>
    <row r="203" spans="1:11" ht="15.75" customHeight="1">
      <c r="A203" s="110" t="s">
        <v>126</v>
      </c>
      <c r="B203" s="110"/>
      <c r="C203" s="41">
        <v>10</v>
      </c>
      <c r="D203" s="18">
        <f ca="1">((100/(D198+F198+H198))*C203)/100</f>
        <v>0.52631578947368429</v>
      </c>
      <c r="E203" s="111"/>
      <c r="F203" s="111"/>
      <c r="G203" s="111"/>
      <c r="H203" s="111"/>
      <c r="I203" s="13" t="s">
        <v>98</v>
      </c>
      <c r="J203" s="29">
        <f ca="1">(IF(B198&gt;1,(H198/(B198+2)),H198/4))</f>
        <v>3.6</v>
      </c>
      <c r="K203" s="20">
        <f>0.16*19</f>
        <v>3.04</v>
      </c>
    </row>
    <row r="204" spans="1:11" ht="15.75" customHeight="1">
      <c r="A204" s="110" t="s">
        <v>133</v>
      </c>
      <c r="B204" s="110" t="s">
        <v>127</v>
      </c>
      <c r="C204" s="41">
        <f>C203-D198</f>
        <v>9</v>
      </c>
      <c r="D204" s="18">
        <f ca="1">((100/H198)*C204)/100</f>
        <v>0.5</v>
      </c>
      <c r="E204" s="111"/>
      <c r="F204" s="111"/>
      <c r="G204" s="111"/>
      <c r="H204" s="111"/>
      <c r="I204" s="13" t="s">
        <v>99</v>
      </c>
      <c r="J204" s="29">
        <f ca="1">(IF(B198&gt;1,(H198/(B198+2)+J203),H198/4+J203))</f>
        <v>7.2</v>
      </c>
    </row>
    <row r="205" spans="1:11" ht="15.75" customHeight="1">
      <c r="A205" s="110" t="s">
        <v>134</v>
      </c>
      <c r="B205" s="110" t="s">
        <v>127</v>
      </c>
      <c r="C205" s="76">
        <f>C204*0.75</f>
        <v>6.75</v>
      </c>
      <c r="D205" s="18">
        <f ca="1">((100/H198)*C205)/100</f>
        <v>0.375</v>
      </c>
      <c r="E205" s="111"/>
      <c r="F205" s="111"/>
      <c r="G205" s="111"/>
      <c r="H205" s="111"/>
      <c r="I205" s="13" t="s">
        <v>143</v>
      </c>
      <c r="J205" s="29">
        <f ca="1">(IF(B198&gt;1,(H198/(B198+2)+J204),0))</f>
        <v>10.8</v>
      </c>
    </row>
    <row r="206" spans="1:11" ht="15" customHeight="1">
      <c r="A206" s="110" t="s">
        <v>132</v>
      </c>
      <c r="B206" s="110" t="s">
        <v>129</v>
      </c>
      <c r="C206" s="76">
        <f>C204*0.7</f>
        <v>6.3</v>
      </c>
      <c r="D206" s="18">
        <f ca="1">((100/(H198))*C206)/100</f>
        <v>0.35</v>
      </c>
      <c r="E206" s="111"/>
      <c r="F206" s="111"/>
      <c r="G206" s="111"/>
      <c r="H206" s="111"/>
      <c r="I206" s="13" t="s">
        <v>140</v>
      </c>
      <c r="J206" s="29">
        <f ca="1">(IF(B198&gt;2,(H198/(B198+2)+J205),0))</f>
        <v>14.4</v>
      </c>
    </row>
    <row r="207" spans="1:11" ht="15.75" customHeight="1">
      <c r="A207" s="110" t="s">
        <v>128</v>
      </c>
      <c r="B207" s="110" t="s">
        <v>128</v>
      </c>
      <c r="C207" s="41">
        <v>0</v>
      </c>
      <c r="D207" s="18">
        <f ca="1">((100/H198)*C207)/100</f>
        <v>0</v>
      </c>
      <c r="E207" s="111"/>
      <c r="F207" s="111"/>
      <c r="G207" s="111"/>
      <c r="H207" s="111"/>
      <c r="I207" s="13" t="s">
        <v>141</v>
      </c>
      <c r="J207" s="30">
        <f>(IF(B198&gt;3,(H198/(B198+2)+J206),0))</f>
        <v>0</v>
      </c>
    </row>
    <row r="208" spans="1:11" ht="15.75" customHeight="1">
      <c r="A208" s="110" t="s">
        <v>135</v>
      </c>
      <c r="B208" s="110"/>
      <c r="C208" s="41">
        <v>0</v>
      </c>
      <c r="D208" s="18">
        <f ca="1">((100/H198)*C208)/100</f>
        <v>0</v>
      </c>
      <c r="E208" s="111"/>
      <c r="F208" s="111"/>
      <c r="G208" s="111"/>
      <c r="H208" s="111"/>
      <c r="I208" s="13" t="s">
        <v>142</v>
      </c>
      <c r="J208" s="29">
        <f>(IF(B198&gt;4,(H198/(B198+2)+J207),0))</f>
        <v>0</v>
      </c>
    </row>
    <row r="209" spans="1:11" ht="15.75" customHeight="1">
      <c r="A209" s="110" t="s">
        <v>130</v>
      </c>
      <c r="B209" s="110" t="s">
        <v>130</v>
      </c>
      <c r="C209" s="41">
        <v>0</v>
      </c>
      <c r="D209" s="18">
        <f ca="1">((100/(H198))*C209)/100</f>
        <v>0</v>
      </c>
      <c r="E209" s="111"/>
      <c r="F209" s="111"/>
      <c r="G209" s="111"/>
      <c r="H209" s="111"/>
      <c r="I209" s="13" t="s">
        <v>144</v>
      </c>
      <c r="J209" s="29">
        <f>(IF(B198=1,(H198/(B198+3)+J204),IF(B198=0,(H198/4+J204),IF(B198&gt;1,0))))</f>
        <v>0</v>
      </c>
    </row>
    <row r="210" spans="1:11" ht="16.5" thickBot="1">
      <c r="A210" s="110" t="s">
        <v>131</v>
      </c>
      <c r="B210" s="110"/>
      <c r="C210" s="41">
        <v>0</v>
      </c>
      <c r="D210" s="18">
        <f ca="1">((100/(H198))*C210)/100</f>
        <v>0</v>
      </c>
      <c r="E210" s="111"/>
      <c r="F210" s="111"/>
      <c r="G210" s="111"/>
      <c r="H210" s="111"/>
      <c r="I210" s="14" t="s">
        <v>100</v>
      </c>
      <c r="J210" s="31">
        <f ca="1">(IF(B198&gt;1.5,(H198/(B198+2)+J204+MAX(0,J205-J204)+MAX(0,J206-J205)+MAX(0,J207-J206)+MAX(0,J208-J207)+MAX(0,J209-J208)),IF(B198=1,(H198/(B198+3)+J209),IF(B198=0,H198/4+J209))))</f>
        <v>18</v>
      </c>
    </row>
    <row r="211" spans="1:11" ht="15.75" customHeight="1">
      <c r="A211" s="191" t="s">
        <v>137</v>
      </c>
      <c r="B211" s="192"/>
      <c r="C211" s="214" t="s">
        <v>367</v>
      </c>
      <c r="D211" s="215"/>
      <c r="E211" s="215"/>
      <c r="F211" s="215"/>
      <c r="G211" s="215"/>
      <c r="H211" s="216"/>
      <c r="I211" s="46" t="str">
        <f ca="1">IF(D224=100%,"All work Completed. Possession granted to the Building.",IF(D223=100%,"All work Completed, Waiting for OC",I212&amp;""&amp;I213&amp;""&amp;J212&amp;""&amp;J211&amp;" "&amp;J213))</f>
        <v>Excavation, Plinth Completed, RCC upto 6 Slab, Brickwork upto 5 Floor, Internal Plaster upto 3.75 Floor, External Plaster upto 3.5 Floor Completed</v>
      </c>
      <c r="J211" s="47" t="str">
        <f ca="1">(IF(C217=(D212+F212+H212),"",IF(C217&gt;0,", RCC upto "&amp;C217&amp;" Slab","")))&amp;(IF(C218=H212,"",IF(C218&gt;0,", Brickwork upto "&amp;C218&amp;" Floor","")))&amp;(IF(C219=H212,"",IF(C219&gt;0,", Internal Plaster upto "&amp;C219&amp;" Floor","")))&amp;(IF(C220=H212,"",IF(C220&gt;0,", External Plaster upto "&amp;C220&amp;" Floor","")))&amp;(IF(C221=H212,"",IF(C221&gt;0,", Flooring upto "&amp;C221&amp;" Floor","")))&amp;(IF(C222=H212,"",IF(C222&gt;0,", Painting upto "&amp;C222&amp;" Floor","")))&amp;(IF(C223=H212,"",IF(C223&gt;0,", Finishing upto "&amp;C223&amp;" Floor","")))&amp;(IF(C224=H212,"",IF(C224&gt;0,", Possession upto "&amp;C224&amp;" Floor","")))</f>
        <v>, RCC upto 6 Slab, Brickwork upto 5 Floor, Internal Plaster upto 3.75 Floor, External Plaster upto 3.5 Floor</v>
      </c>
    </row>
    <row r="212" spans="1:11">
      <c r="A212" s="15" t="s">
        <v>139</v>
      </c>
      <c r="B212" s="44">
        <f>IF(AND(ISNUMBER(SEARCH("1B",C211))),1,IF(AND(ISNUMBER(SEARCH("2B",C211))),2,IF(AND(ISNUMBER(SEARCH("3B",C211))),3,IF(AND(ISNUMBER(SEARCH("4B",C211))),4,IF(ISNUMBER(SEARCH("5B",C211)),5,0)))))</f>
        <v>3</v>
      </c>
      <c r="C212" s="44" t="s">
        <v>67</v>
      </c>
      <c r="D212" s="44">
        <v>1</v>
      </c>
      <c r="E212" s="44" t="s">
        <v>66</v>
      </c>
      <c r="F212" s="44">
        <v>0</v>
      </c>
      <c r="G212" s="45" t="s">
        <v>75</v>
      </c>
      <c r="H212" s="16">
        <f ca="1">--TRIM(RIGHT(SUBSTITUTE(LEFT(C211,_xlfn.AGGREGATE(16,6,FIND({0,1,2,3,4,5,6,7,8,9},C211,ROW(INDIRECT("1:"&amp;LEN(C211)))),1))," ",REPT(" ",LEN(C211))),LEN(C211)))</f>
        <v>18</v>
      </c>
      <c r="I212" s="48" t="str">
        <f ca="1">IF(D215=100%,"Excavation","")&amp;IF(D216=100%,", Plinth","")&amp;IF(D217=100%,", RCC Slab","")&amp;IF(D218=100%,", Brickwork","")&amp;IF(D219=100%,", Internal Plaster","")&amp;IF(D220=100%,", External Plaster","")&amp;IF(D221=100%,", Flooring","")&amp;IF(D222=100%,", Painting","")&amp;IF(D223=100%,", Building common Amenities","")</f>
        <v>Excavation, Plinth</v>
      </c>
      <c r="J212" s="49" t="str">
        <f ca="1">(IF(C215=0,"Work not yet Started.",IF(D215=25%,"Piling work in process",IF(D215=50%,"Excavation work in process",IF(D215=100%,"","0")))))&amp;(IF(C216=0%,"",IF(C216=J217,", Footing work is process",IF(C216=J218,", Footing work Completed",IF(C216=J219,", 1st Basement Completed",IF(C216=J220,", 1st &amp; 2nd Basement Completed",IF(C216=J221,", 1st to 3rd Basement Completed",IF(C216=J222,", 1st to 4th Basement Completed",IF(C216=J223,", Plinth work is process",IF(C216=J224,"","0"))))))))))</f>
        <v/>
      </c>
    </row>
    <row r="213" spans="1:11" ht="31.5" customHeight="1">
      <c r="A213" s="112" t="s">
        <v>85</v>
      </c>
      <c r="B213" s="108"/>
      <c r="C213" s="109" t="str">
        <f ca="1">(IF($G$62="NA",I211,"All work Completed. OC Received."))</f>
        <v>Excavation, Plinth Completed, RCC upto 6 Slab, Brickwork upto 5 Floor, Internal Plaster upto 3.75 Floor, External Plaster upto 3.5 Floor Completed</v>
      </c>
      <c r="D213" s="109"/>
      <c r="E213" s="109"/>
      <c r="F213" s="109"/>
      <c r="G213" s="109"/>
      <c r="H213" s="113"/>
      <c r="I213" s="48" t="str">
        <f ca="1">IF(I212&lt;&gt;""," Completed","")</f>
        <v xml:space="preserve"> Completed</v>
      </c>
      <c r="J213" s="49" t="str">
        <f ca="1">IF(J211&lt;&gt;"","Completed","")</f>
        <v>Completed</v>
      </c>
    </row>
    <row r="214" spans="1:11" ht="15.75" customHeight="1">
      <c r="A214" s="114" t="s">
        <v>47</v>
      </c>
      <c r="B214" s="110"/>
      <c r="C214" s="41" t="s">
        <v>136</v>
      </c>
      <c r="D214" s="41" t="s">
        <v>78</v>
      </c>
      <c r="E214" s="110" t="s">
        <v>80</v>
      </c>
      <c r="F214" s="110"/>
      <c r="G214" s="110" t="s">
        <v>79</v>
      </c>
      <c r="H214" s="115"/>
      <c r="I214" s="13" t="s">
        <v>138</v>
      </c>
      <c r="J214" s="27">
        <f ca="1">H212*25%</f>
        <v>4.5</v>
      </c>
    </row>
    <row r="215" spans="1:11">
      <c r="A215" s="110" t="s">
        <v>125</v>
      </c>
      <c r="B215" s="110"/>
      <c r="C215" s="41">
        <f ca="1">J216</f>
        <v>18</v>
      </c>
      <c r="D215" s="18">
        <f ca="1">((100/H212)*C215)/100</f>
        <v>1</v>
      </c>
      <c r="E215" s="111">
        <f ca="1">(((C216/H212*10)+(40/(D212+F212+H212)*C217)+(7.5/(H212)*C218)+(7.5/(H212)*C219)+(10/H212*C220)+(10/H212*C221)+(5/H212*C222)+(5/H212*C223)+(5/H212*C224))/100)</f>
        <v>0.28221856725146194</v>
      </c>
      <c r="F215" s="111"/>
      <c r="G215" s="111">
        <f ca="1">((((C215/H212)*20)+((C216/H212)*25)+(30/(H212+F212+D212)*C217)+(5/H212*C218)+(5/H212*C219)+(5/H212*C220)+(5/H212*C221)+(0/H212*C222)+(0/H212*C223)+(5/H212*C224))/100)</f>
        <v>0.57876461988304084</v>
      </c>
      <c r="H215" s="111"/>
      <c r="I215" s="13" t="s">
        <v>96</v>
      </c>
      <c r="J215" s="28">
        <f ca="1">H212*50%</f>
        <v>9</v>
      </c>
    </row>
    <row r="216" spans="1:11">
      <c r="A216" s="110" t="s">
        <v>48</v>
      </c>
      <c r="B216" s="110"/>
      <c r="C216" s="76">
        <f ca="1">J224</f>
        <v>18</v>
      </c>
      <c r="D216" s="18">
        <f ca="1">((100/H212)*C216)/100</f>
        <v>1</v>
      </c>
      <c r="E216" s="111"/>
      <c r="F216" s="111"/>
      <c r="G216" s="111"/>
      <c r="H216" s="111"/>
      <c r="I216" s="13" t="s">
        <v>97</v>
      </c>
      <c r="J216" s="28">
        <f ca="1">H212</f>
        <v>18</v>
      </c>
    </row>
    <row r="217" spans="1:11" ht="15.75" customHeight="1">
      <c r="A217" s="110" t="s">
        <v>126</v>
      </c>
      <c r="B217" s="110"/>
      <c r="C217" s="41">
        <v>6</v>
      </c>
      <c r="D217" s="18">
        <f ca="1">((100/(D212+F212+H212))*C217)/100</f>
        <v>0.31578947368421056</v>
      </c>
      <c r="E217" s="111"/>
      <c r="F217" s="111"/>
      <c r="G217" s="111"/>
      <c r="H217" s="111"/>
      <c r="I217" s="13" t="s">
        <v>98</v>
      </c>
      <c r="J217" s="29">
        <f ca="1">(IF(B212&gt;1,(H212/(B212+2)),H212/4))</f>
        <v>3.6</v>
      </c>
      <c r="K217" s="20">
        <f>0.11*19</f>
        <v>2.09</v>
      </c>
    </row>
    <row r="218" spans="1:11" ht="15.75" customHeight="1">
      <c r="A218" s="110" t="s">
        <v>133</v>
      </c>
      <c r="B218" s="110" t="s">
        <v>127</v>
      </c>
      <c r="C218" s="41">
        <f>C217-D212</f>
        <v>5</v>
      </c>
      <c r="D218" s="18">
        <f ca="1">((100/H212)*C218)/100</f>
        <v>0.27777777777777779</v>
      </c>
      <c r="E218" s="111"/>
      <c r="F218" s="111"/>
      <c r="G218" s="111"/>
      <c r="H218" s="111"/>
      <c r="I218" s="13" t="s">
        <v>99</v>
      </c>
      <c r="J218" s="29">
        <f ca="1">(IF(B212&gt;1,(H212/(B212+2)+J217),H212/4+J217))</f>
        <v>7.2</v>
      </c>
    </row>
    <row r="219" spans="1:11" ht="15.75" customHeight="1">
      <c r="A219" s="110" t="s">
        <v>134</v>
      </c>
      <c r="B219" s="110" t="s">
        <v>127</v>
      </c>
      <c r="C219" s="76">
        <f>C218*0.75</f>
        <v>3.75</v>
      </c>
      <c r="D219" s="18">
        <f ca="1">((100/H212)*C219)/100</f>
        <v>0.20833333333333331</v>
      </c>
      <c r="E219" s="111"/>
      <c r="F219" s="111"/>
      <c r="G219" s="111"/>
      <c r="H219" s="111"/>
      <c r="I219" s="13" t="s">
        <v>143</v>
      </c>
      <c r="J219" s="29">
        <f ca="1">(IF(B212&gt;1,(H212/(B212+2)+J218),0))</f>
        <v>10.8</v>
      </c>
    </row>
    <row r="220" spans="1:11" ht="15" customHeight="1">
      <c r="A220" s="110" t="s">
        <v>132</v>
      </c>
      <c r="B220" s="110" t="s">
        <v>129</v>
      </c>
      <c r="C220" s="76">
        <f>C218*0.7</f>
        <v>3.5</v>
      </c>
      <c r="D220" s="18">
        <f ca="1">((100/(H212))*C220)/100</f>
        <v>0.19444444444444442</v>
      </c>
      <c r="E220" s="111"/>
      <c r="F220" s="111"/>
      <c r="G220" s="111"/>
      <c r="H220" s="111"/>
      <c r="I220" s="13" t="s">
        <v>140</v>
      </c>
      <c r="J220" s="29">
        <f ca="1">(IF(B212&gt;2,(H212/(B212+2)+J219),0))</f>
        <v>14.4</v>
      </c>
    </row>
    <row r="221" spans="1:11" ht="15.75" customHeight="1">
      <c r="A221" s="110" t="s">
        <v>128</v>
      </c>
      <c r="B221" s="110" t="s">
        <v>128</v>
      </c>
      <c r="C221" s="41">
        <v>0</v>
      </c>
      <c r="D221" s="18">
        <f ca="1">((100/H212)*C221)/100</f>
        <v>0</v>
      </c>
      <c r="E221" s="111"/>
      <c r="F221" s="111"/>
      <c r="G221" s="111"/>
      <c r="H221" s="111"/>
      <c r="I221" s="13" t="s">
        <v>141</v>
      </c>
      <c r="J221" s="30">
        <f>(IF(B212&gt;3,(H212/(B212+2)+J220),0))</f>
        <v>0</v>
      </c>
    </row>
    <row r="222" spans="1:11" ht="15.75" customHeight="1">
      <c r="A222" s="110" t="s">
        <v>135</v>
      </c>
      <c r="B222" s="110"/>
      <c r="C222" s="41">
        <v>0</v>
      </c>
      <c r="D222" s="18">
        <f ca="1">((100/H212)*C222)/100</f>
        <v>0</v>
      </c>
      <c r="E222" s="111"/>
      <c r="F222" s="111"/>
      <c r="G222" s="111"/>
      <c r="H222" s="111"/>
      <c r="I222" s="13" t="s">
        <v>142</v>
      </c>
      <c r="J222" s="29">
        <f>(IF(B212&gt;4,(H212/(B212+2)+J221),0))</f>
        <v>0</v>
      </c>
    </row>
    <row r="223" spans="1:11" ht="15.75" customHeight="1">
      <c r="A223" s="110" t="s">
        <v>130</v>
      </c>
      <c r="B223" s="110" t="s">
        <v>130</v>
      </c>
      <c r="C223" s="41">
        <v>0</v>
      </c>
      <c r="D223" s="18">
        <f ca="1">((100/(H212))*C223)/100</f>
        <v>0</v>
      </c>
      <c r="E223" s="111"/>
      <c r="F223" s="111"/>
      <c r="G223" s="111"/>
      <c r="H223" s="111"/>
      <c r="I223" s="13" t="s">
        <v>144</v>
      </c>
      <c r="J223" s="29">
        <f>(IF(B212=1,(H212/(B212+3)+J218),IF(B212=0,(H212/4+J218),IF(B212&gt;1,0))))</f>
        <v>0</v>
      </c>
    </row>
    <row r="224" spans="1:11" ht="16.5" thickBot="1">
      <c r="A224" s="110" t="s">
        <v>131</v>
      </c>
      <c r="B224" s="110"/>
      <c r="C224" s="41">
        <v>0</v>
      </c>
      <c r="D224" s="18">
        <f ca="1">((100/(H212))*C224)/100</f>
        <v>0</v>
      </c>
      <c r="E224" s="111"/>
      <c r="F224" s="111"/>
      <c r="G224" s="111"/>
      <c r="H224" s="111"/>
      <c r="I224" s="14" t="s">
        <v>100</v>
      </c>
      <c r="J224" s="31">
        <f ca="1">(IF(B212&gt;1.5,(H212/(B212+2)+J218+MAX(0,J219-J218)+MAX(0,J220-J219)+MAX(0,J221-J220)+MAX(0,J222-J221)+MAX(0,J223-J222)),IF(B212=1,(H212/(B212+3)+J223),IF(B212=0,H212/4+J223))))</f>
        <v>18</v>
      </c>
    </row>
    <row r="225" spans="1:22">
      <c r="A225" s="162" t="s">
        <v>154</v>
      </c>
      <c r="B225" s="162"/>
      <c r="C225" s="162"/>
      <c r="D225" s="162"/>
      <c r="E225" s="162"/>
      <c r="F225" s="187" t="s">
        <v>158</v>
      </c>
      <c r="G225" s="187"/>
      <c r="H225" s="187"/>
      <c r="R225" t="s">
        <v>248</v>
      </c>
      <c r="S225" t="s">
        <v>170</v>
      </c>
      <c r="T225" t="s">
        <v>174</v>
      </c>
      <c r="U225" t="s">
        <v>189</v>
      </c>
      <c r="V225" t="s">
        <v>184</v>
      </c>
    </row>
    <row r="226" spans="1:22">
      <c r="A226" s="151" t="s">
        <v>156</v>
      </c>
      <c r="B226" s="151"/>
      <c r="C226" s="151"/>
      <c r="D226" s="151"/>
      <c r="E226" s="151"/>
      <c r="F226" s="212">
        <v>26000</v>
      </c>
      <c r="G226" s="212"/>
      <c r="H226" s="212"/>
      <c r="R226"/>
      <c r="S226">
        <v>800000</v>
      </c>
      <c r="T226">
        <v>150000</v>
      </c>
      <c r="U226">
        <v>100000</v>
      </c>
      <c r="V226">
        <v>100000</v>
      </c>
    </row>
    <row r="227" spans="1:22" hidden="1">
      <c r="A227" s="151" t="s">
        <v>155</v>
      </c>
      <c r="B227" s="151"/>
      <c r="C227" s="151"/>
      <c r="D227" s="151"/>
      <c r="E227" s="151"/>
      <c r="F227" s="212"/>
      <c r="G227" s="212"/>
      <c r="H227" s="212"/>
      <c r="R227"/>
      <c r="S227">
        <v>900000</v>
      </c>
      <c r="T227">
        <v>200000</v>
      </c>
      <c r="U227">
        <v>150000</v>
      </c>
      <c r="V227">
        <v>150000</v>
      </c>
    </row>
    <row r="228" spans="1:22" hidden="1">
      <c r="A228" s="151" t="s">
        <v>157</v>
      </c>
      <c r="B228" s="151"/>
      <c r="C228" s="151"/>
      <c r="D228" s="151"/>
      <c r="E228" s="151"/>
      <c r="F228" s="212"/>
      <c r="G228" s="212"/>
      <c r="H228" s="212"/>
      <c r="R228"/>
      <c r="S228">
        <v>1000000</v>
      </c>
      <c r="T228">
        <v>250000</v>
      </c>
      <c r="U228">
        <v>200000</v>
      </c>
      <c r="V228">
        <v>200000</v>
      </c>
    </row>
    <row r="229" spans="1:22" s="32" customFormat="1" hidden="1">
      <c r="A229" s="151" t="s">
        <v>172</v>
      </c>
      <c r="B229" s="151"/>
      <c r="C229" s="151"/>
      <c r="D229" s="151"/>
      <c r="E229" s="151"/>
      <c r="F229" s="212"/>
      <c r="G229" s="212"/>
      <c r="H229" s="212"/>
      <c r="R229"/>
      <c r="S229">
        <v>1100000</v>
      </c>
      <c r="T229">
        <v>300000</v>
      </c>
      <c r="U229">
        <v>250000</v>
      </c>
      <c r="V229" s="22">
        <v>250000</v>
      </c>
    </row>
    <row r="230" spans="1:22" s="32" customFormat="1" hidden="1">
      <c r="A230" s="151" t="s">
        <v>90</v>
      </c>
      <c r="B230" s="151"/>
      <c r="C230" s="151"/>
      <c r="D230" s="151"/>
      <c r="E230" s="151"/>
      <c r="F230" s="212"/>
      <c r="G230" s="212"/>
      <c r="H230" s="212"/>
      <c r="R230"/>
      <c r="S230">
        <v>1200000</v>
      </c>
      <c r="T230">
        <v>350000</v>
      </c>
      <c r="U230">
        <v>300000</v>
      </c>
      <c r="V230">
        <v>300000</v>
      </c>
    </row>
    <row r="231" spans="1:22" s="32" customFormat="1" hidden="1">
      <c r="A231" s="151" t="s">
        <v>91</v>
      </c>
      <c r="B231" s="151"/>
      <c r="C231" s="151"/>
      <c r="D231" s="151"/>
      <c r="E231" s="151"/>
      <c r="F231" s="212"/>
      <c r="G231" s="212"/>
      <c r="H231" s="212"/>
      <c r="R231"/>
      <c r="S231">
        <v>1300000</v>
      </c>
      <c r="T231">
        <v>400000</v>
      </c>
      <c r="U231">
        <v>350000</v>
      </c>
      <c r="V231" s="22">
        <v>400000</v>
      </c>
    </row>
    <row r="232" spans="1:22" s="32" customFormat="1" hidden="1">
      <c r="A232" s="151" t="s">
        <v>92</v>
      </c>
      <c r="B232" s="151"/>
      <c r="C232" s="151"/>
      <c r="D232" s="151"/>
      <c r="E232" s="151"/>
      <c r="F232" s="212"/>
      <c r="G232" s="212"/>
      <c r="H232" s="212"/>
      <c r="R232"/>
      <c r="S232">
        <v>1400000</v>
      </c>
      <c r="T232">
        <v>500000</v>
      </c>
      <c r="U232">
        <v>400000</v>
      </c>
      <c r="V232"/>
    </row>
    <row r="233" spans="1:22" s="32" customFormat="1" hidden="1">
      <c r="A233" s="151" t="s">
        <v>93</v>
      </c>
      <c r="B233" s="151"/>
      <c r="C233" s="151"/>
      <c r="D233" s="151"/>
      <c r="E233" s="151"/>
      <c r="F233" s="212"/>
      <c r="G233" s="212"/>
      <c r="H233" s="212"/>
      <c r="R233"/>
      <c r="S233">
        <v>1500000</v>
      </c>
      <c r="T233">
        <v>600000</v>
      </c>
      <c r="U233">
        <v>500000</v>
      </c>
      <c r="V233" s="22"/>
    </row>
    <row r="234" spans="1:22" s="32" customFormat="1" hidden="1">
      <c r="A234" s="151" t="s">
        <v>94</v>
      </c>
      <c r="B234" s="151"/>
      <c r="C234" s="151"/>
      <c r="D234" s="151"/>
      <c r="E234" s="151"/>
      <c r="F234" s="212"/>
      <c r="G234" s="212"/>
      <c r="H234" s="212"/>
      <c r="R234"/>
      <c r="S234">
        <v>1600000</v>
      </c>
      <c r="T234">
        <v>700000</v>
      </c>
      <c r="U234">
        <v>600000</v>
      </c>
      <c r="V234"/>
    </row>
    <row r="235" spans="1:22" s="32" customFormat="1" hidden="1">
      <c r="A235" s="151" t="s">
        <v>95</v>
      </c>
      <c r="B235" s="151"/>
      <c r="C235" s="151"/>
      <c r="D235" s="151"/>
      <c r="E235" s="151"/>
      <c r="F235" s="212"/>
      <c r="G235" s="212"/>
      <c r="H235" s="212"/>
      <c r="R235"/>
      <c r="S235">
        <v>1700000</v>
      </c>
      <c r="T235">
        <v>800000</v>
      </c>
      <c r="U235"/>
      <c r="V235" s="22"/>
    </row>
    <row r="236" spans="1:22">
      <c r="A236" s="151" t="s">
        <v>49</v>
      </c>
      <c r="B236" s="151"/>
      <c r="C236" s="151"/>
      <c r="D236" s="151"/>
      <c r="E236" s="151"/>
      <c r="F236" s="212">
        <v>1000000</v>
      </c>
      <c r="G236" s="212"/>
      <c r="H236" s="212"/>
      <c r="R236"/>
      <c r="S236">
        <v>1800000</v>
      </c>
      <c r="T236">
        <v>900000</v>
      </c>
      <c r="U236"/>
    </row>
    <row r="237" spans="1:22" s="33" customFormat="1">
      <c r="A237" s="162" t="s">
        <v>50</v>
      </c>
      <c r="B237" s="162"/>
      <c r="C237" s="162"/>
      <c r="D237" s="162"/>
      <c r="E237" s="162"/>
      <c r="F237" s="212">
        <f>F226*0.8</f>
        <v>20800</v>
      </c>
      <c r="G237" s="212"/>
      <c r="H237" s="212"/>
      <c r="R237" s="20"/>
      <c r="S237" s="20"/>
      <c r="T237">
        <v>1000000</v>
      </c>
      <c r="U237"/>
      <c r="V237" s="20"/>
    </row>
    <row r="238" spans="1:22" s="34" customFormat="1" ht="15.75" hidden="1" customHeight="1">
      <c r="A238" s="133" t="s">
        <v>70</v>
      </c>
      <c r="B238" s="133"/>
      <c r="C238" s="133"/>
      <c r="D238" s="133"/>
      <c r="E238" s="133"/>
      <c r="F238" s="133"/>
      <c r="G238" s="133"/>
      <c r="H238" s="133"/>
      <c r="R238"/>
      <c r="S238" s="20"/>
      <c r="T238"/>
      <c r="U238"/>
      <c r="V238" s="20"/>
    </row>
    <row r="239" spans="1:22" s="34" customFormat="1" ht="15.75" hidden="1" customHeight="1">
      <c r="A239" s="190" t="s">
        <v>51</v>
      </c>
      <c r="B239" s="190"/>
      <c r="C239" s="194" t="s">
        <v>73</v>
      </c>
      <c r="D239" s="194"/>
      <c r="E239" s="195" t="s">
        <v>52</v>
      </c>
      <c r="F239" s="195"/>
      <c r="G239" s="190" t="s">
        <v>53</v>
      </c>
      <c r="H239" s="190"/>
      <c r="R239"/>
      <c r="S239" s="20"/>
      <c r="T239"/>
      <c r="U239" s="20"/>
      <c r="V239" s="20"/>
    </row>
    <row r="240" spans="1:22" s="34" customFormat="1" hidden="1">
      <c r="A240" s="213"/>
      <c r="B240" s="213"/>
      <c r="C240" s="155"/>
      <c r="D240" s="155"/>
      <c r="E240" s="156"/>
      <c r="F240" s="156"/>
      <c r="G240" s="193"/>
      <c r="H240" s="193"/>
      <c r="R240"/>
      <c r="S240" s="20"/>
      <c r="T240"/>
      <c r="U240" s="20"/>
      <c r="V240" s="20"/>
    </row>
    <row r="241" spans="1:22" s="34" customFormat="1" hidden="1">
      <c r="A241" s="213"/>
      <c r="B241" s="213"/>
      <c r="C241" s="155"/>
      <c r="D241" s="155"/>
      <c r="E241" s="156"/>
      <c r="F241" s="156"/>
      <c r="G241" s="193"/>
      <c r="H241" s="193"/>
      <c r="R241"/>
      <c r="S241" s="20"/>
      <c r="T241"/>
      <c r="U241" s="20"/>
      <c r="V241" s="20"/>
    </row>
    <row r="242" spans="1:22" s="34" customFormat="1" hidden="1">
      <c r="A242" s="133" t="s">
        <v>147</v>
      </c>
      <c r="B242" s="133"/>
      <c r="C242" s="194"/>
      <c r="D242" s="194"/>
      <c r="E242" s="195"/>
      <c r="F242" s="195"/>
      <c r="G242" s="190"/>
      <c r="H242" s="190"/>
      <c r="R242"/>
      <c r="S242" s="20"/>
      <c r="T242"/>
      <c r="U242" s="20"/>
      <c r="V242" s="20"/>
    </row>
    <row r="243" spans="1:22" s="34" customFormat="1">
      <c r="A243" s="232" t="s">
        <v>478</v>
      </c>
      <c r="B243" s="232"/>
      <c r="C243" s="232"/>
      <c r="D243" s="232"/>
      <c r="E243" s="232"/>
      <c r="F243" s="232"/>
      <c r="G243" s="232"/>
      <c r="H243" s="232"/>
      <c r="T243"/>
    </row>
    <row r="244" spans="1:22" s="34" customFormat="1" ht="15.75" customHeight="1">
      <c r="A244" s="190" t="s">
        <v>51</v>
      </c>
      <c r="B244" s="190"/>
      <c r="C244" s="194" t="s">
        <v>73</v>
      </c>
      <c r="D244" s="194"/>
      <c r="E244" s="195" t="s">
        <v>52</v>
      </c>
      <c r="F244" s="195"/>
      <c r="G244" s="190" t="s">
        <v>53</v>
      </c>
      <c r="H244" s="190"/>
      <c r="T244"/>
    </row>
    <row r="245" spans="1:22" s="34" customFormat="1">
      <c r="A245" s="83" t="s">
        <v>355</v>
      </c>
      <c r="B245" s="43" t="s">
        <v>357</v>
      </c>
      <c r="C245" s="160">
        <f>COUNT(D289)*8+COUNT(D291)*4+COUNT(D293)+COUNT(D295)</f>
        <v>14</v>
      </c>
      <c r="D245" s="156"/>
      <c r="E245" s="160">
        <f t="shared" ref="E245" si="0">SUM(F289)*8+SUM(F291)*4+SUM(F293)+SUM(F295)</f>
        <v>64031.91444</v>
      </c>
      <c r="F245" s="156"/>
      <c r="G245" s="160">
        <f t="shared" ref="G245" si="1">SUM(H289)*8+SUM(H291)*4+SUM(H293)+SUM(H295)</f>
        <v>96047.87165999999</v>
      </c>
      <c r="H245" s="156"/>
      <c r="T245"/>
    </row>
    <row r="246" spans="1:22" s="34" customFormat="1">
      <c r="A246" s="133" t="s">
        <v>356</v>
      </c>
      <c r="B246" s="43" t="s">
        <v>358</v>
      </c>
      <c r="C246" s="160">
        <f>COUNT(D302)+COUNT(D305)*6+COUNT(D313)+COUNT(D316:D317)+COUNT(D321)*2+COUNT(D325)+COUNT(D332:D333)+COUNT(D337)*2+COUNT(D341)</f>
        <v>18</v>
      </c>
      <c r="D246" s="160"/>
      <c r="E246" s="160">
        <f t="shared" ref="E246" si="2">SUM(F302)+SUM(F305)*6+SUM(F313)+SUM(F316:F317)+SUM(F321)*2+SUM(F325)+SUM(F332:F333)+SUM(F337)*2+SUM(F341)</f>
        <v>21983.8554</v>
      </c>
      <c r="F246" s="160"/>
      <c r="G246" s="160">
        <f t="shared" ref="G246" si="3">SUM(H302)+SUM(H305)*6+SUM(H313)+SUM(H316:H317)+SUM(H321)*2+SUM(H325)+SUM(H332:H333)+SUM(H337)*2+SUM(H341)</f>
        <v>32975.783100000001</v>
      </c>
      <c r="H246" s="160"/>
      <c r="T246"/>
    </row>
    <row r="247" spans="1:22" s="34" customFormat="1">
      <c r="A247" s="133"/>
      <c r="B247" s="43" t="s">
        <v>359</v>
      </c>
      <c r="C247" s="160">
        <f>COUNT(D347:D348)*13+COUNT(D354)+COUNT(D357)+COUNT(D360)</f>
        <v>29</v>
      </c>
      <c r="D247" s="160"/>
      <c r="E247" s="160">
        <f t="shared" ref="E247" si="4">SUM(F347:F348)*13+SUM(F354)+SUM(F357)+SUM(F360)</f>
        <v>49739.044679999999</v>
      </c>
      <c r="F247" s="160"/>
      <c r="G247" s="160">
        <f t="shared" ref="G247" si="5">SUM(H347:H348)*13+SUM(H354)+SUM(H357)+SUM(H360)</f>
        <v>74608.567019999973</v>
      </c>
      <c r="H247" s="160"/>
      <c r="T247"/>
    </row>
    <row r="248" spans="1:22" s="34" customFormat="1">
      <c r="A248" s="133"/>
      <c r="B248" s="43" t="s">
        <v>348</v>
      </c>
      <c r="C248" s="160">
        <f>COUNT(D364)+COUNT(D368)+COUNT(D372)+COUNT(D376)+COUNT(D379:D380)+COUNT(D382,D384)+COUNT(D388)+COUNT(D390,D392)*2+COUNT(D394,D396)*2+COUNT(D400)*4+COUNT(D404)*3</f>
        <v>24</v>
      </c>
      <c r="D248" s="160"/>
      <c r="E248" s="160">
        <f>SUM(F364)+SUM(F368)+SUM(F372)+SUM(F376)+SUM(F379:F380)+SUM(F382,F384)+SUM(F388)+SUM(F390,F392)*2+SUM(F394,F396)*2+SUM(F400)*4+SUM(F404)*3</f>
        <v>36626.23223999999</v>
      </c>
      <c r="F248" s="160"/>
      <c r="G248" s="160">
        <f>SUM(H364)+SUM(H368)+SUM(H372)+SUM(H376)+SUM(H379:H380)+SUM(H382,H384)+SUM(H388)+SUM(H390,H392)*2+SUM(H394,H396)*2+SUM(H400)*4+SUM(H404)*3</f>
        <v>53275.341599999985</v>
      </c>
      <c r="H248" s="160"/>
      <c r="T248"/>
    </row>
    <row r="249" spans="1:22" s="34" customFormat="1">
      <c r="A249" s="133"/>
      <c r="B249" s="43" t="s">
        <v>349</v>
      </c>
      <c r="C249" s="160">
        <f>COUNT(D409:D410)*11+COUNT(D416)+COUNT(D419)+COUNT(D422)+COUNT(D425)</f>
        <v>26</v>
      </c>
      <c r="D249" s="160"/>
      <c r="E249" s="160">
        <f t="shared" ref="E249" si="6">SUM(F409:F410)*11+SUM(F416)+SUM(F419)+SUM(F422)+SUM(F425)</f>
        <v>52140.815999999999</v>
      </c>
      <c r="F249" s="160"/>
      <c r="G249" s="160">
        <f t="shared" ref="G249" si="7">SUM(H409:H410)*11+SUM(H416)+SUM(H419)+SUM(H422)+SUM(H425)</f>
        <v>78211.223999999987</v>
      </c>
      <c r="H249" s="160"/>
      <c r="T249"/>
    </row>
    <row r="250" spans="1:22" s="34" customFormat="1">
      <c r="A250" s="133"/>
      <c r="B250" s="43" t="s">
        <v>350</v>
      </c>
      <c r="C250" s="160">
        <f>COUNT(D430:D431)+COUNT(D434)*2+COUNT(D436)+COUNT(D446)*4+COUNT(D452)*3+COUNT(D454:D455)</f>
        <v>14</v>
      </c>
      <c r="D250" s="160"/>
      <c r="E250" s="160">
        <f>SUM(F430:F431)+SUM(F434)*2+SUM(F436)+SUM(F446)*4+SUM(F452)*3+SUM(F454:F455)</f>
        <v>19257.657119999996</v>
      </c>
      <c r="F250" s="160"/>
      <c r="G250" s="160">
        <f t="shared" ref="G250" si="8">SUM(H430:H431)+SUM(H434)*2+SUM(H436)+SUM(H446)*4+SUM(H452)*3+SUM(H454:H455)</f>
        <v>28886.485679999998</v>
      </c>
      <c r="H250" s="160"/>
      <c r="T250"/>
    </row>
    <row r="251" spans="1:22" s="34" customFormat="1">
      <c r="A251" s="133"/>
      <c r="B251" s="43" t="s">
        <v>351</v>
      </c>
      <c r="C251" s="160">
        <f>COUNT(D468)+COUNT(D472,D474)*6+COUNT(D476:D478)+COUNT(D480,D482)+COUNT(D484,D486)*2</f>
        <v>22</v>
      </c>
      <c r="D251" s="160"/>
      <c r="E251" s="160">
        <f t="shared" ref="E251" si="9">SUM(F468)+SUM(F472,F474)*6+SUM(F476:F478)+SUM(F480,F482)+SUM(F484,F486)*2</f>
        <v>26208.294839999995</v>
      </c>
      <c r="F251" s="160"/>
      <c r="G251" s="160">
        <f t="shared" ref="G251" si="10">SUM(H468)+SUM(H472,H474)*6+SUM(H476:H478)+SUM(H480,H482)+SUM(H484,H486)*2</f>
        <v>39312.442259999996</v>
      </c>
      <c r="H251" s="160"/>
      <c r="T251"/>
    </row>
    <row r="252" spans="1:22" s="34" customFormat="1">
      <c r="A252" s="133"/>
      <c r="B252" s="43" t="s">
        <v>352</v>
      </c>
      <c r="C252" s="160">
        <f>COUNT(F490)+COUNT(F492)*5+COUNT(F497)+COUNT(F502)+COUNT(F507, F510)+COUNT(F512,F514:F515)+COUNT(F517,F519)+COUNT(F522,F524)+COUNT(F527,F529)+COUNT(F532,F534:F535)*3+COUNT(F537,F539:F540)+COUNT(F542:F545)</f>
        <v>35</v>
      </c>
      <c r="D252" s="160"/>
      <c r="E252" s="160">
        <f>SUM(F490)+SUM(F492)*5+SUM(F497)+SUM(F502)+SUM(F507, F510)+SUM(F512,F514:F515)+SUM(F517,F519)+SUM(F522,F524)+SUM(F527,F529)+SUM(F532,F534:F535)*3+SUM(F537,F539:F540)+SUM(F542:F545)</f>
        <v>42419.524679999988</v>
      </c>
      <c r="F252" s="160"/>
      <c r="G252" s="160">
        <f>SUM(H490)+SUM(H492)*5+SUM(H497)+SUM(H502)+SUM(H507, H510)+SUM(H512,H514:H515)+SUM(H517,H519)+SUM(H522,H524)+SUM(H527,H529)+SUM(H532,H534:H535)*3+SUM(H537,H539:H540)+SUM(H542:H545)</f>
        <v>63629.287020000003</v>
      </c>
      <c r="H252" s="160"/>
      <c r="T252"/>
    </row>
    <row r="253" spans="1:22" s="34" customFormat="1">
      <c r="A253" s="133"/>
      <c r="B253" s="43" t="s">
        <v>353</v>
      </c>
      <c r="C253" s="160">
        <f>COUNT(F549)+COUNT(F555)+COUNT(F559:F560)+COUNT(F563)+COUNT(F575)*3+COUNT(F579)+COUNT(F583:F584)*3+COUNT(F591:F592)</f>
        <v>17</v>
      </c>
      <c r="D253" s="160"/>
      <c r="E253" s="160">
        <f t="shared" ref="E253" si="11">SUM(F549)+SUM(F555)+SUM(F559:F560)+SUM(F563)+SUM(F575)*3+SUM(F579)+SUM(F583:F584)*3+SUM(F591:F592)</f>
        <v>25843.933439999997</v>
      </c>
      <c r="F253" s="160"/>
      <c r="G253" s="160">
        <f t="shared" ref="G253" si="12">SUM(H549)+SUM(H555)+SUM(H559:H560)+SUM(H563)+SUM(H575)*3+SUM(H579)+SUM(H583:H584)*3+SUM(H591:H592)</f>
        <v>38765.900159999997</v>
      </c>
      <c r="H253" s="160"/>
      <c r="T253"/>
    </row>
    <row r="254" spans="1:22" s="34" customFormat="1">
      <c r="A254" s="133"/>
      <c r="B254" s="43" t="s">
        <v>354</v>
      </c>
      <c r="C254" s="160">
        <f>COUNT(D602)+COUNT(D610:D611)*5+COUNT(D613:D614)*4</f>
        <v>19</v>
      </c>
      <c r="D254" s="160"/>
      <c r="E254" s="160">
        <f t="shared" ref="E254" si="13">SUM(F602)+SUM(F610:F611)*5+SUM(F613:F614)*4</f>
        <v>26197.207919999997</v>
      </c>
      <c r="F254" s="160"/>
      <c r="G254" s="160">
        <f t="shared" ref="G254" si="14">SUM(H602)+SUM(H610:H611)*5+SUM(H613:H614)*4</f>
        <v>39295.811879999994</v>
      </c>
      <c r="H254" s="160"/>
      <c r="T254"/>
    </row>
    <row r="255" spans="1:22" s="34" customFormat="1">
      <c r="A255" s="133"/>
      <c r="B255" s="43" t="s">
        <v>360</v>
      </c>
      <c r="C255" s="160">
        <f>COUNT(F621:F623)+COUNT(F627)*5+COUNT(F631)*2+COUNT(F634:F635)+COUNT(F638:F639)+COUNT(F643)+COUNT(F647)+COUNT(F649:F651)*2+COUNT(F654:F655)+COUNT(F658:F659)+COUNT(F661:F663)</f>
        <v>29</v>
      </c>
      <c r="D255" s="160"/>
      <c r="E255" s="160">
        <f>SUM(F621:F623)+SUM(F627)*5+SUM(F631)*2+SUM(F634:F635)+SUM(F638:F639)+SUM(F643)+SUM(F647)+SUM(F649:F651)*2+SUM(F654:F655)+SUM(F658:F659)+SUM(F661:F663)</f>
        <v>49344.866999999991</v>
      </c>
      <c r="F255" s="160"/>
      <c r="G255" s="160">
        <f>SUM(H621:H623)+SUM(H627)*5+SUM(H631)*2+SUM(H634:H635)+SUM(H638:H639)+SUM(H643)+SUM(H647)+SUM(H649:H651)*2+SUM(H654:H655)+SUM(H658:H659)+SUM(H661:H663)</f>
        <v>74017.300499999983</v>
      </c>
      <c r="H255" s="160"/>
      <c r="T255"/>
    </row>
    <row r="256" spans="1:22" s="34" customFormat="1">
      <c r="A256" s="133" t="s">
        <v>383</v>
      </c>
      <c r="B256" s="133"/>
      <c r="C256" s="134">
        <f>SUM(C245:D255)</f>
        <v>247</v>
      </c>
      <c r="D256" s="134"/>
      <c r="E256" s="134">
        <f>SUM(E245:F255)</f>
        <v>413793.34775999992</v>
      </c>
      <c r="F256" s="134"/>
      <c r="G256" s="134">
        <f>SUM(G245:H255)</f>
        <v>619026.01487999992</v>
      </c>
      <c r="H256" s="134"/>
      <c r="T256"/>
    </row>
    <row r="257" spans="1:20" s="34" customFormat="1">
      <c r="A257" s="232" t="s">
        <v>477</v>
      </c>
      <c r="B257" s="232"/>
      <c r="C257" s="232"/>
      <c r="D257" s="232"/>
      <c r="E257" s="232"/>
      <c r="F257" s="232"/>
      <c r="G257" s="232"/>
      <c r="H257" s="232"/>
      <c r="T257"/>
    </row>
    <row r="258" spans="1:20" s="34" customFormat="1" ht="15.75" customHeight="1">
      <c r="A258" s="190" t="s">
        <v>51</v>
      </c>
      <c r="B258" s="190"/>
      <c r="C258" s="194" t="s">
        <v>73</v>
      </c>
      <c r="D258" s="194"/>
      <c r="E258" s="195" t="s">
        <v>52</v>
      </c>
      <c r="F258" s="195"/>
      <c r="G258" s="190" t="s">
        <v>53</v>
      </c>
      <c r="H258" s="190"/>
      <c r="J258" s="34">
        <v>14</v>
      </c>
      <c r="T258"/>
    </row>
    <row r="259" spans="1:20" s="34" customFormat="1">
      <c r="A259" s="133" t="s">
        <v>356</v>
      </c>
      <c r="B259" s="43" t="s">
        <v>358</v>
      </c>
      <c r="C259" s="160">
        <f>COUNT(D304,D306)*6+COUNT(D308:D310)+COUNT(D312,D314)+COUNT(D318)+COUNT(D320,D322)*2+COUNT(D324,D326)+COUNT(D328:D330)+COUNT(D334)+COUNT(D336,D338)*2+COUNT(D340,D342)</f>
        <v>34</v>
      </c>
      <c r="D259" s="160"/>
      <c r="E259" s="160">
        <f t="shared" ref="E259" si="15">SUM(F304,F306)*6+SUM(F308:F310)+SUM(F312,F314)+SUM(F318)+SUM(F320,F322)*2+SUM(F324,F326)+SUM(F328:F330)+SUM(F334)+SUM(F336,F338)*2+SUM(F340,F342)</f>
        <v>28043.556839999997</v>
      </c>
      <c r="F259" s="160"/>
      <c r="G259" s="160">
        <f t="shared" ref="G259" si="16">SUM(H304,H306)*6+SUM(H308:H310)+SUM(H312,H314)+SUM(H318)+SUM(H320,H322)*2+SUM(H324,H326)+SUM(H328:H330)+SUM(H334)+SUM(H336,H338)*2+SUM(H340,H342)</f>
        <v>42065.33526</v>
      </c>
      <c r="H259" s="160"/>
      <c r="I259" s="34">
        <f>17*3+1</f>
        <v>52</v>
      </c>
      <c r="J259" s="87">
        <f>C259+C246</f>
        <v>52</v>
      </c>
      <c r="T259"/>
    </row>
    <row r="260" spans="1:20" s="34" customFormat="1">
      <c r="A260" s="133"/>
      <c r="B260" s="43" t="s">
        <v>359</v>
      </c>
      <c r="C260" s="160">
        <f>COUNT(D350:D351)+COUNT(D353)</f>
        <v>3</v>
      </c>
      <c r="D260" s="160"/>
      <c r="E260" s="160">
        <f>SUM(F350:F351)+SUM(F353)</f>
        <v>5319.8917199999996</v>
      </c>
      <c r="F260" s="160"/>
      <c r="G260" s="160">
        <f>SUM(H350:H351)+SUM(H353)</f>
        <v>7979.8375799999994</v>
      </c>
      <c r="H260" s="160"/>
      <c r="I260" s="87">
        <f t="shared" ref="I260:I265" si="17">C260+C247</f>
        <v>32</v>
      </c>
      <c r="J260" s="34">
        <f>17*2-2</f>
        <v>32</v>
      </c>
      <c r="T260"/>
    </row>
    <row r="261" spans="1:20" s="34" customFormat="1">
      <c r="A261" s="133"/>
      <c r="B261" s="43" t="s">
        <v>348</v>
      </c>
      <c r="C261" s="160">
        <f>COUNT(D366:D367)+COUNT(D370:D371)+COUNT(D374:D375)+COUNT(D378)+COUNT(D383)+COUNT(D386:D387)+COUNT(D391)*2+COUNT(D395)*2+COUNT(D398:D399)*4+COUNT(D402:D403)*3</f>
        <v>28</v>
      </c>
      <c r="D261" s="160"/>
      <c r="E261" s="160">
        <f t="shared" ref="E261" si="18">SUM(F366:F367)+SUM(F370:F371)+SUM(F374:F375)+SUM(F378)+SUM(F383)+SUM(F386:F387)+SUM(F391)*2+SUM(F395)*2+SUM(F398:F399)*4+SUM(F402:F403)*3</f>
        <v>34288.506719999998</v>
      </c>
      <c r="F261" s="160"/>
      <c r="G261" s="160">
        <f t="shared" ref="G261" si="19">SUM(H366:H367)+SUM(H370:H371)+SUM(H374:H375)+SUM(H378)+SUM(H383)+SUM(H386:H387)+SUM(H391)*2+SUM(H395)*2+SUM(H398:H399)*4+SUM(H402:H403)*3</f>
        <v>49015.058039999996</v>
      </c>
      <c r="H261" s="160"/>
      <c r="I261" s="87">
        <f t="shared" si="17"/>
        <v>52</v>
      </c>
      <c r="J261" s="34">
        <f>17*3+1</f>
        <v>52</v>
      </c>
      <c r="T261"/>
    </row>
    <row r="262" spans="1:20" s="34" customFormat="1">
      <c r="A262" s="133"/>
      <c r="B262" s="43" t="s">
        <v>349</v>
      </c>
      <c r="C262" s="160">
        <f>COUNT(D412:D413)*2+COUNT(D415)+COUNT(D419)</f>
        <v>6</v>
      </c>
      <c r="D262" s="160"/>
      <c r="E262" s="160">
        <f t="shared" ref="E262" si="20">SUM(F412:F413)*2+SUM(F415)+SUM(F419)</f>
        <v>11377.763280000001</v>
      </c>
      <c r="F262" s="160"/>
      <c r="G262" s="160">
        <f t="shared" ref="G262" si="21">SUM(H412:H413)*2+SUM(H415)+SUM(H419)</f>
        <v>17066.644919999999</v>
      </c>
      <c r="H262" s="160"/>
      <c r="I262" s="87">
        <f t="shared" si="17"/>
        <v>32</v>
      </c>
      <c r="J262" s="34">
        <f>17*2-2</f>
        <v>32</v>
      </c>
      <c r="T262"/>
    </row>
    <row r="263" spans="1:20" s="34" customFormat="1">
      <c r="A263" s="133"/>
      <c r="B263" s="43" t="s">
        <v>350</v>
      </c>
      <c r="C263" s="160">
        <f>COUNT(D433)*2+COUNT(D437)+COUNT(D439:D440)*2+COUNT(D442:D443)*2+COUNT(D445)*4+COUNT(D448:D449)+COUNT(D451)*3</f>
        <v>20</v>
      </c>
      <c r="D263" s="160"/>
      <c r="E263" s="160">
        <f>SUM(F433)*2+SUM(F437)+SUM(F439:F440)*2+SUM(F442:F443)*2+SUM(F445)*4+SUM(F448:F449)+SUM(F451)*3</f>
        <v>28762.914959999998</v>
      </c>
      <c r="F263" s="160"/>
      <c r="G263" s="160">
        <f>SUM(H433)*2+SUM(H437)+SUM(H439:H440)*2+SUM(H442:H443)*2+SUM(H445)*4+SUM(H448:H449)+SUM(H451)*3</f>
        <v>43144.372440000006</v>
      </c>
      <c r="H263" s="160"/>
      <c r="I263" s="87">
        <f t="shared" si="17"/>
        <v>34</v>
      </c>
      <c r="J263" s="34">
        <f>17*2</f>
        <v>34</v>
      </c>
      <c r="T263"/>
    </row>
    <row r="264" spans="1:20" s="34" customFormat="1">
      <c r="A264" s="133"/>
      <c r="B264" s="43" t="s">
        <v>351</v>
      </c>
      <c r="C264" s="160">
        <f>COUNT(D460:D462)*5+COUNT(D464,D466)+COUNT(D469:D470)+COUNT(D473)*6+COUNT(D485)*2</f>
        <v>27</v>
      </c>
      <c r="D264" s="160"/>
      <c r="E264" s="160">
        <f t="shared" ref="E264" si="22">SUM(F460:F462)*5+SUM(F464,F466)+SUM(F469:F470)+SUM(F473)*6+SUM(F485)*2</f>
        <v>29613.270959999998</v>
      </c>
      <c r="F264" s="160"/>
      <c r="G264" s="160">
        <f t="shared" ref="G264" si="23">SUM(H460:H462)*5+SUM(H464,H466)+SUM(H469:H470)+SUM(H473)*6+SUM(H485)*2</f>
        <v>44419.906439999999</v>
      </c>
      <c r="H264" s="160"/>
      <c r="I264" s="87">
        <f t="shared" si="17"/>
        <v>49</v>
      </c>
      <c r="J264" s="34">
        <f>17*3-2</f>
        <v>49</v>
      </c>
      <c r="T264"/>
    </row>
    <row r="265" spans="1:20" s="34" customFormat="1">
      <c r="A265" s="133"/>
      <c r="B265" s="43" t="s">
        <v>352</v>
      </c>
      <c r="C265" s="160">
        <f>COUNT(D493:D495)*5+COUNT(D498:D500)+COUNT(D503:D505)+COUNT(D508:D509)+COUNT(D513)+COUNT(D518,D520)+COUNT(D523,D525)+COUNT(D528,D530)+COUNT(D533)*3+COUNT(D538)</f>
        <v>34</v>
      </c>
      <c r="D265" s="160"/>
      <c r="E265" s="160">
        <f>SUM(F493:F495)*5+SUM(F498:F500)+SUM(F503:F505)+SUM(F508:F509)+SUM(F513)+SUM(F518,F520)+SUM(F523,F525)+SUM(F528,F530)+SUM(F533)*3+SUM(F538)</f>
        <v>30922.280999999995</v>
      </c>
      <c r="F265" s="160"/>
      <c r="G265" s="160">
        <f>SUM(H493:H495)*5+SUM(H498:H500)+SUM(H503:H505)+SUM(H508:H509)+SUM(H513)+SUM(H518,H520)+SUM(H523,H525)+SUM(H528,H530)+SUM(H533)*3+SUM(H538)</f>
        <v>46383.421500000004</v>
      </c>
      <c r="H265" s="160"/>
      <c r="I265" s="87">
        <f t="shared" si="17"/>
        <v>69</v>
      </c>
      <c r="J265" s="34">
        <f>17*4+1</f>
        <v>69</v>
      </c>
      <c r="T265"/>
    </row>
    <row r="266" spans="1:20" s="34" customFormat="1">
      <c r="A266" s="133"/>
      <c r="B266" s="43" t="s">
        <v>353</v>
      </c>
      <c r="C266" s="160">
        <f>COUNT(D551:D553)*2+COUNT(D556:D557)+COUNT(D561)+COUNT(D564:D565)*2+COUNT(D567:D569)+COUNT(D571,D573)+COUNT(D576:D577)*3+COUNT(D580:D581)+COUNT(D585)*3+COUNT(D587,D589)+COUNT(D593)</f>
        <v>32</v>
      </c>
      <c r="D266" s="160"/>
      <c r="E266" s="160">
        <f t="shared" ref="E266" si="24">SUM(F551:F553)*2+SUM(F556:F557)+SUM(F561)+SUM(F564:F565)*2+SUM(F567:F569)+SUM(F571,F573)+SUM(F576:F577)*3+SUM(F580:F581)+SUM(F585)*3+SUM(F587,F589)+SUM(F593)</f>
        <v>33001.347600000001</v>
      </c>
      <c r="F266" s="160"/>
      <c r="G266" s="160">
        <f t="shared" ref="G266" si="25">SUM(H551:H553)*2+SUM(H556:H557)+SUM(H561)+SUM(H564:H565)*2+SUM(H567:H569)+SUM(H571,H573)+SUM(H576:H577)*3+SUM(H580:H581)+SUM(H585)*3+SUM(H587,H589)+SUM(H593)</f>
        <v>49502.021399999991</v>
      </c>
      <c r="H266" s="160"/>
      <c r="I266" s="87">
        <f>C253+C266</f>
        <v>49</v>
      </c>
      <c r="J266" s="34">
        <f>17*3-2</f>
        <v>49</v>
      </c>
      <c r="T266"/>
    </row>
    <row r="267" spans="1:20" s="34" customFormat="1">
      <c r="A267" s="133"/>
      <c r="B267" s="43" t="s">
        <v>354</v>
      </c>
      <c r="C267" s="160">
        <f>COUNT(D598:D599)*4+COUNT(D601)+COUNT(D604:D605)+COUNT(D607:D608)+COUNT(D616)</f>
        <v>14</v>
      </c>
      <c r="D267" s="160"/>
      <c r="E267" s="160">
        <f t="shared" ref="E267" si="26">SUM(F598:F599)*4+SUM(F601)+SUM(F604:F605)+SUM(F607:F608)+SUM(F616)</f>
        <v>20392.936199999996</v>
      </c>
      <c r="F267" s="160"/>
      <c r="G267" s="160">
        <f t="shared" ref="G267" si="27">SUM(H598:H599)*4+SUM(H601)+SUM(H604:H605)+SUM(H607:H608)+SUM(H616)</f>
        <v>30589.404299999995</v>
      </c>
      <c r="H267" s="160"/>
      <c r="I267" s="87">
        <f>C267+C254</f>
        <v>33</v>
      </c>
      <c r="J267" s="34">
        <f>16*2+1</f>
        <v>33</v>
      </c>
      <c r="T267"/>
    </row>
    <row r="268" spans="1:20" s="34" customFormat="1">
      <c r="A268" s="133"/>
      <c r="B268" s="43" t="s">
        <v>360</v>
      </c>
      <c r="C268" s="160">
        <f>COUNT(F625:F626)*5+COUNT(F629:F630)*2+COUNT(F633)+COUNT(F637)+COUNT(F641:F642)+COUNT(F645:F646)+COUNT(F653)+COUNT(F657)</f>
        <v>22</v>
      </c>
      <c r="D268" s="160"/>
      <c r="E268" s="160">
        <f>SUM(F625:F626)*5+SUM(F629:F630)*2+SUM(F633)+SUM(F637)+SUM(F641:F642)+SUM(F645:F646)+SUM(F653)+SUM(F657)</f>
        <v>32485.536719999996</v>
      </c>
      <c r="F268" s="160"/>
      <c r="G268" s="160">
        <f>SUM(H625:H626)*5+SUM(H629:H630)*2+SUM(H633)+SUM(H637)+SUM(H641:H642)+SUM(H645:H646)+SUM(H653)+SUM(H657)</f>
        <v>48728.305080000006</v>
      </c>
      <c r="H268" s="160"/>
      <c r="I268" s="87">
        <f>C268+C255</f>
        <v>51</v>
      </c>
      <c r="J268" s="34">
        <f>17*3</f>
        <v>51</v>
      </c>
      <c r="K268" s="132"/>
      <c r="L268" s="132"/>
      <c r="T268"/>
    </row>
    <row r="269" spans="1:20" s="34" customFormat="1" ht="15.75" customHeight="1" thickBot="1">
      <c r="A269" s="135" t="s">
        <v>388</v>
      </c>
      <c r="B269" s="136"/>
      <c r="C269" s="137">
        <f>SUM(C259:D268)</f>
        <v>220</v>
      </c>
      <c r="D269" s="138"/>
      <c r="E269" s="137">
        <f>SUM(E259:F268)</f>
        <v>254208.00599999999</v>
      </c>
      <c r="F269" s="138"/>
      <c r="G269" s="137">
        <f>SUM(G259:H268)</f>
        <v>378894.30695999996</v>
      </c>
      <c r="H269" s="138"/>
      <c r="T269"/>
    </row>
    <row r="270" spans="1:20" s="34" customFormat="1" ht="16.5" thickBot="1">
      <c r="A270" s="205" t="s">
        <v>164</v>
      </c>
      <c r="B270" s="206"/>
      <c r="C270" s="158">
        <f>SUM(C269+C256)</f>
        <v>467</v>
      </c>
      <c r="D270" s="158"/>
      <c r="E270" s="158">
        <f t="shared" ref="E270" si="28">SUM(E269+E256)</f>
        <v>668001.35375999985</v>
      </c>
      <c r="F270" s="158"/>
      <c r="G270" s="158">
        <f t="shared" ref="G270" si="29">SUM(G269+G256)</f>
        <v>997920.32183999987</v>
      </c>
      <c r="H270" s="158"/>
      <c r="J270" s="87">
        <f>SUM(J258:J268)</f>
        <v>467</v>
      </c>
      <c r="T270"/>
    </row>
    <row r="271" spans="1:20" s="33" customFormat="1">
      <c r="A271" s="189" t="s">
        <v>483</v>
      </c>
      <c r="B271" s="189"/>
      <c r="C271" s="189"/>
      <c r="D271" s="189"/>
      <c r="E271" s="189"/>
      <c r="F271" s="189"/>
      <c r="G271" s="189"/>
      <c r="H271" s="189"/>
      <c r="T271" s="34"/>
    </row>
    <row r="272" spans="1:20">
      <c r="A272" s="230" t="s">
        <v>384</v>
      </c>
      <c r="B272" s="230"/>
      <c r="C272" s="230"/>
      <c r="D272" s="230"/>
      <c r="E272" s="230"/>
      <c r="F272" s="230"/>
      <c r="G272" s="230"/>
      <c r="H272" s="230"/>
      <c r="T272" s="34"/>
    </row>
    <row r="273" spans="1:20" ht="47.25" hidden="1" customHeight="1">
      <c r="A273" s="154" t="s">
        <v>116</v>
      </c>
      <c r="B273" s="154" t="s">
        <v>173</v>
      </c>
      <c r="C273" s="154" t="s">
        <v>54</v>
      </c>
      <c r="D273" s="204" t="s">
        <v>227</v>
      </c>
      <c r="E273" s="157" t="s">
        <v>153</v>
      </c>
      <c r="F273" s="154" t="s">
        <v>55</v>
      </c>
      <c r="G273" s="157" t="s">
        <v>56</v>
      </c>
      <c r="H273" s="79" t="s">
        <v>146</v>
      </c>
      <c r="T273" s="34"/>
    </row>
    <row r="274" spans="1:20" s="36" customFormat="1" hidden="1">
      <c r="A274" s="154"/>
      <c r="B274" s="154"/>
      <c r="C274" s="154"/>
      <c r="D274" s="204"/>
      <c r="E274" s="157"/>
      <c r="F274" s="154"/>
      <c r="G274" s="157"/>
      <c r="H274" s="80">
        <v>0.45</v>
      </c>
      <c r="T274" s="34"/>
    </row>
    <row r="275" spans="1:20" s="36" customFormat="1" hidden="1">
      <c r="A275" s="98" t="s">
        <v>115</v>
      </c>
      <c r="B275" s="98"/>
      <c r="C275" s="98"/>
      <c r="D275" s="98"/>
      <c r="E275" s="98"/>
      <c r="F275" s="98"/>
      <c r="G275" s="98"/>
      <c r="H275" s="98"/>
      <c r="J275" s="35"/>
      <c r="T275" s="34"/>
    </row>
    <row r="276" spans="1:20" s="36" customFormat="1" ht="15.75" hidden="1" customHeight="1">
      <c r="A276" s="161">
        <v>1</v>
      </c>
      <c r="B276" s="161"/>
      <c r="C276" s="56"/>
      <c r="D276" s="56">
        <v>0</v>
      </c>
      <c r="E276" s="56">
        <v>0</v>
      </c>
      <c r="F276" s="56">
        <f>D276+(IF(E276&lt;201,E276,IF(E276&lt;301,E276/2,E276/3)))</f>
        <v>0</v>
      </c>
      <c r="G276" s="56">
        <v>0</v>
      </c>
      <c r="H276" s="56">
        <f>(F276+(IF(G276&lt;101,G276,IF(G276&lt;201,G276/2,IF(G276&lt;=301,G276/3,G276/4)))))*(($H$274)+1)</f>
        <v>0</v>
      </c>
      <c r="I276" s="35"/>
      <c r="L276" s="150"/>
      <c r="M276" s="150"/>
      <c r="N276" s="35"/>
      <c r="T276" s="34"/>
    </row>
    <row r="277" spans="1:20" s="36" customFormat="1" ht="15.75" hidden="1" customHeight="1">
      <c r="A277" s="161">
        <f>A276+1</f>
        <v>2</v>
      </c>
      <c r="B277" s="161"/>
      <c r="C277" s="56"/>
      <c r="D277" s="56"/>
      <c r="E277" s="56">
        <v>0</v>
      </c>
      <c r="F277" s="56">
        <f t="shared" ref="F277:F279" si="30">D277+(IF(E277&lt;201,E277,IF(E277&lt;301,E277/2,E277/3)))</f>
        <v>0</v>
      </c>
      <c r="G277" s="56">
        <v>0</v>
      </c>
      <c r="H277" s="56">
        <f t="shared" ref="H277:H279" si="31">(F277+(IF(G277&lt;101,G277,IF(G277&lt;201,G277/2,IF(G277&lt;=301,G277/3,G277/4)))))*(($H$274)+1)</f>
        <v>0</v>
      </c>
      <c r="I277" s="35"/>
      <c r="L277" s="150"/>
      <c r="M277" s="150"/>
      <c r="N277" s="35"/>
      <c r="T277" s="33"/>
    </row>
    <row r="278" spans="1:20" s="36" customFormat="1" ht="15.75" hidden="1" customHeight="1">
      <c r="A278" s="161">
        <f>A277+1</f>
        <v>3</v>
      </c>
      <c r="B278" s="161"/>
      <c r="C278" s="56"/>
      <c r="D278" s="56"/>
      <c r="E278" s="56">
        <v>0</v>
      </c>
      <c r="F278" s="56">
        <f t="shared" si="30"/>
        <v>0</v>
      </c>
      <c r="G278" s="56">
        <v>0</v>
      </c>
      <c r="H278" s="56">
        <f t="shared" si="31"/>
        <v>0</v>
      </c>
      <c r="I278" s="35"/>
      <c r="L278" s="150"/>
      <c r="M278" s="150"/>
      <c r="N278" s="35"/>
      <c r="T278" s="20"/>
    </row>
    <row r="279" spans="1:20" s="36" customFormat="1" ht="15.75" hidden="1" customHeight="1">
      <c r="A279" s="161">
        <f>A278+1</f>
        <v>4</v>
      </c>
      <c r="B279" s="161"/>
      <c r="C279" s="56"/>
      <c r="D279" s="56"/>
      <c r="E279" s="56">
        <v>0</v>
      </c>
      <c r="F279" s="56">
        <f t="shared" si="30"/>
        <v>0</v>
      </c>
      <c r="G279" s="56">
        <v>0</v>
      </c>
      <c r="H279" s="56">
        <f t="shared" si="31"/>
        <v>0</v>
      </c>
      <c r="I279" s="35"/>
      <c r="L279" s="150"/>
      <c r="M279" s="150"/>
      <c r="N279" s="35"/>
      <c r="T279" s="20"/>
    </row>
    <row r="280" spans="1:20" s="36" customFormat="1" hidden="1">
      <c r="A280" s="161"/>
      <c r="B280" s="161"/>
      <c r="C280" s="161"/>
      <c r="D280" s="161"/>
      <c r="E280" s="161"/>
      <c r="F280" s="161"/>
      <c r="G280" s="161"/>
      <c r="H280" s="161"/>
      <c r="I280" s="35"/>
      <c r="N280" s="35"/>
    </row>
    <row r="281" spans="1:20" ht="47.25" customHeight="1">
      <c r="A281" s="154" t="s">
        <v>117</v>
      </c>
      <c r="B281" s="154" t="s">
        <v>333</v>
      </c>
      <c r="C281" s="154" t="s">
        <v>54</v>
      </c>
      <c r="D281" s="207" t="s">
        <v>328</v>
      </c>
      <c r="E281" s="154" t="s">
        <v>329</v>
      </c>
      <c r="F281" s="154" t="s">
        <v>55</v>
      </c>
      <c r="G281" s="157" t="s">
        <v>56</v>
      </c>
      <c r="H281" s="81" t="s">
        <v>146</v>
      </c>
      <c r="I281" s="35"/>
      <c r="T281" s="36"/>
    </row>
    <row r="282" spans="1:20" s="36" customFormat="1">
      <c r="A282" s="154"/>
      <c r="B282" s="154"/>
      <c r="C282" s="154"/>
      <c r="D282" s="207"/>
      <c r="E282" s="154"/>
      <c r="F282" s="154"/>
      <c r="G282" s="157"/>
      <c r="H282" s="82">
        <v>0.5</v>
      </c>
      <c r="I282" s="35"/>
    </row>
    <row r="283" spans="1:20" s="36" customFormat="1">
      <c r="A283" s="203" t="s">
        <v>326</v>
      </c>
      <c r="B283" s="203"/>
      <c r="C283" s="203"/>
      <c r="D283" s="203"/>
      <c r="E283" s="203"/>
      <c r="F283" s="203"/>
      <c r="G283" s="203"/>
      <c r="H283" s="203"/>
      <c r="I283" s="35"/>
    </row>
    <row r="284" spans="1:20" s="36" customFormat="1" ht="15.75" customHeight="1">
      <c r="A284" s="208" t="s">
        <v>404</v>
      </c>
      <c r="B284" s="208"/>
      <c r="C284" s="208"/>
      <c r="D284" s="208"/>
      <c r="E284" s="208"/>
      <c r="F284" s="208"/>
      <c r="G284" s="208"/>
      <c r="H284" s="208"/>
      <c r="I284" s="35"/>
    </row>
    <row r="285" spans="1:20" s="36" customFormat="1" ht="15.75" customHeight="1">
      <c r="A285" s="154" t="s">
        <v>325</v>
      </c>
      <c r="B285" s="154"/>
      <c r="C285" s="154"/>
      <c r="D285" s="154"/>
      <c r="E285" s="154"/>
      <c r="F285" s="154"/>
      <c r="G285" s="154"/>
      <c r="H285" s="154"/>
      <c r="I285" s="35"/>
      <c r="J285" s="35"/>
    </row>
    <row r="286" spans="1:20" s="36" customFormat="1">
      <c r="A286" s="98" t="s">
        <v>417</v>
      </c>
      <c r="B286" s="98"/>
      <c r="C286" s="98"/>
      <c r="D286" s="98"/>
      <c r="E286" s="98"/>
      <c r="F286" s="98"/>
      <c r="G286" s="98"/>
      <c r="H286" s="98"/>
      <c r="J286" s="35"/>
    </row>
    <row r="287" spans="1:20" s="36" customFormat="1">
      <c r="A287" s="102" t="s">
        <v>319</v>
      </c>
      <c r="B287" s="103"/>
      <c r="C287" s="103"/>
      <c r="D287" s="103"/>
      <c r="E287" s="103"/>
      <c r="F287" s="103"/>
      <c r="G287" s="103"/>
      <c r="H287" s="104"/>
      <c r="J287" s="35"/>
    </row>
    <row r="288" spans="1:20" s="36" customFormat="1">
      <c r="A288" s="98" t="s">
        <v>420</v>
      </c>
      <c r="B288" s="98"/>
      <c r="C288" s="98"/>
      <c r="D288" s="98"/>
      <c r="E288" s="98"/>
      <c r="F288" s="98"/>
      <c r="G288" s="98"/>
      <c r="H288" s="98"/>
      <c r="I288" s="35">
        <f>4+4</f>
        <v>8</v>
      </c>
      <c r="L288" s="150"/>
      <c r="M288" s="150"/>
    </row>
    <row r="289" spans="1:14" s="36" customFormat="1">
      <c r="A289" s="56">
        <v>1</v>
      </c>
      <c r="B289" s="74" t="s">
        <v>331</v>
      </c>
      <c r="C289" s="56" t="s">
        <v>332</v>
      </c>
      <c r="D289" s="66">
        <f>(389.27)*(10.764)</f>
        <v>4190.1022799999992</v>
      </c>
      <c r="E289" s="66">
        <f>(20.97)*(10.764)</f>
        <v>225.72107999999997</v>
      </c>
      <c r="F289" s="56">
        <f>D289+E289</f>
        <v>4415.8233599999994</v>
      </c>
      <c r="G289" s="56">
        <v>0</v>
      </c>
      <c r="H289" s="56">
        <f>F289*(($H$282)+1)+(IF(G289&lt;101,G289,IF(G289&lt;201,G289/2,IF(G289&lt;=301,G289/3,G289/4))))</f>
        <v>6623.7350399999996</v>
      </c>
      <c r="I289" s="56"/>
      <c r="J289" s="35"/>
      <c r="N289" s="35"/>
    </row>
    <row r="290" spans="1:14" s="36" customFormat="1">
      <c r="A290" s="98" t="s">
        <v>422</v>
      </c>
      <c r="B290" s="98"/>
      <c r="C290" s="98"/>
      <c r="D290" s="98"/>
      <c r="E290" s="98"/>
      <c r="F290" s="98"/>
      <c r="G290" s="98"/>
      <c r="H290" s="98"/>
      <c r="I290" s="65">
        <f>4</f>
        <v>4</v>
      </c>
      <c r="N290" s="35"/>
    </row>
    <row r="291" spans="1:14" s="36" customFormat="1">
      <c r="A291" s="56">
        <v>1</v>
      </c>
      <c r="B291" s="74" t="s">
        <v>331</v>
      </c>
      <c r="C291" s="56" t="s">
        <v>332</v>
      </c>
      <c r="D291" s="66">
        <f>(389.27)*(10.764)</f>
        <v>4190.1022799999992</v>
      </c>
      <c r="E291" s="66">
        <f>(20.97)*(10.764)</f>
        <v>225.72107999999997</v>
      </c>
      <c r="F291" s="56">
        <f>D291+E291</f>
        <v>4415.8233599999994</v>
      </c>
      <c r="G291" s="56">
        <v>0</v>
      </c>
      <c r="H291" s="56">
        <f>F291*(($H$282)+1)+(IF(G291&lt;101,G291,IF(G291&lt;201,G291/2,IF(G291&lt;=301,G291/3,G291/4))))</f>
        <v>6623.7350399999996</v>
      </c>
      <c r="I291" s="35"/>
      <c r="N291" s="35"/>
    </row>
    <row r="292" spans="1:14" s="36" customFormat="1">
      <c r="A292" s="102" t="s">
        <v>421</v>
      </c>
      <c r="B292" s="100"/>
      <c r="C292" s="100"/>
      <c r="D292" s="100"/>
      <c r="E292" s="100"/>
      <c r="F292" s="100"/>
      <c r="G292" s="100"/>
      <c r="H292" s="101"/>
      <c r="I292" s="65">
        <f>1</f>
        <v>1</v>
      </c>
      <c r="L292" s="67"/>
      <c r="N292" s="35"/>
    </row>
    <row r="293" spans="1:14" s="36" customFormat="1">
      <c r="A293" s="56">
        <v>1</v>
      </c>
      <c r="B293" s="74" t="s">
        <v>331</v>
      </c>
      <c r="C293" s="69" t="s">
        <v>323</v>
      </c>
      <c r="D293" s="66">
        <f>(364.38)*(10.764)</f>
        <v>3922.1863199999998</v>
      </c>
      <c r="E293" s="66">
        <f>(48.67)*(10.764)</f>
        <v>523.88387999999998</v>
      </c>
      <c r="F293" s="56">
        <f>D293+E293</f>
        <v>4446.0702000000001</v>
      </c>
      <c r="G293" s="56">
        <v>0</v>
      </c>
      <c r="H293" s="70">
        <f>F293*(($H$282)+1)+(IF(G293&lt;101,G293,IF(G293&lt;201,G293/2,IF(G293&lt;=301,G293/3,G293/4))))</f>
        <v>6669.1053000000002</v>
      </c>
      <c r="I293" s="65"/>
      <c r="J293" s="36">
        <f>4.95*2.9+4.95*2.9+7.45*2.25</f>
        <v>45.472499999999997</v>
      </c>
      <c r="L293" s="56"/>
      <c r="N293" s="35"/>
    </row>
    <row r="294" spans="1:14" s="36" customFormat="1">
      <c r="A294" s="98" t="s">
        <v>423</v>
      </c>
      <c r="B294" s="98"/>
      <c r="C294" s="98"/>
      <c r="D294" s="98"/>
      <c r="E294" s="98"/>
      <c r="F294" s="98"/>
      <c r="G294" s="98"/>
      <c r="H294" s="98"/>
      <c r="I294" s="65">
        <f>1</f>
        <v>1</v>
      </c>
      <c r="N294" s="35"/>
    </row>
    <row r="295" spans="1:14" s="36" customFormat="1" ht="47.25">
      <c r="A295" s="56">
        <v>1</v>
      </c>
      <c r="B295" s="74" t="s">
        <v>331</v>
      </c>
      <c r="C295" s="56" t="s">
        <v>480</v>
      </c>
      <c r="D295" s="66">
        <f>(348.75+192.38)*(10.764)</f>
        <v>5824.7233199999991</v>
      </c>
      <c r="E295" s="66">
        <f>(63.52+8.13)*(10.764)</f>
        <v>771.24059999999997</v>
      </c>
      <c r="F295" s="56">
        <f>D295+E295</f>
        <v>6595.9639199999992</v>
      </c>
      <c r="G295" s="66">
        <v>0</v>
      </c>
      <c r="H295" s="56">
        <f>F295*(($H$282)+1)+(IF(G295&lt;101,G295,IF(G295&lt;201,G295/2,IF(G295&lt;=301,G295/3,G295/4))))</f>
        <v>9893.9458799999993</v>
      </c>
      <c r="I295" s="35">
        <f>6.17*4.85+0.58*1.6+0.58*3+5.52*4.7+12.37*8.34+5.45+6.76*1.4+2.3*3.82+4.9*4.88+1.93*2.3+2.82*2.3+2.4*3.16+1.55*2.98+3.2*3.18+3.2*1.35+0.9*1.55+0.8*1.55+2.4*7.25+4.9*3.33+4.52*2.45+2.78*1.45+4.95*11.2+6.76*1.4</f>
        <v>363.29930000000002</v>
      </c>
      <c r="J295" s="36">
        <f>4.95*11.2</f>
        <v>55.44</v>
      </c>
      <c r="K295" s="36">
        <f>4.45*1.68</f>
        <v>7.476</v>
      </c>
      <c r="N295" s="35"/>
    </row>
    <row r="296" spans="1:14" s="36" customFormat="1">
      <c r="A296" s="98" t="s">
        <v>424</v>
      </c>
      <c r="B296" s="98"/>
      <c r="C296" s="98"/>
      <c r="D296" s="98"/>
      <c r="E296" s="98"/>
      <c r="F296" s="98"/>
      <c r="G296" s="98"/>
      <c r="H296" s="98"/>
      <c r="I296" s="65">
        <f>1</f>
        <v>1</v>
      </c>
      <c r="N296" s="35"/>
    </row>
    <row r="297" spans="1:14" s="36" customFormat="1">
      <c r="A297" s="56">
        <v>1</v>
      </c>
      <c r="B297" s="74" t="s">
        <v>425</v>
      </c>
      <c r="C297" s="99" t="s">
        <v>479</v>
      </c>
      <c r="D297" s="100"/>
      <c r="E297" s="100"/>
      <c r="F297" s="100"/>
      <c r="G297" s="100"/>
      <c r="H297" s="101"/>
      <c r="I297" s="35"/>
      <c r="N297" s="35"/>
    </row>
    <row r="298" spans="1:14" s="36" customFormat="1" ht="15.75" customHeight="1">
      <c r="A298" s="147" t="s">
        <v>327</v>
      </c>
      <c r="B298" s="148"/>
      <c r="C298" s="148"/>
      <c r="D298" s="148"/>
      <c r="E298" s="148"/>
      <c r="F298" s="148"/>
      <c r="G298" s="148"/>
      <c r="H298" s="149"/>
      <c r="I298" s="35"/>
      <c r="N298" s="35"/>
    </row>
    <row r="299" spans="1:14" s="36" customFormat="1" ht="15.75" customHeight="1">
      <c r="A299" s="142" t="s">
        <v>405</v>
      </c>
      <c r="B299" s="143"/>
      <c r="C299" s="143"/>
      <c r="D299" s="143"/>
      <c r="E299" s="143"/>
      <c r="F299" s="143"/>
      <c r="G299" s="143"/>
      <c r="H299" s="144"/>
      <c r="I299" s="35"/>
      <c r="N299" s="35"/>
    </row>
    <row r="300" spans="1:14" s="36" customFormat="1">
      <c r="A300" s="102" t="s">
        <v>321</v>
      </c>
      <c r="B300" s="103"/>
      <c r="C300" s="103"/>
      <c r="D300" s="103"/>
      <c r="E300" s="103"/>
      <c r="F300" s="103"/>
      <c r="G300" s="103"/>
      <c r="H300" s="104"/>
      <c r="I300" s="35"/>
      <c r="N300" s="35"/>
    </row>
    <row r="301" spans="1:14" s="36" customFormat="1">
      <c r="A301" s="102" t="s">
        <v>462</v>
      </c>
      <c r="B301" s="103"/>
      <c r="C301" s="103"/>
      <c r="D301" s="103"/>
      <c r="E301" s="103"/>
      <c r="F301" s="103"/>
      <c r="G301" s="103"/>
      <c r="H301" s="104"/>
      <c r="K301" s="35"/>
      <c r="L301" s="35"/>
      <c r="N301" s="35"/>
    </row>
    <row r="302" spans="1:14" s="36" customFormat="1" ht="15.75" customHeight="1">
      <c r="A302" s="70">
        <v>1</v>
      </c>
      <c r="B302" s="74" t="s">
        <v>331</v>
      </c>
      <c r="C302" s="56" t="s">
        <v>322</v>
      </c>
      <c r="D302" s="66">
        <f>(79.93)*(10.764)</f>
        <v>860.36652000000004</v>
      </c>
      <c r="E302" s="66">
        <f>0*(10.764)</f>
        <v>0</v>
      </c>
      <c r="F302" s="56">
        <f>D302+E302</f>
        <v>860.36652000000004</v>
      </c>
      <c r="G302" s="56">
        <v>0</v>
      </c>
      <c r="H302" s="56">
        <f>F302*(($H$282)+1)+(IF(G302&lt;101,G302,IF(G302&lt;201,G302/2,IF(G302&lt;=301,G302/3,G302/4))))</f>
        <v>1290.5497800000001</v>
      </c>
      <c r="K302" s="35"/>
    </row>
    <row r="303" spans="1:14" s="36" customFormat="1" ht="15.75" customHeight="1">
      <c r="A303" s="102" t="s">
        <v>428</v>
      </c>
      <c r="B303" s="103"/>
      <c r="C303" s="103"/>
      <c r="D303" s="103"/>
      <c r="E303" s="103"/>
      <c r="F303" s="103"/>
      <c r="G303" s="103"/>
      <c r="H303" s="104"/>
      <c r="I303" s="36">
        <f>5+1</f>
        <v>6</v>
      </c>
      <c r="K303" s="35"/>
    </row>
    <row r="304" spans="1:14" s="36" customFormat="1" ht="15.75" customHeight="1">
      <c r="A304" s="70">
        <v>1</v>
      </c>
      <c r="B304" s="56" t="s">
        <v>330</v>
      </c>
      <c r="C304" s="56" t="s">
        <v>322</v>
      </c>
      <c r="D304" s="66">
        <f>(79.93)*(10.764)</f>
        <v>860.36652000000004</v>
      </c>
      <c r="E304" s="66">
        <f>0*(10.764)</f>
        <v>0</v>
      </c>
      <c r="F304" s="56">
        <f>D304+E304</f>
        <v>860.36652000000004</v>
      </c>
      <c r="G304" s="56">
        <v>0</v>
      </c>
      <c r="H304" s="56">
        <f>F304*(($H$282)+1)+(IF(G304&lt;101,G304,IF(G304&lt;201,G304/2,IF(G304&lt;=301,G304/3,G304/4))))</f>
        <v>1290.5497800000001</v>
      </c>
      <c r="I304" s="36" t="s">
        <v>475</v>
      </c>
      <c r="K304" s="35"/>
    </row>
    <row r="305" spans="1:12" s="36" customFormat="1" ht="15.75" customHeight="1">
      <c r="A305" s="70">
        <v>2</v>
      </c>
      <c r="B305" s="74" t="s">
        <v>331</v>
      </c>
      <c r="C305" s="56" t="s">
        <v>322</v>
      </c>
      <c r="D305" s="66">
        <f>(111.19)*(10.764)</f>
        <v>1196.84916</v>
      </c>
      <c r="E305" s="66">
        <f>(8.98)*(10.764)</f>
        <v>96.660719999999998</v>
      </c>
      <c r="F305" s="56">
        <f>D305+E305</f>
        <v>1293.5098800000001</v>
      </c>
      <c r="G305" s="56">
        <v>0</v>
      </c>
      <c r="H305" s="56">
        <f>F305*(($H$282)+1)+(IF(G305&lt;101,G305,IF(G305&lt;201,G305/2,IF(G305&lt;=301,G305/3,G305/4))))</f>
        <v>1940.2648200000001</v>
      </c>
      <c r="K305" s="35"/>
      <c r="L305" s="35"/>
    </row>
    <row r="306" spans="1:12" s="36" customFormat="1" ht="15.75" customHeight="1">
      <c r="A306" s="70">
        <v>3</v>
      </c>
      <c r="B306" s="56" t="s">
        <v>330</v>
      </c>
      <c r="C306" s="56" t="s">
        <v>323</v>
      </c>
      <c r="D306" s="66">
        <f>(58.99)*(10.764)</f>
        <v>634.96835999999996</v>
      </c>
      <c r="E306" s="66">
        <f>0*(10.764)</f>
        <v>0</v>
      </c>
      <c r="F306" s="56">
        <f>D306+E306</f>
        <v>634.96835999999996</v>
      </c>
      <c r="G306" s="56">
        <v>0</v>
      </c>
      <c r="H306" s="56">
        <f>F306*(($H$282)+1)+(IF(G306&lt;101,G306,IF(G306&lt;201,G306/2,IF(G306&lt;=301,G306/3,G306/4))))</f>
        <v>952.45254</v>
      </c>
      <c r="I306" s="36" t="s">
        <v>475</v>
      </c>
      <c r="K306" s="35"/>
    </row>
    <row r="307" spans="1:12" s="36" customFormat="1" ht="15.75" customHeight="1">
      <c r="A307" s="102" t="s">
        <v>427</v>
      </c>
      <c r="B307" s="103"/>
      <c r="C307" s="103"/>
      <c r="D307" s="103"/>
      <c r="E307" s="103"/>
      <c r="F307" s="103"/>
      <c r="G307" s="103"/>
      <c r="H307" s="104"/>
      <c r="I307" s="36">
        <f>1</f>
        <v>1</v>
      </c>
      <c r="K307" s="35"/>
    </row>
    <row r="308" spans="1:12" s="36" customFormat="1" ht="15.75" customHeight="1">
      <c r="A308" s="70">
        <v>1</v>
      </c>
      <c r="B308" s="56" t="s">
        <v>330</v>
      </c>
      <c r="C308" s="56" t="s">
        <v>322</v>
      </c>
      <c r="D308" s="66">
        <f>(79.93)*(10.764)</f>
        <v>860.36652000000004</v>
      </c>
      <c r="E308" s="66">
        <f>0*(10.764)</f>
        <v>0</v>
      </c>
      <c r="F308" s="56">
        <f>D308+E308</f>
        <v>860.36652000000004</v>
      </c>
      <c r="G308" s="56">
        <v>0</v>
      </c>
      <c r="H308" s="56">
        <f>F308*(($H$282)+1)+(IF(G308&lt;101,G308,IF(G308&lt;201,G308/2,IF(G308&lt;=301,G308/3,G308/4))))</f>
        <v>1290.5497800000001</v>
      </c>
      <c r="I308" s="36" t="s">
        <v>475</v>
      </c>
      <c r="K308" s="35"/>
    </row>
    <row r="309" spans="1:12" s="36" customFormat="1" ht="15.75" customHeight="1">
      <c r="A309" s="70">
        <v>2</v>
      </c>
      <c r="B309" s="56" t="s">
        <v>330</v>
      </c>
      <c r="C309" s="56" t="s">
        <v>322</v>
      </c>
      <c r="D309" s="66">
        <f>(111.19)*(10.764)</f>
        <v>1196.84916</v>
      </c>
      <c r="E309" s="66">
        <f>(8.98)*(10.764)</f>
        <v>96.660719999999998</v>
      </c>
      <c r="F309" s="56">
        <f>D309+E309</f>
        <v>1293.5098800000001</v>
      </c>
      <c r="G309" s="56">
        <v>0</v>
      </c>
      <c r="H309" s="56">
        <f>F309*(($H$282)+1)+(IF(G309&lt;101,G309,IF(G309&lt;201,G309/2,IF(G309&lt;=301,G309/3,G309/4))))</f>
        <v>1940.2648200000001</v>
      </c>
      <c r="I309" s="36" t="s">
        <v>475</v>
      </c>
      <c r="K309" s="35"/>
      <c r="L309" s="35"/>
    </row>
    <row r="310" spans="1:12" s="36" customFormat="1" ht="15.75" customHeight="1">
      <c r="A310" s="70">
        <v>3</v>
      </c>
      <c r="B310" s="56" t="s">
        <v>330</v>
      </c>
      <c r="C310" s="56" t="s">
        <v>323</v>
      </c>
      <c r="D310" s="66">
        <f>(58.99)*(10.764)</f>
        <v>634.96835999999996</v>
      </c>
      <c r="E310" s="66">
        <f>0*(10.764)</f>
        <v>0</v>
      </c>
      <c r="F310" s="56">
        <f>D310+E310</f>
        <v>634.96835999999996</v>
      </c>
      <c r="G310" s="56">
        <v>0</v>
      </c>
      <c r="H310" s="56">
        <f>F310*(($H$282)+1)+(IF(G310&lt;101,G310,IF(G310&lt;201,G310/2,IF(G310&lt;=301,G310/3,G310/4))))</f>
        <v>952.45254</v>
      </c>
      <c r="I310" s="36" t="s">
        <v>475</v>
      </c>
      <c r="K310" s="35"/>
    </row>
    <row r="311" spans="1:12" s="36" customFormat="1" ht="15.75" customHeight="1">
      <c r="A311" s="102" t="s">
        <v>426</v>
      </c>
      <c r="B311" s="103"/>
      <c r="C311" s="103"/>
      <c r="D311" s="103"/>
      <c r="E311" s="103"/>
      <c r="F311" s="103"/>
      <c r="G311" s="103"/>
      <c r="H311" s="104"/>
      <c r="I311" s="36">
        <f>1</f>
        <v>1</v>
      </c>
      <c r="K311" s="35"/>
    </row>
    <row r="312" spans="1:12" s="36" customFormat="1" ht="15.75" customHeight="1">
      <c r="A312" s="70">
        <v>1</v>
      </c>
      <c r="B312" s="56" t="s">
        <v>330</v>
      </c>
      <c r="C312" s="56" t="s">
        <v>322</v>
      </c>
      <c r="D312" s="66">
        <f>(79.93)*(10.764)</f>
        <v>860.36652000000004</v>
      </c>
      <c r="E312" s="66">
        <f>0*(10.764)</f>
        <v>0</v>
      </c>
      <c r="F312" s="56">
        <f>D312+E312</f>
        <v>860.36652000000004</v>
      </c>
      <c r="G312" s="56">
        <v>0</v>
      </c>
      <c r="H312" s="56">
        <f>F312*(($H$282)+1)+(IF(G312&lt;101,G312,IF(G312&lt;201,G312/2,IF(G312&lt;=301,G312/3,G312/4))))</f>
        <v>1290.5497800000001</v>
      </c>
      <c r="I312" s="36" t="s">
        <v>475</v>
      </c>
      <c r="K312" s="35"/>
    </row>
    <row r="313" spans="1:12" s="36" customFormat="1" ht="15.75" customHeight="1">
      <c r="A313" s="70">
        <v>2</v>
      </c>
      <c r="B313" s="74" t="s">
        <v>331</v>
      </c>
      <c r="C313" s="56" t="s">
        <v>322</v>
      </c>
      <c r="D313" s="66">
        <f>(111.19)*(10.764)</f>
        <v>1196.84916</v>
      </c>
      <c r="E313" s="66">
        <f>(8.98)*(10.764)</f>
        <v>96.660719999999998</v>
      </c>
      <c r="F313" s="56">
        <f>D313+E313</f>
        <v>1293.5098800000001</v>
      </c>
      <c r="G313" s="56">
        <v>0</v>
      </c>
      <c r="H313" s="56">
        <f>F313*(($H$282)+1)+(IF(G313&lt;101,G313,IF(G313&lt;201,G313/2,IF(G313&lt;=301,G313/3,G313/4))))</f>
        <v>1940.2648200000001</v>
      </c>
      <c r="K313" s="35"/>
      <c r="L313" s="35"/>
    </row>
    <row r="314" spans="1:12" s="36" customFormat="1" ht="15.75" customHeight="1">
      <c r="A314" s="70">
        <v>3</v>
      </c>
      <c r="B314" s="56" t="s">
        <v>330</v>
      </c>
      <c r="C314" s="56" t="s">
        <v>323</v>
      </c>
      <c r="D314" s="66">
        <f>(58.99)*(10.764)</f>
        <v>634.96835999999996</v>
      </c>
      <c r="E314" s="66">
        <f>0*(10.764)</f>
        <v>0</v>
      </c>
      <c r="F314" s="56">
        <f>D314+E314</f>
        <v>634.96835999999996</v>
      </c>
      <c r="G314" s="56">
        <v>0</v>
      </c>
      <c r="H314" s="56">
        <f>F314*(($H$282)+1)+(IF(G314&lt;101,G314,IF(G314&lt;201,G314/2,IF(G314&lt;=301,G314/3,G314/4))))</f>
        <v>952.45254</v>
      </c>
      <c r="I314" s="36" t="s">
        <v>475</v>
      </c>
      <c r="K314" s="35"/>
    </row>
    <row r="315" spans="1:12" s="36" customFormat="1" ht="15.75" customHeight="1">
      <c r="A315" s="102" t="s">
        <v>337</v>
      </c>
      <c r="B315" s="103"/>
      <c r="C315" s="103"/>
      <c r="D315" s="103"/>
      <c r="E315" s="103"/>
      <c r="F315" s="103"/>
      <c r="G315" s="103"/>
      <c r="H315" s="104"/>
      <c r="I315" s="36">
        <f>1</f>
        <v>1</v>
      </c>
      <c r="K315" s="35"/>
    </row>
    <row r="316" spans="1:12" s="36" customFormat="1" ht="15.75" customHeight="1">
      <c r="A316" s="70">
        <v>1</v>
      </c>
      <c r="B316" s="74" t="s">
        <v>331</v>
      </c>
      <c r="C316" s="56" t="s">
        <v>322</v>
      </c>
      <c r="D316" s="66">
        <f>(79.93)*(10.764)</f>
        <v>860.36652000000004</v>
      </c>
      <c r="E316" s="66">
        <f>0*(10.764)</f>
        <v>0</v>
      </c>
      <c r="F316" s="56">
        <f>D316+E316</f>
        <v>860.36652000000004</v>
      </c>
      <c r="G316" s="56">
        <v>0</v>
      </c>
      <c r="H316" s="56">
        <f>F316*(($H$282)+1)+(IF(G316&lt;101,G316,IF(G316&lt;201,G316/2,IF(G316&lt;=301,G316/3,G316/4))))</f>
        <v>1290.5497800000001</v>
      </c>
      <c r="K316" s="35"/>
    </row>
    <row r="317" spans="1:12" s="36" customFormat="1" ht="15.75" customHeight="1">
      <c r="A317" s="70">
        <v>2</v>
      </c>
      <c r="B317" s="74" t="s">
        <v>331</v>
      </c>
      <c r="C317" s="56" t="s">
        <v>322</v>
      </c>
      <c r="D317" s="66">
        <f>(111.19)*(10.764)</f>
        <v>1196.84916</v>
      </c>
      <c r="E317" s="66">
        <f>(8.98)*(10.764)</f>
        <v>96.660719999999998</v>
      </c>
      <c r="F317" s="56">
        <f>D317+E317</f>
        <v>1293.5098800000001</v>
      </c>
      <c r="G317" s="56">
        <v>0</v>
      </c>
      <c r="H317" s="56">
        <f>F317*(($H$282)+1)+(IF(G317&lt;101,G317,IF(G317&lt;201,G317/2,IF(G317&lt;=301,G317/3,G317/4))))</f>
        <v>1940.2648200000001</v>
      </c>
      <c r="K317" s="35"/>
      <c r="L317" s="35"/>
    </row>
    <row r="318" spans="1:12" s="36" customFormat="1" ht="15.75" customHeight="1">
      <c r="A318" s="70">
        <v>3</v>
      </c>
      <c r="B318" s="56" t="s">
        <v>330</v>
      </c>
      <c r="C318" s="56" t="s">
        <v>323</v>
      </c>
      <c r="D318" s="66">
        <f>(58.99)*(10.764)</f>
        <v>634.96835999999996</v>
      </c>
      <c r="E318" s="66">
        <f>0*(10.764)</f>
        <v>0</v>
      </c>
      <c r="F318" s="56">
        <f>D318+E318</f>
        <v>634.96835999999996</v>
      </c>
      <c r="G318" s="56">
        <v>0</v>
      </c>
      <c r="H318" s="56">
        <f>F318*(($H$282)+1)+(IF(G318&lt;101,G318,IF(G318&lt;201,G318/2,IF(G318&lt;=301,G318/3,G318/4))))</f>
        <v>952.45254</v>
      </c>
      <c r="I318" s="36" t="s">
        <v>475</v>
      </c>
      <c r="K318" s="35"/>
    </row>
    <row r="319" spans="1:12" s="36" customFormat="1" ht="15.75" customHeight="1">
      <c r="A319" s="102" t="s">
        <v>433</v>
      </c>
      <c r="B319" s="103"/>
      <c r="C319" s="103"/>
      <c r="D319" s="103"/>
      <c r="E319" s="103"/>
      <c r="F319" s="103"/>
      <c r="G319" s="103"/>
      <c r="H319" s="104"/>
      <c r="I319" s="36">
        <f>2</f>
        <v>2</v>
      </c>
      <c r="K319" s="35"/>
    </row>
    <row r="320" spans="1:12" s="36" customFormat="1" ht="15.75" customHeight="1">
      <c r="A320" s="70">
        <v>1</v>
      </c>
      <c r="B320" s="56" t="s">
        <v>330</v>
      </c>
      <c r="C320" s="56" t="s">
        <v>322</v>
      </c>
      <c r="D320" s="66">
        <f>(79.94)*(10.764)</f>
        <v>860.47415999999987</v>
      </c>
      <c r="E320" s="66">
        <f>0*(10.764)</f>
        <v>0</v>
      </c>
      <c r="F320" s="56">
        <f>D320+E320</f>
        <v>860.47415999999987</v>
      </c>
      <c r="G320" s="56">
        <v>0</v>
      </c>
      <c r="H320" s="56">
        <f>F320*(($H$282)+1)+(IF(G320&lt;101,G320,IF(G320&lt;201,G320/2,IF(G320&lt;=301,G320/3,G320/4))))</f>
        <v>1290.7112399999999</v>
      </c>
      <c r="I320" s="36" t="s">
        <v>475</v>
      </c>
      <c r="K320" s="35"/>
    </row>
    <row r="321" spans="1:12" s="36" customFormat="1" ht="15.75" customHeight="1">
      <c r="A321" s="70">
        <v>2</v>
      </c>
      <c r="B321" s="74" t="s">
        <v>331</v>
      </c>
      <c r="C321" s="56" t="s">
        <v>322</v>
      </c>
      <c r="D321" s="66">
        <f>(111.19)*(10.764)</f>
        <v>1196.84916</v>
      </c>
      <c r="E321" s="66">
        <f>(8.98)*(10.764)</f>
        <v>96.660719999999998</v>
      </c>
      <c r="F321" s="56">
        <f>D321+E321</f>
        <v>1293.5098800000001</v>
      </c>
      <c r="G321" s="56">
        <v>0</v>
      </c>
      <c r="H321" s="56">
        <f>F321*(($H$282)+1)+(IF(G321&lt;101,G321,IF(G321&lt;201,G321/2,IF(G321&lt;=301,G321/3,G321/4))))</f>
        <v>1940.2648200000001</v>
      </c>
      <c r="K321" s="35"/>
      <c r="L321" s="35"/>
    </row>
    <row r="322" spans="1:12" s="36" customFormat="1" ht="15.75" customHeight="1">
      <c r="A322" s="70">
        <v>3</v>
      </c>
      <c r="B322" s="56" t="s">
        <v>330</v>
      </c>
      <c r="C322" s="56" t="s">
        <v>322</v>
      </c>
      <c r="D322" s="66">
        <f>(79.38)*(10.764)</f>
        <v>854.4463199999999</v>
      </c>
      <c r="E322" s="66">
        <f>0*(10.764)</f>
        <v>0</v>
      </c>
      <c r="F322" s="56">
        <f>D322+E322</f>
        <v>854.4463199999999</v>
      </c>
      <c r="G322" s="56">
        <v>0</v>
      </c>
      <c r="H322" s="56">
        <f>F322*(($H$282)+1)+(IF(G322&lt;101,G322,IF(G322&lt;201,G322/2,IF(G322&lt;=301,G322/3,G322/4))))</f>
        <v>1281.6694799999998</v>
      </c>
      <c r="I322" s="36" t="s">
        <v>475</v>
      </c>
      <c r="K322" s="35"/>
    </row>
    <row r="323" spans="1:12" s="36" customFormat="1" ht="15.75" customHeight="1">
      <c r="A323" s="102" t="s">
        <v>429</v>
      </c>
      <c r="B323" s="103"/>
      <c r="C323" s="103"/>
      <c r="D323" s="103"/>
      <c r="E323" s="103"/>
      <c r="F323" s="103"/>
      <c r="G323" s="103"/>
      <c r="H323" s="104"/>
      <c r="I323" s="36">
        <f>1</f>
        <v>1</v>
      </c>
      <c r="K323" s="35"/>
    </row>
    <row r="324" spans="1:12" s="36" customFormat="1" ht="15.75" customHeight="1">
      <c r="A324" s="70">
        <v>1</v>
      </c>
      <c r="B324" s="56" t="s">
        <v>330</v>
      </c>
      <c r="C324" s="56" t="s">
        <v>322</v>
      </c>
      <c r="D324" s="66">
        <f>(79.94)*(10.764)</f>
        <v>860.47415999999987</v>
      </c>
      <c r="E324" s="66">
        <f>0*(10.764)</f>
        <v>0</v>
      </c>
      <c r="F324" s="56">
        <f>D324+E324</f>
        <v>860.47415999999987</v>
      </c>
      <c r="G324" s="56">
        <v>0</v>
      </c>
      <c r="H324" s="56">
        <f>F324*(($H$282)+1)+(IF(G324&lt;101,G324,IF(G324&lt;201,G324/2,IF(G324&lt;=301,G324/3,G324/4))))</f>
        <v>1290.7112399999999</v>
      </c>
      <c r="I324" s="36" t="s">
        <v>475</v>
      </c>
      <c r="K324" s="35"/>
    </row>
    <row r="325" spans="1:12" s="36" customFormat="1" ht="15.75" customHeight="1">
      <c r="A325" s="70">
        <v>2</v>
      </c>
      <c r="B325" s="74" t="s">
        <v>331</v>
      </c>
      <c r="C325" s="56" t="s">
        <v>322</v>
      </c>
      <c r="D325" s="66">
        <f>(111.19)*(10.764)</f>
        <v>1196.84916</v>
      </c>
      <c r="E325" s="66">
        <f>(8.98)*(10.764)</f>
        <v>96.660719999999998</v>
      </c>
      <c r="F325" s="56">
        <f>D325+E325</f>
        <v>1293.5098800000001</v>
      </c>
      <c r="G325" s="56">
        <v>0</v>
      </c>
      <c r="H325" s="56">
        <f>F325*(($H$282)+1)+(IF(G325&lt;101,G325,IF(G325&lt;201,G325/2,IF(G325&lt;=301,G325/3,G325/4))))</f>
        <v>1940.2648200000001</v>
      </c>
      <c r="K325" s="35"/>
      <c r="L325" s="35"/>
    </row>
    <row r="326" spans="1:12" s="36" customFormat="1" ht="15.75" customHeight="1">
      <c r="A326" s="70">
        <v>3</v>
      </c>
      <c r="B326" s="56" t="s">
        <v>330</v>
      </c>
      <c r="C326" s="56" t="s">
        <v>322</v>
      </c>
      <c r="D326" s="66">
        <f>(79.38)*(10.764)</f>
        <v>854.4463199999999</v>
      </c>
      <c r="E326" s="66">
        <f>0*(10.764)</f>
        <v>0</v>
      </c>
      <c r="F326" s="56">
        <f>D326+E326</f>
        <v>854.4463199999999</v>
      </c>
      <c r="G326" s="56">
        <v>0</v>
      </c>
      <c r="H326" s="56">
        <f>F326*(($H$282)+1)+(IF(G326&lt;101,G326,IF(G326&lt;201,G326/2,IF(G326&lt;=301,G326/3,G326/4))))</f>
        <v>1281.6694799999998</v>
      </c>
      <c r="I326" s="36" t="s">
        <v>475</v>
      </c>
      <c r="K326" s="35"/>
    </row>
    <row r="327" spans="1:12" s="36" customFormat="1" ht="15.75" customHeight="1">
      <c r="A327" s="102" t="s">
        <v>421</v>
      </c>
      <c r="B327" s="103"/>
      <c r="C327" s="103"/>
      <c r="D327" s="103"/>
      <c r="E327" s="103"/>
      <c r="F327" s="103"/>
      <c r="G327" s="103"/>
      <c r="H327" s="104"/>
      <c r="I327" s="36">
        <f>1</f>
        <v>1</v>
      </c>
      <c r="K327" s="35"/>
    </row>
    <row r="328" spans="1:12" s="36" customFormat="1" ht="15.75" customHeight="1">
      <c r="A328" s="70">
        <v>1</v>
      </c>
      <c r="B328" s="56" t="s">
        <v>330</v>
      </c>
      <c r="C328" s="56" t="s">
        <v>322</v>
      </c>
      <c r="D328" s="66">
        <f>(79.94)*(10.764)</f>
        <v>860.47415999999987</v>
      </c>
      <c r="E328" s="66">
        <f>0*(10.764)</f>
        <v>0</v>
      </c>
      <c r="F328" s="56">
        <f>D328+E328</f>
        <v>860.47415999999987</v>
      </c>
      <c r="G328" s="56">
        <v>0</v>
      </c>
      <c r="H328" s="56">
        <f>F328*(($H$282)+1)+(IF(G328&lt;101,G328,IF(G328&lt;201,G328/2,IF(G328&lt;=301,G328/3,G328/4))))</f>
        <v>1290.7112399999999</v>
      </c>
      <c r="I328" s="36" t="s">
        <v>475</v>
      </c>
      <c r="K328" s="35"/>
    </row>
    <row r="329" spans="1:12" s="36" customFormat="1" ht="15.75" customHeight="1">
      <c r="A329" s="70">
        <v>2</v>
      </c>
      <c r="B329" s="56" t="s">
        <v>330</v>
      </c>
      <c r="C329" s="56" t="s">
        <v>322</v>
      </c>
      <c r="D329" s="66">
        <f>(111.19)*(10.764)</f>
        <v>1196.84916</v>
      </c>
      <c r="E329" s="66">
        <f>(8.98)*(10.764)</f>
        <v>96.660719999999998</v>
      </c>
      <c r="F329" s="56">
        <f>D329+E329</f>
        <v>1293.5098800000001</v>
      </c>
      <c r="G329" s="56">
        <v>0</v>
      </c>
      <c r="H329" s="56">
        <f>F329*(($H$282)+1)+(IF(G329&lt;101,G329,IF(G329&lt;201,G329/2,IF(G329&lt;=301,G329/3,G329/4))))</f>
        <v>1940.2648200000001</v>
      </c>
      <c r="I329" s="36" t="s">
        <v>475</v>
      </c>
      <c r="K329" s="35"/>
      <c r="L329" s="35"/>
    </row>
    <row r="330" spans="1:12" s="36" customFormat="1" ht="15.75" customHeight="1">
      <c r="A330" s="70">
        <v>3</v>
      </c>
      <c r="B330" s="56" t="s">
        <v>330</v>
      </c>
      <c r="C330" s="56" t="s">
        <v>322</v>
      </c>
      <c r="D330" s="66">
        <f>(79.38)*(10.764)</f>
        <v>854.4463199999999</v>
      </c>
      <c r="E330" s="66">
        <f>0*(10.764)</f>
        <v>0</v>
      </c>
      <c r="F330" s="56">
        <f>D330+E330</f>
        <v>854.4463199999999</v>
      </c>
      <c r="G330" s="56">
        <v>0</v>
      </c>
      <c r="H330" s="56">
        <f>F330*(($H$282)+1)+(IF(G330&lt;101,G330,IF(G330&lt;201,G330/2,IF(G330&lt;=301,G330/3,G330/4))))</f>
        <v>1281.6694799999998</v>
      </c>
      <c r="I330" s="36" t="s">
        <v>475</v>
      </c>
      <c r="K330" s="35"/>
    </row>
    <row r="331" spans="1:12" s="36" customFormat="1" ht="15.75" customHeight="1">
      <c r="A331" s="102" t="s">
        <v>430</v>
      </c>
      <c r="B331" s="103"/>
      <c r="C331" s="103"/>
      <c r="D331" s="103"/>
      <c r="E331" s="103"/>
      <c r="F331" s="103"/>
      <c r="G331" s="103"/>
      <c r="H331" s="104"/>
      <c r="I331" s="36">
        <f>1</f>
        <v>1</v>
      </c>
      <c r="K331" s="35"/>
    </row>
    <row r="332" spans="1:12" s="36" customFormat="1" ht="15.75" customHeight="1">
      <c r="A332" s="70">
        <v>1</v>
      </c>
      <c r="B332" s="74" t="s">
        <v>331</v>
      </c>
      <c r="C332" s="56" t="s">
        <v>322</v>
      </c>
      <c r="D332" s="66">
        <f>(79.94)*(10.764)</f>
        <v>860.47415999999987</v>
      </c>
      <c r="E332" s="66">
        <f>0*(10.764)</f>
        <v>0</v>
      </c>
      <c r="F332" s="56">
        <f>D332+E332</f>
        <v>860.47415999999987</v>
      </c>
      <c r="G332" s="56">
        <v>0</v>
      </c>
      <c r="H332" s="56">
        <f>F332*(($H$282)+1)+(IF(G332&lt;101,G332,IF(G332&lt;201,G332/2,IF(G332&lt;=301,G332/3,G332/4))))</f>
        <v>1290.7112399999999</v>
      </c>
      <c r="K332" s="35"/>
    </row>
    <row r="333" spans="1:12" s="36" customFormat="1" ht="15.75" customHeight="1">
      <c r="A333" s="70">
        <v>2</v>
      </c>
      <c r="B333" s="74" t="s">
        <v>331</v>
      </c>
      <c r="C333" s="56" t="s">
        <v>322</v>
      </c>
      <c r="D333" s="66">
        <f>(111.19)*(10.764)</f>
        <v>1196.84916</v>
      </c>
      <c r="E333" s="66">
        <f>(8.98)*(10.764)</f>
        <v>96.660719999999998</v>
      </c>
      <c r="F333" s="56">
        <f>D333+E333</f>
        <v>1293.5098800000001</v>
      </c>
      <c r="G333" s="56">
        <v>0</v>
      </c>
      <c r="H333" s="56">
        <f>F333*(($H$282)+1)+(IF(G333&lt;101,G333,IF(G333&lt;201,G333/2,IF(G333&lt;=301,G333/3,G333/4))))</f>
        <v>1940.2648200000001</v>
      </c>
      <c r="K333" s="35"/>
      <c r="L333" s="35"/>
    </row>
    <row r="334" spans="1:12" s="36" customFormat="1" ht="15.75" customHeight="1">
      <c r="A334" s="70">
        <v>3</v>
      </c>
      <c r="B334" s="56" t="s">
        <v>330</v>
      </c>
      <c r="C334" s="56" t="s">
        <v>322</v>
      </c>
      <c r="D334" s="66">
        <f>(79.38)*(10.764)</f>
        <v>854.4463199999999</v>
      </c>
      <c r="E334" s="66">
        <f>0*(10.764)</f>
        <v>0</v>
      </c>
      <c r="F334" s="56">
        <f>D334+E334</f>
        <v>854.4463199999999</v>
      </c>
      <c r="G334" s="56">
        <v>0</v>
      </c>
      <c r="H334" s="56">
        <f>F334*(($H$282)+1)+(IF(G334&lt;101,G334,IF(G334&lt;201,G334/2,IF(G334&lt;=301,G334/3,G334/4))))</f>
        <v>1281.6694799999998</v>
      </c>
      <c r="I334" s="36" t="s">
        <v>475</v>
      </c>
      <c r="K334" s="35"/>
    </row>
    <row r="335" spans="1:12" s="36" customFormat="1" ht="15.75" customHeight="1">
      <c r="A335" s="102" t="s">
        <v>432</v>
      </c>
      <c r="B335" s="103"/>
      <c r="C335" s="103"/>
      <c r="D335" s="103"/>
      <c r="E335" s="103"/>
      <c r="F335" s="103"/>
      <c r="G335" s="103"/>
      <c r="H335" s="104"/>
      <c r="I335" s="36">
        <f>2</f>
        <v>2</v>
      </c>
      <c r="K335" s="35"/>
    </row>
    <row r="336" spans="1:12" s="36" customFormat="1" ht="15.75" customHeight="1">
      <c r="A336" s="70">
        <v>1</v>
      </c>
      <c r="B336" s="56" t="s">
        <v>330</v>
      </c>
      <c r="C336" s="56" t="s">
        <v>322</v>
      </c>
      <c r="D336" s="66">
        <f>(79.94)*(10.764)</f>
        <v>860.47415999999987</v>
      </c>
      <c r="E336" s="66">
        <f>0*(10.764)</f>
        <v>0</v>
      </c>
      <c r="F336" s="56">
        <f>D336+E336</f>
        <v>860.47415999999987</v>
      </c>
      <c r="G336" s="56">
        <v>0</v>
      </c>
      <c r="H336" s="56">
        <f>F336*(($H$282)+1)+(IF(G336&lt;101,G336,IF(G336&lt;201,G336/2,IF(G336&lt;=301,G336/3,G336/4))))</f>
        <v>1290.7112399999999</v>
      </c>
      <c r="I336" s="36" t="s">
        <v>475</v>
      </c>
      <c r="K336" s="35"/>
    </row>
    <row r="337" spans="1:12" s="36" customFormat="1" ht="15.75" customHeight="1">
      <c r="A337" s="70">
        <v>2</v>
      </c>
      <c r="B337" s="74" t="s">
        <v>331</v>
      </c>
      <c r="C337" s="56" t="s">
        <v>322</v>
      </c>
      <c r="D337" s="66">
        <f>(111.19)*(10.764)</f>
        <v>1196.84916</v>
      </c>
      <c r="E337" s="66">
        <f>(8.98)*(10.764)</f>
        <v>96.660719999999998</v>
      </c>
      <c r="F337" s="56">
        <f>D337+E337</f>
        <v>1293.5098800000001</v>
      </c>
      <c r="G337" s="56">
        <v>0</v>
      </c>
      <c r="H337" s="56">
        <f>F337*(($H$282)+1)+(IF(G337&lt;101,G337,IF(G337&lt;201,G337/2,IF(G337&lt;=301,G337/3,G337/4))))</f>
        <v>1940.2648200000001</v>
      </c>
      <c r="K337" s="35"/>
      <c r="L337" s="35"/>
    </row>
    <row r="338" spans="1:12" s="36" customFormat="1" ht="15.75" customHeight="1">
      <c r="A338" s="70">
        <v>3</v>
      </c>
      <c r="B338" s="56" t="s">
        <v>330</v>
      </c>
      <c r="C338" s="56" t="s">
        <v>322</v>
      </c>
      <c r="D338" s="66">
        <f>(79.38)*(10.764)</f>
        <v>854.4463199999999</v>
      </c>
      <c r="E338" s="66">
        <f>0*(10.764)</f>
        <v>0</v>
      </c>
      <c r="F338" s="56">
        <f>D338+E338</f>
        <v>854.4463199999999</v>
      </c>
      <c r="G338" s="56">
        <v>0</v>
      </c>
      <c r="H338" s="56">
        <f>F338*(($H$282)+1)+(IF(G338&lt;101,G338,IF(G338&lt;201,G338/2,IF(G338&lt;=301,G338/3,G338/4))))</f>
        <v>1281.6694799999998</v>
      </c>
      <c r="I338" s="36" t="s">
        <v>475</v>
      </c>
      <c r="K338" s="35"/>
    </row>
    <row r="339" spans="1:12" s="36" customFormat="1" ht="15.75" customHeight="1">
      <c r="A339" s="102" t="s">
        <v>431</v>
      </c>
      <c r="B339" s="103"/>
      <c r="C339" s="103"/>
      <c r="D339" s="103"/>
      <c r="E339" s="103"/>
      <c r="F339" s="103"/>
      <c r="G339" s="103"/>
      <c r="H339" s="104"/>
      <c r="I339" s="36">
        <f>1</f>
        <v>1</v>
      </c>
      <c r="K339" s="35"/>
    </row>
    <row r="340" spans="1:12" s="36" customFormat="1" ht="15.75" customHeight="1">
      <c r="A340" s="70">
        <v>1</v>
      </c>
      <c r="B340" s="56" t="s">
        <v>330</v>
      </c>
      <c r="C340" s="56" t="s">
        <v>322</v>
      </c>
      <c r="D340" s="66">
        <f>(79.94)*(10.764)</f>
        <v>860.47415999999987</v>
      </c>
      <c r="E340" s="66">
        <f>0*(10.764)</f>
        <v>0</v>
      </c>
      <c r="F340" s="56">
        <f>D340+E340</f>
        <v>860.47415999999987</v>
      </c>
      <c r="G340" s="56">
        <v>0</v>
      </c>
      <c r="H340" s="56">
        <f>F340*(($H$282)+1)+(IF(G340&lt;101,G340,IF(G340&lt;201,G340/2,IF(G340&lt;=301,G340/3,G340/4))))</f>
        <v>1290.7112399999999</v>
      </c>
      <c r="I340" s="36" t="s">
        <v>475</v>
      </c>
      <c r="K340" s="35"/>
    </row>
    <row r="341" spans="1:12" s="36" customFormat="1" ht="15.75" customHeight="1">
      <c r="A341" s="70">
        <v>2</v>
      </c>
      <c r="B341" s="74" t="s">
        <v>331</v>
      </c>
      <c r="C341" s="56" t="s">
        <v>322</v>
      </c>
      <c r="D341" s="66">
        <f>(111.19)*(10.764)</f>
        <v>1196.84916</v>
      </c>
      <c r="E341" s="66">
        <f>(8.98)*(10.764)</f>
        <v>96.660719999999998</v>
      </c>
      <c r="F341" s="56">
        <f>D341+E341</f>
        <v>1293.5098800000001</v>
      </c>
      <c r="G341" s="56">
        <v>0</v>
      </c>
      <c r="H341" s="56">
        <f>F341*(($H$282)+1)+(IF(G341&lt;101,G341,IF(G341&lt;201,G341/2,IF(G341&lt;=301,G341/3,G341/4))))</f>
        <v>1940.2648200000001</v>
      </c>
      <c r="K341" s="35"/>
      <c r="L341" s="35"/>
    </row>
    <row r="342" spans="1:12" s="36" customFormat="1" ht="15.75" customHeight="1">
      <c r="A342" s="70">
        <v>3</v>
      </c>
      <c r="B342" s="56" t="s">
        <v>330</v>
      </c>
      <c r="C342" s="56" t="s">
        <v>322</v>
      </c>
      <c r="D342" s="66">
        <f>(79.38)*(10.764)</f>
        <v>854.4463199999999</v>
      </c>
      <c r="E342" s="66">
        <f>0*(10.764)</f>
        <v>0</v>
      </c>
      <c r="F342" s="56">
        <f>D342+E342</f>
        <v>854.4463199999999</v>
      </c>
      <c r="G342" s="56">
        <v>0</v>
      </c>
      <c r="H342" s="56">
        <f>F342*(($H$282)+1)+(IF(G342&lt;101,G342,IF(G342&lt;201,G342/2,IF(G342&lt;=301,G342/3,G342/4))))</f>
        <v>1281.6694799999998</v>
      </c>
      <c r="I342" s="36" t="s">
        <v>475</v>
      </c>
      <c r="K342" s="35"/>
    </row>
    <row r="343" spans="1:12" s="36" customFormat="1" ht="15.75" customHeight="1">
      <c r="A343" s="142" t="s">
        <v>406</v>
      </c>
      <c r="B343" s="143"/>
      <c r="C343" s="143"/>
      <c r="D343" s="143"/>
      <c r="E343" s="143"/>
      <c r="F343" s="143"/>
      <c r="G343" s="143"/>
      <c r="H343" s="144"/>
      <c r="I343" s="35"/>
    </row>
    <row r="344" spans="1:12" s="36" customFormat="1" ht="15.75" customHeight="1">
      <c r="A344" s="102" t="s">
        <v>321</v>
      </c>
      <c r="B344" s="103"/>
      <c r="C344" s="103"/>
      <c r="D344" s="103"/>
      <c r="E344" s="103"/>
      <c r="F344" s="103"/>
      <c r="G344" s="103"/>
      <c r="H344" s="104"/>
      <c r="I344" s="35"/>
    </row>
    <row r="345" spans="1:12" s="36" customFormat="1" ht="15.75" customHeight="1">
      <c r="A345" s="98" t="s">
        <v>378</v>
      </c>
      <c r="B345" s="98"/>
      <c r="C345" s="98"/>
      <c r="D345" s="98"/>
      <c r="E345" s="98"/>
      <c r="F345" s="98"/>
      <c r="G345" s="98"/>
      <c r="H345" s="98"/>
      <c r="I345" s="35"/>
    </row>
    <row r="346" spans="1:12" s="36" customFormat="1" ht="15.75" customHeight="1">
      <c r="A346" s="98" t="s">
        <v>435</v>
      </c>
      <c r="B346" s="98"/>
      <c r="C346" s="98"/>
      <c r="D346" s="98"/>
      <c r="E346" s="98"/>
      <c r="F346" s="98"/>
      <c r="G346" s="98"/>
      <c r="H346" s="98"/>
      <c r="I346" s="35">
        <f>5+4+4</f>
        <v>13</v>
      </c>
      <c r="J346" s="36">
        <f>17*2</f>
        <v>34</v>
      </c>
    </row>
    <row r="347" spans="1:12" s="36" customFormat="1" ht="15.75" customHeight="1">
      <c r="A347" s="56">
        <v>1</v>
      </c>
      <c r="B347" s="74" t="s">
        <v>331</v>
      </c>
      <c r="C347" s="56" t="s">
        <v>332</v>
      </c>
      <c r="D347" s="66">
        <f>(167.97)*(10.764)</f>
        <v>1808.0290799999998</v>
      </c>
      <c r="E347" s="66">
        <f>(16.64)*(10.764)</f>
        <v>179.11295999999999</v>
      </c>
      <c r="F347" s="56">
        <f>D347+E347</f>
        <v>1987.1420399999997</v>
      </c>
      <c r="G347" s="56">
        <v>0</v>
      </c>
      <c r="H347" s="56">
        <f>F347*(($H$282)+1)+(IF(G347&lt;101,G347,IF(G347&lt;201,G347/2,IF(G347&lt;=301,G347/3,G347/4))))</f>
        <v>2980.7130599999996</v>
      </c>
      <c r="K347" s="35"/>
      <c r="L347" s="35"/>
    </row>
    <row r="348" spans="1:12" s="36" customFormat="1" ht="15.75" customHeight="1">
      <c r="A348" s="56">
        <v>2</v>
      </c>
      <c r="B348" s="74" t="s">
        <v>331</v>
      </c>
      <c r="C348" s="56" t="s">
        <v>322</v>
      </c>
      <c r="D348" s="66">
        <f>(115.7)*(10.764)</f>
        <v>1245.3948</v>
      </c>
      <c r="E348" s="66">
        <f>(9.31)*(10.764)</f>
        <v>100.21284</v>
      </c>
      <c r="F348" s="56">
        <f>D348+E348</f>
        <v>1345.6076399999999</v>
      </c>
      <c r="G348" s="56">
        <v>0</v>
      </c>
      <c r="H348" s="56">
        <f>F348*(($H$282)+1)+(IF(G348&lt;101,G348,IF(G348&lt;201,G348/2,IF(G348&lt;=301,G348/3,G348/4))))</f>
        <v>2018.4114599999998</v>
      </c>
      <c r="K348" s="35"/>
    </row>
    <row r="349" spans="1:12" s="36" customFormat="1" ht="15.75" customHeight="1">
      <c r="A349" s="98" t="s">
        <v>429</v>
      </c>
      <c r="B349" s="98"/>
      <c r="C349" s="98"/>
      <c r="D349" s="98"/>
      <c r="E349" s="98"/>
      <c r="F349" s="98"/>
      <c r="G349" s="98"/>
      <c r="H349" s="98"/>
      <c r="I349" s="35">
        <f>1</f>
        <v>1</v>
      </c>
    </row>
    <row r="350" spans="1:12" s="36" customFormat="1" ht="15.75" customHeight="1">
      <c r="A350" s="56">
        <v>1</v>
      </c>
      <c r="B350" s="56" t="s">
        <v>330</v>
      </c>
      <c r="C350" s="56" t="s">
        <v>332</v>
      </c>
      <c r="D350" s="66">
        <f>(167.97)*(10.764)</f>
        <v>1808.0290799999998</v>
      </c>
      <c r="E350" s="66">
        <f>(16.64)*(10.764)</f>
        <v>179.11295999999999</v>
      </c>
      <c r="F350" s="56">
        <f>D350+E350</f>
        <v>1987.1420399999997</v>
      </c>
      <c r="G350" s="56">
        <v>0</v>
      </c>
      <c r="H350" s="56">
        <f>F350*(($H$282)+1)+(IF(G350&lt;101,G350,IF(G350&lt;201,G350/2,IF(G350&lt;=301,G350/3,G350/4))))</f>
        <v>2980.7130599999996</v>
      </c>
      <c r="I350" s="36" t="s">
        <v>475</v>
      </c>
      <c r="K350" s="35"/>
      <c r="L350" s="35"/>
    </row>
    <row r="351" spans="1:12" s="36" customFormat="1" ht="15.75" customHeight="1">
      <c r="A351" s="56">
        <v>2</v>
      </c>
      <c r="B351" s="56" t="s">
        <v>330</v>
      </c>
      <c r="C351" s="56" t="s">
        <v>322</v>
      </c>
      <c r="D351" s="66">
        <f>(115.7)*(10.764)</f>
        <v>1245.3948</v>
      </c>
      <c r="E351" s="66">
        <f>(9.31)*(10.764)</f>
        <v>100.21284</v>
      </c>
      <c r="F351" s="56">
        <f>D351+E351</f>
        <v>1345.6076399999999</v>
      </c>
      <c r="G351" s="56">
        <v>0</v>
      </c>
      <c r="H351" s="56">
        <f>F351*(($H$282)+1)+(IF(G351&lt;101,G351,IF(G351&lt;201,G351/2,IF(G351&lt;=301,G351/3,G351/4))))</f>
        <v>2018.4114599999998</v>
      </c>
      <c r="I351" s="36" t="s">
        <v>475</v>
      </c>
      <c r="K351" s="35"/>
    </row>
    <row r="352" spans="1:12" s="36" customFormat="1" ht="15.75" customHeight="1">
      <c r="A352" s="98" t="s">
        <v>434</v>
      </c>
      <c r="B352" s="98"/>
      <c r="C352" s="98"/>
      <c r="D352" s="98"/>
      <c r="E352" s="98"/>
      <c r="F352" s="98"/>
      <c r="G352" s="98"/>
      <c r="H352" s="98"/>
      <c r="I352" s="35">
        <f>1</f>
        <v>1</v>
      </c>
    </row>
    <row r="353" spans="1:12" s="36" customFormat="1" ht="15.75" customHeight="1">
      <c r="A353" s="56">
        <v>1</v>
      </c>
      <c r="B353" s="56" t="s">
        <v>330</v>
      </c>
      <c r="C353" s="56" t="s">
        <v>332</v>
      </c>
      <c r="D353" s="66">
        <f>(167.97)*(10.764)</f>
        <v>1808.0290799999998</v>
      </c>
      <c r="E353" s="66">
        <f>(16.64)*(10.764)</f>
        <v>179.11295999999999</v>
      </c>
      <c r="F353" s="56">
        <f>D353+E353</f>
        <v>1987.1420399999997</v>
      </c>
      <c r="G353" s="56">
        <v>0</v>
      </c>
      <c r="H353" s="56">
        <f>F353*(($H$282)+1)+(IF(G353&lt;101,G353,IF(G353&lt;201,G353/2,IF(G353&lt;=301,G353/3,G353/4))))</f>
        <v>2980.7130599999996</v>
      </c>
      <c r="I353" s="36" t="s">
        <v>475</v>
      </c>
      <c r="K353" s="35"/>
      <c r="L353" s="35"/>
    </row>
    <row r="354" spans="1:12" s="36" customFormat="1" ht="15.75" customHeight="1">
      <c r="A354" s="56">
        <v>2</v>
      </c>
      <c r="B354" s="74" t="s">
        <v>331</v>
      </c>
      <c r="C354" s="56" t="s">
        <v>322</v>
      </c>
      <c r="D354" s="66">
        <f>(115.7)*(10.764)</f>
        <v>1245.3948</v>
      </c>
      <c r="E354" s="66">
        <f>(9.31)*(10.764)</f>
        <v>100.21284</v>
      </c>
      <c r="F354" s="56">
        <f>D354+E354</f>
        <v>1345.6076399999999</v>
      </c>
      <c r="G354" s="56">
        <v>0</v>
      </c>
      <c r="H354" s="56">
        <f>F354*(($H$282)+1)+(IF(G354&lt;101,G354,IF(G354&lt;201,G354/2,IF(G354&lt;=301,G354/3,G354/4))))</f>
        <v>2018.4114599999998</v>
      </c>
      <c r="K354" s="35"/>
    </row>
    <row r="355" spans="1:12" s="36" customFormat="1" ht="15.75" customHeight="1">
      <c r="A355" s="98" t="s">
        <v>436</v>
      </c>
      <c r="B355" s="98"/>
      <c r="C355" s="98"/>
      <c r="D355" s="98"/>
      <c r="E355" s="98"/>
      <c r="F355" s="98"/>
      <c r="G355" s="98"/>
      <c r="H355" s="98"/>
      <c r="I355" s="35">
        <f>1</f>
        <v>1</v>
      </c>
    </row>
    <row r="356" spans="1:12" s="36" customFormat="1" ht="15.75" customHeight="1">
      <c r="A356" s="56" t="s">
        <v>425</v>
      </c>
      <c r="B356" s="99" t="s">
        <v>345</v>
      </c>
      <c r="C356" s="100"/>
      <c r="D356" s="100"/>
      <c r="E356" s="100"/>
      <c r="F356" s="100"/>
      <c r="G356" s="100"/>
      <c r="H356" s="101"/>
      <c r="K356" s="35"/>
      <c r="L356" s="35"/>
    </row>
    <row r="357" spans="1:12" s="36" customFormat="1" ht="15.75" customHeight="1">
      <c r="A357" s="56">
        <v>2</v>
      </c>
      <c r="B357" s="74" t="s">
        <v>331</v>
      </c>
      <c r="C357" s="56" t="s">
        <v>332</v>
      </c>
      <c r="D357" s="66">
        <f>(209.55)*(10.764)</f>
        <v>2255.5962</v>
      </c>
      <c r="E357" s="66">
        <f>(22.08)*(10.764)</f>
        <v>237.66911999999996</v>
      </c>
      <c r="F357" s="56">
        <f>D357+E357</f>
        <v>2493.26532</v>
      </c>
      <c r="G357" s="56">
        <v>0</v>
      </c>
      <c r="H357" s="56">
        <f>F357*(($H$282)+1)+(IF(G357&lt;101,G357,IF(G357&lt;201,G357/2,IF(G357&lt;=301,G357/3,G357/4))))</f>
        <v>3739.8979799999997</v>
      </c>
      <c r="K357" s="35"/>
    </row>
    <row r="358" spans="1:12" s="36" customFormat="1" ht="15.75" customHeight="1">
      <c r="A358" s="98" t="s">
        <v>437</v>
      </c>
      <c r="B358" s="98"/>
      <c r="C358" s="98"/>
      <c r="D358" s="98"/>
      <c r="E358" s="98"/>
      <c r="F358" s="98"/>
      <c r="G358" s="98"/>
      <c r="H358" s="98"/>
      <c r="I358" s="35">
        <f>1</f>
        <v>1</v>
      </c>
    </row>
    <row r="359" spans="1:12" s="36" customFormat="1" ht="15.75" customHeight="1">
      <c r="A359" s="56" t="s">
        <v>425</v>
      </c>
      <c r="B359" s="99" t="s">
        <v>345</v>
      </c>
      <c r="C359" s="100"/>
      <c r="D359" s="100"/>
      <c r="E359" s="100"/>
      <c r="F359" s="100"/>
      <c r="G359" s="100"/>
      <c r="H359" s="101"/>
      <c r="K359" s="35"/>
      <c r="L359" s="35"/>
    </row>
    <row r="360" spans="1:12" s="36" customFormat="1" ht="15.75" customHeight="1">
      <c r="A360" s="56">
        <v>2</v>
      </c>
      <c r="B360" s="74" t="s">
        <v>331</v>
      </c>
      <c r="C360" s="56" t="s">
        <v>332</v>
      </c>
      <c r="D360" s="66">
        <f>(217.09)*(10.764)</f>
        <v>2336.7567599999998</v>
      </c>
      <c r="E360" s="66">
        <f>(22.08)*(10.764)</f>
        <v>237.66911999999996</v>
      </c>
      <c r="F360" s="56">
        <f>D360+E360</f>
        <v>2574.4258799999998</v>
      </c>
      <c r="G360" s="56">
        <v>0</v>
      </c>
      <c r="H360" s="56">
        <f>F360*(($H$282)+1)+(IF(G360&lt;101,G360,IF(G360&lt;201,G360/2,IF(G360&lt;=301,G360/3,G360/4))))</f>
        <v>3861.6388199999997</v>
      </c>
      <c r="K360" s="35"/>
    </row>
    <row r="361" spans="1:12" s="36" customFormat="1" ht="15.75" customHeight="1">
      <c r="A361" s="146" t="s">
        <v>407</v>
      </c>
      <c r="B361" s="146"/>
      <c r="C361" s="146"/>
      <c r="D361" s="146"/>
      <c r="E361" s="146"/>
      <c r="F361" s="146"/>
      <c r="G361" s="146"/>
      <c r="H361" s="146"/>
      <c r="I361" s="35"/>
    </row>
    <row r="362" spans="1:12" s="36" customFormat="1" ht="36.75" customHeight="1">
      <c r="A362" s="102" t="s">
        <v>374</v>
      </c>
      <c r="B362" s="103"/>
      <c r="C362" s="103"/>
      <c r="D362" s="103"/>
      <c r="E362" s="103"/>
      <c r="F362" s="103"/>
      <c r="G362" s="103"/>
      <c r="H362" s="104"/>
      <c r="I362" s="35"/>
    </row>
    <row r="363" spans="1:12" s="36" customFormat="1" ht="15.75" customHeight="1">
      <c r="A363" s="139" t="s">
        <v>379</v>
      </c>
      <c r="B363" s="140"/>
      <c r="C363" s="140"/>
      <c r="D363" s="140"/>
      <c r="E363" s="140"/>
      <c r="F363" s="140"/>
      <c r="G363" s="140"/>
      <c r="H363" s="141"/>
      <c r="I363" s="71">
        <f>1</f>
        <v>1</v>
      </c>
    </row>
    <row r="364" spans="1:12" s="36" customFormat="1" ht="15.75" customHeight="1">
      <c r="A364" s="71">
        <v>1</v>
      </c>
      <c r="B364" s="74" t="s">
        <v>331</v>
      </c>
      <c r="C364" s="56" t="s">
        <v>323</v>
      </c>
      <c r="D364" s="71">
        <f>(85.83)*(10.764)</f>
        <v>923.87411999999995</v>
      </c>
      <c r="E364" s="71">
        <f>(4.01)*(10.764)</f>
        <v>43.163639999999994</v>
      </c>
      <c r="F364" s="56">
        <f>D364+E364</f>
        <v>967.03775999999993</v>
      </c>
      <c r="G364" s="56">
        <v>0</v>
      </c>
      <c r="H364" s="56">
        <f>F364*(($H$282)+1)+(IF(G364&lt;101,G364,IF(G364&lt;201,G364/2,IF(G364&lt;=301,G364/3,G364/4))))</f>
        <v>1450.5566399999998</v>
      </c>
      <c r="I364" s="35"/>
    </row>
    <row r="365" spans="1:12" s="36" customFormat="1" ht="15.75" customHeight="1">
      <c r="A365" s="98" t="s">
        <v>336</v>
      </c>
      <c r="B365" s="98"/>
      <c r="C365" s="98"/>
      <c r="D365" s="98"/>
      <c r="E365" s="98"/>
      <c r="F365" s="98"/>
      <c r="G365" s="98"/>
      <c r="H365" s="98"/>
      <c r="I365" s="35">
        <f>1</f>
        <v>1</v>
      </c>
    </row>
    <row r="366" spans="1:12" s="36" customFormat="1" ht="15.75" customHeight="1">
      <c r="A366" s="56">
        <v>1</v>
      </c>
      <c r="B366" s="56" t="s">
        <v>330</v>
      </c>
      <c r="C366" s="56" t="s">
        <v>322</v>
      </c>
      <c r="D366" s="66">
        <f>(107.71)*(10.764)</f>
        <v>1159.3904399999999</v>
      </c>
      <c r="E366" s="66">
        <f>(4.01)*(10.764)</f>
        <v>43.163639999999994</v>
      </c>
      <c r="F366" s="56">
        <f>D366+E366</f>
        <v>1202.5540799999999</v>
      </c>
      <c r="G366" s="56">
        <v>0</v>
      </c>
      <c r="H366" s="56">
        <f>F366*(($H$285)+1)+(IF(G366&lt;101,G366,IF(G366&lt;201,G366/2,IF(G366&lt;=301,G366/3,G366/4))))</f>
        <v>1202.5540799999999</v>
      </c>
      <c r="I366" s="36" t="s">
        <v>475</v>
      </c>
      <c r="J366" s="35"/>
    </row>
    <row r="367" spans="1:12" s="36" customFormat="1" ht="15.75" customHeight="1">
      <c r="A367" s="56">
        <v>2</v>
      </c>
      <c r="B367" s="56" t="s">
        <v>330</v>
      </c>
      <c r="C367" s="56" t="s">
        <v>322</v>
      </c>
      <c r="D367" s="66">
        <f>(106.38)*(10.764)</f>
        <v>1145.0743199999999</v>
      </c>
      <c r="E367" s="66">
        <f>(5.28)*(10.764)</f>
        <v>56.833919999999999</v>
      </c>
      <c r="F367" s="56">
        <f>D367+E367</f>
        <v>1201.90824</v>
      </c>
      <c r="G367" s="56">
        <v>0</v>
      </c>
      <c r="H367" s="56">
        <f>F367*(($H$285)+1)+(IF(G367&lt;101,G367,IF(G367&lt;201,G367/2,IF(G367&lt;=301,G367/3,G367/4))))</f>
        <v>1201.90824</v>
      </c>
      <c r="I367" s="36" t="s">
        <v>475</v>
      </c>
      <c r="K367" s="35"/>
      <c r="L367" s="35"/>
    </row>
    <row r="368" spans="1:12" s="36" customFormat="1" ht="15.75" customHeight="1">
      <c r="A368" s="56">
        <f>A367+1</f>
        <v>3</v>
      </c>
      <c r="B368" s="74" t="s">
        <v>331</v>
      </c>
      <c r="C368" s="56" t="s">
        <v>332</v>
      </c>
      <c r="D368" s="66">
        <f>(145.41)*(10.764)</f>
        <v>1565.1932399999998</v>
      </c>
      <c r="E368" s="66">
        <f>(9.18)*(10.764)</f>
        <v>98.813519999999997</v>
      </c>
      <c r="F368" s="56">
        <f>D368+E368</f>
        <v>1664.0067599999998</v>
      </c>
      <c r="G368" s="56">
        <v>0</v>
      </c>
      <c r="H368" s="56">
        <f>F368*(($H$285)+1)+(IF(G368&lt;101,G368,IF(G368&lt;201,G368/2,IF(G368&lt;=301,G368/3,G368/4))))</f>
        <v>1664.0067599999998</v>
      </c>
      <c r="K368" s="35"/>
    </row>
    <row r="369" spans="1:12" s="36" customFormat="1" ht="15.75" customHeight="1">
      <c r="A369" s="98" t="s">
        <v>334</v>
      </c>
      <c r="B369" s="98"/>
      <c r="C369" s="98"/>
      <c r="D369" s="98"/>
      <c r="E369" s="98"/>
      <c r="F369" s="98"/>
      <c r="G369" s="98"/>
      <c r="H369" s="98"/>
      <c r="I369" s="36">
        <f>1</f>
        <v>1</v>
      </c>
      <c r="K369" s="35"/>
    </row>
    <row r="370" spans="1:12" s="36" customFormat="1" ht="15.75" customHeight="1">
      <c r="A370" s="56">
        <v>1</v>
      </c>
      <c r="B370" s="56" t="s">
        <v>330</v>
      </c>
      <c r="C370" s="56" t="s">
        <v>322</v>
      </c>
      <c r="D370" s="66">
        <f>(110.17)*(10.764)</f>
        <v>1185.86988</v>
      </c>
      <c r="E370" s="66">
        <f>(4.01)*(10.764)</f>
        <v>43.163639999999994</v>
      </c>
      <c r="F370" s="56">
        <f>D370+E370</f>
        <v>1229.03352</v>
      </c>
      <c r="G370" s="56">
        <v>0</v>
      </c>
      <c r="H370" s="56">
        <f>F370*(($H$285)+1)+(IF(G370&lt;101,G370,IF(G370&lt;201,G370/2,IF(G370&lt;=301,G370/3,G370/4))))</f>
        <v>1229.03352</v>
      </c>
      <c r="I370" s="36" t="s">
        <v>475</v>
      </c>
      <c r="K370" s="35"/>
      <c r="L370" s="35"/>
    </row>
    <row r="371" spans="1:12" s="36" customFormat="1" ht="15.75" customHeight="1">
      <c r="A371" s="56">
        <f>A370+1</f>
        <v>2</v>
      </c>
      <c r="B371" s="56" t="s">
        <v>330</v>
      </c>
      <c r="C371" s="56" t="s">
        <v>322</v>
      </c>
      <c r="D371" s="66">
        <f>(106.38)*(10.764)</f>
        <v>1145.0743199999999</v>
      </c>
      <c r="E371" s="66">
        <f>(5.28)*(10.764)</f>
        <v>56.833919999999999</v>
      </c>
      <c r="F371" s="56">
        <f>D371+E371</f>
        <v>1201.90824</v>
      </c>
      <c r="G371" s="56">
        <v>0</v>
      </c>
      <c r="H371" s="56">
        <f>F371*(($H$285)+1)+(IF(G371&lt;101,G371,IF(G371&lt;201,G371/2,IF(G371&lt;=301,G371/3,G371/4))))</f>
        <v>1201.90824</v>
      </c>
      <c r="I371" s="36" t="s">
        <v>475</v>
      </c>
      <c r="K371" s="35"/>
    </row>
    <row r="372" spans="1:12" s="36" customFormat="1" ht="15.75" customHeight="1">
      <c r="A372" s="56">
        <f>A371+1</f>
        <v>3</v>
      </c>
      <c r="B372" s="74" t="s">
        <v>331</v>
      </c>
      <c r="C372" s="56" t="s">
        <v>332</v>
      </c>
      <c r="D372" s="66">
        <f>(145.41)*(10.764)</f>
        <v>1565.1932399999998</v>
      </c>
      <c r="E372" s="66">
        <f>(9.18)*(10.764)</f>
        <v>98.813519999999997</v>
      </c>
      <c r="F372" s="56">
        <f>D372+E372</f>
        <v>1664.0067599999998</v>
      </c>
      <c r="G372" s="56">
        <v>0</v>
      </c>
      <c r="H372" s="56">
        <f>F372*(($H$285)+1)+(IF(G372&lt;101,G372,IF(G372&lt;201,G372/2,IF(G372&lt;=301,G372/3,G372/4))))</f>
        <v>1664.0067599999998</v>
      </c>
      <c r="K372" s="35"/>
    </row>
    <row r="373" spans="1:12" s="36" customFormat="1" ht="15.75" customHeight="1">
      <c r="A373" s="102" t="s">
        <v>439</v>
      </c>
      <c r="B373" s="103"/>
      <c r="C373" s="103"/>
      <c r="D373" s="103"/>
      <c r="E373" s="103"/>
      <c r="F373" s="103"/>
      <c r="G373" s="103"/>
      <c r="H373" s="104"/>
      <c r="I373" s="36">
        <f>1</f>
        <v>1</v>
      </c>
      <c r="K373" s="35"/>
    </row>
    <row r="374" spans="1:12" s="36" customFormat="1" ht="15.75" customHeight="1">
      <c r="A374" s="70">
        <v>1</v>
      </c>
      <c r="B374" s="56" t="s">
        <v>330</v>
      </c>
      <c r="C374" s="56" t="s">
        <v>322</v>
      </c>
      <c r="D374" s="66">
        <f>(110.17)*(10.764)</f>
        <v>1185.86988</v>
      </c>
      <c r="E374" s="66">
        <f>(4.01)*(10.764)</f>
        <v>43.163639999999994</v>
      </c>
      <c r="F374" s="56">
        <f>D374+E374</f>
        <v>1229.03352</v>
      </c>
      <c r="G374" s="56">
        <v>0</v>
      </c>
      <c r="H374" s="56">
        <f>F374*(($H$282)+1)+(IF(G374&lt;101,G374,IF(G374&lt;201,G374/2,IF(G374&lt;=301,G374/3,G374/4))))</f>
        <v>1843.5502799999999</v>
      </c>
      <c r="I374" s="36" t="s">
        <v>475</v>
      </c>
      <c r="K374" s="35"/>
    </row>
    <row r="375" spans="1:12" s="36" customFormat="1" ht="15.75" customHeight="1">
      <c r="A375" s="70">
        <v>2</v>
      </c>
      <c r="B375" s="56" t="s">
        <v>330</v>
      </c>
      <c r="C375" s="56" t="s">
        <v>322</v>
      </c>
      <c r="D375" s="66">
        <f>(108.61)*(10.764)</f>
        <v>1169.0780399999999</v>
      </c>
      <c r="E375" s="66">
        <f>(5.28)*(10.764)</f>
        <v>56.833919999999999</v>
      </c>
      <c r="F375" s="56">
        <f>D375+E375</f>
        <v>1225.9119599999999</v>
      </c>
      <c r="G375" s="56">
        <v>0</v>
      </c>
      <c r="H375" s="56">
        <f>F375*(($H$282)+1)+(IF(G375&lt;101,G375,IF(G375&lt;201,G375/2,IF(G375&lt;=301,G375/3,G375/4))))</f>
        <v>1838.8679399999999</v>
      </c>
      <c r="I375" s="36" t="s">
        <v>475</v>
      </c>
      <c r="K375" s="35"/>
    </row>
    <row r="376" spans="1:12" s="36" customFormat="1" ht="15.75" customHeight="1">
      <c r="A376" s="70">
        <v>3</v>
      </c>
      <c r="B376" s="74" t="s">
        <v>331</v>
      </c>
      <c r="C376" s="56" t="s">
        <v>332</v>
      </c>
      <c r="D376" s="66">
        <f>(145.41)*(10.764)</f>
        <v>1565.1932399999998</v>
      </c>
      <c r="E376" s="66">
        <f>(9.18)*(10.764)</f>
        <v>98.813519999999997</v>
      </c>
      <c r="F376" s="56">
        <f>D376+E376</f>
        <v>1664.0067599999998</v>
      </c>
      <c r="G376" s="56">
        <v>0</v>
      </c>
      <c r="H376" s="56">
        <f>F376*(($H$282)+1)+(IF(G376&lt;101,G376,IF(G376&lt;201,G376/2,IF(G376&lt;=301,G376/3,G376/4))))</f>
        <v>2496.0101399999994</v>
      </c>
      <c r="K376" s="35"/>
      <c r="L376" s="35"/>
    </row>
    <row r="377" spans="1:12" s="36" customFormat="1" ht="15.75" customHeight="1">
      <c r="A377" s="102" t="s">
        <v>438</v>
      </c>
      <c r="B377" s="103"/>
      <c r="C377" s="103"/>
      <c r="D377" s="103"/>
      <c r="E377" s="103"/>
      <c r="F377" s="103"/>
      <c r="G377" s="103"/>
      <c r="H377" s="104"/>
      <c r="I377" s="36">
        <f>1</f>
        <v>1</v>
      </c>
      <c r="K377" s="35"/>
    </row>
    <row r="378" spans="1:12" s="36" customFormat="1" ht="15.75" customHeight="1">
      <c r="A378" s="70">
        <v>1</v>
      </c>
      <c r="B378" s="56" t="s">
        <v>330</v>
      </c>
      <c r="C378" s="56" t="s">
        <v>322</v>
      </c>
      <c r="D378" s="66">
        <f>(110.17)*(10.764)</f>
        <v>1185.86988</v>
      </c>
      <c r="E378" s="66">
        <f>(4.01)*(10.764)</f>
        <v>43.163639999999994</v>
      </c>
      <c r="F378" s="56">
        <f>D378+E378</f>
        <v>1229.03352</v>
      </c>
      <c r="G378" s="56">
        <v>0</v>
      </c>
      <c r="H378" s="56">
        <f>F378*(($H$282)+1)+(IF(G378&lt;101,G378,IF(G378&lt;201,G378/2,IF(G378&lt;=301,G378/3,G378/4))))</f>
        <v>1843.5502799999999</v>
      </c>
      <c r="I378" s="36" t="s">
        <v>475</v>
      </c>
      <c r="K378" s="35"/>
    </row>
    <row r="379" spans="1:12" s="36" customFormat="1" ht="15.75" customHeight="1">
      <c r="A379" s="70">
        <v>2</v>
      </c>
      <c r="B379" s="74" t="s">
        <v>331</v>
      </c>
      <c r="C379" s="56" t="s">
        <v>322</v>
      </c>
      <c r="D379" s="66">
        <f>(108.61)*(10.764)</f>
        <v>1169.0780399999999</v>
      </c>
      <c r="E379" s="66">
        <f>(5.28)*(10.764)</f>
        <v>56.833919999999999</v>
      </c>
      <c r="F379" s="56">
        <f>D379+E379</f>
        <v>1225.9119599999999</v>
      </c>
      <c r="G379" s="56">
        <v>0</v>
      </c>
      <c r="H379" s="56">
        <f>F379*(($H$282)+1)+(IF(G379&lt;101,G379,IF(G379&lt;201,G379/2,IF(G379&lt;=301,G379/3,G379/4))))</f>
        <v>1838.8679399999999</v>
      </c>
      <c r="K379" s="35"/>
    </row>
    <row r="380" spans="1:12" s="36" customFormat="1" ht="15.75" customHeight="1">
      <c r="A380" s="70">
        <v>3</v>
      </c>
      <c r="B380" s="74" t="s">
        <v>331</v>
      </c>
      <c r="C380" s="56" t="s">
        <v>332</v>
      </c>
      <c r="D380" s="66">
        <f>(145.41)*(10.764)</f>
        <v>1565.1932399999998</v>
      </c>
      <c r="E380" s="66">
        <f>(9.18)*(10.764)</f>
        <v>98.813519999999997</v>
      </c>
      <c r="F380" s="56">
        <f>D380+E380</f>
        <v>1664.0067599999998</v>
      </c>
      <c r="G380" s="56">
        <v>0</v>
      </c>
      <c r="H380" s="56">
        <f>F380*(($H$282)+1)+(IF(G380&lt;101,G380,IF(G380&lt;201,G380/2,IF(G380&lt;=301,G380/3,G380/4))))</f>
        <v>2496.0101399999994</v>
      </c>
      <c r="K380" s="35"/>
      <c r="L380" s="35"/>
    </row>
    <row r="381" spans="1:12" s="36" customFormat="1" ht="15.75" customHeight="1">
      <c r="A381" s="102" t="s">
        <v>335</v>
      </c>
      <c r="B381" s="103"/>
      <c r="C381" s="103"/>
      <c r="D381" s="103"/>
      <c r="E381" s="103"/>
      <c r="F381" s="103"/>
      <c r="G381" s="103"/>
      <c r="H381" s="104"/>
      <c r="I381" s="36">
        <f>1</f>
        <v>1</v>
      </c>
      <c r="K381" s="35"/>
    </row>
    <row r="382" spans="1:12" s="36" customFormat="1" ht="15.75" customHeight="1">
      <c r="A382" s="70">
        <v>1</v>
      </c>
      <c r="B382" s="74" t="s">
        <v>331</v>
      </c>
      <c r="C382" s="56" t="s">
        <v>322</v>
      </c>
      <c r="D382" s="66">
        <f>(110.17)*(10.764)</f>
        <v>1185.86988</v>
      </c>
      <c r="E382" s="66">
        <f>(4.01)*(10.764)</f>
        <v>43.163639999999994</v>
      </c>
      <c r="F382" s="56">
        <f>D382+E382</f>
        <v>1229.03352</v>
      </c>
      <c r="G382" s="56">
        <v>0</v>
      </c>
      <c r="H382" s="56">
        <f>F382*(($H$282)+1)+(IF(G382&lt;101,G382,IF(G382&lt;201,G382/2,IF(G382&lt;=301,G382/3,G382/4))))</f>
        <v>1843.5502799999999</v>
      </c>
      <c r="K382" s="35"/>
    </row>
    <row r="383" spans="1:12" s="36" customFormat="1" ht="15.75" customHeight="1">
      <c r="A383" s="70">
        <v>2</v>
      </c>
      <c r="B383" s="56" t="s">
        <v>330</v>
      </c>
      <c r="C383" s="56" t="s">
        <v>322</v>
      </c>
      <c r="D383" s="66">
        <f>(108.61)*(10.764)</f>
        <v>1169.0780399999999</v>
      </c>
      <c r="E383" s="66">
        <f>(5.28)*(10.764)</f>
        <v>56.833919999999999</v>
      </c>
      <c r="F383" s="56">
        <f>D383+E383</f>
        <v>1225.9119599999999</v>
      </c>
      <c r="G383" s="56">
        <v>0</v>
      </c>
      <c r="H383" s="56">
        <f>F383*(($H$282)+1)+(IF(G383&lt;101,G383,IF(G383&lt;201,G383/2,IF(G383&lt;=301,G383/3,G383/4))))</f>
        <v>1838.8679399999999</v>
      </c>
      <c r="I383" s="36" t="s">
        <v>475</v>
      </c>
      <c r="K383" s="35"/>
    </row>
    <row r="384" spans="1:12" s="36" customFormat="1" ht="15.75" customHeight="1">
      <c r="A384" s="70">
        <v>3</v>
      </c>
      <c r="B384" s="74" t="s">
        <v>331</v>
      </c>
      <c r="C384" s="56" t="s">
        <v>332</v>
      </c>
      <c r="D384" s="66">
        <f>(145.41)*(10.764)</f>
        <v>1565.1932399999998</v>
      </c>
      <c r="E384" s="66">
        <f>(9.18)*(10.764)</f>
        <v>98.813519999999997</v>
      </c>
      <c r="F384" s="56">
        <f>D384+E384</f>
        <v>1664.0067599999998</v>
      </c>
      <c r="G384" s="56">
        <v>0</v>
      </c>
      <c r="H384" s="56">
        <f>F384*(($H$282)+1)+(IF(G384&lt;101,G384,IF(G384&lt;201,G384/2,IF(G384&lt;=301,G384/3,G384/4))))</f>
        <v>2496.0101399999994</v>
      </c>
      <c r="K384" s="35"/>
      <c r="L384" s="35"/>
    </row>
    <row r="385" spans="1:12" s="36" customFormat="1" ht="15.75" customHeight="1">
      <c r="A385" s="102" t="s">
        <v>440</v>
      </c>
      <c r="B385" s="103"/>
      <c r="C385" s="103"/>
      <c r="D385" s="103"/>
      <c r="E385" s="103"/>
      <c r="F385" s="103"/>
      <c r="G385" s="103"/>
      <c r="H385" s="104"/>
      <c r="I385" s="36">
        <f>1</f>
        <v>1</v>
      </c>
      <c r="K385" s="35"/>
    </row>
    <row r="386" spans="1:12" s="36" customFormat="1" ht="15.75" customHeight="1">
      <c r="A386" s="70">
        <v>1</v>
      </c>
      <c r="B386" s="56" t="s">
        <v>330</v>
      </c>
      <c r="C386" s="56" t="s">
        <v>322</v>
      </c>
      <c r="D386" s="66">
        <f>(110.17)*(10.764)</f>
        <v>1185.86988</v>
      </c>
      <c r="E386" s="66">
        <f>(4.01)*(10.764)</f>
        <v>43.163639999999994</v>
      </c>
      <c r="F386" s="56">
        <f>D386+E386</f>
        <v>1229.03352</v>
      </c>
      <c r="G386" s="56">
        <v>0</v>
      </c>
      <c r="H386" s="56">
        <f>F386*(($H$282)+1)+(IF(G386&lt;101,G386,IF(G386&lt;201,G386/2,IF(G386&lt;=301,G386/3,G386/4))))</f>
        <v>1843.5502799999999</v>
      </c>
      <c r="I386" s="36" t="s">
        <v>475</v>
      </c>
      <c r="K386" s="35"/>
    </row>
    <row r="387" spans="1:12" s="36" customFormat="1" ht="15.75" customHeight="1">
      <c r="A387" s="70">
        <v>2</v>
      </c>
      <c r="B387" s="56" t="s">
        <v>330</v>
      </c>
      <c r="C387" s="56" t="s">
        <v>322</v>
      </c>
      <c r="D387" s="66">
        <f>(108.61)*(10.764)</f>
        <v>1169.0780399999999</v>
      </c>
      <c r="E387" s="66">
        <f>(5.28)*(10.764)</f>
        <v>56.833919999999999</v>
      </c>
      <c r="F387" s="56">
        <f>D387+E387</f>
        <v>1225.9119599999999</v>
      </c>
      <c r="G387" s="56">
        <v>0</v>
      </c>
      <c r="H387" s="56">
        <f>F387*(($H$282)+1)+(IF(G387&lt;101,G387,IF(G387&lt;201,G387/2,IF(G387&lt;=301,G387/3,G387/4))))</f>
        <v>1838.8679399999999</v>
      </c>
      <c r="I387" s="36" t="s">
        <v>475</v>
      </c>
      <c r="K387" s="35"/>
    </row>
    <row r="388" spans="1:12" s="36" customFormat="1" ht="15.75" customHeight="1">
      <c r="A388" s="70">
        <v>3</v>
      </c>
      <c r="B388" s="74" t="s">
        <v>331</v>
      </c>
      <c r="C388" s="56" t="s">
        <v>332</v>
      </c>
      <c r="D388" s="66">
        <f>(145.41)*(10.764)</f>
        <v>1565.1932399999998</v>
      </c>
      <c r="E388" s="66">
        <f>(9.18)*(10.764)</f>
        <v>98.813519999999997</v>
      </c>
      <c r="F388" s="56">
        <f>D388+E388</f>
        <v>1664.0067599999998</v>
      </c>
      <c r="G388" s="56">
        <v>0</v>
      </c>
      <c r="H388" s="56">
        <f>F388*(($H$282)+1)+(IF(G388&lt;101,G388,IF(G388&lt;201,G388/2,IF(G388&lt;=301,G388/3,G388/4))))</f>
        <v>2496.0101399999994</v>
      </c>
      <c r="K388" s="35"/>
      <c r="L388" s="35"/>
    </row>
    <row r="389" spans="1:12" s="36" customFormat="1" ht="15.75" customHeight="1">
      <c r="A389" s="102" t="s">
        <v>442</v>
      </c>
      <c r="B389" s="103"/>
      <c r="C389" s="103"/>
      <c r="D389" s="103"/>
      <c r="E389" s="103"/>
      <c r="F389" s="103"/>
      <c r="G389" s="103"/>
      <c r="H389" s="104"/>
      <c r="I389" s="36">
        <f>2</f>
        <v>2</v>
      </c>
      <c r="K389" s="35"/>
    </row>
    <row r="390" spans="1:12" s="36" customFormat="1" ht="15.75" customHeight="1">
      <c r="A390" s="70">
        <v>1</v>
      </c>
      <c r="B390" s="74" t="s">
        <v>331</v>
      </c>
      <c r="C390" s="56" t="s">
        <v>322</v>
      </c>
      <c r="D390" s="66">
        <f>(110.17)*(10.764)</f>
        <v>1185.86988</v>
      </c>
      <c r="E390" s="66">
        <f>(4.01)*(10.764)</f>
        <v>43.163639999999994</v>
      </c>
      <c r="F390" s="56">
        <f>D390+E390</f>
        <v>1229.03352</v>
      </c>
      <c r="G390" s="56">
        <v>0</v>
      </c>
      <c r="H390" s="56">
        <f>F390*(($H$282)+1)+(IF(G390&lt;101,G390,IF(G390&lt;201,G390/2,IF(G390&lt;=301,G390/3,G390/4))))</f>
        <v>1843.5502799999999</v>
      </c>
      <c r="K390" s="35"/>
    </row>
    <row r="391" spans="1:12" s="36" customFormat="1" ht="15.75" customHeight="1">
      <c r="A391" s="70">
        <v>2</v>
      </c>
      <c r="B391" s="56" t="s">
        <v>330</v>
      </c>
      <c r="C391" s="56" t="s">
        <v>322</v>
      </c>
      <c r="D391" s="66">
        <f>(108.61)*(10.764)</f>
        <v>1169.0780399999999</v>
      </c>
      <c r="E391" s="66">
        <f>(5.28)*(10.764)</f>
        <v>56.833919999999999</v>
      </c>
      <c r="F391" s="56">
        <f>D391+E391</f>
        <v>1225.9119599999999</v>
      </c>
      <c r="G391" s="56">
        <v>0</v>
      </c>
      <c r="H391" s="56">
        <f>F391*(($H$282)+1)+(IF(G391&lt;101,G391,IF(G391&lt;201,G391/2,IF(G391&lt;=301,G391/3,G391/4))))</f>
        <v>1838.8679399999999</v>
      </c>
      <c r="I391" s="36" t="s">
        <v>475</v>
      </c>
      <c r="K391" s="35"/>
    </row>
    <row r="392" spans="1:12" s="36" customFormat="1" ht="15.75" customHeight="1">
      <c r="A392" s="70">
        <v>3</v>
      </c>
      <c r="B392" s="74" t="s">
        <v>331</v>
      </c>
      <c r="C392" s="56" t="s">
        <v>332</v>
      </c>
      <c r="D392" s="66">
        <f>(145.41)*(10.764)</f>
        <v>1565.1932399999998</v>
      </c>
      <c r="E392" s="66">
        <f>(9.18)*(10.764)</f>
        <v>98.813519999999997</v>
      </c>
      <c r="F392" s="56">
        <f>D392+E392</f>
        <v>1664.0067599999998</v>
      </c>
      <c r="G392" s="56">
        <v>0</v>
      </c>
      <c r="H392" s="56">
        <f>F392*(($H$282)+1)+(IF(G392&lt;101,G392,IF(G392&lt;201,G392/2,IF(G392&lt;=301,G392/3,G392/4))))</f>
        <v>2496.0101399999994</v>
      </c>
      <c r="K392" s="35"/>
      <c r="L392" s="35"/>
    </row>
    <row r="393" spans="1:12" s="36" customFormat="1" ht="15.75" customHeight="1">
      <c r="A393" s="102" t="s">
        <v>441</v>
      </c>
      <c r="B393" s="103"/>
      <c r="C393" s="103"/>
      <c r="D393" s="103"/>
      <c r="E393" s="103"/>
      <c r="F393" s="103"/>
      <c r="G393" s="103"/>
      <c r="H393" s="104"/>
      <c r="I393" s="36">
        <f>2</f>
        <v>2</v>
      </c>
      <c r="K393" s="35"/>
    </row>
    <row r="394" spans="1:12" s="36" customFormat="1" ht="15.75" customHeight="1">
      <c r="A394" s="70">
        <v>1</v>
      </c>
      <c r="B394" s="74" t="s">
        <v>331</v>
      </c>
      <c r="C394" s="56" t="s">
        <v>322</v>
      </c>
      <c r="D394" s="66">
        <f>(110.17)*(10.764)</f>
        <v>1185.86988</v>
      </c>
      <c r="E394" s="66">
        <f>(4.01)*(10.764)</f>
        <v>43.163639999999994</v>
      </c>
      <c r="F394" s="56">
        <f>D394+E394</f>
        <v>1229.03352</v>
      </c>
      <c r="G394" s="56">
        <v>0</v>
      </c>
      <c r="H394" s="56">
        <f>F394*(($H$282)+1)+(IF(G394&lt;101,G394,IF(G394&lt;201,G394/2,IF(G394&lt;=301,G394/3,G394/4))))</f>
        <v>1843.5502799999999</v>
      </c>
      <c r="K394" s="35"/>
    </row>
    <row r="395" spans="1:12" s="36" customFormat="1" ht="15.75" customHeight="1">
      <c r="A395" s="70">
        <v>2</v>
      </c>
      <c r="B395" s="56" t="s">
        <v>330</v>
      </c>
      <c r="C395" s="56" t="s">
        <v>322</v>
      </c>
      <c r="D395" s="66">
        <f>(108.61)*(10.764)</f>
        <v>1169.0780399999999</v>
      </c>
      <c r="E395" s="66">
        <f>(5.28)*(10.764)</f>
        <v>56.833919999999999</v>
      </c>
      <c r="F395" s="56">
        <f>D395+E395</f>
        <v>1225.9119599999999</v>
      </c>
      <c r="G395" s="56">
        <v>0</v>
      </c>
      <c r="H395" s="56">
        <f>F395*(($H$282)+1)+(IF(G395&lt;101,G395,IF(G395&lt;201,G395/2,IF(G395&lt;=301,G395/3,G395/4))))</f>
        <v>1838.8679399999999</v>
      </c>
      <c r="I395" s="36" t="s">
        <v>475</v>
      </c>
      <c r="K395" s="35"/>
    </row>
    <row r="396" spans="1:12" s="36" customFormat="1" ht="15.75" customHeight="1">
      <c r="A396" s="70">
        <v>3</v>
      </c>
      <c r="B396" s="74" t="s">
        <v>331</v>
      </c>
      <c r="C396" s="56" t="s">
        <v>332</v>
      </c>
      <c r="D396" s="66">
        <f>(145.41)*(10.764)</f>
        <v>1565.1932399999998</v>
      </c>
      <c r="E396" s="66">
        <f>(9.18)*(10.764)</f>
        <v>98.813519999999997</v>
      </c>
      <c r="F396" s="56">
        <f>D396+E396</f>
        <v>1664.0067599999998</v>
      </c>
      <c r="G396" s="56">
        <v>0</v>
      </c>
      <c r="H396" s="56">
        <f>F396*(($H$282)+1)+(IF(G396&lt;101,G396,IF(G396&lt;201,G396/2,IF(G396&lt;=301,G396/3,G396/4))))</f>
        <v>2496.0101399999994</v>
      </c>
      <c r="K396" s="35"/>
      <c r="L396" s="35"/>
    </row>
    <row r="397" spans="1:12" s="36" customFormat="1" ht="15.75" customHeight="1">
      <c r="A397" s="102" t="s">
        <v>443</v>
      </c>
      <c r="B397" s="103"/>
      <c r="C397" s="103"/>
      <c r="D397" s="103"/>
      <c r="E397" s="103"/>
      <c r="F397" s="103"/>
      <c r="G397" s="103"/>
      <c r="H397" s="104"/>
      <c r="I397" s="36">
        <f>4</f>
        <v>4</v>
      </c>
      <c r="K397" s="35"/>
    </row>
    <row r="398" spans="1:12" s="36" customFormat="1" ht="15.75" customHeight="1">
      <c r="A398" s="70">
        <v>1</v>
      </c>
      <c r="B398" s="56" t="s">
        <v>330</v>
      </c>
      <c r="C398" s="56" t="s">
        <v>322</v>
      </c>
      <c r="D398" s="66">
        <f>(110.17)*(10.764)</f>
        <v>1185.86988</v>
      </c>
      <c r="E398" s="66">
        <f>(4.01)*(10.764)</f>
        <v>43.163639999999994</v>
      </c>
      <c r="F398" s="56">
        <f>D398+E398</f>
        <v>1229.03352</v>
      </c>
      <c r="G398" s="56">
        <v>0</v>
      </c>
      <c r="H398" s="56">
        <f>F398*(($H$282)+1)+(IF(G398&lt;101,G398,IF(G398&lt;201,G398/2,IF(G398&lt;=301,G398/3,G398/4))))</f>
        <v>1843.5502799999999</v>
      </c>
      <c r="I398" s="36" t="s">
        <v>475</v>
      </c>
      <c r="K398" s="35"/>
    </row>
    <row r="399" spans="1:12" s="36" customFormat="1" ht="15.75" customHeight="1">
      <c r="A399" s="70">
        <v>2</v>
      </c>
      <c r="B399" s="56" t="s">
        <v>330</v>
      </c>
      <c r="C399" s="56" t="s">
        <v>322</v>
      </c>
      <c r="D399" s="66">
        <f>(108.61)*(10.764)</f>
        <v>1169.0780399999999</v>
      </c>
      <c r="E399" s="66">
        <f>(5.28)*(10.764)</f>
        <v>56.833919999999999</v>
      </c>
      <c r="F399" s="56">
        <f>D399+E399</f>
        <v>1225.9119599999999</v>
      </c>
      <c r="G399" s="56">
        <v>0</v>
      </c>
      <c r="H399" s="56">
        <f>F399*(($H$282)+1)+(IF(G399&lt;101,G399,IF(G399&lt;201,G399/2,IF(G399&lt;=301,G399/3,G399/4))))</f>
        <v>1838.8679399999999</v>
      </c>
      <c r="I399" s="36" t="s">
        <v>475</v>
      </c>
      <c r="K399" s="35"/>
    </row>
    <row r="400" spans="1:12" s="36" customFormat="1" ht="15.75" customHeight="1">
      <c r="A400" s="70">
        <v>3</v>
      </c>
      <c r="B400" s="74" t="s">
        <v>331</v>
      </c>
      <c r="C400" s="56" t="s">
        <v>332</v>
      </c>
      <c r="D400" s="66">
        <f>(145.41)*(10.764)</f>
        <v>1565.1932399999998</v>
      </c>
      <c r="E400" s="66">
        <f>(9.18)*(10.764)</f>
        <v>98.813519999999997</v>
      </c>
      <c r="F400" s="56">
        <f>D400+E400</f>
        <v>1664.0067599999998</v>
      </c>
      <c r="G400" s="56">
        <v>0</v>
      </c>
      <c r="H400" s="56">
        <f>F400*(($H$282)+1)+(IF(G400&lt;101,G400,IF(G400&lt;201,G400/2,IF(G400&lt;=301,G400/3,G400/4))))</f>
        <v>2496.0101399999994</v>
      </c>
      <c r="K400" s="35"/>
      <c r="L400" s="35"/>
    </row>
    <row r="401" spans="1:12" s="36" customFormat="1" ht="15.75" customHeight="1">
      <c r="A401" s="102" t="s">
        <v>444</v>
      </c>
      <c r="B401" s="103"/>
      <c r="C401" s="103"/>
      <c r="D401" s="103"/>
      <c r="E401" s="103"/>
      <c r="F401" s="103"/>
      <c r="G401" s="103"/>
      <c r="H401" s="104"/>
      <c r="I401" s="36">
        <f>4</f>
        <v>4</v>
      </c>
      <c r="K401" s="35"/>
    </row>
    <row r="402" spans="1:12" s="36" customFormat="1" ht="15.75" customHeight="1">
      <c r="A402" s="70">
        <v>1</v>
      </c>
      <c r="B402" s="56" t="s">
        <v>330</v>
      </c>
      <c r="C402" s="56" t="s">
        <v>322</v>
      </c>
      <c r="D402" s="66">
        <f>(110.17)*(10.764)</f>
        <v>1185.86988</v>
      </c>
      <c r="E402" s="66">
        <f>(4.01)*(10.764)</f>
        <v>43.163639999999994</v>
      </c>
      <c r="F402" s="56">
        <f>D402+E402</f>
        <v>1229.03352</v>
      </c>
      <c r="G402" s="56">
        <v>0</v>
      </c>
      <c r="H402" s="56">
        <f>F402*(($H$282)+1)+(IF(G402&lt;101,G402,IF(G402&lt;201,G402/2,IF(G402&lt;=301,G402/3,G402/4))))</f>
        <v>1843.5502799999999</v>
      </c>
      <c r="I402" s="36" t="s">
        <v>475</v>
      </c>
      <c r="K402" s="35"/>
    </row>
    <row r="403" spans="1:12" s="36" customFormat="1" ht="15.75" customHeight="1">
      <c r="A403" s="70">
        <v>2</v>
      </c>
      <c r="B403" s="56" t="s">
        <v>330</v>
      </c>
      <c r="C403" s="56" t="s">
        <v>322</v>
      </c>
      <c r="D403" s="66">
        <f>(108.61)*(10.764)</f>
        <v>1169.0780399999999</v>
      </c>
      <c r="E403" s="66">
        <f>(5.28)*(10.764)</f>
        <v>56.833919999999999</v>
      </c>
      <c r="F403" s="56">
        <f>D403+E403</f>
        <v>1225.9119599999999</v>
      </c>
      <c r="G403" s="56">
        <v>0</v>
      </c>
      <c r="H403" s="56">
        <f>F403*(($H$282)+1)+(IF(G403&lt;101,G403,IF(G403&lt;201,G403/2,IF(G403&lt;=301,G403/3,G403/4))))</f>
        <v>1838.8679399999999</v>
      </c>
      <c r="I403" s="36" t="s">
        <v>475</v>
      </c>
      <c r="K403" s="35"/>
    </row>
    <row r="404" spans="1:12" s="36" customFormat="1" ht="15.75" customHeight="1">
      <c r="A404" s="70">
        <v>3</v>
      </c>
      <c r="B404" s="74" t="s">
        <v>331</v>
      </c>
      <c r="C404" s="56" t="s">
        <v>332</v>
      </c>
      <c r="D404" s="66">
        <f>(145.41)*(10.764)</f>
        <v>1565.1932399999998</v>
      </c>
      <c r="E404" s="66">
        <f>(9.18)*(10.764)</f>
        <v>98.813519999999997</v>
      </c>
      <c r="F404" s="56">
        <f>D404+E404</f>
        <v>1664.0067599999998</v>
      </c>
      <c r="G404" s="56">
        <v>0</v>
      </c>
      <c r="H404" s="56">
        <f>F404*(($H$282)+1)+(IF(G404&lt;101,G404,IF(G404&lt;201,G404/2,IF(G404&lt;=301,G404/3,G404/4))))</f>
        <v>2496.0101399999994</v>
      </c>
      <c r="K404" s="35"/>
      <c r="L404" s="35"/>
    </row>
    <row r="405" spans="1:12" s="36" customFormat="1" ht="15.75" customHeight="1">
      <c r="A405" s="146" t="s">
        <v>408</v>
      </c>
      <c r="B405" s="146"/>
      <c r="C405" s="146"/>
      <c r="D405" s="146"/>
      <c r="E405" s="146"/>
      <c r="F405" s="146"/>
      <c r="G405" s="146"/>
      <c r="H405" s="146"/>
      <c r="I405" s="35"/>
      <c r="J405" s="35"/>
    </row>
    <row r="406" spans="1:12" s="36" customFormat="1" ht="15.75" customHeight="1">
      <c r="A406" s="102" t="s">
        <v>373</v>
      </c>
      <c r="B406" s="103"/>
      <c r="C406" s="103"/>
      <c r="D406" s="103"/>
      <c r="E406" s="103"/>
      <c r="F406" s="103"/>
      <c r="G406" s="103"/>
      <c r="H406" s="104"/>
      <c r="I406" s="35"/>
      <c r="J406" s="35"/>
    </row>
    <row r="407" spans="1:12" s="36" customFormat="1" ht="15.75" customHeight="1">
      <c r="A407" s="139" t="s">
        <v>378</v>
      </c>
      <c r="B407" s="140"/>
      <c r="C407" s="140"/>
      <c r="D407" s="140"/>
      <c r="E407" s="140"/>
      <c r="F407" s="140"/>
      <c r="G407" s="140"/>
      <c r="H407" s="141"/>
      <c r="I407" s="35"/>
      <c r="J407" s="35"/>
    </row>
    <row r="408" spans="1:12" s="36" customFormat="1" ht="15.75" customHeight="1">
      <c r="A408" s="102" t="s">
        <v>445</v>
      </c>
      <c r="B408" s="103"/>
      <c r="C408" s="103"/>
      <c r="D408" s="103"/>
      <c r="E408" s="103"/>
      <c r="F408" s="103"/>
      <c r="G408" s="103"/>
      <c r="H408" s="104"/>
      <c r="I408" s="36">
        <f>3+4+4</f>
        <v>11</v>
      </c>
      <c r="K408" s="35"/>
      <c r="L408" s="35"/>
    </row>
    <row r="409" spans="1:12" s="36" customFormat="1" ht="15.75" customHeight="1">
      <c r="A409" s="70">
        <v>1</v>
      </c>
      <c r="B409" s="74" t="s">
        <v>331</v>
      </c>
      <c r="C409" s="56" t="s">
        <v>332</v>
      </c>
      <c r="D409" s="66">
        <f>(140.61)*(10.764)</f>
        <v>1513.52604</v>
      </c>
      <c r="E409" s="66">
        <f>(9.79)*(10.764)</f>
        <v>105.37955999999998</v>
      </c>
      <c r="F409" s="56">
        <f>D409+E409</f>
        <v>1618.9056</v>
      </c>
      <c r="G409" s="56">
        <v>0</v>
      </c>
      <c r="H409" s="56">
        <f>F409*(($H$282)+1)+(IF(G409&lt;101,G409,IF(G409&lt;201,G409/2,IF(G409&lt;=301,G409/3,G409/4))))</f>
        <v>2428.3584000000001</v>
      </c>
      <c r="K409" s="35"/>
      <c r="L409" s="35"/>
    </row>
    <row r="410" spans="1:12" s="36" customFormat="1" ht="15.75" customHeight="1">
      <c r="A410" s="70">
        <v>2</v>
      </c>
      <c r="B410" s="74" t="s">
        <v>331</v>
      </c>
      <c r="C410" s="56" t="s">
        <v>332</v>
      </c>
      <c r="D410" s="66">
        <f>(181.3)*(10.764)</f>
        <v>1951.5132000000001</v>
      </c>
      <c r="E410" s="66">
        <f>(20.64)*(10.764)</f>
        <v>222.16896</v>
      </c>
      <c r="F410" s="56">
        <f>D410+E410</f>
        <v>2173.6821600000003</v>
      </c>
      <c r="G410" s="56">
        <v>0</v>
      </c>
      <c r="H410" s="56">
        <f>F410*(($H$282)+1)+(IF(G410&lt;101,G410,IF(G410&lt;201,G410/2,IF(G410&lt;=301,G410/3,G410/4))))</f>
        <v>3260.5232400000004</v>
      </c>
      <c r="K410" s="35"/>
    </row>
    <row r="411" spans="1:12" s="36" customFormat="1" ht="15.75" customHeight="1">
      <c r="A411" s="102" t="s">
        <v>446</v>
      </c>
      <c r="B411" s="103"/>
      <c r="C411" s="103"/>
      <c r="D411" s="103"/>
      <c r="E411" s="103"/>
      <c r="F411" s="103"/>
      <c r="G411" s="103"/>
      <c r="H411" s="104"/>
      <c r="I411" s="36">
        <f>2</f>
        <v>2</v>
      </c>
      <c r="K411" s="35"/>
      <c r="L411" s="35"/>
    </row>
    <row r="412" spans="1:12" s="36" customFormat="1" ht="15.75" customHeight="1">
      <c r="A412" s="70">
        <v>1</v>
      </c>
      <c r="B412" s="56" t="s">
        <v>330</v>
      </c>
      <c r="C412" s="56" t="s">
        <v>332</v>
      </c>
      <c r="D412" s="66">
        <f>(140.61)*(10.764)</f>
        <v>1513.52604</v>
      </c>
      <c r="E412" s="66">
        <f>(9.79)*(10.764)</f>
        <v>105.37955999999998</v>
      </c>
      <c r="F412" s="56">
        <f>D412+E412</f>
        <v>1618.9056</v>
      </c>
      <c r="G412" s="56">
        <v>0</v>
      </c>
      <c r="H412" s="56">
        <f>F412*(($H$282)+1)+(IF(G412&lt;101,G412,IF(G412&lt;201,G412/2,IF(G412&lt;=301,G412/3,G412/4))))</f>
        <v>2428.3584000000001</v>
      </c>
      <c r="I412" s="36" t="s">
        <v>475</v>
      </c>
      <c r="K412" s="35"/>
      <c r="L412" s="35"/>
    </row>
    <row r="413" spans="1:12" s="36" customFormat="1" ht="15.75" customHeight="1">
      <c r="A413" s="70">
        <v>2</v>
      </c>
      <c r="B413" s="56" t="s">
        <v>330</v>
      </c>
      <c r="C413" s="56" t="s">
        <v>332</v>
      </c>
      <c r="D413" s="66">
        <f>(181.3)*(10.764)</f>
        <v>1951.5132000000001</v>
      </c>
      <c r="E413" s="66">
        <f>(20.64)*(10.764)</f>
        <v>222.16896</v>
      </c>
      <c r="F413" s="56">
        <f>D413+E413</f>
        <v>2173.6821600000003</v>
      </c>
      <c r="G413" s="56">
        <v>0</v>
      </c>
      <c r="H413" s="56">
        <f>F413*(($H$282)+1)+(IF(G413&lt;101,G413,IF(G413&lt;201,G413/2,IF(G413&lt;=301,G413/3,G413/4))))</f>
        <v>3260.5232400000004</v>
      </c>
      <c r="I413" s="36" t="s">
        <v>475</v>
      </c>
      <c r="K413" s="35"/>
    </row>
    <row r="414" spans="1:12" s="36" customFormat="1" ht="15.75" customHeight="1">
      <c r="A414" s="102" t="s">
        <v>335</v>
      </c>
      <c r="B414" s="103"/>
      <c r="C414" s="103"/>
      <c r="D414" s="103"/>
      <c r="E414" s="103"/>
      <c r="F414" s="103"/>
      <c r="G414" s="103"/>
      <c r="H414" s="104"/>
      <c r="I414" s="36">
        <f>1</f>
        <v>1</v>
      </c>
      <c r="K414" s="35"/>
      <c r="L414" s="35"/>
    </row>
    <row r="415" spans="1:12" s="36" customFormat="1" ht="15.75" customHeight="1">
      <c r="A415" s="70">
        <v>1</v>
      </c>
      <c r="B415" s="56" t="s">
        <v>330</v>
      </c>
      <c r="C415" s="56" t="s">
        <v>332</v>
      </c>
      <c r="D415" s="66">
        <f>(140.61)*(10.764)</f>
        <v>1513.52604</v>
      </c>
      <c r="E415" s="66">
        <f>(9.79)*(10.764)</f>
        <v>105.37955999999998</v>
      </c>
      <c r="F415" s="56">
        <f>D415+E415</f>
        <v>1618.9056</v>
      </c>
      <c r="G415" s="56">
        <v>0</v>
      </c>
      <c r="H415" s="56">
        <f>F415*(($H$282)+1)+(IF(G415&lt;101,G415,IF(G415&lt;201,G415/2,IF(G415&lt;=301,G415/3,G415/4))))</f>
        <v>2428.3584000000001</v>
      </c>
      <c r="I415" s="36" t="s">
        <v>475</v>
      </c>
      <c r="K415" s="35"/>
      <c r="L415" s="35"/>
    </row>
    <row r="416" spans="1:12" s="36" customFormat="1" ht="15.75" customHeight="1">
      <c r="A416" s="70">
        <v>2</v>
      </c>
      <c r="B416" s="74" t="s">
        <v>331</v>
      </c>
      <c r="C416" s="56" t="s">
        <v>332</v>
      </c>
      <c r="D416" s="66">
        <f>(181.3)*(10.764)</f>
        <v>1951.5132000000001</v>
      </c>
      <c r="E416" s="66">
        <f>(20.64)*(10.764)</f>
        <v>222.16896</v>
      </c>
      <c r="F416" s="56">
        <f>D416+E416</f>
        <v>2173.6821600000003</v>
      </c>
      <c r="G416" s="56">
        <v>0</v>
      </c>
      <c r="H416" s="56">
        <f>F416*(($H$282)+1)+(IF(G416&lt;101,G416,IF(G416&lt;201,G416/2,IF(G416&lt;=301,G416/3,G416/4))))</f>
        <v>3260.5232400000004</v>
      </c>
      <c r="K416" s="35"/>
    </row>
    <row r="417" spans="1:12" s="36" customFormat="1" ht="15.75" customHeight="1">
      <c r="A417" s="102" t="s">
        <v>447</v>
      </c>
      <c r="B417" s="103"/>
      <c r="C417" s="103"/>
      <c r="D417" s="103"/>
      <c r="E417" s="103"/>
      <c r="F417" s="103"/>
      <c r="G417" s="103"/>
      <c r="H417" s="104"/>
      <c r="I417" s="36">
        <f>1</f>
        <v>1</v>
      </c>
      <c r="K417" s="35"/>
      <c r="L417" s="35"/>
    </row>
    <row r="418" spans="1:12" s="36" customFormat="1" ht="15.75" customHeight="1">
      <c r="A418" s="70">
        <v>1</v>
      </c>
      <c r="B418" s="74" t="s">
        <v>331</v>
      </c>
      <c r="C418" s="56" t="s">
        <v>332</v>
      </c>
      <c r="D418" s="66">
        <f>(140.61)*(10.764)</f>
        <v>1513.52604</v>
      </c>
      <c r="E418" s="66">
        <f>(9.79)*(10.764)</f>
        <v>105.37955999999998</v>
      </c>
      <c r="F418" s="56">
        <f>D418+E418</f>
        <v>1618.9056</v>
      </c>
      <c r="G418" s="56">
        <v>0</v>
      </c>
      <c r="H418" s="56">
        <f>F418*(($H$282)+1)+(IF(G418&lt;101,G418,IF(G418&lt;201,G418/2,IF(G418&lt;=301,G418/3,G418/4))))</f>
        <v>2428.3584000000001</v>
      </c>
      <c r="K418" s="35"/>
      <c r="L418" s="35"/>
    </row>
    <row r="419" spans="1:12" s="36" customFormat="1" ht="15.75" customHeight="1">
      <c r="A419" s="70">
        <v>2</v>
      </c>
      <c r="B419" s="56" t="s">
        <v>330</v>
      </c>
      <c r="C419" s="56" t="s">
        <v>332</v>
      </c>
      <c r="D419" s="66">
        <f>(181.3)*(10.764)</f>
        <v>1951.5132000000001</v>
      </c>
      <c r="E419" s="66">
        <f>(20.64)*(10.764)</f>
        <v>222.16896</v>
      </c>
      <c r="F419" s="56">
        <f>D419+E419</f>
        <v>2173.6821600000003</v>
      </c>
      <c r="G419" s="56">
        <v>0</v>
      </c>
      <c r="H419" s="56">
        <f>F419*(($H$282)+1)+(IF(G419&lt;101,G419,IF(G419&lt;201,G419/2,IF(G419&lt;=301,G419/3,G419/4))))</f>
        <v>3260.5232400000004</v>
      </c>
      <c r="I419" s="36" t="s">
        <v>475</v>
      </c>
      <c r="K419" s="35"/>
    </row>
    <row r="420" spans="1:12" s="36" customFormat="1" ht="15.75" customHeight="1">
      <c r="A420" s="102" t="s">
        <v>427</v>
      </c>
      <c r="B420" s="103"/>
      <c r="C420" s="103"/>
      <c r="D420" s="103"/>
      <c r="E420" s="103"/>
      <c r="F420" s="103"/>
      <c r="G420" s="103"/>
      <c r="H420" s="104"/>
      <c r="I420" s="36">
        <f>1</f>
        <v>1</v>
      </c>
      <c r="K420" s="35"/>
      <c r="L420" s="35"/>
    </row>
    <row r="421" spans="1:12" s="36" customFormat="1" ht="15.75" customHeight="1">
      <c r="A421" s="70" t="s">
        <v>425</v>
      </c>
      <c r="B421" s="99" t="s">
        <v>345</v>
      </c>
      <c r="C421" s="100"/>
      <c r="D421" s="100"/>
      <c r="E421" s="100"/>
      <c r="F421" s="100"/>
      <c r="G421" s="100"/>
      <c r="H421" s="101"/>
      <c r="K421" s="35"/>
      <c r="L421" s="35"/>
    </row>
    <row r="422" spans="1:12" s="36" customFormat="1" ht="15.75" customHeight="1">
      <c r="A422" s="70">
        <v>2</v>
      </c>
      <c r="B422" s="74" t="s">
        <v>331</v>
      </c>
      <c r="C422" s="56" t="s">
        <v>332</v>
      </c>
      <c r="D422" s="66">
        <f>(244.04)*(10.764)</f>
        <v>2626.84656</v>
      </c>
      <c r="E422" s="66">
        <f>(30.43)*(10.764)</f>
        <v>327.54852</v>
      </c>
      <c r="F422" s="56">
        <f>D422+E422</f>
        <v>2954.3950799999998</v>
      </c>
      <c r="G422" s="56">
        <v>0</v>
      </c>
      <c r="H422" s="56">
        <f>F422*(($H$282)+1)+(IF(G422&lt;101,G422,IF(G422&lt;201,G422/2,IF(G422&lt;=301,G422/3,G422/4))))</f>
        <v>4431.5926199999994</v>
      </c>
      <c r="K422" s="35"/>
    </row>
    <row r="423" spans="1:12" s="36" customFormat="1" ht="15.75" customHeight="1">
      <c r="A423" s="102" t="s">
        <v>448</v>
      </c>
      <c r="B423" s="103"/>
      <c r="C423" s="103"/>
      <c r="D423" s="103"/>
      <c r="E423" s="103"/>
      <c r="F423" s="103"/>
      <c r="G423" s="103"/>
      <c r="H423" s="104"/>
      <c r="I423" s="36">
        <f>1</f>
        <v>1</v>
      </c>
      <c r="K423" s="35"/>
      <c r="L423" s="35"/>
    </row>
    <row r="424" spans="1:12" s="36" customFormat="1" ht="15.75" customHeight="1">
      <c r="A424" s="70" t="s">
        <v>425</v>
      </c>
      <c r="B424" s="99" t="s">
        <v>345</v>
      </c>
      <c r="C424" s="100"/>
      <c r="D424" s="100"/>
      <c r="E424" s="100"/>
      <c r="F424" s="100"/>
      <c r="G424" s="100"/>
      <c r="H424" s="101"/>
      <c r="K424" s="35"/>
      <c r="L424" s="35"/>
    </row>
    <row r="425" spans="1:12" s="36" customFormat="1" ht="15.75" customHeight="1">
      <c r="A425" s="70">
        <v>2</v>
      </c>
      <c r="B425" s="74" t="s">
        <v>331</v>
      </c>
      <c r="C425" s="56" t="s">
        <v>320</v>
      </c>
      <c r="D425" s="66">
        <f>(259.48)*(10.764)</f>
        <v>2793.0427199999999</v>
      </c>
      <c r="E425" s="66">
        <f>(30.43)*(10.764)</f>
        <v>327.54852</v>
      </c>
      <c r="F425" s="56">
        <f>D425+E425</f>
        <v>3120.5912399999997</v>
      </c>
      <c r="G425" s="56">
        <v>0</v>
      </c>
      <c r="H425" s="56">
        <f>F425*(($H$282)+1)+(IF(G425&lt;101,G425,IF(G425&lt;201,G425/2,IF(G425&lt;=301,G425/3,G425/4))))</f>
        <v>4680.8868599999996</v>
      </c>
      <c r="K425" s="35"/>
    </row>
    <row r="426" spans="1:12" s="36" customFormat="1" ht="15.75" customHeight="1">
      <c r="A426" s="142" t="s">
        <v>409</v>
      </c>
      <c r="B426" s="143"/>
      <c r="C426" s="143"/>
      <c r="D426" s="143"/>
      <c r="E426" s="143"/>
      <c r="F426" s="143"/>
      <c r="G426" s="143"/>
      <c r="H426" s="144"/>
      <c r="I426" s="35"/>
    </row>
    <row r="427" spans="1:12" s="36" customFormat="1" ht="15.75" customHeight="1">
      <c r="A427" s="102" t="s">
        <v>418</v>
      </c>
      <c r="B427" s="103"/>
      <c r="C427" s="103"/>
      <c r="D427" s="103"/>
      <c r="E427" s="103"/>
      <c r="F427" s="103"/>
      <c r="G427" s="103"/>
      <c r="H427" s="104"/>
      <c r="I427" s="35"/>
    </row>
    <row r="428" spans="1:12" s="36" customFormat="1" ht="15.75" customHeight="1">
      <c r="A428" s="139" t="s">
        <v>378</v>
      </c>
      <c r="B428" s="140"/>
      <c r="C428" s="140"/>
      <c r="D428" s="140"/>
      <c r="E428" s="140"/>
      <c r="F428" s="140"/>
      <c r="G428" s="140"/>
      <c r="H428" s="141"/>
      <c r="I428" s="35"/>
    </row>
    <row r="429" spans="1:12" s="36" customFormat="1" ht="15.75" customHeight="1">
      <c r="A429" s="98" t="s">
        <v>336</v>
      </c>
      <c r="B429" s="98"/>
      <c r="C429" s="98"/>
      <c r="D429" s="98"/>
      <c r="E429" s="98"/>
      <c r="F429" s="98"/>
      <c r="G429" s="98"/>
      <c r="H429" s="98"/>
      <c r="I429" s="36">
        <f>1</f>
        <v>1</v>
      </c>
      <c r="K429" s="35"/>
    </row>
    <row r="430" spans="1:12" s="36" customFormat="1" ht="15.75" customHeight="1">
      <c r="A430" s="56">
        <v>1</v>
      </c>
      <c r="B430" s="74" t="s">
        <v>331</v>
      </c>
      <c r="C430" s="56" t="s">
        <v>322</v>
      </c>
      <c r="D430" s="66">
        <f>(121.59)*(10.764)</f>
        <v>1308.79476</v>
      </c>
      <c r="E430" s="66">
        <f>(3.92)*(10.764)</f>
        <v>42.194879999999998</v>
      </c>
      <c r="F430" s="56">
        <f>D430+E430</f>
        <v>1350.98964</v>
      </c>
      <c r="G430" s="56">
        <v>0</v>
      </c>
      <c r="H430" s="56">
        <f>F430*(($H$282)+1)+(IF(G430&lt;101,G430,IF(G430&lt;201,G430/2,IF(G430&lt;=301,G430/3,G430/4))))</f>
        <v>2026.4844600000001</v>
      </c>
      <c r="K430" s="35"/>
    </row>
    <row r="431" spans="1:12" s="36" customFormat="1" ht="15.75" customHeight="1">
      <c r="A431" s="56">
        <v>2</v>
      </c>
      <c r="B431" s="74" t="s">
        <v>331</v>
      </c>
      <c r="C431" s="56" t="s">
        <v>322</v>
      </c>
      <c r="D431" s="66">
        <f>(117.11)*(10.764)</f>
        <v>1260.57204</v>
      </c>
      <c r="E431" s="66">
        <f>(8.02)*(10.764)</f>
        <v>86.327279999999988</v>
      </c>
      <c r="F431" s="56">
        <f>D431+E431</f>
        <v>1346.89932</v>
      </c>
      <c r="G431" s="56">
        <v>0</v>
      </c>
      <c r="H431" s="56">
        <f>F431*(($H$282)+1)+(IF(G431&lt;101,G431,IF(G431&lt;201,G431/2,IF(G431&lt;=301,G431/3,G431/4))))</f>
        <v>2020.34898</v>
      </c>
      <c r="J431" s="36">
        <f>2+2+1+4+3+2</f>
        <v>14</v>
      </c>
      <c r="K431" s="35"/>
    </row>
    <row r="432" spans="1:12" s="36" customFormat="1" ht="15.75" customHeight="1">
      <c r="A432" s="98" t="s">
        <v>449</v>
      </c>
      <c r="B432" s="98"/>
      <c r="C432" s="98"/>
      <c r="D432" s="98"/>
      <c r="E432" s="98"/>
      <c r="F432" s="98"/>
      <c r="G432" s="98"/>
      <c r="H432" s="98"/>
      <c r="I432" s="36">
        <f>2</f>
        <v>2</v>
      </c>
      <c r="K432" s="35"/>
    </row>
    <row r="433" spans="1:11" s="36" customFormat="1" ht="15.75" customHeight="1">
      <c r="A433" s="56">
        <v>1</v>
      </c>
      <c r="B433" s="56" t="s">
        <v>330</v>
      </c>
      <c r="C433" s="56" t="s">
        <v>322</v>
      </c>
      <c r="D433" s="66">
        <f>(121.59)*(10.764)</f>
        <v>1308.79476</v>
      </c>
      <c r="E433" s="66">
        <f>(3.92)*(10.764)</f>
        <v>42.194879999999998</v>
      </c>
      <c r="F433" s="56">
        <f>D433+E433</f>
        <v>1350.98964</v>
      </c>
      <c r="G433" s="56">
        <v>0</v>
      </c>
      <c r="H433" s="56">
        <f>F433*(($H$282)+1)+(IF(G433&lt;101,G433,IF(G433&lt;201,G433/2,IF(G433&lt;=301,G433/3,G433/4))))</f>
        <v>2026.4844600000001</v>
      </c>
      <c r="I433" s="36" t="s">
        <v>475</v>
      </c>
      <c r="K433" s="35"/>
    </row>
    <row r="434" spans="1:11" s="36" customFormat="1" ht="15.75" customHeight="1">
      <c r="A434" s="56">
        <v>2</v>
      </c>
      <c r="B434" s="74" t="s">
        <v>331</v>
      </c>
      <c r="C434" s="56" t="s">
        <v>322</v>
      </c>
      <c r="D434" s="66">
        <f>(117.11)*(10.764)</f>
        <v>1260.57204</v>
      </c>
      <c r="E434" s="66">
        <f>(8.02)*(10.764)</f>
        <v>86.327279999999988</v>
      </c>
      <c r="F434" s="56">
        <f>D434+E434</f>
        <v>1346.89932</v>
      </c>
      <c r="G434" s="56">
        <v>0</v>
      </c>
      <c r="H434" s="56">
        <f>F434*(($H$282)+1)+(IF(G434&lt;101,G434,IF(G434&lt;201,G434/2,IF(G434&lt;=301,G434/3,G434/4))))</f>
        <v>2020.34898</v>
      </c>
      <c r="K434" s="35"/>
    </row>
    <row r="435" spans="1:11" s="36" customFormat="1" ht="15.75" customHeight="1">
      <c r="A435" s="145" t="s">
        <v>439</v>
      </c>
      <c r="B435" s="145"/>
      <c r="C435" s="145"/>
      <c r="D435" s="145"/>
      <c r="E435" s="145"/>
      <c r="F435" s="145"/>
      <c r="G435" s="145"/>
      <c r="H435" s="145"/>
      <c r="I435" s="36">
        <f>1</f>
        <v>1</v>
      </c>
      <c r="K435" s="35"/>
    </row>
    <row r="436" spans="1:11" s="36" customFormat="1" ht="15.75" customHeight="1">
      <c r="A436" s="85">
        <v>1</v>
      </c>
      <c r="B436" s="86" t="s">
        <v>331</v>
      </c>
      <c r="C436" s="85" t="s">
        <v>322</v>
      </c>
      <c r="D436" s="66">
        <f>(121.59)*(10.764)</f>
        <v>1308.79476</v>
      </c>
      <c r="E436" s="66">
        <f>(3.92)*(10.764)</f>
        <v>42.194879999999998</v>
      </c>
      <c r="F436" s="85">
        <f>D436+E436</f>
        <v>1350.98964</v>
      </c>
      <c r="G436" s="85">
        <v>0</v>
      </c>
      <c r="H436" s="85">
        <f>F436*(($H$282)+1)+(IF(G436&lt;101,G436,IF(G436&lt;201,G436/2,IF(G436&lt;=301,G436/3,G436/4))))</f>
        <v>2026.4844600000001</v>
      </c>
      <c r="K436" s="35"/>
    </row>
    <row r="437" spans="1:11" s="36" customFormat="1" ht="15.75" customHeight="1">
      <c r="A437" s="85">
        <v>2</v>
      </c>
      <c r="B437" s="85" t="s">
        <v>330</v>
      </c>
      <c r="C437" s="85" t="s">
        <v>322</v>
      </c>
      <c r="D437" s="66">
        <f>(117.11)*(10.764)</f>
        <v>1260.57204</v>
      </c>
      <c r="E437" s="66">
        <f>(8.02)*(10.764)</f>
        <v>86.327279999999988</v>
      </c>
      <c r="F437" s="85">
        <f>D437+E437</f>
        <v>1346.89932</v>
      </c>
      <c r="G437" s="85">
        <v>0</v>
      </c>
      <c r="H437" s="85">
        <f>F437*(($H$282)+1)+(IF(G437&lt;101,G437,IF(G437&lt;201,G437/2,IF(G437&lt;=301,G437/3,G437/4))))</f>
        <v>2020.34898</v>
      </c>
      <c r="I437" s="36" t="s">
        <v>475</v>
      </c>
      <c r="K437" s="35"/>
    </row>
    <row r="438" spans="1:11" s="36" customFormat="1" ht="15.75" customHeight="1">
      <c r="A438" s="145" t="s">
        <v>481</v>
      </c>
      <c r="B438" s="145"/>
      <c r="C438" s="145"/>
      <c r="D438" s="145"/>
      <c r="E438" s="145"/>
      <c r="F438" s="145"/>
      <c r="G438" s="145"/>
      <c r="H438" s="145"/>
      <c r="I438" s="36">
        <f>2</f>
        <v>2</v>
      </c>
      <c r="K438" s="35"/>
    </row>
    <row r="439" spans="1:11" s="36" customFormat="1" ht="15.75" customHeight="1">
      <c r="A439" s="56">
        <v>1</v>
      </c>
      <c r="B439" s="56" t="s">
        <v>330</v>
      </c>
      <c r="C439" s="56" t="s">
        <v>322</v>
      </c>
      <c r="D439" s="66">
        <f>(121.59)*(10.764)</f>
        <v>1308.79476</v>
      </c>
      <c r="E439" s="66">
        <f>(3.92)*(10.764)</f>
        <v>42.194879999999998</v>
      </c>
      <c r="F439" s="56">
        <f>D439+E439</f>
        <v>1350.98964</v>
      </c>
      <c r="G439" s="56">
        <v>0</v>
      </c>
      <c r="H439" s="56">
        <f>F439*(($H$282)+1)+(IF(G439&lt;101,G439,IF(G439&lt;201,G439/2,IF(G439&lt;=301,G439/3,G439/4))))</f>
        <v>2026.4844600000001</v>
      </c>
      <c r="I439" s="36" t="s">
        <v>475</v>
      </c>
      <c r="K439" s="35"/>
    </row>
    <row r="440" spans="1:11" s="36" customFormat="1" ht="15.75" customHeight="1">
      <c r="A440" s="56">
        <v>2</v>
      </c>
      <c r="B440" s="56" t="s">
        <v>330</v>
      </c>
      <c r="C440" s="56" t="s">
        <v>322</v>
      </c>
      <c r="D440" s="66">
        <f>(117.11)*(10.764)</f>
        <v>1260.57204</v>
      </c>
      <c r="E440" s="66">
        <f>(8.02)*(10.764)</f>
        <v>86.327279999999988</v>
      </c>
      <c r="F440" s="56">
        <f>D440+E440</f>
        <v>1346.89932</v>
      </c>
      <c r="G440" s="56">
        <v>0</v>
      </c>
      <c r="H440" s="56">
        <f>F440*(($H$282)+1)+(IF(G440&lt;101,G440,IF(G440&lt;201,G440/2,IF(G440&lt;=301,G440/3,G440/4))))</f>
        <v>2020.34898</v>
      </c>
      <c r="I440" s="36" t="s">
        <v>475</v>
      </c>
      <c r="K440" s="35"/>
    </row>
    <row r="441" spans="1:11" s="36" customFormat="1" ht="15.75" customHeight="1">
      <c r="A441" s="98" t="s">
        <v>450</v>
      </c>
      <c r="B441" s="98"/>
      <c r="C441" s="98"/>
      <c r="D441" s="98"/>
      <c r="E441" s="98"/>
      <c r="F441" s="98"/>
      <c r="G441" s="98"/>
      <c r="H441" s="98"/>
      <c r="I441" s="36">
        <f>2</f>
        <v>2</v>
      </c>
      <c r="K441" s="35"/>
    </row>
    <row r="442" spans="1:11" s="36" customFormat="1" ht="15.75" customHeight="1">
      <c r="A442" s="56">
        <v>1</v>
      </c>
      <c r="B442" s="56" t="s">
        <v>330</v>
      </c>
      <c r="C442" s="56" t="s">
        <v>322</v>
      </c>
      <c r="D442" s="66">
        <f>(121.59)*(10.764)</f>
        <v>1308.79476</v>
      </c>
      <c r="E442" s="66">
        <f>(3.92)*(10.764)</f>
        <v>42.194879999999998</v>
      </c>
      <c r="F442" s="56">
        <f>D442+E442</f>
        <v>1350.98964</v>
      </c>
      <c r="G442" s="56">
        <v>0</v>
      </c>
      <c r="H442" s="56">
        <f>F442*(($H$282)+1)+(IF(G442&lt;101,G442,IF(G442&lt;201,G442/2,IF(G442&lt;=301,G442/3,G442/4))))</f>
        <v>2026.4844600000001</v>
      </c>
      <c r="I442" s="36" t="s">
        <v>475</v>
      </c>
      <c r="K442" s="35"/>
    </row>
    <row r="443" spans="1:11" s="36" customFormat="1" ht="15.75" customHeight="1">
      <c r="A443" s="56">
        <v>2</v>
      </c>
      <c r="B443" s="56" t="s">
        <v>330</v>
      </c>
      <c r="C443" s="56" t="s">
        <v>322</v>
      </c>
      <c r="D443" s="66">
        <f>(117.11)*(10.764)</f>
        <v>1260.57204</v>
      </c>
      <c r="E443" s="66">
        <f>(8.02)*(10.764)</f>
        <v>86.327279999999988</v>
      </c>
      <c r="F443" s="56">
        <f>D443+E443</f>
        <v>1346.89932</v>
      </c>
      <c r="G443" s="56">
        <v>0</v>
      </c>
      <c r="H443" s="56">
        <f>F443*(($H$282)+1)+(IF(G443&lt;101,G443,IF(G443&lt;201,G443/2,IF(G443&lt;=301,G443/3,G443/4))))</f>
        <v>2020.34898</v>
      </c>
      <c r="I443" s="36" t="s">
        <v>475</v>
      </c>
      <c r="K443" s="35"/>
    </row>
    <row r="444" spans="1:11" s="36" customFormat="1" ht="15.75" customHeight="1">
      <c r="A444" s="98" t="s">
        <v>338</v>
      </c>
      <c r="B444" s="98"/>
      <c r="C444" s="98"/>
      <c r="D444" s="98"/>
      <c r="E444" s="98"/>
      <c r="F444" s="98"/>
      <c r="G444" s="98"/>
      <c r="H444" s="98"/>
      <c r="I444" s="36">
        <f>4</f>
        <v>4</v>
      </c>
      <c r="K444" s="35"/>
    </row>
    <row r="445" spans="1:11" s="36" customFormat="1" ht="15.75" customHeight="1">
      <c r="A445" s="56">
        <v>1</v>
      </c>
      <c r="B445" s="56" t="s">
        <v>330</v>
      </c>
      <c r="C445" s="56" t="s">
        <v>332</v>
      </c>
      <c r="D445" s="66">
        <f>(141.87)*(10.764)</f>
        <v>1527.0886800000001</v>
      </c>
      <c r="E445" s="66">
        <f>(3.92)*(10.764)</f>
        <v>42.194879999999998</v>
      </c>
      <c r="F445" s="56">
        <f>D445+E445</f>
        <v>1569.2835600000001</v>
      </c>
      <c r="G445" s="56">
        <v>0</v>
      </c>
      <c r="H445" s="56">
        <f>F445*(($H$282)+1)+(IF(G445&lt;101,G445,IF(G445&lt;201,G445/2,IF(G445&lt;=301,G445/3,G445/4))))</f>
        <v>2353.9253400000002</v>
      </c>
      <c r="I445" s="36" t="s">
        <v>475</v>
      </c>
      <c r="K445" s="35"/>
    </row>
    <row r="446" spans="1:11" s="36" customFormat="1" ht="15.75" customHeight="1">
      <c r="A446" s="56">
        <v>2</v>
      </c>
      <c r="B446" s="74" t="s">
        <v>331</v>
      </c>
      <c r="C446" s="56" t="s">
        <v>322</v>
      </c>
      <c r="D446" s="66">
        <f>(117.11)*(10.764)</f>
        <v>1260.57204</v>
      </c>
      <c r="E446" s="66">
        <f>(10)*(10.764)</f>
        <v>107.63999999999999</v>
      </c>
      <c r="F446" s="56">
        <f>D446+E446</f>
        <v>1368.2120399999999</v>
      </c>
      <c r="G446" s="56">
        <v>0</v>
      </c>
      <c r="H446" s="56">
        <f>F446*(($H$282)+1)+(IF(G446&lt;101,G446,IF(G446&lt;201,G446/2,IF(G446&lt;=301,G446/3,G446/4))))</f>
        <v>2052.3180599999996</v>
      </c>
      <c r="K446" s="35"/>
    </row>
    <row r="447" spans="1:11" s="36" customFormat="1" ht="15.75" customHeight="1">
      <c r="A447" s="98" t="s">
        <v>424</v>
      </c>
      <c r="B447" s="98"/>
      <c r="C447" s="98"/>
      <c r="D447" s="98"/>
      <c r="E447" s="98"/>
      <c r="F447" s="98"/>
      <c r="G447" s="98"/>
      <c r="H447" s="98"/>
      <c r="I447" s="36">
        <f>1</f>
        <v>1</v>
      </c>
      <c r="K447" s="35"/>
    </row>
    <row r="448" spans="1:11" s="36" customFormat="1" ht="15.75" customHeight="1">
      <c r="A448" s="56">
        <v>1</v>
      </c>
      <c r="B448" s="56" t="s">
        <v>330</v>
      </c>
      <c r="C448" s="56" t="s">
        <v>332</v>
      </c>
      <c r="D448" s="66">
        <f>(141.87)*(10.764)</f>
        <v>1527.0886800000001</v>
      </c>
      <c r="E448" s="66">
        <f>(3.92)*(10.764)</f>
        <v>42.194879999999998</v>
      </c>
      <c r="F448" s="56">
        <f>D448+E448</f>
        <v>1569.2835600000001</v>
      </c>
      <c r="G448" s="56">
        <v>0</v>
      </c>
      <c r="H448" s="56">
        <f>F448*(($H$282)+1)+(IF(G448&lt;101,G448,IF(G448&lt;201,G448/2,IF(G448&lt;=301,G448/3,G448/4))))</f>
        <v>2353.9253400000002</v>
      </c>
      <c r="I448" s="36" t="s">
        <v>475</v>
      </c>
      <c r="K448" s="35"/>
    </row>
    <row r="449" spans="1:11" s="36" customFormat="1" ht="15.75" customHeight="1">
      <c r="A449" s="56">
        <v>2</v>
      </c>
      <c r="B449" s="56" t="s">
        <v>330</v>
      </c>
      <c r="C449" s="56" t="s">
        <v>322</v>
      </c>
      <c r="D449" s="66">
        <f>(117.11)*(10.764)</f>
        <v>1260.57204</v>
      </c>
      <c r="E449" s="66">
        <f>(10)*(10.764)</f>
        <v>107.63999999999999</v>
      </c>
      <c r="F449" s="56">
        <f>D449+E449</f>
        <v>1368.2120399999999</v>
      </c>
      <c r="G449" s="56">
        <v>0</v>
      </c>
      <c r="H449" s="56">
        <f>F449*(($H$282)+1)+(IF(G449&lt;101,G449,IF(G449&lt;201,G449/2,IF(G449&lt;=301,G449/3,G449/4))))</f>
        <v>2052.3180599999996</v>
      </c>
      <c r="I449" s="36" t="s">
        <v>475</v>
      </c>
      <c r="K449" s="35"/>
    </row>
    <row r="450" spans="1:11" s="36" customFormat="1" ht="15.75" customHeight="1">
      <c r="A450" s="98" t="s">
        <v>451</v>
      </c>
      <c r="B450" s="98"/>
      <c r="C450" s="98"/>
      <c r="D450" s="98"/>
      <c r="E450" s="98"/>
      <c r="F450" s="98"/>
      <c r="G450" s="98"/>
      <c r="H450" s="98"/>
      <c r="I450" s="36">
        <f>3</f>
        <v>3</v>
      </c>
      <c r="K450" s="35"/>
    </row>
    <row r="451" spans="1:11" s="36" customFormat="1" ht="15.75" customHeight="1">
      <c r="A451" s="56">
        <v>1</v>
      </c>
      <c r="B451" s="56" t="s">
        <v>330</v>
      </c>
      <c r="C451" s="56" t="s">
        <v>332</v>
      </c>
      <c r="D451" s="66">
        <f>(141.87)*(10.764)</f>
        <v>1527.0886800000001</v>
      </c>
      <c r="E451" s="66">
        <f>(3.92)*(10.764)</f>
        <v>42.194879999999998</v>
      </c>
      <c r="F451" s="56">
        <f>D451+E451</f>
        <v>1569.2835600000001</v>
      </c>
      <c r="G451" s="56">
        <v>0</v>
      </c>
      <c r="H451" s="56">
        <f>F451*(($H$282)+1)+(IF(G451&lt;101,G451,IF(G451&lt;201,G451/2,IF(G451&lt;=301,G451/3,G451/4))))</f>
        <v>2353.9253400000002</v>
      </c>
      <c r="I451" s="36" t="s">
        <v>475</v>
      </c>
      <c r="K451" s="35"/>
    </row>
    <row r="452" spans="1:11" s="36" customFormat="1" ht="15.75" customHeight="1">
      <c r="A452" s="56">
        <v>2</v>
      </c>
      <c r="B452" s="74" t="s">
        <v>331</v>
      </c>
      <c r="C452" s="56" t="s">
        <v>322</v>
      </c>
      <c r="D452" s="66">
        <f>(117.11)*(10.764)</f>
        <v>1260.57204</v>
      </c>
      <c r="E452" s="66">
        <f>(10)*(10.764)</f>
        <v>107.63999999999999</v>
      </c>
      <c r="F452" s="56">
        <f>D452+E452</f>
        <v>1368.2120399999999</v>
      </c>
      <c r="G452" s="56">
        <v>0</v>
      </c>
      <c r="H452" s="56">
        <f>F452*(($H$282)+1)+(IF(G452&lt;101,G452,IF(G452&lt;201,G452/2,IF(G452&lt;=301,G452/3,G452/4))))</f>
        <v>2052.3180599999996</v>
      </c>
      <c r="K452" s="35"/>
    </row>
    <row r="453" spans="1:11" s="36" customFormat="1" ht="15.75" customHeight="1">
      <c r="A453" s="98" t="s">
        <v>431</v>
      </c>
      <c r="B453" s="98"/>
      <c r="C453" s="98"/>
      <c r="D453" s="98"/>
      <c r="E453" s="98"/>
      <c r="F453" s="98"/>
      <c r="G453" s="98"/>
      <c r="H453" s="98"/>
      <c r="I453" s="36">
        <f>1</f>
        <v>1</v>
      </c>
      <c r="K453" s="35"/>
    </row>
    <row r="454" spans="1:11" s="36" customFormat="1" ht="15.75" customHeight="1">
      <c r="A454" s="56">
        <v>1</v>
      </c>
      <c r="B454" s="74" t="s">
        <v>331</v>
      </c>
      <c r="C454" s="56" t="s">
        <v>332</v>
      </c>
      <c r="D454" s="66">
        <f>(141.87)*(10.764)</f>
        <v>1527.0886800000001</v>
      </c>
      <c r="E454" s="66">
        <f>(3.92)*(10.764)</f>
        <v>42.194879999999998</v>
      </c>
      <c r="F454" s="56">
        <f>D454+E454</f>
        <v>1569.2835600000001</v>
      </c>
      <c r="G454" s="56">
        <v>0</v>
      </c>
      <c r="H454" s="56">
        <f>F454*(($H$282)+1)+(IF(G454&lt;101,G454,IF(G454&lt;201,G454/2,IF(G454&lt;=301,G454/3,G454/4))))</f>
        <v>2353.9253400000002</v>
      </c>
      <c r="K454" s="35"/>
    </row>
    <row r="455" spans="1:11" s="36" customFormat="1" ht="15.75" customHeight="1">
      <c r="A455" s="56">
        <v>2</v>
      </c>
      <c r="B455" s="74" t="s">
        <v>331</v>
      </c>
      <c r="C455" s="56" t="s">
        <v>322</v>
      </c>
      <c r="D455" s="66">
        <f>(117.11)*(10.764)</f>
        <v>1260.57204</v>
      </c>
      <c r="E455" s="66">
        <f>(10)*(10.764)</f>
        <v>107.63999999999999</v>
      </c>
      <c r="F455" s="56">
        <f>D455+E455</f>
        <v>1368.2120399999999</v>
      </c>
      <c r="G455" s="56">
        <v>0</v>
      </c>
      <c r="H455" s="56">
        <f>F455*(($H$282)+1)+(IF(G455&lt;101,G455,IF(G455&lt;201,G455/2,IF(G455&lt;=301,G455/3,G455/4))))</f>
        <v>2052.3180599999996</v>
      </c>
      <c r="K455" s="35"/>
    </row>
    <row r="456" spans="1:11" s="34" customFormat="1" ht="15.75" customHeight="1">
      <c r="A456" s="146" t="s">
        <v>410</v>
      </c>
      <c r="B456" s="146"/>
      <c r="C456" s="146"/>
      <c r="D456" s="146"/>
      <c r="E456" s="146"/>
      <c r="F456" s="146"/>
      <c r="G456" s="146"/>
      <c r="H456" s="146"/>
    </row>
    <row r="457" spans="1:11" s="34" customFormat="1" ht="15.75" customHeight="1">
      <c r="A457" s="102" t="s">
        <v>419</v>
      </c>
      <c r="B457" s="103"/>
      <c r="C457" s="103"/>
      <c r="D457" s="103"/>
      <c r="E457" s="103"/>
      <c r="F457" s="103"/>
      <c r="G457" s="103"/>
      <c r="H457" s="104"/>
    </row>
    <row r="458" spans="1:11" s="34" customFormat="1" ht="15.75" customHeight="1">
      <c r="A458" s="139" t="s">
        <v>378</v>
      </c>
      <c r="B458" s="140"/>
      <c r="C458" s="140"/>
      <c r="D458" s="140"/>
      <c r="E458" s="140"/>
      <c r="F458" s="140"/>
      <c r="G458" s="140"/>
      <c r="H458" s="141"/>
    </row>
    <row r="459" spans="1:11" s="34" customFormat="1" ht="15.75" customHeight="1">
      <c r="A459" s="102" t="s">
        <v>341</v>
      </c>
      <c r="B459" s="103"/>
      <c r="C459" s="103"/>
      <c r="D459" s="103"/>
      <c r="E459" s="103"/>
      <c r="F459" s="103"/>
      <c r="G459" s="103"/>
      <c r="H459" s="104"/>
      <c r="I459" s="34">
        <f>5</f>
        <v>5</v>
      </c>
    </row>
    <row r="460" spans="1:11" s="34" customFormat="1" ht="15.75" customHeight="1">
      <c r="A460" s="70">
        <v>1</v>
      </c>
      <c r="B460" s="56" t="s">
        <v>330</v>
      </c>
      <c r="C460" s="56" t="s">
        <v>322</v>
      </c>
      <c r="D460" s="66">
        <f>(106.55)*(10.764)</f>
        <v>1146.9041999999999</v>
      </c>
      <c r="E460" s="66">
        <f>(5.43)*(10.764)</f>
        <v>58.448519999999995</v>
      </c>
      <c r="F460" s="56">
        <f>D460+E460</f>
        <v>1205.3527199999999</v>
      </c>
      <c r="G460" s="56">
        <v>0</v>
      </c>
      <c r="H460" s="56">
        <f>F460*(($H$282)+1)+(IF(G460&lt;101,G460,IF(G460&lt;201,G460/2,IF(G460&lt;=301,G460/3,G460/4))))</f>
        <v>1808.0290799999998</v>
      </c>
      <c r="I460" s="34" t="s">
        <v>475</v>
      </c>
    </row>
    <row r="461" spans="1:11" s="34" customFormat="1" ht="15.75" customHeight="1">
      <c r="A461" s="70">
        <v>2</v>
      </c>
      <c r="B461" s="56" t="s">
        <v>330</v>
      </c>
      <c r="C461" s="56" t="s">
        <v>322</v>
      </c>
      <c r="D461" s="66">
        <f>(97.67)*(10.764)</f>
        <v>1051.31988</v>
      </c>
      <c r="E461" s="66">
        <f>0*(10.764)</f>
        <v>0</v>
      </c>
      <c r="F461" s="56">
        <f>D461+E461</f>
        <v>1051.31988</v>
      </c>
      <c r="G461" s="56">
        <v>0</v>
      </c>
      <c r="H461" s="56">
        <f>F461*(($H$282)+1)+(IF(G461&lt;101,G461,IF(G461&lt;201,G461/2,IF(G461&lt;=301,G461/3,G461/4))))</f>
        <v>1576.97982</v>
      </c>
      <c r="I461" s="34" t="s">
        <v>475</v>
      </c>
    </row>
    <row r="462" spans="1:11" s="34" customFormat="1" ht="15.75" customHeight="1">
      <c r="A462" s="70">
        <v>3</v>
      </c>
      <c r="B462" s="56" t="s">
        <v>330</v>
      </c>
      <c r="C462" s="56" t="s">
        <v>322</v>
      </c>
      <c r="D462" s="66">
        <f>(97.74)*(10.764)</f>
        <v>1052.0733599999999</v>
      </c>
      <c r="E462" s="66">
        <f>0*(10.764)</f>
        <v>0</v>
      </c>
      <c r="F462" s="56">
        <f>D462+E462</f>
        <v>1052.0733599999999</v>
      </c>
      <c r="G462" s="56">
        <v>0</v>
      </c>
      <c r="H462" s="56">
        <f>F462*(($H$282)+1)+(IF(G462&lt;101,G462,IF(G462&lt;201,G462/2,IF(G462&lt;=301,G462/3,G462/4))))</f>
        <v>1578.1100399999998</v>
      </c>
      <c r="I462" s="34" t="s">
        <v>475</v>
      </c>
    </row>
    <row r="463" spans="1:11" s="34" customFormat="1" ht="15.75" customHeight="1">
      <c r="A463" s="102" t="s">
        <v>436</v>
      </c>
      <c r="B463" s="103"/>
      <c r="C463" s="103"/>
      <c r="D463" s="103"/>
      <c r="E463" s="103"/>
      <c r="F463" s="103"/>
      <c r="G463" s="103"/>
      <c r="H463" s="104"/>
      <c r="I463" s="34">
        <f>1</f>
        <v>1</v>
      </c>
    </row>
    <row r="464" spans="1:11" s="34" customFormat="1" ht="15.75" customHeight="1">
      <c r="A464" s="70">
        <v>1</v>
      </c>
      <c r="B464" s="56" t="s">
        <v>330</v>
      </c>
      <c r="C464" s="56" t="s">
        <v>322</v>
      </c>
      <c r="D464" s="66">
        <f>(106.55)*(10.764)</f>
        <v>1146.9041999999999</v>
      </c>
      <c r="E464" s="66">
        <f>(5.43)*(10.764)</f>
        <v>58.448519999999995</v>
      </c>
      <c r="F464" s="56">
        <f>D464+E464</f>
        <v>1205.3527199999999</v>
      </c>
      <c r="G464" s="56">
        <v>0</v>
      </c>
      <c r="H464" s="56">
        <f>F464*(($H$282)+1)+(IF(G464&lt;101,G464,IF(G464&lt;201,G464/2,IF(G464&lt;=301,G464/3,G464/4))))</f>
        <v>1808.0290799999998</v>
      </c>
      <c r="I464" s="34" t="s">
        <v>475</v>
      </c>
    </row>
    <row r="465" spans="1:9" s="34" customFormat="1" ht="15.75" customHeight="1">
      <c r="A465" s="70">
        <v>2</v>
      </c>
      <c r="B465" s="99" t="s">
        <v>345</v>
      </c>
      <c r="C465" s="100"/>
      <c r="D465" s="100"/>
      <c r="E465" s="100"/>
      <c r="F465" s="100"/>
      <c r="G465" s="100"/>
      <c r="H465" s="101"/>
    </row>
    <row r="466" spans="1:9" s="34" customFormat="1" ht="15.75" customHeight="1">
      <c r="A466" s="70">
        <v>3</v>
      </c>
      <c r="B466" s="56" t="s">
        <v>330</v>
      </c>
      <c r="C466" s="56" t="s">
        <v>322</v>
      </c>
      <c r="D466" s="66">
        <f>(97.74)*(10.764)</f>
        <v>1052.0733599999999</v>
      </c>
      <c r="E466" s="66">
        <f>0*(10.764)</f>
        <v>0</v>
      </c>
      <c r="F466" s="56">
        <f>D466+E466</f>
        <v>1052.0733599999999</v>
      </c>
      <c r="G466" s="56">
        <v>0</v>
      </c>
      <c r="H466" s="56">
        <f>F466*(($H$282)+1)+(IF(G466&lt;101,G466,IF(G466&lt;201,G466/2,IF(G466&lt;=301,G466/3,G466/4))))</f>
        <v>1578.1100399999998</v>
      </c>
      <c r="I466" s="34" t="s">
        <v>475</v>
      </c>
    </row>
    <row r="467" spans="1:9" s="34" customFormat="1" ht="15.75" customHeight="1">
      <c r="A467" s="102" t="s">
        <v>452</v>
      </c>
      <c r="B467" s="103"/>
      <c r="C467" s="103"/>
      <c r="D467" s="103"/>
      <c r="E467" s="103"/>
      <c r="F467" s="103"/>
      <c r="G467" s="103"/>
      <c r="H467" s="104"/>
      <c r="I467" s="34">
        <f>1</f>
        <v>1</v>
      </c>
    </row>
    <row r="468" spans="1:9" s="34" customFormat="1" ht="15.75" customHeight="1">
      <c r="A468" s="70">
        <v>1</v>
      </c>
      <c r="B468" s="74" t="s">
        <v>331</v>
      </c>
      <c r="C468" s="56" t="s">
        <v>322</v>
      </c>
      <c r="D468" s="66">
        <f>(113.61)*(10.764)</f>
        <v>1222.8980399999998</v>
      </c>
      <c r="E468" s="66">
        <f>(5.44)*(10.764)</f>
        <v>58.556159999999998</v>
      </c>
      <c r="F468" s="56">
        <f>D468+E468</f>
        <v>1281.4541999999999</v>
      </c>
      <c r="G468" s="56">
        <v>0</v>
      </c>
      <c r="H468" s="56">
        <f>F468*(($H$282)+1)+(IF(G468&lt;101,G468,IF(G468&lt;201,G468/2,IF(G468&lt;=301,G468/3,G468/4))))</f>
        <v>1922.1812999999997</v>
      </c>
    </row>
    <row r="469" spans="1:9" s="34" customFormat="1" ht="15.75" customHeight="1">
      <c r="A469" s="70">
        <v>2</v>
      </c>
      <c r="B469" s="56" t="s">
        <v>330</v>
      </c>
      <c r="C469" s="56" t="s">
        <v>322</v>
      </c>
      <c r="D469" s="66">
        <f>(97.67)*(10.764)</f>
        <v>1051.31988</v>
      </c>
      <c r="E469" s="66">
        <f>0*(10.764)</f>
        <v>0</v>
      </c>
      <c r="F469" s="56">
        <f>D469+E469</f>
        <v>1051.31988</v>
      </c>
      <c r="G469" s="56">
        <v>0</v>
      </c>
      <c r="H469" s="56">
        <f>F469*(($H$282)+1)+(IF(G469&lt;101,G469,IF(G469&lt;201,G469/2,IF(G469&lt;=301,G469/3,G469/4))))</f>
        <v>1576.97982</v>
      </c>
      <c r="I469" s="34" t="s">
        <v>475</v>
      </c>
    </row>
    <row r="470" spans="1:9" s="34" customFormat="1" ht="15.75" customHeight="1">
      <c r="A470" s="70">
        <v>3</v>
      </c>
      <c r="B470" s="56" t="s">
        <v>330</v>
      </c>
      <c r="C470" s="56" t="s">
        <v>322</v>
      </c>
      <c r="D470" s="66">
        <f>(97.74)*(10.764)</f>
        <v>1052.0733599999999</v>
      </c>
      <c r="E470" s="66">
        <f>0*(10.764)</f>
        <v>0</v>
      </c>
      <c r="F470" s="56">
        <f>D470+E470</f>
        <v>1052.0733599999999</v>
      </c>
      <c r="G470" s="56">
        <v>0</v>
      </c>
      <c r="H470" s="56">
        <f>F470*(($H$282)+1)+(IF(G470&lt;101,G470,IF(G470&lt;201,G470/2,IF(G470&lt;=301,G470/3,G470/4))))</f>
        <v>1578.1100399999998</v>
      </c>
      <c r="I470" s="34" t="s">
        <v>475</v>
      </c>
    </row>
    <row r="471" spans="1:9" s="34" customFormat="1" ht="15.75" customHeight="1">
      <c r="A471" s="102" t="s">
        <v>453</v>
      </c>
      <c r="B471" s="103"/>
      <c r="C471" s="103"/>
      <c r="D471" s="103"/>
      <c r="E471" s="103"/>
      <c r="F471" s="103"/>
      <c r="G471" s="103"/>
      <c r="H471" s="104"/>
      <c r="I471" s="34">
        <f>1+3+2</f>
        <v>6</v>
      </c>
    </row>
    <row r="472" spans="1:9" s="34" customFormat="1" ht="15.75" customHeight="1">
      <c r="A472" s="70">
        <v>1</v>
      </c>
      <c r="B472" s="74" t="s">
        <v>331</v>
      </c>
      <c r="C472" s="56" t="s">
        <v>322</v>
      </c>
      <c r="D472" s="66">
        <f>(113.61)*(10.764)</f>
        <v>1222.8980399999998</v>
      </c>
      <c r="E472" s="66">
        <f>(5.44)*(10.764)</f>
        <v>58.556159999999998</v>
      </c>
      <c r="F472" s="56">
        <f>D472+E472</f>
        <v>1281.4541999999999</v>
      </c>
      <c r="G472" s="56">
        <v>0</v>
      </c>
      <c r="H472" s="56">
        <f>F472*(($H$282)+1)+(IF(G472&lt;101,G472,IF(G472&lt;201,G472/2,IF(G472&lt;=301,G472/3,G472/4))))</f>
        <v>1922.1812999999997</v>
      </c>
    </row>
    <row r="473" spans="1:9" s="34" customFormat="1" ht="15.75" customHeight="1">
      <c r="A473" s="70">
        <v>2</v>
      </c>
      <c r="B473" s="56" t="s">
        <v>330</v>
      </c>
      <c r="C473" s="56" t="s">
        <v>322</v>
      </c>
      <c r="D473" s="66">
        <f>(97.67)*(10.764)</f>
        <v>1051.31988</v>
      </c>
      <c r="E473" s="66">
        <f>0*(10.764)</f>
        <v>0</v>
      </c>
      <c r="F473" s="56">
        <f>D473+E473</f>
        <v>1051.31988</v>
      </c>
      <c r="G473" s="56">
        <v>0</v>
      </c>
      <c r="H473" s="56">
        <f>F473*(($H$282)+1)+(IF(G473&lt;101,G473,IF(G473&lt;201,G473/2,IF(G473&lt;=301,G473/3,G473/4))))</f>
        <v>1576.97982</v>
      </c>
      <c r="I473" s="34" t="s">
        <v>475</v>
      </c>
    </row>
    <row r="474" spans="1:9" s="34" customFormat="1" ht="15.75" customHeight="1">
      <c r="A474" s="70">
        <v>3</v>
      </c>
      <c r="B474" s="74" t="s">
        <v>331</v>
      </c>
      <c r="C474" s="56" t="s">
        <v>322</v>
      </c>
      <c r="D474" s="66">
        <f>(97.74)*(10.764)</f>
        <v>1052.0733599999999</v>
      </c>
      <c r="E474" s="66">
        <f>0*(10.764)</f>
        <v>0</v>
      </c>
      <c r="F474" s="56">
        <f>D474+E474</f>
        <v>1052.0733599999999</v>
      </c>
      <c r="G474" s="56">
        <v>0</v>
      </c>
      <c r="H474" s="56">
        <f>F474*(($H$282)+1)+(IF(G474&lt;101,G474,IF(G474&lt;201,G474/2,IF(G474&lt;=301,G474/3,G474/4))))</f>
        <v>1578.1100399999998</v>
      </c>
    </row>
    <row r="475" spans="1:9" s="34" customFormat="1" ht="15.75" customHeight="1">
      <c r="A475" s="102" t="s">
        <v>337</v>
      </c>
      <c r="B475" s="103"/>
      <c r="C475" s="103"/>
      <c r="D475" s="103"/>
      <c r="E475" s="103"/>
      <c r="F475" s="103"/>
      <c r="G475" s="103"/>
      <c r="H475" s="104"/>
      <c r="I475" s="34">
        <f>1</f>
        <v>1</v>
      </c>
    </row>
    <row r="476" spans="1:9" s="34" customFormat="1" ht="15.75" customHeight="1">
      <c r="A476" s="70">
        <v>1</v>
      </c>
      <c r="B476" s="74" t="s">
        <v>331</v>
      </c>
      <c r="C476" s="56" t="s">
        <v>322</v>
      </c>
      <c r="D476" s="66">
        <f>(113.61)*(10.764)</f>
        <v>1222.8980399999998</v>
      </c>
      <c r="E476" s="66">
        <f>(5.44)*(10.764)</f>
        <v>58.556159999999998</v>
      </c>
      <c r="F476" s="56">
        <f>D476+E476</f>
        <v>1281.4541999999999</v>
      </c>
      <c r="G476" s="56">
        <v>0</v>
      </c>
      <c r="H476" s="56">
        <f>F476*(($H$282)+1)+(IF(G476&lt;101,G476,IF(G476&lt;201,G476/2,IF(G476&lt;=301,G476/3,G476/4))))</f>
        <v>1922.1812999999997</v>
      </c>
    </row>
    <row r="477" spans="1:9" s="34" customFormat="1" ht="15.75" customHeight="1">
      <c r="A477" s="70">
        <v>2</v>
      </c>
      <c r="B477" s="74" t="s">
        <v>331</v>
      </c>
      <c r="C477" s="56" t="s">
        <v>322</v>
      </c>
      <c r="D477" s="66">
        <f>(97.67)*(10.764)</f>
        <v>1051.31988</v>
      </c>
      <c r="E477" s="66">
        <f>0*(10.764)</f>
        <v>0</v>
      </c>
      <c r="F477" s="56">
        <f>D477+E477</f>
        <v>1051.31988</v>
      </c>
      <c r="G477" s="56">
        <v>0</v>
      </c>
      <c r="H477" s="56">
        <f>F477*(($H$282)+1)+(IF(G477&lt;101,G477,IF(G477&lt;201,G477/2,IF(G477&lt;=301,G477/3,G477/4))))</f>
        <v>1576.97982</v>
      </c>
    </row>
    <row r="478" spans="1:9" s="34" customFormat="1" ht="15.75" customHeight="1">
      <c r="A478" s="70">
        <v>3</v>
      </c>
      <c r="B478" s="74" t="s">
        <v>331</v>
      </c>
      <c r="C478" s="56" t="s">
        <v>322</v>
      </c>
      <c r="D478" s="66">
        <f>(97.74)*(10.764)</f>
        <v>1052.0733599999999</v>
      </c>
      <c r="E478" s="66">
        <f>0*(10.764)</f>
        <v>0</v>
      </c>
      <c r="F478" s="56">
        <f>D478+E478</f>
        <v>1052.0733599999999</v>
      </c>
      <c r="G478" s="56">
        <v>0</v>
      </c>
      <c r="H478" s="56">
        <f>F478*(($H$282)+1)+(IF(G478&lt;101,G478,IF(G478&lt;201,G478/2,IF(G478&lt;=301,G478/3,G478/4))))</f>
        <v>1578.1100399999998</v>
      </c>
    </row>
    <row r="479" spans="1:9" s="34" customFormat="1" ht="15.75" customHeight="1">
      <c r="A479" s="102" t="s">
        <v>454</v>
      </c>
      <c r="B479" s="103"/>
      <c r="C479" s="103"/>
      <c r="D479" s="103"/>
      <c r="E479" s="103"/>
      <c r="F479" s="103"/>
      <c r="G479" s="103"/>
      <c r="H479" s="104"/>
      <c r="I479" s="34">
        <f>1</f>
        <v>1</v>
      </c>
    </row>
    <row r="480" spans="1:9" s="34" customFormat="1" ht="15.75" customHeight="1">
      <c r="A480" s="70">
        <v>1</v>
      </c>
      <c r="B480" s="74" t="s">
        <v>331</v>
      </c>
      <c r="C480" s="56" t="s">
        <v>322</v>
      </c>
      <c r="D480" s="66">
        <f>(113.61)*(10.764)</f>
        <v>1222.8980399999998</v>
      </c>
      <c r="E480" s="66">
        <f>(5.44)*(10.764)</f>
        <v>58.556159999999998</v>
      </c>
      <c r="F480" s="56">
        <f>D480+E480</f>
        <v>1281.4541999999999</v>
      </c>
      <c r="G480" s="56">
        <v>0</v>
      </c>
      <c r="H480" s="56">
        <f>F480*(($H$282)+1)+(IF(G480&lt;101,G480,IF(G480&lt;201,G480/2,IF(G480&lt;=301,G480/3,G480/4))))</f>
        <v>1922.1812999999997</v>
      </c>
    </row>
    <row r="481" spans="1:9" s="34" customFormat="1" ht="15.75" customHeight="1">
      <c r="A481" s="70">
        <v>2</v>
      </c>
      <c r="B481" s="56" t="s">
        <v>425</v>
      </c>
      <c r="C481" s="99" t="s">
        <v>455</v>
      </c>
      <c r="D481" s="100"/>
      <c r="E481" s="100"/>
      <c r="F481" s="100"/>
      <c r="G481" s="100"/>
      <c r="H481" s="101"/>
    </row>
    <row r="482" spans="1:9" s="34" customFormat="1" ht="15.75" customHeight="1">
      <c r="A482" s="70">
        <v>3</v>
      </c>
      <c r="B482" s="74" t="s">
        <v>331</v>
      </c>
      <c r="C482" s="56" t="s">
        <v>322</v>
      </c>
      <c r="D482" s="66">
        <f>(105.89)*(10.764)</f>
        <v>1139.7999599999998</v>
      </c>
      <c r="E482" s="66">
        <f>(8.58)*(10.764)</f>
        <v>92.355119999999999</v>
      </c>
      <c r="F482" s="56">
        <f>D482+E482</f>
        <v>1232.1550799999998</v>
      </c>
      <c r="G482" s="56">
        <v>0</v>
      </c>
      <c r="H482" s="56">
        <f>F482*(($H$282)+1)+(IF(G482&lt;101,G482,IF(G482&lt;201,G482/2,IF(G482&lt;=301,G482/3,G482/4))))</f>
        <v>1848.2326199999998</v>
      </c>
    </row>
    <row r="483" spans="1:9" s="34" customFormat="1" ht="15.75" customHeight="1">
      <c r="A483" s="102" t="s">
        <v>340</v>
      </c>
      <c r="B483" s="103"/>
      <c r="C483" s="103"/>
      <c r="D483" s="103"/>
      <c r="E483" s="103"/>
      <c r="F483" s="103"/>
      <c r="G483" s="103"/>
      <c r="H483" s="104"/>
      <c r="I483" s="34">
        <f>2</f>
        <v>2</v>
      </c>
    </row>
    <row r="484" spans="1:9" s="34" customFormat="1" ht="15.75" customHeight="1">
      <c r="A484" s="70">
        <v>1</v>
      </c>
      <c r="B484" s="74" t="s">
        <v>331</v>
      </c>
      <c r="C484" s="56" t="s">
        <v>322</v>
      </c>
      <c r="D484" s="66">
        <f>(113.61)*(10.764)</f>
        <v>1222.8980399999998</v>
      </c>
      <c r="E484" s="66">
        <f>(5.44)*(10.764)</f>
        <v>58.556159999999998</v>
      </c>
      <c r="F484" s="56">
        <f>D484+E484</f>
        <v>1281.4541999999999</v>
      </c>
      <c r="G484" s="56">
        <v>0</v>
      </c>
      <c r="H484" s="56">
        <f>F484*(($H$282)+1)+(IF(G484&lt;101,G484,IF(G484&lt;201,G484/2,IF(G484&lt;=301,G484/3,G484/4))))</f>
        <v>1922.1812999999997</v>
      </c>
    </row>
    <row r="485" spans="1:9" s="34" customFormat="1" ht="15.75" customHeight="1">
      <c r="A485" s="70">
        <v>2</v>
      </c>
      <c r="B485" s="56" t="s">
        <v>330</v>
      </c>
      <c r="C485" s="56" t="s">
        <v>322</v>
      </c>
      <c r="D485" s="66">
        <f>(104.42)*(10.764)</f>
        <v>1123.9768799999999</v>
      </c>
      <c r="E485" s="66">
        <f>7.1*(10.764)</f>
        <v>76.424399999999991</v>
      </c>
      <c r="F485" s="56">
        <f>D485+E485</f>
        <v>1200.40128</v>
      </c>
      <c r="G485" s="56">
        <v>0</v>
      </c>
      <c r="H485" s="56">
        <f>F485*(($H$282)+1)+(IF(G485&lt;101,G485,IF(G485&lt;201,G485/2,IF(G485&lt;=301,G485/3,G485/4))))</f>
        <v>1800.6019200000001</v>
      </c>
      <c r="I485" s="34" t="s">
        <v>475</v>
      </c>
    </row>
    <row r="486" spans="1:9" s="34" customFormat="1" ht="15.75" customHeight="1">
      <c r="A486" s="70">
        <v>3</v>
      </c>
      <c r="B486" s="74" t="s">
        <v>331</v>
      </c>
      <c r="C486" s="56" t="s">
        <v>322</v>
      </c>
      <c r="D486" s="66">
        <f>(105.89)*(10.764)</f>
        <v>1139.7999599999998</v>
      </c>
      <c r="E486" s="66">
        <f>8.58*(10.764)</f>
        <v>92.355119999999999</v>
      </c>
      <c r="F486" s="56">
        <f>D486+E486</f>
        <v>1232.1550799999998</v>
      </c>
      <c r="G486" s="56">
        <v>0</v>
      </c>
      <c r="H486" s="56">
        <f>F486*(($H$282)+1)+(IF(G486&lt;101,G486,IF(G486&lt;201,G486/2,IF(G486&lt;=301,G486/3,G486/4))))</f>
        <v>1848.2326199999998</v>
      </c>
    </row>
    <row r="487" spans="1:9" s="34" customFormat="1">
      <c r="A487" s="146" t="s">
        <v>411</v>
      </c>
      <c r="B487" s="146"/>
      <c r="C487" s="146"/>
      <c r="D487" s="146"/>
      <c r="E487" s="146"/>
      <c r="F487" s="146"/>
      <c r="G487" s="146"/>
      <c r="H487" s="146"/>
    </row>
    <row r="488" spans="1:9" s="34" customFormat="1" ht="36.75" customHeight="1">
      <c r="A488" s="98" t="s">
        <v>375</v>
      </c>
      <c r="B488" s="98"/>
      <c r="C488" s="98"/>
      <c r="D488" s="98"/>
      <c r="E488" s="98"/>
      <c r="F488" s="98"/>
      <c r="G488" s="98"/>
      <c r="H488" s="98"/>
    </row>
    <row r="489" spans="1:9" s="34" customFormat="1">
      <c r="A489" s="154" t="s">
        <v>379</v>
      </c>
      <c r="B489" s="154"/>
      <c r="C489" s="154"/>
      <c r="D489" s="154"/>
      <c r="E489" s="154"/>
      <c r="F489" s="154"/>
      <c r="G489" s="154"/>
      <c r="H489" s="154"/>
      <c r="I489" s="34">
        <f>1</f>
        <v>1</v>
      </c>
    </row>
    <row r="490" spans="1:9" s="34" customFormat="1">
      <c r="A490" s="71">
        <v>3</v>
      </c>
      <c r="B490" s="74" t="s">
        <v>331</v>
      </c>
      <c r="C490" s="56" t="s">
        <v>322</v>
      </c>
      <c r="D490" s="71">
        <f>(96.91)*(10.764)</f>
        <v>1043.13924</v>
      </c>
      <c r="E490" s="71">
        <f>0*(10.764)</f>
        <v>0</v>
      </c>
      <c r="F490" s="56">
        <f>D490+E490</f>
        <v>1043.13924</v>
      </c>
      <c r="G490" s="56">
        <v>0</v>
      </c>
      <c r="H490" s="56">
        <f>F490*(($H$282)+1)+(IF(G490&lt;101,G490,IF(G490&lt;201,G490/2,IF(G490&lt;=301,G490/3,G490/4))))</f>
        <v>1564.70886</v>
      </c>
    </row>
    <row r="491" spans="1:9" s="34" customFormat="1">
      <c r="A491" s="102" t="s">
        <v>341</v>
      </c>
      <c r="B491" s="103"/>
      <c r="C491" s="103"/>
      <c r="D491" s="103"/>
      <c r="E491" s="103"/>
      <c r="F491" s="103"/>
      <c r="G491" s="103"/>
      <c r="H491" s="104"/>
      <c r="I491" s="34">
        <f>5</f>
        <v>5</v>
      </c>
    </row>
    <row r="492" spans="1:9" s="34" customFormat="1">
      <c r="A492" s="70">
        <v>1</v>
      </c>
      <c r="B492" s="74" t="s">
        <v>331</v>
      </c>
      <c r="C492" s="56" t="s">
        <v>322</v>
      </c>
      <c r="D492" s="66">
        <f>(119.13)*(10.764)</f>
        <v>1282.3153199999999</v>
      </c>
      <c r="E492" s="66">
        <f>(5.22)*(10.764)</f>
        <v>56.188079999999992</v>
      </c>
      <c r="F492" s="56">
        <f>D492+E492</f>
        <v>1338.5033999999998</v>
      </c>
      <c r="G492" s="56">
        <v>0</v>
      </c>
      <c r="H492" s="56">
        <f>F492*(($H$282)+1)+(IF(G492&lt;101,G492,IF(G492&lt;201,G492/2,IF(G492&lt;=301,G492/3,G492/4))))</f>
        <v>2007.7550999999999</v>
      </c>
    </row>
    <row r="493" spans="1:9" s="34" customFormat="1">
      <c r="A493" s="70">
        <v>2</v>
      </c>
      <c r="B493" s="56" t="s">
        <v>330</v>
      </c>
      <c r="C493" s="56" t="s">
        <v>323</v>
      </c>
      <c r="D493" s="66">
        <f>(60.79)*(10.764)</f>
        <v>654.34355999999991</v>
      </c>
      <c r="E493" s="66">
        <f>0*(10.764)</f>
        <v>0</v>
      </c>
      <c r="F493" s="56">
        <f>D493+E493</f>
        <v>654.34355999999991</v>
      </c>
      <c r="G493" s="56">
        <v>0</v>
      </c>
      <c r="H493" s="56">
        <f>F493*(($H$282)+1)+(IF(G493&lt;101,G493,IF(G493&lt;201,G493/2,IF(G493&lt;=301,G493/3,G493/4))))</f>
        <v>981.51533999999992</v>
      </c>
      <c r="I493" s="34" t="s">
        <v>475</v>
      </c>
    </row>
    <row r="494" spans="1:9" s="34" customFormat="1">
      <c r="A494" s="70">
        <v>3</v>
      </c>
      <c r="B494" s="56" t="s">
        <v>330</v>
      </c>
      <c r="C494" s="56" t="s">
        <v>322</v>
      </c>
      <c r="D494" s="66">
        <f>(94.03)*(10.764)</f>
        <v>1012.13892</v>
      </c>
      <c r="E494" s="66">
        <f>0*(10.764)</f>
        <v>0</v>
      </c>
      <c r="F494" s="56">
        <f>D494+E494</f>
        <v>1012.13892</v>
      </c>
      <c r="G494" s="56">
        <v>0</v>
      </c>
      <c r="H494" s="56">
        <f>F494*(($H$282)+1)+(IF(G494&lt;101,G494,IF(G494&lt;201,G494/2,IF(G494&lt;=301,G494/3,G494/4))))</f>
        <v>1518.20838</v>
      </c>
      <c r="I494" s="34" t="s">
        <v>475</v>
      </c>
    </row>
    <row r="495" spans="1:9" s="34" customFormat="1">
      <c r="A495" s="70">
        <v>4</v>
      </c>
      <c r="B495" s="56" t="s">
        <v>330</v>
      </c>
      <c r="C495" s="56" t="s">
        <v>322</v>
      </c>
      <c r="D495" s="66">
        <f>(93.47)*(10.764)</f>
        <v>1006.1110799999999</v>
      </c>
      <c r="E495" s="66">
        <f>0*(10.764)</f>
        <v>0</v>
      </c>
      <c r="F495" s="56">
        <f>D495+E495</f>
        <v>1006.1110799999999</v>
      </c>
      <c r="G495" s="56">
        <v>0</v>
      </c>
      <c r="H495" s="56">
        <f>F495*(($H$282)+1)+(IF(G495&lt;101,G495,IF(G495&lt;201,G495/2,IF(G495&lt;=301,G495/3,G495/4))))</f>
        <v>1509.16662</v>
      </c>
      <c r="I495" s="34" t="s">
        <v>475</v>
      </c>
    </row>
    <row r="496" spans="1:9" s="34" customFormat="1">
      <c r="A496" s="102" t="s">
        <v>427</v>
      </c>
      <c r="B496" s="103"/>
      <c r="C496" s="103"/>
      <c r="D496" s="103"/>
      <c r="E496" s="103"/>
      <c r="F496" s="103"/>
      <c r="G496" s="103"/>
      <c r="H496" s="104"/>
      <c r="I496" s="34">
        <f>1</f>
        <v>1</v>
      </c>
    </row>
    <row r="497" spans="1:9" s="34" customFormat="1">
      <c r="A497" s="70">
        <v>1</v>
      </c>
      <c r="B497" s="74" t="s">
        <v>331</v>
      </c>
      <c r="C497" s="56" t="s">
        <v>322</v>
      </c>
      <c r="D497" s="66">
        <f>(119.13)*(10.764)</f>
        <v>1282.3153199999999</v>
      </c>
      <c r="E497" s="66">
        <f>(5.22)*(10.764)</f>
        <v>56.188079999999992</v>
      </c>
      <c r="F497" s="56">
        <f>D497+E497</f>
        <v>1338.5033999999998</v>
      </c>
      <c r="G497" s="56">
        <v>0</v>
      </c>
      <c r="H497" s="56">
        <f>F497*(($H$282)+1)+(IF(G497&lt;101,G497,IF(G497&lt;201,G497/2,IF(G497&lt;=301,G497/3,G497/4))))</f>
        <v>2007.7550999999999</v>
      </c>
    </row>
    <row r="498" spans="1:9" s="34" customFormat="1">
      <c r="A498" s="70">
        <v>2</v>
      </c>
      <c r="B498" s="56" t="s">
        <v>330</v>
      </c>
      <c r="C498" s="56" t="s">
        <v>323</v>
      </c>
      <c r="D498" s="66">
        <f>(71.76)*(10.764)</f>
        <v>772.42463999999995</v>
      </c>
      <c r="E498" s="66">
        <f>0*(10.764)</f>
        <v>0</v>
      </c>
      <c r="F498" s="56">
        <f>D498+E498</f>
        <v>772.42463999999995</v>
      </c>
      <c r="G498" s="56">
        <v>0</v>
      </c>
      <c r="H498" s="56">
        <f>F498*(($H$282)+1)+(IF(G498&lt;101,G498,IF(G498&lt;201,G498/2,IF(G498&lt;=301,G498/3,G498/4))))</f>
        <v>1158.6369599999998</v>
      </c>
      <c r="I498" s="34" t="s">
        <v>475</v>
      </c>
    </row>
    <row r="499" spans="1:9" s="34" customFormat="1">
      <c r="A499" s="70">
        <v>3</v>
      </c>
      <c r="B499" s="56" t="s">
        <v>330</v>
      </c>
      <c r="C499" s="56" t="s">
        <v>322</v>
      </c>
      <c r="D499" s="66">
        <f>(94.03)*(10.764)</f>
        <v>1012.13892</v>
      </c>
      <c r="E499" s="66">
        <f>0*(10.764)</f>
        <v>0</v>
      </c>
      <c r="F499" s="56">
        <f>D499+E499</f>
        <v>1012.13892</v>
      </c>
      <c r="G499" s="56">
        <v>0</v>
      </c>
      <c r="H499" s="56">
        <f>F499*(($H$282)+1)+(IF(G499&lt;101,G499,IF(G499&lt;201,G499/2,IF(G499&lt;=301,G499/3,G499/4))))</f>
        <v>1518.20838</v>
      </c>
      <c r="I499" s="34" t="s">
        <v>475</v>
      </c>
    </row>
    <row r="500" spans="1:9" s="34" customFormat="1">
      <c r="A500" s="70">
        <v>4</v>
      </c>
      <c r="B500" s="56" t="s">
        <v>330</v>
      </c>
      <c r="C500" s="56" t="s">
        <v>322</v>
      </c>
      <c r="D500" s="66">
        <f>(93.47)*(10.764)</f>
        <v>1006.1110799999999</v>
      </c>
      <c r="E500" s="66">
        <f>0*(10.764)</f>
        <v>0</v>
      </c>
      <c r="F500" s="56">
        <f>D500+E500</f>
        <v>1006.1110799999999</v>
      </c>
      <c r="G500" s="56">
        <v>0</v>
      </c>
      <c r="H500" s="56">
        <f>F500*(($H$282)+1)+(IF(G500&lt;101,G500,IF(G500&lt;201,G500/2,IF(G500&lt;=301,G500/3,G500/4))))</f>
        <v>1509.16662</v>
      </c>
      <c r="I500" s="34" t="s">
        <v>475</v>
      </c>
    </row>
    <row r="501" spans="1:9" s="34" customFormat="1">
      <c r="A501" s="102" t="s">
        <v>452</v>
      </c>
      <c r="B501" s="103"/>
      <c r="C501" s="103"/>
      <c r="D501" s="103"/>
      <c r="E501" s="103"/>
      <c r="F501" s="103"/>
      <c r="G501" s="103"/>
      <c r="H501" s="104"/>
      <c r="I501" s="34">
        <f>1</f>
        <v>1</v>
      </c>
    </row>
    <row r="502" spans="1:9" s="34" customFormat="1">
      <c r="A502" s="70">
        <v>1</v>
      </c>
      <c r="B502" s="74" t="s">
        <v>331</v>
      </c>
      <c r="C502" s="56" t="s">
        <v>322</v>
      </c>
      <c r="D502" s="66">
        <f>(119.13)*(10.764)</f>
        <v>1282.3153199999999</v>
      </c>
      <c r="E502" s="66">
        <f>(5.22)*(10.764)</f>
        <v>56.188079999999992</v>
      </c>
      <c r="F502" s="56">
        <f>D502+E502</f>
        <v>1338.5033999999998</v>
      </c>
      <c r="G502" s="56">
        <v>0</v>
      </c>
      <c r="H502" s="56">
        <f>F502*(($H$282)+1)+(IF(G502&lt;101,G502,IF(G502&lt;201,G502/2,IF(G502&lt;=301,G502/3,G502/4))))</f>
        <v>2007.7550999999999</v>
      </c>
    </row>
    <row r="503" spans="1:9" s="34" customFormat="1">
      <c r="A503" s="70">
        <v>2</v>
      </c>
      <c r="B503" s="56" t="s">
        <v>330</v>
      </c>
      <c r="C503" s="56" t="s">
        <v>323</v>
      </c>
      <c r="D503" s="66">
        <f>(71.76)*(10.764)</f>
        <v>772.42463999999995</v>
      </c>
      <c r="E503" s="66">
        <f>0*(10.764)</f>
        <v>0</v>
      </c>
      <c r="F503" s="56">
        <f>D503+E503</f>
        <v>772.42463999999995</v>
      </c>
      <c r="G503" s="56">
        <v>0</v>
      </c>
      <c r="H503" s="56">
        <f>F503*(($H$282)+1)+(IF(G503&lt;101,G503,IF(G503&lt;201,G503/2,IF(G503&lt;=301,G503/3,G503/4))))</f>
        <v>1158.6369599999998</v>
      </c>
      <c r="I503" s="34" t="s">
        <v>475</v>
      </c>
    </row>
    <row r="504" spans="1:9" s="34" customFormat="1">
      <c r="A504" s="70">
        <v>3</v>
      </c>
      <c r="B504" s="56" t="s">
        <v>330</v>
      </c>
      <c r="C504" s="56" t="s">
        <v>322</v>
      </c>
      <c r="D504" s="66">
        <f>(94.03)*(10.764)</f>
        <v>1012.13892</v>
      </c>
      <c r="E504" s="66">
        <f>0*(10.764)</f>
        <v>0</v>
      </c>
      <c r="F504" s="56">
        <f>D504+E504</f>
        <v>1012.13892</v>
      </c>
      <c r="G504" s="56">
        <v>0</v>
      </c>
      <c r="H504" s="56">
        <f>F504*(($H$282)+1)+(IF(G504&lt;101,G504,IF(G504&lt;201,G504/2,IF(G504&lt;=301,G504/3,G504/4))))</f>
        <v>1518.20838</v>
      </c>
      <c r="I504" s="34" t="s">
        <v>475</v>
      </c>
    </row>
    <row r="505" spans="1:9" s="34" customFormat="1">
      <c r="A505" s="70">
        <v>4</v>
      </c>
      <c r="B505" s="56" t="s">
        <v>330</v>
      </c>
      <c r="C505" s="56" t="s">
        <v>322</v>
      </c>
      <c r="D505" s="66">
        <f>(93.47)*(10.764)</f>
        <v>1006.1110799999999</v>
      </c>
      <c r="E505" s="66">
        <f>0*(10.764)</f>
        <v>0</v>
      </c>
      <c r="F505" s="56">
        <f>D505+E505</f>
        <v>1006.1110799999999</v>
      </c>
      <c r="G505" s="56">
        <v>0</v>
      </c>
      <c r="H505" s="56">
        <f>F505*(($H$282)+1)+(IF(G505&lt;101,G505,IF(G505&lt;201,G505/2,IF(G505&lt;=301,G505/3,G505/4))))</f>
        <v>1509.16662</v>
      </c>
      <c r="I505" s="34" t="s">
        <v>475</v>
      </c>
    </row>
    <row r="506" spans="1:9" s="34" customFormat="1">
      <c r="A506" s="102" t="s">
        <v>426</v>
      </c>
      <c r="B506" s="103"/>
      <c r="C506" s="103"/>
      <c r="D506" s="103"/>
      <c r="E506" s="103"/>
      <c r="F506" s="103"/>
      <c r="G506" s="103"/>
      <c r="H506" s="104"/>
      <c r="I506" s="34">
        <f>1</f>
        <v>1</v>
      </c>
    </row>
    <row r="507" spans="1:9" s="34" customFormat="1">
      <c r="A507" s="70">
        <v>1</v>
      </c>
      <c r="B507" s="74" t="s">
        <v>331</v>
      </c>
      <c r="C507" s="56" t="s">
        <v>322</v>
      </c>
      <c r="D507" s="66">
        <f>(119.13)*(10.764)</f>
        <v>1282.3153199999999</v>
      </c>
      <c r="E507" s="66">
        <f>(5.22)*(10.764)</f>
        <v>56.188079999999992</v>
      </c>
      <c r="F507" s="56">
        <f>D507+E507</f>
        <v>1338.5033999999998</v>
      </c>
      <c r="G507" s="56">
        <v>0</v>
      </c>
      <c r="H507" s="56">
        <f>F507*(($H$282)+1)+(IF(G507&lt;101,G507,IF(G507&lt;201,G507/2,IF(G507&lt;=301,G507/3,G507/4))))</f>
        <v>2007.7550999999999</v>
      </c>
    </row>
    <row r="508" spans="1:9" s="34" customFormat="1">
      <c r="A508" s="70">
        <v>2</v>
      </c>
      <c r="B508" s="56" t="s">
        <v>330</v>
      </c>
      <c r="C508" s="56" t="s">
        <v>323</v>
      </c>
      <c r="D508" s="66">
        <f>(71.76)*(10.764)</f>
        <v>772.42463999999995</v>
      </c>
      <c r="E508" s="66">
        <f>0*(10.764)</f>
        <v>0</v>
      </c>
      <c r="F508" s="56">
        <f>D508+E508</f>
        <v>772.42463999999995</v>
      </c>
      <c r="G508" s="56">
        <v>0</v>
      </c>
      <c r="H508" s="56">
        <f>F508*(($H$282)+1)+(IF(G508&lt;101,G508,IF(G508&lt;201,G508/2,IF(G508&lt;=301,G508/3,G508/4))))</f>
        <v>1158.6369599999998</v>
      </c>
      <c r="I508" s="34" t="s">
        <v>475</v>
      </c>
    </row>
    <row r="509" spans="1:9" s="34" customFormat="1">
      <c r="A509" s="70">
        <v>3</v>
      </c>
      <c r="B509" s="56" t="s">
        <v>330</v>
      </c>
      <c r="C509" s="56" t="s">
        <v>322</v>
      </c>
      <c r="D509" s="66">
        <f>(94.03)*(10.764)</f>
        <v>1012.13892</v>
      </c>
      <c r="E509" s="66">
        <f>0*(10.764)</f>
        <v>0</v>
      </c>
      <c r="F509" s="56">
        <f>D509+E509</f>
        <v>1012.13892</v>
      </c>
      <c r="G509" s="56">
        <v>0</v>
      </c>
      <c r="H509" s="56">
        <f>F509*(($H$282)+1)+(IF(G509&lt;101,G509,IF(G509&lt;201,G509/2,IF(G509&lt;=301,G509/3,G509/4))))</f>
        <v>1518.20838</v>
      </c>
      <c r="I509" s="34" t="s">
        <v>475</v>
      </c>
    </row>
    <row r="510" spans="1:9" s="34" customFormat="1">
      <c r="A510" s="70">
        <v>4</v>
      </c>
      <c r="B510" s="74" t="s">
        <v>331</v>
      </c>
      <c r="C510" s="56" t="s">
        <v>322</v>
      </c>
      <c r="D510" s="66">
        <f>(93.47)*(10.764)</f>
        <v>1006.1110799999999</v>
      </c>
      <c r="E510" s="66">
        <f>(4.1)*(10.764)</f>
        <v>44.132399999999997</v>
      </c>
      <c r="F510" s="56">
        <f>D510+E510</f>
        <v>1050.2434799999999</v>
      </c>
      <c r="G510" s="56">
        <v>0</v>
      </c>
      <c r="H510" s="56">
        <f>F510*(($H$282)+1)+(IF(G510&lt;101,G510,IF(G510&lt;201,G510/2,IF(G510&lt;=301,G510/3,G510/4))))</f>
        <v>1575.3652199999997</v>
      </c>
    </row>
    <row r="511" spans="1:9" s="34" customFormat="1">
      <c r="A511" s="102" t="s">
        <v>457</v>
      </c>
      <c r="B511" s="103"/>
      <c r="C511" s="103"/>
      <c r="D511" s="103"/>
      <c r="E511" s="103"/>
      <c r="F511" s="103"/>
      <c r="G511" s="103"/>
      <c r="H511" s="104"/>
      <c r="I511" s="34">
        <f>1</f>
        <v>1</v>
      </c>
    </row>
    <row r="512" spans="1:9" s="34" customFormat="1">
      <c r="A512" s="70">
        <v>1</v>
      </c>
      <c r="B512" s="74" t="s">
        <v>331</v>
      </c>
      <c r="C512" s="56" t="s">
        <v>322</v>
      </c>
      <c r="D512" s="66">
        <f>(119.13)*(10.764)</f>
        <v>1282.3153199999999</v>
      </c>
      <c r="E512" s="66">
        <f>(5.22)*(10.764)</f>
        <v>56.188079999999992</v>
      </c>
      <c r="F512" s="56">
        <f>D512+E512</f>
        <v>1338.5033999999998</v>
      </c>
      <c r="G512" s="56">
        <v>0</v>
      </c>
      <c r="H512" s="56">
        <f>F512*(($H$282)+1)+(IF(G512&lt;101,G512,IF(G512&lt;201,G512/2,IF(G512&lt;=301,G512/3,G512/4))))</f>
        <v>2007.7550999999999</v>
      </c>
    </row>
    <row r="513" spans="1:9" s="34" customFormat="1">
      <c r="A513" s="70">
        <v>2</v>
      </c>
      <c r="B513" s="56" t="s">
        <v>330</v>
      </c>
      <c r="C513" s="56" t="s">
        <v>323</v>
      </c>
      <c r="D513" s="66">
        <f>(71.76)*(10.764)</f>
        <v>772.42463999999995</v>
      </c>
      <c r="E513" s="66">
        <f>0*(10.764)</f>
        <v>0</v>
      </c>
      <c r="F513" s="56">
        <f>D513+E513</f>
        <v>772.42463999999995</v>
      </c>
      <c r="G513" s="56">
        <v>0</v>
      </c>
      <c r="H513" s="56">
        <f>F513*(($H$282)+1)+(IF(G513&lt;101,G513,IF(G513&lt;201,G513/2,IF(G513&lt;=301,G513/3,G513/4))))</f>
        <v>1158.6369599999998</v>
      </c>
      <c r="I513" s="34" t="s">
        <v>475</v>
      </c>
    </row>
    <row r="514" spans="1:9" s="34" customFormat="1">
      <c r="A514" s="70">
        <v>3</v>
      </c>
      <c r="B514" s="74" t="s">
        <v>331</v>
      </c>
      <c r="C514" s="56" t="s">
        <v>322</v>
      </c>
      <c r="D514" s="66">
        <f>(94.6)*(10.764)</f>
        <v>1018.2743999999999</v>
      </c>
      <c r="E514" s="66">
        <f>(4.06)*(10.764)</f>
        <v>43.70183999999999</v>
      </c>
      <c r="F514" s="56">
        <f>D514+E514</f>
        <v>1061.97624</v>
      </c>
      <c r="G514" s="56">
        <v>0</v>
      </c>
      <c r="H514" s="56">
        <f>F514*(($H$282)+1)+(IF(G514&lt;101,G514,IF(G514&lt;201,G514/2,IF(G514&lt;=301,G514/3,G514/4))))</f>
        <v>1592.9643599999999</v>
      </c>
    </row>
    <row r="515" spans="1:9" s="34" customFormat="1">
      <c r="A515" s="70">
        <v>4</v>
      </c>
      <c r="B515" s="74" t="s">
        <v>331</v>
      </c>
      <c r="C515" s="56" t="s">
        <v>322</v>
      </c>
      <c r="D515" s="66">
        <f>(106.67)*(10.764)</f>
        <v>1148.19588</v>
      </c>
      <c r="E515" s="66">
        <f>(4.1)*(10.764)</f>
        <v>44.132399999999997</v>
      </c>
      <c r="F515" s="56">
        <f>D515+E515</f>
        <v>1192.3282799999999</v>
      </c>
      <c r="G515" s="56">
        <v>0</v>
      </c>
      <c r="H515" s="56">
        <f>F515*(($H$282)+1)+(IF(G515&lt;101,G515,IF(G515&lt;201,G515/2,IF(G515&lt;=301,G515/3,G515/4))))</f>
        <v>1788.49242</v>
      </c>
    </row>
    <row r="516" spans="1:9" s="34" customFormat="1">
      <c r="A516" s="102" t="s">
        <v>458</v>
      </c>
      <c r="B516" s="103"/>
      <c r="C516" s="103"/>
      <c r="D516" s="103"/>
      <c r="E516" s="103"/>
      <c r="F516" s="103"/>
      <c r="G516" s="103"/>
      <c r="H516" s="104"/>
      <c r="I516" s="34">
        <f>1</f>
        <v>1</v>
      </c>
    </row>
    <row r="517" spans="1:9" s="34" customFormat="1">
      <c r="A517" s="70">
        <v>1</v>
      </c>
      <c r="B517" s="74" t="s">
        <v>331</v>
      </c>
      <c r="C517" s="56" t="s">
        <v>322</v>
      </c>
      <c r="D517" s="66">
        <f>(119.13)*(10.764)</f>
        <v>1282.3153199999999</v>
      </c>
      <c r="E517" s="66">
        <f>(5.22)*(10.764)</f>
        <v>56.188079999999992</v>
      </c>
      <c r="F517" s="56">
        <f>D517+E517</f>
        <v>1338.5033999999998</v>
      </c>
      <c r="G517" s="56">
        <v>0</v>
      </c>
      <c r="H517" s="56">
        <f>F517*(($H$282)+1)+(IF(G517&lt;101,G517,IF(G517&lt;201,G517/2,IF(G517&lt;=301,G517/3,G517/4))))</f>
        <v>2007.7550999999999</v>
      </c>
    </row>
    <row r="518" spans="1:9" s="34" customFormat="1">
      <c r="A518" s="70">
        <v>2</v>
      </c>
      <c r="B518" s="56" t="s">
        <v>330</v>
      </c>
      <c r="C518" s="56" t="s">
        <v>323</v>
      </c>
      <c r="D518" s="66">
        <f>(71.76)*(10.764)</f>
        <v>772.42463999999995</v>
      </c>
      <c r="E518" s="66">
        <f>0*(10.764)</f>
        <v>0</v>
      </c>
      <c r="F518" s="56">
        <f>D518+E518</f>
        <v>772.42463999999995</v>
      </c>
      <c r="G518" s="56">
        <v>0</v>
      </c>
      <c r="H518" s="56">
        <f>F518*(($H$282)+1)+(IF(G518&lt;101,G518,IF(G518&lt;201,G518/2,IF(G518&lt;=301,G518/3,G518/4))))</f>
        <v>1158.6369599999998</v>
      </c>
      <c r="I518" s="34" t="s">
        <v>475</v>
      </c>
    </row>
    <row r="519" spans="1:9" s="34" customFormat="1">
      <c r="A519" s="70">
        <v>3</v>
      </c>
      <c r="B519" s="74" t="s">
        <v>331</v>
      </c>
      <c r="C519" s="56" t="s">
        <v>322</v>
      </c>
      <c r="D519" s="66">
        <f>(94.6)*(10.764)</f>
        <v>1018.2743999999999</v>
      </c>
      <c r="E519" s="66">
        <f>(4.06)*(10.764)</f>
        <v>43.70183999999999</v>
      </c>
      <c r="F519" s="56">
        <f>D519+E519</f>
        <v>1061.97624</v>
      </c>
      <c r="G519" s="56">
        <v>0</v>
      </c>
      <c r="H519" s="56">
        <f>F519*(($H$282)+1)+(IF(G519&lt;101,G519,IF(G519&lt;201,G519/2,IF(G519&lt;=301,G519/3,G519/4))))</f>
        <v>1592.9643599999999</v>
      </c>
    </row>
    <row r="520" spans="1:9" s="34" customFormat="1">
      <c r="A520" s="70">
        <v>4</v>
      </c>
      <c r="B520" s="56" t="s">
        <v>330</v>
      </c>
      <c r="C520" s="56" t="s">
        <v>322</v>
      </c>
      <c r="D520" s="66">
        <f>(106.67)*(10.764)</f>
        <v>1148.19588</v>
      </c>
      <c r="E520" s="66">
        <f>(4.1)*(10.764)</f>
        <v>44.132399999999997</v>
      </c>
      <c r="F520" s="56">
        <f>D520+E520</f>
        <v>1192.3282799999999</v>
      </c>
      <c r="G520" s="56">
        <v>0</v>
      </c>
      <c r="H520" s="56">
        <f>F520*(($H$282)+1)+(IF(G520&lt;101,G520,IF(G520&lt;201,G520/2,IF(G520&lt;=301,G520/3,G520/4))))</f>
        <v>1788.49242</v>
      </c>
      <c r="I520" s="34" t="s">
        <v>475</v>
      </c>
    </row>
    <row r="521" spans="1:9" s="34" customFormat="1">
      <c r="A521" s="102" t="s">
        <v>429</v>
      </c>
      <c r="B521" s="103"/>
      <c r="C521" s="103"/>
      <c r="D521" s="103"/>
      <c r="E521" s="103"/>
      <c r="F521" s="103"/>
      <c r="G521" s="103"/>
      <c r="H521" s="104"/>
      <c r="I521" s="34">
        <f>1</f>
        <v>1</v>
      </c>
    </row>
    <row r="522" spans="1:9" s="34" customFormat="1">
      <c r="A522" s="70">
        <v>1</v>
      </c>
      <c r="B522" s="74" t="s">
        <v>331</v>
      </c>
      <c r="C522" s="56" t="s">
        <v>322</v>
      </c>
      <c r="D522" s="66">
        <f>(119.13)*(10.764)</f>
        <v>1282.3153199999999</v>
      </c>
      <c r="E522" s="66">
        <f>(5.22)*(10.764)</f>
        <v>56.188079999999992</v>
      </c>
      <c r="F522" s="56">
        <f>D522+E522</f>
        <v>1338.5033999999998</v>
      </c>
      <c r="G522" s="56">
        <v>0</v>
      </c>
      <c r="H522" s="56">
        <f>F522*(($H$282)+1)+(IF(G522&lt;101,G522,IF(G522&lt;201,G522/2,IF(G522&lt;=301,G522/3,G522/4))))</f>
        <v>2007.7550999999999</v>
      </c>
    </row>
    <row r="523" spans="1:9" s="34" customFormat="1">
      <c r="A523" s="70">
        <v>2</v>
      </c>
      <c r="B523" s="56" t="s">
        <v>330</v>
      </c>
      <c r="C523" s="56" t="s">
        <v>323</v>
      </c>
      <c r="D523" s="66">
        <f>(71.76)*(10.764)</f>
        <v>772.42463999999995</v>
      </c>
      <c r="E523" s="66">
        <f>0*(10.764)</f>
        <v>0</v>
      </c>
      <c r="F523" s="56">
        <f>D523+E523</f>
        <v>772.42463999999995</v>
      </c>
      <c r="G523" s="56">
        <v>0</v>
      </c>
      <c r="H523" s="56">
        <f>F523*(($H$282)+1)+(IF(G523&lt;101,G523,IF(G523&lt;201,G523/2,IF(G523&lt;=301,G523/3,G523/4))))</f>
        <v>1158.6369599999998</v>
      </c>
      <c r="I523" s="34" t="s">
        <v>475</v>
      </c>
    </row>
    <row r="524" spans="1:9" s="34" customFormat="1">
      <c r="A524" s="70">
        <v>3</v>
      </c>
      <c r="B524" s="74" t="s">
        <v>331</v>
      </c>
      <c r="C524" s="56" t="s">
        <v>322</v>
      </c>
      <c r="D524" s="66">
        <f>(94.6)*(10.764)</f>
        <v>1018.2743999999999</v>
      </c>
      <c r="E524" s="66">
        <f>(4.06)*(10.764)</f>
        <v>43.70183999999999</v>
      </c>
      <c r="F524" s="56">
        <f>D524+E524</f>
        <v>1061.97624</v>
      </c>
      <c r="G524" s="56">
        <v>0</v>
      </c>
      <c r="H524" s="56">
        <f>F524*(($H$282)+1)+(IF(G524&lt;101,G524,IF(G524&lt;201,G524/2,IF(G524&lt;=301,G524/3,G524/4))))</f>
        <v>1592.9643599999999</v>
      </c>
    </row>
    <row r="525" spans="1:9" s="34" customFormat="1">
      <c r="A525" s="70">
        <v>4</v>
      </c>
      <c r="B525" s="56" t="s">
        <v>330</v>
      </c>
      <c r="C525" s="56" t="s">
        <v>322</v>
      </c>
      <c r="D525" s="66">
        <f>(106.67)*(10.764)</f>
        <v>1148.19588</v>
      </c>
      <c r="E525" s="66">
        <f>(4.1)*(10.764)</f>
        <v>44.132399999999997</v>
      </c>
      <c r="F525" s="56">
        <f>D525+E525</f>
        <v>1192.3282799999999</v>
      </c>
      <c r="G525" s="56">
        <v>0</v>
      </c>
      <c r="H525" s="56">
        <f>F525*(($H$282)+1)+(IF(G525&lt;101,G525,IF(G525&lt;201,G525/2,IF(G525&lt;=301,G525/3,G525/4))))</f>
        <v>1788.49242</v>
      </c>
      <c r="I525" s="34" t="s">
        <v>475</v>
      </c>
    </row>
    <row r="526" spans="1:9" s="34" customFormat="1">
      <c r="A526" s="102" t="s">
        <v>459</v>
      </c>
      <c r="B526" s="103"/>
      <c r="C526" s="103"/>
      <c r="D526" s="103"/>
      <c r="E526" s="103"/>
      <c r="F526" s="103"/>
      <c r="G526" s="103"/>
      <c r="H526" s="104"/>
      <c r="I526" s="34">
        <f>1</f>
        <v>1</v>
      </c>
    </row>
    <row r="527" spans="1:9" s="34" customFormat="1">
      <c r="A527" s="70">
        <v>1</v>
      </c>
      <c r="B527" s="74" t="s">
        <v>331</v>
      </c>
      <c r="C527" s="56" t="s">
        <v>322</v>
      </c>
      <c r="D527" s="66">
        <f>(119.13)*(10.764)</f>
        <v>1282.3153199999999</v>
      </c>
      <c r="E527" s="66">
        <f>(5.22)*(10.764)</f>
        <v>56.188079999999992</v>
      </c>
      <c r="F527" s="56">
        <f>D527+E527</f>
        <v>1338.5033999999998</v>
      </c>
      <c r="G527" s="56">
        <v>0</v>
      </c>
      <c r="H527" s="56">
        <f>F527*(($H$282)+1)+(IF(G527&lt;101,G527,IF(G527&lt;201,G527/2,IF(G527&lt;=301,G527/3,G527/4))))</f>
        <v>2007.7550999999999</v>
      </c>
    </row>
    <row r="528" spans="1:9" s="34" customFormat="1">
      <c r="A528" s="70">
        <v>2</v>
      </c>
      <c r="B528" s="56" t="s">
        <v>330</v>
      </c>
      <c r="C528" s="56" t="s">
        <v>390</v>
      </c>
      <c r="D528" s="66">
        <f>(79.88)*(10.764)</f>
        <v>859.82831999999985</v>
      </c>
      <c r="E528" s="66">
        <f>0*(10.764)</f>
        <v>0</v>
      </c>
      <c r="F528" s="56">
        <f>D528+E528</f>
        <v>859.82831999999985</v>
      </c>
      <c r="G528" s="56">
        <v>0</v>
      </c>
      <c r="H528" s="56">
        <f>F528*(($H$282)+1)+(IF(G528&lt;101,G528,IF(G528&lt;201,G528/2,IF(G528&lt;=301,G528/3,G528/4))))</f>
        <v>1289.7424799999999</v>
      </c>
      <c r="I528" s="34" t="s">
        <v>475</v>
      </c>
    </row>
    <row r="529" spans="1:9" s="34" customFormat="1">
      <c r="A529" s="70">
        <v>3</v>
      </c>
      <c r="B529" s="74" t="s">
        <v>331</v>
      </c>
      <c r="C529" s="56" t="s">
        <v>322</v>
      </c>
      <c r="D529" s="66">
        <f>(94.6)*(10.764)</f>
        <v>1018.2743999999999</v>
      </c>
      <c r="E529" s="66">
        <f>(4.06)*(10.764)</f>
        <v>43.70183999999999</v>
      </c>
      <c r="F529" s="56">
        <f>D529+E529</f>
        <v>1061.97624</v>
      </c>
      <c r="G529" s="56">
        <v>0</v>
      </c>
      <c r="H529" s="56">
        <f>F529*(($H$282)+1)+(IF(G529&lt;101,G529,IF(G529&lt;201,G529/2,IF(G529&lt;=301,G529/3,G529/4))))</f>
        <v>1592.9643599999999</v>
      </c>
    </row>
    <row r="530" spans="1:9" s="34" customFormat="1">
      <c r="A530" s="70">
        <v>4</v>
      </c>
      <c r="B530" s="56" t="s">
        <v>330</v>
      </c>
      <c r="C530" s="56" t="s">
        <v>322</v>
      </c>
      <c r="D530" s="66">
        <f>(106.67)*(10.764)</f>
        <v>1148.19588</v>
      </c>
      <c r="E530" s="66">
        <f>(4.1)*(10.764)</f>
        <v>44.132399999999997</v>
      </c>
      <c r="F530" s="56">
        <f>D530+E530</f>
        <v>1192.3282799999999</v>
      </c>
      <c r="G530" s="56">
        <v>0</v>
      </c>
      <c r="H530" s="56">
        <f>F530*(($H$282)+1)+(IF(G530&lt;101,G530,IF(G530&lt;201,G530/2,IF(G530&lt;=301,G530/3,G530/4))))</f>
        <v>1788.49242</v>
      </c>
      <c r="I530" s="34" t="s">
        <v>475</v>
      </c>
    </row>
    <row r="531" spans="1:9" s="34" customFormat="1">
      <c r="A531" s="102" t="s">
        <v>342</v>
      </c>
      <c r="B531" s="103"/>
      <c r="C531" s="103"/>
      <c r="D531" s="103"/>
      <c r="E531" s="103"/>
      <c r="F531" s="103"/>
      <c r="G531" s="103"/>
      <c r="H531" s="104"/>
      <c r="I531" s="34">
        <f>3</f>
        <v>3</v>
      </c>
    </row>
    <row r="532" spans="1:9" s="34" customFormat="1">
      <c r="A532" s="70">
        <v>1</v>
      </c>
      <c r="B532" s="74" t="s">
        <v>331</v>
      </c>
      <c r="C532" s="56" t="s">
        <v>322</v>
      </c>
      <c r="D532" s="66">
        <f>(119.13)*(10.764)</f>
        <v>1282.3153199999999</v>
      </c>
      <c r="E532" s="66">
        <f>(5.22)*(10.764)</f>
        <v>56.188079999999992</v>
      </c>
      <c r="F532" s="56">
        <f>D532+E532</f>
        <v>1338.5033999999998</v>
      </c>
      <c r="G532" s="56">
        <v>0</v>
      </c>
      <c r="H532" s="56">
        <f>F532*(($H$282)+1)+(IF(G532&lt;101,G532,IF(G532&lt;201,G532/2,IF(G532&lt;=301,G532/3,G532/4))))</f>
        <v>2007.7550999999999</v>
      </c>
    </row>
    <row r="533" spans="1:9" s="34" customFormat="1">
      <c r="A533" s="70">
        <v>2</v>
      </c>
      <c r="B533" s="56" t="s">
        <v>330</v>
      </c>
      <c r="C533" s="56" t="s">
        <v>390</v>
      </c>
      <c r="D533" s="66">
        <f>(79.88)*(10.764)</f>
        <v>859.82831999999985</v>
      </c>
      <c r="E533" s="66">
        <f>0*(10.764)</f>
        <v>0</v>
      </c>
      <c r="F533" s="56">
        <f>D533+E533</f>
        <v>859.82831999999985</v>
      </c>
      <c r="G533" s="56">
        <v>0</v>
      </c>
      <c r="H533" s="56">
        <f>F533*(($H$282)+1)+(IF(G533&lt;101,G533,IF(G533&lt;201,G533/2,IF(G533&lt;=301,G533/3,G533/4))))</f>
        <v>1289.7424799999999</v>
      </c>
      <c r="I533" s="34" t="s">
        <v>475</v>
      </c>
    </row>
    <row r="534" spans="1:9" s="34" customFormat="1">
      <c r="A534" s="70">
        <v>3</v>
      </c>
      <c r="B534" s="74" t="s">
        <v>331</v>
      </c>
      <c r="C534" s="56" t="s">
        <v>322</v>
      </c>
      <c r="D534" s="66">
        <f>(94.6)*(10.764)</f>
        <v>1018.2743999999999</v>
      </c>
      <c r="E534" s="66">
        <f>(4.06)*(10.764)</f>
        <v>43.70183999999999</v>
      </c>
      <c r="F534" s="56">
        <f>D534+E534</f>
        <v>1061.97624</v>
      </c>
      <c r="G534" s="56">
        <v>0</v>
      </c>
      <c r="H534" s="56">
        <f>F534*(($H$282)+1)+(IF(G534&lt;101,G534,IF(G534&lt;201,G534/2,IF(G534&lt;=301,G534/3,G534/4))))</f>
        <v>1592.9643599999999</v>
      </c>
    </row>
    <row r="535" spans="1:9" s="34" customFormat="1">
      <c r="A535" s="70">
        <v>4</v>
      </c>
      <c r="B535" s="74" t="s">
        <v>331</v>
      </c>
      <c r="C535" s="56" t="s">
        <v>322</v>
      </c>
      <c r="D535" s="66">
        <f>(106.67)*(10.764)</f>
        <v>1148.19588</v>
      </c>
      <c r="E535" s="66">
        <f>(4.1)*(10.764)</f>
        <v>44.132399999999997</v>
      </c>
      <c r="F535" s="56">
        <f>D535+E535</f>
        <v>1192.3282799999999</v>
      </c>
      <c r="G535" s="56">
        <v>0</v>
      </c>
      <c r="H535" s="56">
        <f>F535*(($H$282)+1)+(IF(G535&lt;101,G535,IF(G535&lt;201,G535/2,IF(G535&lt;=301,G535/3,G535/4))))</f>
        <v>1788.49242</v>
      </c>
    </row>
    <row r="536" spans="1:9" s="34" customFormat="1" ht="15.75" customHeight="1">
      <c r="A536" s="102" t="s">
        <v>460</v>
      </c>
      <c r="B536" s="103"/>
      <c r="C536" s="103"/>
      <c r="D536" s="103"/>
      <c r="E536" s="103"/>
      <c r="F536" s="103"/>
      <c r="G536" s="103"/>
      <c r="H536" s="104"/>
      <c r="I536" s="34">
        <v>1</v>
      </c>
    </row>
    <row r="537" spans="1:9" s="34" customFormat="1">
      <c r="A537" s="70">
        <v>1</v>
      </c>
      <c r="B537" s="74" t="s">
        <v>331</v>
      </c>
      <c r="C537" s="56" t="s">
        <v>322</v>
      </c>
      <c r="D537" s="66">
        <f>(119.13)*(10.764)</f>
        <v>1282.3153199999999</v>
      </c>
      <c r="E537" s="66">
        <f>(5.22)*(10.764)</f>
        <v>56.188079999999992</v>
      </c>
      <c r="F537" s="56">
        <f>D537+E537</f>
        <v>1338.5033999999998</v>
      </c>
      <c r="G537" s="56">
        <v>0</v>
      </c>
      <c r="H537" s="56">
        <f>F537*(($H$282)+1)+(IF(G537&lt;101,G537,IF(G537&lt;201,G537/2,IF(G537&lt;=301,G537/3,G537/4))))</f>
        <v>2007.7550999999999</v>
      </c>
    </row>
    <row r="538" spans="1:9" s="34" customFormat="1">
      <c r="A538" s="70">
        <v>2</v>
      </c>
      <c r="B538" s="56" t="s">
        <v>330</v>
      </c>
      <c r="C538" s="56" t="s">
        <v>390</v>
      </c>
      <c r="D538" s="66">
        <f>(79.88)*(10.764)</f>
        <v>859.82831999999985</v>
      </c>
      <c r="E538" s="66">
        <f>0*(10.764)</f>
        <v>0</v>
      </c>
      <c r="F538" s="56">
        <f>D538+E538</f>
        <v>859.82831999999985</v>
      </c>
      <c r="G538" s="56">
        <v>0</v>
      </c>
      <c r="H538" s="56">
        <f>F538*(($H$282)+1)+(IF(G538&lt;101,G538,IF(G538&lt;201,G538/2,IF(G538&lt;=301,G538/3,G538/4))))</f>
        <v>1289.7424799999999</v>
      </c>
      <c r="I538" s="34" t="s">
        <v>475</v>
      </c>
    </row>
    <row r="539" spans="1:9" s="34" customFormat="1">
      <c r="A539" s="70">
        <v>3</v>
      </c>
      <c r="B539" s="74" t="s">
        <v>331</v>
      </c>
      <c r="C539" s="56" t="s">
        <v>322</v>
      </c>
      <c r="D539" s="66">
        <f>(94.6)*(10.764)</f>
        <v>1018.2743999999999</v>
      </c>
      <c r="E539" s="66">
        <f>(4.06)*(10.764)</f>
        <v>43.70183999999999</v>
      </c>
      <c r="F539" s="56">
        <f>D539+E539</f>
        <v>1061.97624</v>
      </c>
      <c r="G539" s="56">
        <v>0</v>
      </c>
      <c r="H539" s="56">
        <f>F539*(($H$282)+1)+(IF(G539&lt;101,G539,IF(G539&lt;201,G539/2,IF(G539&lt;=301,G539/3,G539/4))))</f>
        <v>1592.9643599999999</v>
      </c>
    </row>
    <row r="540" spans="1:9" s="34" customFormat="1">
      <c r="A540" s="70">
        <v>4</v>
      </c>
      <c r="B540" s="74" t="s">
        <v>331</v>
      </c>
      <c r="C540" s="56" t="s">
        <v>322</v>
      </c>
      <c r="D540" s="66">
        <f>(106.67)*(10.764)</f>
        <v>1148.19588</v>
      </c>
      <c r="E540" s="66">
        <f>(4.1)*(10.764)</f>
        <v>44.132399999999997</v>
      </c>
      <c r="F540" s="56">
        <f>D540+E540</f>
        <v>1192.3282799999999</v>
      </c>
      <c r="G540" s="56">
        <v>0</v>
      </c>
      <c r="H540" s="56">
        <f>F540*(($H$282)+1)+(IF(G540&lt;101,G540,IF(G540&lt;201,G540/2,IF(G540&lt;=301,G540/3,G540/4))))</f>
        <v>1788.49242</v>
      </c>
    </row>
    <row r="541" spans="1:9" s="34" customFormat="1" ht="15.75" customHeight="1">
      <c r="A541" s="102" t="s">
        <v>461</v>
      </c>
      <c r="B541" s="103"/>
      <c r="C541" s="103"/>
      <c r="D541" s="103"/>
      <c r="E541" s="103"/>
      <c r="F541" s="103"/>
      <c r="G541" s="103"/>
      <c r="H541" s="104"/>
      <c r="I541" s="34">
        <f>1</f>
        <v>1</v>
      </c>
    </row>
    <row r="542" spans="1:9" s="34" customFormat="1">
      <c r="A542" s="70">
        <v>1</v>
      </c>
      <c r="B542" s="74" t="s">
        <v>331</v>
      </c>
      <c r="C542" s="56" t="s">
        <v>322</v>
      </c>
      <c r="D542" s="66">
        <f>(119.13)*(10.764)</f>
        <v>1282.3153199999999</v>
      </c>
      <c r="E542" s="66">
        <f>(5.22)*(10.764)</f>
        <v>56.188079999999992</v>
      </c>
      <c r="F542" s="56">
        <f>D542+E542</f>
        <v>1338.5033999999998</v>
      </c>
      <c r="G542" s="56">
        <v>0</v>
      </c>
      <c r="H542" s="56">
        <f>F542*(($H$282)+1)+(IF(G542&lt;101,G542,IF(G542&lt;201,G542/2,IF(G542&lt;=301,G542/3,G542/4))))</f>
        <v>2007.7550999999999</v>
      </c>
    </row>
    <row r="543" spans="1:9" s="34" customFormat="1">
      <c r="A543" s="70">
        <v>2</v>
      </c>
      <c r="B543" s="74" t="s">
        <v>331</v>
      </c>
      <c r="C543" s="56" t="s">
        <v>390</v>
      </c>
      <c r="D543" s="66">
        <f>(79.88)*(10.764)</f>
        <v>859.82831999999985</v>
      </c>
      <c r="E543" s="66">
        <f>0*(10.764)</f>
        <v>0</v>
      </c>
      <c r="F543" s="56">
        <f>D543+E543</f>
        <v>859.82831999999985</v>
      </c>
      <c r="G543" s="56">
        <v>0</v>
      </c>
      <c r="H543" s="56">
        <f>F543*(($H$282)+1)+(IF(G543&lt;101,G543,IF(G543&lt;201,G543/2,IF(G543&lt;=301,G543/3,G543/4))))</f>
        <v>1289.7424799999999</v>
      </c>
    </row>
    <row r="544" spans="1:9" s="34" customFormat="1">
      <c r="A544" s="70">
        <v>3</v>
      </c>
      <c r="B544" s="74" t="s">
        <v>331</v>
      </c>
      <c r="C544" s="56" t="s">
        <v>322</v>
      </c>
      <c r="D544" s="66">
        <f>(94.6)*(10.764)</f>
        <v>1018.2743999999999</v>
      </c>
      <c r="E544" s="66">
        <f>(4.06)*(10.764)</f>
        <v>43.70183999999999</v>
      </c>
      <c r="F544" s="56">
        <f>D544+E544</f>
        <v>1061.97624</v>
      </c>
      <c r="G544" s="56">
        <v>0</v>
      </c>
      <c r="H544" s="56">
        <f>F544*(($H$282)+1)+(IF(G544&lt;101,G544,IF(G544&lt;201,G544/2,IF(G544&lt;=301,G544/3,G544/4))))</f>
        <v>1592.9643599999999</v>
      </c>
    </row>
    <row r="545" spans="1:9" s="34" customFormat="1">
      <c r="A545" s="70">
        <v>4</v>
      </c>
      <c r="B545" s="74" t="s">
        <v>331</v>
      </c>
      <c r="C545" s="56" t="s">
        <v>322</v>
      </c>
      <c r="D545" s="66">
        <f>(106.67)*(10.764)</f>
        <v>1148.19588</v>
      </c>
      <c r="E545" s="66">
        <f>(4.1)*(10.764)</f>
        <v>44.132399999999997</v>
      </c>
      <c r="F545" s="56">
        <f>D545+E545</f>
        <v>1192.3282799999999</v>
      </c>
      <c r="G545" s="56">
        <v>0</v>
      </c>
      <c r="H545" s="56">
        <f>F545*(($H$282)+1)+(IF(G545&lt;101,G545,IF(G545&lt;201,G545/2,IF(G545&lt;=301,G545/3,G545/4))))</f>
        <v>1788.49242</v>
      </c>
    </row>
    <row r="546" spans="1:9" s="34" customFormat="1" ht="15.75" customHeight="1">
      <c r="A546" s="146" t="s">
        <v>412</v>
      </c>
      <c r="B546" s="146"/>
      <c r="C546" s="146"/>
      <c r="D546" s="146"/>
      <c r="E546" s="146"/>
      <c r="F546" s="146"/>
      <c r="G546" s="146"/>
      <c r="H546" s="146"/>
    </row>
    <row r="547" spans="1:9" s="34" customFormat="1" ht="15.75" customHeight="1">
      <c r="A547" s="98" t="s">
        <v>376</v>
      </c>
      <c r="B547" s="98"/>
      <c r="C547" s="98"/>
      <c r="D547" s="98"/>
      <c r="E547" s="98"/>
      <c r="F547" s="98"/>
      <c r="G547" s="98"/>
      <c r="H547" s="98"/>
    </row>
    <row r="548" spans="1:9" s="34" customFormat="1" ht="15.75" customHeight="1">
      <c r="A548" s="154" t="s">
        <v>380</v>
      </c>
      <c r="B548" s="154"/>
      <c r="C548" s="154"/>
      <c r="D548" s="154"/>
      <c r="E548" s="154"/>
      <c r="F548" s="154"/>
      <c r="G548" s="154"/>
      <c r="H548" s="154"/>
      <c r="I548" s="34">
        <f>1</f>
        <v>1</v>
      </c>
    </row>
    <row r="549" spans="1:9" s="34" customFormat="1" ht="15.75" customHeight="1">
      <c r="A549" s="71">
        <v>2</v>
      </c>
      <c r="B549" s="74" t="s">
        <v>331</v>
      </c>
      <c r="C549" s="56" t="s">
        <v>322</v>
      </c>
      <c r="D549" s="71">
        <f>(93.4)*(10.764)</f>
        <v>1005.3576</v>
      </c>
      <c r="E549" s="71">
        <f>0*(10.764)</f>
        <v>0</v>
      </c>
      <c r="F549" s="56">
        <f>D549+E549</f>
        <v>1005.3576</v>
      </c>
      <c r="G549" s="56">
        <v>0</v>
      </c>
      <c r="H549" s="56">
        <f>F549*(($H$282)+1)+(IF(G549&lt;101,G549,IF(G549&lt;201,G549/2,IF(G549&lt;=301,G549/3,G549/4))))</f>
        <v>1508.0364</v>
      </c>
    </row>
    <row r="550" spans="1:9" s="34" customFormat="1" ht="15.75" customHeight="1">
      <c r="A550" s="102" t="s">
        <v>343</v>
      </c>
      <c r="B550" s="103"/>
      <c r="C550" s="103"/>
      <c r="D550" s="103"/>
      <c r="E550" s="103"/>
      <c r="F550" s="103"/>
      <c r="G550" s="103"/>
      <c r="H550" s="104"/>
      <c r="I550" s="34">
        <f>2</f>
        <v>2</v>
      </c>
    </row>
    <row r="551" spans="1:9" s="34" customFormat="1" ht="15.75" customHeight="1">
      <c r="A551" s="70">
        <v>1</v>
      </c>
      <c r="B551" s="56" t="s">
        <v>330</v>
      </c>
      <c r="C551" s="56" t="s">
        <v>332</v>
      </c>
      <c r="D551" s="66">
        <f>(140.59)*(10.764)</f>
        <v>1513.3107599999998</v>
      </c>
      <c r="E551" s="66">
        <f t="shared" ref="E551:E553" si="32">(0)*(10.764)</f>
        <v>0</v>
      </c>
      <c r="F551" s="56">
        <f>D551+E551</f>
        <v>1513.3107599999998</v>
      </c>
      <c r="G551" s="56">
        <v>0</v>
      </c>
      <c r="H551" s="56">
        <f>F551*(($H$282)+1)+(IF(G551&lt;101,G551,IF(G551&lt;201,G551/2,IF(G551&lt;=301,G551/3,G551/4))))</f>
        <v>2269.9661399999995</v>
      </c>
      <c r="I551" s="34" t="s">
        <v>475</v>
      </c>
    </row>
    <row r="552" spans="1:9" s="34" customFormat="1" ht="15.75" customHeight="1">
      <c r="A552" s="70">
        <v>2</v>
      </c>
      <c r="B552" s="56" t="s">
        <v>330</v>
      </c>
      <c r="C552" s="56" t="s">
        <v>322</v>
      </c>
      <c r="D552" s="66">
        <f>(93.42)*(10.764)</f>
        <v>1005.5728799999999</v>
      </c>
      <c r="E552" s="66">
        <f t="shared" si="32"/>
        <v>0</v>
      </c>
      <c r="F552" s="56">
        <f t="shared" ref="F552:F553" si="33">D552+E552</f>
        <v>1005.5728799999999</v>
      </c>
      <c r="G552" s="56">
        <v>0</v>
      </c>
      <c r="H552" s="56">
        <f t="shared" ref="H552:H553" si="34">F552*(($H$282)+1)+(IF(G552&lt;101,G552,IF(G552&lt;201,G552/2,IF(G552&lt;=301,G552/3,G552/4))))</f>
        <v>1508.35932</v>
      </c>
      <c r="I552" s="34" t="s">
        <v>475</v>
      </c>
    </row>
    <row r="553" spans="1:9" s="34" customFormat="1" ht="15.75" customHeight="1">
      <c r="A553" s="70">
        <v>3</v>
      </c>
      <c r="B553" s="56" t="s">
        <v>330</v>
      </c>
      <c r="C553" s="56" t="s">
        <v>390</v>
      </c>
      <c r="D553" s="66">
        <f>(72.27)*(10.764)</f>
        <v>777.91427999999996</v>
      </c>
      <c r="E553" s="66">
        <f t="shared" si="32"/>
        <v>0</v>
      </c>
      <c r="F553" s="56">
        <f t="shared" si="33"/>
        <v>777.91427999999996</v>
      </c>
      <c r="G553" s="56">
        <v>0</v>
      </c>
      <c r="H553" s="56">
        <f t="shared" si="34"/>
        <v>1166.8714199999999</v>
      </c>
      <c r="I553" s="34" t="s">
        <v>475</v>
      </c>
    </row>
    <row r="554" spans="1:9" s="34" customFormat="1" ht="15.75" customHeight="1">
      <c r="A554" s="102" t="s">
        <v>439</v>
      </c>
      <c r="B554" s="103"/>
      <c r="C554" s="103"/>
      <c r="D554" s="103"/>
      <c r="E554" s="103"/>
      <c r="F554" s="103"/>
      <c r="G554" s="103"/>
      <c r="H554" s="104"/>
      <c r="I554" s="34">
        <f>1</f>
        <v>1</v>
      </c>
    </row>
    <row r="555" spans="1:9" s="34" customFormat="1" ht="15.75" customHeight="1">
      <c r="A555" s="70">
        <v>1</v>
      </c>
      <c r="B555" s="74" t="s">
        <v>331</v>
      </c>
      <c r="C555" s="56" t="s">
        <v>332</v>
      </c>
      <c r="D555" s="66">
        <f>(148.38)*(10.764)</f>
        <v>1597.1623199999999</v>
      </c>
      <c r="E555" s="66">
        <f>(9.2)*(10.764)</f>
        <v>99.02879999999999</v>
      </c>
      <c r="F555" s="56">
        <f>D555+E555</f>
        <v>1696.19112</v>
      </c>
      <c r="G555" s="56">
        <v>0</v>
      </c>
      <c r="H555" s="56">
        <f>F555*(($H$282)+1)+(IF(G555&lt;101,G555,IF(G555&lt;201,G555/2,IF(G555&lt;=301,G555/3,G555/4))))</f>
        <v>2544.2866800000002</v>
      </c>
    </row>
    <row r="556" spans="1:9" s="34" customFormat="1" ht="15.75" customHeight="1">
      <c r="A556" s="70">
        <v>2</v>
      </c>
      <c r="B556" s="56" t="s">
        <v>330</v>
      </c>
      <c r="C556" s="56" t="s">
        <v>322</v>
      </c>
      <c r="D556" s="66">
        <f>(93.42)*(10.764)</f>
        <v>1005.5728799999999</v>
      </c>
      <c r="E556" s="66">
        <f t="shared" ref="E556:E557" si="35">(0)*(10.764)</f>
        <v>0</v>
      </c>
      <c r="F556" s="56">
        <f t="shared" ref="F556:F557" si="36">D556+E556</f>
        <v>1005.5728799999999</v>
      </c>
      <c r="G556" s="56">
        <v>0</v>
      </c>
      <c r="H556" s="56">
        <f t="shared" ref="H556:H557" si="37">F556*(($H$282)+1)+(IF(G556&lt;101,G556,IF(G556&lt;201,G556/2,IF(G556&lt;=301,G556/3,G556/4))))</f>
        <v>1508.35932</v>
      </c>
      <c r="I556" s="34" t="s">
        <v>475</v>
      </c>
    </row>
    <row r="557" spans="1:9" s="34" customFormat="1" ht="15.75" customHeight="1">
      <c r="A557" s="70">
        <v>3</v>
      </c>
      <c r="B557" s="56" t="s">
        <v>330</v>
      </c>
      <c r="C557" s="56" t="s">
        <v>390</v>
      </c>
      <c r="D557" s="66">
        <f>(72.27)*(10.764)</f>
        <v>777.91427999999996</v>
      </c>
      <c r="E557" s="66">
        <f t="shared" si="35"/>
        <v>0</v>
      </c>
      <c r="F557" s="56">
        <f t="shared" si="36"/>
        <v>777.91427999999996</v>
      </c>
      <c r="G557" s="56">
        <v>0</v>
      </c>
      <c r="H557" s="56">
        <f t="shared" si="37"/>
        <v>1166.8714199999999</v>
      </c>
      <c r="I557" s="34" t="s">
        <v>475</v>
      </c>
    </row>
    <row r="558" spans="1:9" s="34" customFormat="1" ht="15.75" customHeight="1">
      <c r="A558" s="102" t="s">
        <v>438</v>
      </c>
      <c r="B558" s="103"/>
      <c r="C558" s="103"/>
      <c r="D558" s="103"/>
      <c r="E558" s="103"/>
      <c r="F558" s="103"/>
      <c r="G558" s="103"/>
      <c r="H558" s="104"/>
      <c r="I558" s="34">
        <f>1</f>
        <v>1</v>
      </c>
    </row>
    <row r="559" spans="1:9" s="34" customFormat="1" ht="15.75" customHeight="1">
      <c r="A559" s="70">
        <v>1</v>
      </c>
      <c r="B559" s="74" t="s">
        <v>331</v>
      </c>
      <c r="C559" s="56" t="s">
        <v>332</v>
      </c>
      <c r="D559" s="66">
        <f>(148.38)*(10.764)</f>
        <v>1597.1623199999999</v>
      </c>
      <c r="E559" s="66">
        <f>(9.2)*(10.764)</f>
        <v>99.02879999999999</v>
      </c>
      <c r="F559" s="56">
        <f>D559+E559</f>
        <v>1696.19112</v>
      </c>
      <c r="G559" s="56">
        <v>0</v>
      </c>
      <c r="H559" s="56">
        <f>F559*(($H$282)+1)+(IF(G559&lt;101,G559,IF(G559&lt;201,G559/2,IF(G559&lt;=301,G559/3,G559/4))))</f>
        <v>2544.2866800000002</v>
      </c>
    </row>
    <row r="560" spans="1:9" s="34" customFormat="1" ht="15.75" customHeight="1">
      <c r="A560" s="70">
        <v>2</v>
      </c>
      <c r="B560" s="74" t="s">
        <v>331</v>
      </c>
      <c r="C560" s="56" t="s">
        <v>322</v>
      </c>
      <c r="D560" s="66">
        <f>(93.42)*(10.764)</f>
        <v>1005.5728799999999</v>
      </c>
      <c r="E560" s="66">
        <f t="shared" ref="E560:E561" si="38">(0)*(10.764)</f>
        <v>0</v>
      </c>
      <c r="F560" s="56">
        <f t="shared" ref="F560:F561" si="39">D560+E560</f>
        <v>1005.5728799999999</v>
      </c>
      <c r="G560" s="56">
        <v>0</v>
      </c>
      <c r="H560" s="56">
        <f t="shared" ref="H560:H561" si="40">F560*(($H$282)+1)+(IF(G560&lt;101,G560,IF(G560&lt;201,G560/2,IF(G560&lt;=301,G560/3,G560/4))))</f>
        <v>1508.35932</v>
      </c>
    </row>
    <row r="561" spans="1:9" s="34" customFormat="1" ht="15.75" customHeight="1">
      <c r="A561" s="70">
        <v>3</v>
      </c>
      <c r="B561" s="56" t="s">
        <v>330</v>
      </c>
      <c r="C561" s="56" t="s">
        <v>390</v>
      </c>
      <c r="D561" s="66">
        <f>(72.27)*(10.764)</f>
        <v>777.91427999999996</v>
      </c>
      <c r="E561" s="66">
        <f t="shared" si="38"/>
        <v>0</v>
      </c>
      <c r="F561" s="56">
        <f t="shared" si="39"/>
        <v>777.91427999999996</v>
      </c>
      <c r="G561" s="56">
        <v>0</v>
      </c>
      <c r="H561" s="56">
        <f t="shared" si="40"/>
        <v>1166.8714199999999</v>
      </c>
      <c r="I561" s="34" t="s">
        <v>475</v>
      </c>
    </row>
    <row r="562" spans="1:9" s="34" customFormat="1" ht="15.75" customHeight="1">
      <c r="A562" s="102" t="s">
        <v>339</v>
      </c>
      <c r="B562" s="103"/>
      <c r="C562" s="103"/>
      <c r="D562" s="103"/>
      <c r="E562" s="103"/>
      <c r="F562" s="103"/>
      <c r="G562" s="103"/>
      <c r="H562" s="104"/>
      <c r="I562" s="34">
        <f>2</f>
        <v>2</v>
      </c>
    </row>
    <row r="563" spans="1:9" s="34" customFormat="1" ht="15.75" customHeight="1">
      <c r="A563" s="70">
        <v>1</v>
      </c>
      <c r="B563" s="74" t="s">
        <v>331</v>
      </c>
      <c r="C563" s="56" t="s">
        <v>332</v>
      </c>
      <c r="D563" s="66">
        <f>(148.38)*(10.764)</f>
        <v>1597.1623199999999</v>
      </c>
      <c r="E563" s="66">
        <f>(9.2)*(10.764)</f>
        <v>99.02879999999999</v>
      </c>
      <c r="F563" s="56">
        <f>D563+E563</f>
        <v>1696.19112</v>
      </c>
      <c r="G563" s="56">
        <v>0</v>
      </c>
      <c r="H563" s="56">
        <f>F563*(($H$282)+1)+(IF(G563&lt;101,G563,IF(G563&lt;201,G563/2,IF(G563&lt;=301,G563/3,G563/4))))</f>
        <v>2544.2866800000002</v>
      </c>
    </row>
    <row r="564" spans="1:9" s="34" customFormat="1" ht="15.75" customHeight="1">
      <c r="A564" s="70">
        <v>2</v>
      </c>
      <c r="B564" s="56" t="s">
        <v>330</v>
      </c>
      <c r="C564" s="56" t="s">
        <v>322</v>
      </c>
      <c r="D564" s="66">
        <f>(93.42)*(10.764)</f>
        <v>1005.5728799999999</v>
      </c>
      <c r="E564" s="66">
        <f t="shared" ref="E564:E565" si="41">(0)*(10.764)</f>
        <v>0</v>
      </c>
      <c r="F564" s="56">
        <f t="shared" ref="F564:F565" si="42">D564+E564</f>
        <v>1005.5728799999999</v>
      </c>
      <c r="G564" s="56">
        <v>0</v>
      </c>
      <c r="H564" s="56">
        <f t="shared" ref="H564:H565" si="43">F564*(($H$282)+1)+(IF(G564&lt;101,G564,IF(G564&lt;201,G564/2,IF(G564&lt;=301,G564/3,G564/4))))</f>
        <v>1508.35932</v>
      </c>
      <c r="I564" s="34" t="s">
        <v>475</v>
      </c>
    </row>
    <row r="565" spans="1:9" s="34" customFormat="1" ht="15.75" customHeight="1">
      <c r="A565" s="70">
        <v>3</v>
      </c>
      <c r="B565" s="56" t="s">
        <v>330</v>
      </c>
      <c r="C565" s="56" t="s">
        <v>390</v>
      </c>
      <c r="D565" s="66">
        <f>(79.71)*(10.764)</f>
        <v>857.99843999999985</v>
      </c>
      <c r="E565" s="66">
        <f t="shared" si="41"/>
        <v>0</v>
      </c>
      <c r="F565" s="56">
        <f t="shared" si="42"/>
        <v>857.99843999999985</v>
      </c>
      <c r="G565" s="56">
        <v>0</v>
      </c>
      <c r="H565" s="56">
        <f t="shared" si="43"/>
        <v>1286.9976599999998</v>
      </c>
      <c r="I565" s="34" t="s">
        <v>475</v>
      </c>
    </row>
    <row r="566" spans="1:9" s="34" customFormat="1" ht="15.75" customHeight="1">
      <c r="A566" s="102" t="s">
        <v>447</v>
      </c>
      <c r="B566" s="103"/>
      <c r="C566" s="103"/>
      <c r="D566" s="103"/>
      <c r="E566" s="103"/>
      <c r="F566" s="103"/>
      <c r="G566" s="103"/>
      <c r="H566" s="104"/>
      <c r="I566" s="34">
        <f>1</f>
        <v>1</v>
      </c>
    </row>
    <row r="567" spans="1:9" s="34" customFormat="1" ht="15.75" customHeight="1">
      <c r="A567" s="70">
        <v>1</v>
      </c>
      <c r="B567" s="56" t="s">
        <v>330</v>
      </c>
      <c r="C567" s="56" t="s">
        <v>332</v>
      </c>
      <c r="D567" s="66">
        <f>(148.38)*(10.764)</f>
        <v>1597.1623199999999</v>
      </c>
      <c r="E567" s="66">
        <f>(9.2)*(10.764)</f>
        <v>99.02879999999999</v>
      </c>
      <c r="F567" s="56">
        <f>D567+E567</f>
        <v>1696.19112</v>
      </c>
      <c r="G567" s="56">
        <v>0</v>
      </c>
      <c r="H567" s="56">
        <f>F567*(($H$282)+1)+(IF(G567&lt;101,G567,IF(G567&lt;201,G567/2,IF(G567&lt;=301,G567/3,G567/4))))</f>
        <v>2544.2866800000002</v>
      </c>
      <c r="I567" s="34" t="s">
        <v>475</v>
      </c>
    </row>
    <row r="568" spans="1:9" s="34" customFormat="1" ht="15.75" customHeight="1">
      <c r="A568" s="70">
        <v>2</v>
      </c>
      <c r="B568" s="56" t="s">
        <v>330</v>
      </c>
      <c r="C568" s="56" t="s">
        <v>322</v>
      </c>
      <c r="D568" s="66">
        <f>(93.42)*(10.764)</f>
        <v>1005.5728799999999</v>
      </c>
      <c r="E568" s="66">
        <f t="shared" ref="E568:E569" si="44">(0)*(10.764)</f>
        <v>0</v>
      </c>
      <c r="F568" s="56">
        <f t="shared" ref="F568:F569" si="45">D568+E568</f>
        <v>1005.5728799999999</v>
      </c>
      <c r="G568" s="56">
        <v>0</v>
      </c>
      <c r="H568" s="56">
        <f t="shared" ref="H568:H569" si="46">F568*(($H$282)+1)+(IF(G568&lt;101,G568,IF(G568&lt;201,G568/2,IF(G568&lt;=301,G568/3,G568/4))))</f>
        <v>1508.35932</v>
      </c>
      <c r="I568" s="34" t="s">
        <v>475</v>
      </c>
    </row>
    <row r="569" spans="1:9" s="34" customFormat="1" ht="15.75" customHeight="1">
      <c r="A569" s="70">
        <v>3</v>
      </c>
      <c r="B569" s="56" t="s">
        <v>330</v>
      </c>
      <c r="C569" s="56" t="s">
        <v>390</v>
      </c>
      <c r="D569" s="66">
        <f>(79.71)*(10.764)</f>
        <v>857.99843999999985</v>
      </c>
      <c r="E569" s="66">
        <f t="shared" si="44"/>
        <v>0</v>
      </c>
      <c r="F569" s="56">
        <f t="shared" si="45"/>
        <v>857.99843999999985</v>
      </c>
      <c r="G569" s="56">
        <v>0</v>
      </c>
      <c r="H569" s="56">
        <f t="shared" si="46"/>
        <v>1286.9976599999998</v>
      </c>
      <c r="I569" s="34" t="s">
        <v>475</v>
      </c>
    </row>
    <row r="570" spans="1:9" s="34" customFormat="1" ht="15.75" customHeight="1">
      <c r="A570" s="102" t="s">
        <v>436</v>
      </c>
      <c r="B570" s="103"/>
      <c r="C570" s="103"/>
      <c r="D570" s="103"/>
      <c r="E570" s="103"/>
      <c r="F570" s="103"/>
      <c r="G570" s="103"/>
      <c r="H570" s="104"/>
      <c r="I570" s="34">
        <f>1</f>
        <v>1</v>
      </c>
    </row>
    <row r="571" spans="1:9" s="34" customFormat="1" ht="15.75" customHeight="1">
      <c r="A571" s="70">
        <v>1</v>
      </c>
      <c r="B571" s="56" t="s">
        <v>330</v>
      </c>
      <c r="C571" s="56" t="s">
        <v>332</v>
      </c>
      <c r="D571" s="66">
        <f>(152.88)*(10.764)</f>
        <v>1645.6003199999998</v>
      </c>
      <c r="E571" s="66">
        <f>(9.2)*(10.764)</f>
        <v>99.02879999999999</v>
      </c>
      <c r="F571" s="56">
        <f>D571+E571</f>
        <v>1744.6291199999998</v>
      </c>
      <c r="G571" s="56">
        <v>0</v>
      </c>
      <c r="H571" s="56">
        <f>F571*(($H$282)+1)+(IF(G571&lt;101,G571,IF(G571&lt;201,G571/2,IF(G571&lt;=301,G571/3,G571/4))))</f>
        <v>2616.9436799999999</v>
      </c>
      <c r="I571" s="34" t="s">
        <v>475</v>
      </c>
    </row>
    <row r="572" spans="1:9" s="34" customFormat="1" ht="15.75" customHeight="1">
      <c r="A572" s="70">
        <v>2</v>
      </c>
      <c r="B572" s="56" t="s">
        <v>425</v>
      </c>
      <c r="C572" s="99" t="s">
        <v>344</v>
      </c>
      <c r="D572" s="100"/>
      <c r="E572" s="100"/>
      <c r="F572" s="100"/>
      <c r="G572" s="100"/>
      <c r="H572" s="101"/>
    </row>
    <row r="573" spans="1:9" s="34" customFormat="1" ht="15.75" customHeight="1">
      <c r="A573" s="70">
        <v>3</v>
      </c>
      <c r="B573" s="56" t="s">
        <v>330</v>
      </c>
      <c r="C573" s="56" t="s">
        <v>390</v>
      </c>
      <c r="D573" s="66">
        <f>(79.71)*(10.764)</f>
        <v>857.99843999999985</v>
      </c>
      <c r="E573" s="66">
        <f t="shared" ref="E573" si="47">(0)*(10.764)</f>
        <v>0</v>
      </c>
      <c r="F573" s="56">
        <f t="shared" ref="F573" si="48">D573+E573</f>
        <v>857.99843999999985</v>
      </c>
      <c r="G573" s="56">
        <v>0</v>
      </c>
      <c r="H573" s="56">
        <f t="shared" ref="H573" si="49">F573*(($H$282)+1)+(IF(G573&lt;101,G573,IF(G573&lt;201,G573/2,IF(G573&lt;=301,G573/3,G573/4))))</f>
        <v>1286.9976599999998</v>
      </c>
      <c r="I573" s="34" t="s">
        <v>475</v>
      </c>
    </row>
    <row r="574" spans="1:9" s="34" customFormat="1" ht="15.75" customHeight="1">
      <c r="A574" s="102" t="s">
        <v>456</v>
      </c>
      <c r="B574" s="103"/>
      <c r="C574" s="103"/>
      <c r="D574" s="103"/>
      <c r="E574" s="103"/>
      <c r="F574" s="103"/>
      <c r="G574" s="103"/>
      <c r="H574" s="104"/>
      <c r="I574" s="34">
        <f>3</f>
        <v>3</v>
      </c>
    </row>
    <row r="575" spans="1:9" s="34" customFormat="1" ht="15.75" customHeight="1">
      <c r="A575" s="70">
        <v>1</v>
      </c>
      <c r="B575" s="74" t="s">
        <v>331</v>
      </c>
      <c r="C575" s="56" t="s">
        <v>332</v>
      </c>
      <c r="D575" s="66">
        <f>(147.09)*(10.764)</f>
        <v>1583.27676</v>
      </c>
      <c r="E575" s="66">
        <f>(13.99)*(10.764)</f>
        <v>150.58835999999999</v>
      </c>
      <c r="F575" s="56">
        <f>D575+E575</f>
        <v>1733.8651199999999</v>
      </c>
      <c r="G575" s="56">
        <v>0</v>
      </c>
      <c r="H575" s="56">
        <f>F575*(($H$282)+1)+(IF(G575&lt;101,G575,IF(G575&lt;201,G575/2,IF(G575&lt;=301,G575/3,G575/4))))</f>
        <v>2600.7976799999997</v>
      </c>
    </row>
    <row r="576" spans="1:9" s="34" customFormat="1" ht="15.75" customHeight="1">
      <c r="A576" s="70">
        <v>2</v>
      </c>
      <c r="B576" s="56" t="s">
        <v>330</v>
      </c>
      <c r="C576" s="56" t="s">
        <v>322</v>
      </c>
      <c r="D576" s="66">
        <f>(93.42)*(10.764)</f>
        <v>1005.5728799999999</v>
      </c>
      <c r="E576" s="66">
        <f t="shared" ref="E576:E577" si="50">(0)*(10.764)</f>
        <v>0</v>
      </c>
      <c r="F576" s="56">
        <f t="shared" ref="F576:F577" si="51">D576+E576</f>
        <v>1005.5728799999999</v>
      </c>
      <c r="G576" s="56">
        <v>0</v>
      </c>
      <c r="H576" s="56">
        <f t="shared" ref="H576:H577" si="52">F576*(($H$282)+1)+(IF(G576&lt;101,G576,IF(G576&lt;201,G576/2,IF(G576&lt;=301,G576/3,G576/4))))</f>
        <v>1508.35932</v>
      </c>
      <c r="I576" s="34" t="s">
        <v>475</v>
      </c>
    </row>
    <row r="577" spans="1:9" s="34" customFormat="1" ht="15.75" customHeight="1">
      <c r="A577" s="70">
        <v>3</v>
      </c>
      <c r="B577" s="56" t="s">
        <v>330</v>
      </c>
      <c r="C577" s="56" t="s">
        <v>390</v>
      </c>
      <c r="D577" s="66">
        <f>(79.71)*(10.764)</f>
        <v>857.99843999999985</v>
      </c>
      <c r="E577" s="66">
        <f t="shared" si="50"/>
        <v>0</v>
      </c>
      <c r="F577" s="56">
        <f t="shared" si="51"/>
        <v>857.99843999999985</v>
      </c>
      <c r="G577" s="56">
        <v>0</v>
      </c>
      <c r="H577" s="56">
        <f t="shared" si="52"/>
        <v>1286.9976599999998</v>
      </c>
      <c r="I577" s="34" t="s">
        <v>475</v>
      </c>
    </row>
    <row r="578" spans="1:9" s="34" customFormat="1" ht="15.75" customHeight="1">
      <c r="A578" s="102" t="s">
        <v>434</v>
      </c>
      <c r="B578" s="103"/>
      <c r="C578" s="103"/>
      <c r="D578" s="103"/>
      <c r="E578" s="103"/>
      <c r="F578" s="103"/>
      <c r="G578" s="103"/>
      <c r="H578" s="104"/>
      <c r="I578" s="34">
        <f>1</f>
        <v>1</v>
      </c>
    </row>
    <row r="579" spans="1:9" s="34" customFormat="1" ht="15.75" customHeight="1">
      <c r="A579" s="70">
        <v>1</v>
      </c>
      <c r="B579" s="74" t="s">
        <v>331</v>
      </c>
      <c r="C579" s="56" t="s">
        <v>332</v>
      </c>
      <c r="D579" s="66">
        <f>(147.09)*(10.764)</f>
        <v>1583.27676</v>
      </c>
      <c r="E579" s="66">
        <f>(13.99)*(10.764)</f>
        <v>150.58835999999999</v>
      </c>
      <c r="F579" s="56">
        <f>D579+E579</f>
        <v>1733.8651199999999</v>
      </c>
      <c r="G579" s="56">
        <v>0</v>
      </c>
      <c r="H579" s="56">
        <f>F579*(($H$282)+1)+(IF(G579&lt;101,G579,IF(G579&lt;201,G579/2,IF(G579&lt;=301,G579/3,G579/4))))</f>
        <v>2600.7976799999997</v>
      </c>
    </row>
    <row r="580" spans="1:9" s="34" customFormat="1" ht="15.75" customHeight="1">
      <c r="A580" s="70">
        <v>2</v>
      </c>
      <c r="B580" s="56" t="s">
        <v>330</v>
      </c>
      <c r="C580" s="56" t="s">
        <v>322</v>
      </c>
      <c r="D580" s="66">
        <f>(102.73)*(10.764)</f>
        <v>1105.7857200000001</v>
      </c>
      <c r="E580" s="66">
        <f>(10.46)*(10.764)</f>
        <v>112.59144000000001</v>
      </c>
      <c r="F580" s="56">
        <f t="shared" ref="F580:F581" si="53">D580+E580</f>
        <v>1218.37716</v>
      </c>
      <c r="G580" s="56">
        <v>0</v>
      </c>
      <c r="H580" s="56">
        <f t="shared" ref="H580:H581" si="54">F580*(($H$282)+1)+(IF(G580&lt;101,G580,IF(G580&lt;201,G580/2,IF(G580&lt;=301,G580/3,G580/4))))</f>
        <v>1827.56574</v>
      </c>
      <c r="I580" s="34" t="s">
        <v>475</v>
      </c>
    </row>
    <row r="581" spans="1:9" s="34" customFormat="1" ht="15.75" customHeight="1">
      <c r="A581" s="70">
        <v>3</v>
      </c>
      <c r="B581" s="56" t="s">
        <v>330</v>
      </c>
      <c r="C581" s="56" t="s">
        <v>390</v>
      </c>
      <c r="D581" s="66">
        <f>(79.71)*(10.764)</f>
        <v>857.99843999999985</v>
      </c>
      <c r="E581" s="66">
        <f t="shared" ref="E581" si="55">(0)*(10.764)</f>
        <v>0</v>
      </c>
      <c r="F581" s="56">
        <f t="shared" si="53"/>
        <v>857.99843999999985</v>
      </c>
      <c r="G581" s="56">
        <v>0</v>
      </c>
      <c r="H581" s="56">
        <f t="shared" si="54"/>
        <v>1286.9976599999998</v>
      </c>
      <c r="I581" s="34" t="s">
        <v>475</v>
      </c>
    </row>
    <row r="582" spans="1:9" s="34" customFormat="1" ht="15.75" customHeight="1">
      <c r="A582" s="102" t="s">
        <v>463</v>
      </c>
      <c r="B582" s="103"/>
      <c r="C582" s="103"/>
      <c r="D582" s="103"/>
      <c r="E582" s="103"/>
      <c r="F582" s="103"/>
      <c r="G582" s="103"/>
      <c r="H582" s="104"/>
      <c r="I582" s="34">
        <f>3</f>
        <v>3</v>
      </c>
    </row>
    <row r="583" spans="1:9" s="34" customFormat="1" ht="15.75" customHeight="1">
      <c r="A583" s="70">
        <v>1</v>
      </c>
      <c r="B583" s="74" t="s">
        <v>331</v>
      </c>
      <c r="C583" s="56" t="s">
        <v>332</v>
      </c>
      <c r="D583" s="66">
        <f>(147.09)*(10.764)</f>
        <v>1583.27676</v>
      </c>
      <c r="E583" s="66">
        <f>(13.99)*(10.764)</f>
        <v>150.58835999999999</v>
      </c>
      <c r="F583" s="56">
        <f>D583+E583</f>
        <v>1733.8651199999999</v>
      </c>
      <c r="G583" s="56">
        <v>0</v>
      </c>
      <c r="H583" s="56">
        <f>F583*(($H$282)+1)+(IF(G583&lt;101,G583,IF(G583&lt;201,G583/2,IF(G583&lt;=301,G583/3,G583/4))))</f>
        <v>2600.7976799999997</v>
      </c>
    </row>
    <row r="584" spans="1:9" s="34" customFormat="1" ht="15.75" customHeight="1">
      <c r="A584" s="70">
        <v>2</v>
      </c>
      <c r="B584" s="74" t="s">
        <v>331</v>
      </c>
      <c r="C584" s="56" t="s">
        <v>322</v>
      </c>
      <c r="D584" s="66">
        <f>(102.73)*(10.764)</f>
        <v>1105.7857200000001</v>
      </c>
      <c r="E584" s="66">
        <f>(10.46)*(10.764)</f>
        <v>112.59144000000001</v>
      </c>
      <c r="F584" s="56">
        <f t="shared" ref="F584:F585" si="56">D584+E584</f>
        <v>1218.37716</v>
      </c>
      <c r="G584" s="56">
        <v>0</v>
      </c>
      <c r="H584" s="56">
        <f t="shared" ref="H584:H585" si="57">F584*(($H$282)+1)+(IF(G584&lt;101,G584,IF(G584&lt;201,G584/2,IF(G584&lt;=301,G584/3,G584/4))))</f>
        <v>1827.56574</v>
      </c>
    </row>
    <row r="585" spans="1:9" s="34" customFormat="1" ht="15.75" customHeight="1">
      <c r="A585" s="70">
        <v>3</v>
      </c>
      <c r="B585" s="56" t="s">
        <v>330</v>
      </c>
      <c r="C585" s="56" t="s">
        <v>390</v>
      </c>
      <c r="D585" s="66">
        <f>(79.71)*(10.764)</f>
        <v>857.99843999999985</v>
      </c>
      <c r="E585" s="66">
        <f t="shared" ref="E585" si="58">(0)*(10.764)</f>
        <v>0</v>
      </c>
      <c r="F585" s="56">
        <f t="shared" si="56"/>
        <v>857.99843999999985</v>
      </c>
      <c r="G585" s="56">
        <v>0</v>
      </c>
      <c r="H585" s="56">
        <f t="shared" si="57"/>
        <v>1286.9976599999998</v>
      </c>
      <c r="I585" s="34" t="s">
        <v>475</v>
      </c>
    </row>
    <row r="586" spans="1:9" s="34" customFormat="1" ht="15.75" customHeight="1">
      <c r="A586" s="102" t="s">
        <v>437</v>
      </c>
      <c r="B586" s="103"/>
      <c r="C586" s="103"/>
      <c r="D586" s="103"/>
      <c r="E586" s="103"/>
      <c r="F586" s="103"/>
      <c r="G586" s="103"/>
      <c r="H586" s="104"/>
      <c r="I586" s="34">
        <f>1</f>
        <v>1</v>
      </c>
    </row>
    <row r="587" spans="1:9" s="34" customFormat="1" ht="15.75" customHeight="1">
      <c r="A587" s="70">
        <v>1</v>
      </c>
      <c r="B587" s="56" t="s">
        <v>330</v>
      </c>
      <c r="C587" s="56" t="s">
        <v>332</v>
      </c>
      <c r="D587" s="66">
        <f>(166.91)*(10.764)</f>
        <v>1796.6192399999998</v>
      </c>
      <c r="E587" s="66">
        <f>(18.87)*(10.764)</f>
        <v>203.11668</v>
      </c>
      <c r="F587" s="56">
        <f>D587+E587</f>
        <v>1999.7359199999999</v>
      </c>
      <c r="G587" s="56">
        <v>0</v>
      </c>
      <c r="H587" s="56">
        <f>F587*(($H$282)+1)+(IF(G587&lt;101,G587,IF(G587&lt;201,G587/2,IF(G587&lt;=301,G587/3,G587/4))))</f>
        <v>2999.6038799999997</v>
      </c>
      <c r="I587" s="34" t="s">
        <v>475</v>
      </c>
    </row>
    <row r="588" spans="1:9" s="34" customFormat="1" ht="15.75" customHeight="1">
      <c r="A588" s="70">
        <v>2</v>
      </c>
      <c r="B588" s="56" t="s">
        <v>425</v>
      </c>
      <c r="C588" s="99" t="s">
        <v>344</v>
      </c>
      <c r="D588" s="100"/>
      <c r="E588" s="100"/>
      <c r="F588" s="100"/>
      <c r="G588" s="100"/>
      <c r="H588" s="101"/>
    </row>
    <row r="589" spans="1:9" s="34" customFormat="1" ht="15.75" customHeight="1">
      <c r="A589" s="70">
        <v>3</v>
      </c>
      <c r="B589" s="56" t="s">
        <v>330</v>
      </c>
      <c r="C589" s="56" t="s">
        <v>390</v>
      </c>
      <c r="D589" s="66">
        <f>(79.71)*(10.764)</f>
        <v>857.99843999999985</v>
      </c>
      <c r="E589" s="66">
        <f t="shared" ref="E589" si="59">(0)*(10.764)</f>
        <v>0</v>
      </c>
      <c r="F589" s="56">
        <f t="shared" ref="F589" si="60">D589+E589</f>
        <v>857.99843999999985</v>
      </c>
      <c r="G589" s="56">
        <v>0</v>
      </c>
      <c r="H589" s="56">
        <f t="shared" ref="H589" si="61">F589*(($H$282)+1)+(IF(G589&lt;101,G589,IF(G589&lt;201,G589/2,IF(G589&lt;=301,G589/3,G589/4))))</f>
        <v>1286.9976599999998</v>
      </c>
      <c r="I589" s="34" t="s">
        <v>475</v>
      </c>
    </row>
    <row r="590" spans="1:9" s="34" customFormat="1" ht="15.75" customHeight="1">
      <c r="A590" s="102" t="s">
        <v>464</v>
      </c>
      <c r="B590" s="103"/>
      <c r="C590" s="103"/>
      <c r="D590" s="103"/>
      <c r="E590" s="103"/>
      <c r="F590" s="103"/>
      <c r="G590" s="103"/>
      <c r="H590" s="104"/>
      <c r="I590" s="34">
        <f>1</f>
        <v>1</v>
      </c>
    </row>
    <row r="591" spans="1:9" s="34" customFormat="1" ht="15.75" customHeight="1">
      <c r="A591" s="70">
        <v>1</v>
      </c>
      <c r="B591" s="74" t="s">
        <v>331</v>
      </c>
      <c r="C591" s="56" t="s">
        <v>332</v>
      </c>
      <c r="D591" s="66">
        <f>(147.09)*(10.764)</f>
        <v>1583.27676</v>
      </c>
      <c r="E591" s="66">
        <f>(13.99)*(10.764)</f>
        <v>150.58835999999999</v>
      </c>
      <c r="F591" s="56">
        <f>D591+E591</f>
        <v>1733.8651199999999</v>
      </c>
      <c r="G591" s="56">
        <v>0</v>
      </c>
      <c r="H591" s="56">
        <f>F591*(($H$282)+1)+(IF(G591&lt;101,G591,IF(G591&lt;201,G591/2,IF(G591&lt;=301,G591/3,G591/4))))</f>
        <v>2600.7976799999997</v>
      </c>
    </row>
    <row r="592" spans="1:9" s="34" customFormat="1" ht="15.75" customHeight="1">
      <c r="A592" s="70">
        <v>2</v>
      </c>
      <c r="B592" s="74" t="s">
        <v>331</v>
      </c>
      <c r="C592" s="56" t="s">
        <v>322</v>
      </c>
      <c r="D592" s="66">
        <f>(102.73)*(10.764)</f>
        <v>1105.7857200000001</v>
      </c>
      <c r="E592" s="66">
        <f>(10.46)*(10.764)</f>
        <v>112.59144000000001</v>
      </c>
      <c r="F592" s="56">
        <f t="shared" ref="F592:F593" si="62">D592+E592</f>
        <v>1218.37716</v>
      </c>
      <c r="G592" s="56">
        <v>0</v>
      </c>
      <c r="H592" s="56">
        <f t="shared" ref="H592:H593" si="63">F592*(($H$282)+1)+(IF(G592&lt;101,G592,IF(G592&lt;201,G592/2,IF(G592&lt;=301,G592/3,G592/4))))</f>
        <v>1827.56574</v>
      </c>
    </row>
    <row r="593" spans="1:10" s="34" customFormat="1" ht="15.75" customHeight="1">
      <c r="A593" s="70">
        <v>3</v>
      </c>
      <c r="B593" s="56" t="s">
        <v>330</v>
      </c>
      <c r="C593" s="56" t="s">
        <v>390</v>
      </c>
      <c r="D593" s="66">
        <f>(79.71)*(10.764)</f>
        <v>857.99843999999985</v>
      </c>
      <c r="E593" s="66">
        <f t="shared" ref="E593" si="64">(0)*(10.764)</f>
        <v>0</v>
      </c>
      <c r="F593" s="56">
        <f t="shared" si="62"/>
        <v>857.99843999999985</v>
      </c>
      <c r="G593" s="56">
        <v>0</v>
      </c>
      <c r="H593" s="56">
        <f t="shared" si="63"/>
        <v>1286.9976599999998</v>
      </c>
      <c r="I593" s="34" t="s">
        <v>475</v>
      </c>
    </row>
    <row r="594" spans="1:10" ht="15.75" customHeight="1">
      <c r="A594" s="146" t="s">
        <v>413</v>
      </c>
      <c r="B594" s="146"/>
      <c r="C594" s="146"/>
      <c r="D594" s="146"/>
      <c r="E594" s="146"/>
      <c r="F594" s="146"/>
      <c r="G594" s="146"/>
      <c r="H594" s="146"/>
      <c r="J594" s="68"/>
    </row>
    <row r="595" spans="1:10" ht="15.75" customHeight="1">
      <c r="A595" s="98" t="s">
        <v>321</v>
      </c>
      <c r="B595" s="98"/>
      <c r="C595" s="98"/>
      <c r="D595" s="98"/>
      <c r="E595" s="98"/>
      <c r="F595" s="98"/>
      <c r="G595" s="98"/>
      <c r="H595" s="98"/>
      <c r="J595" s="68">
        <f>16*2+1</f>
        <v>33</v>
      </c>
    </row>
    <row r="596" spans="1:10" ht="15.75" customHeight="1">
      <c r="A596" s="154" t="s">
        <v>378</v>
      </c>
      <c r="B596" s="154"/>
      <c r="C596" s="154"/>
      <c r="D596" s="154"/>
      <c r="E596" s="154"/>
      <c r="F596" s="154"/>
      <c r="G596" s="154"/>
      <c r="H596" s="154"/>
      <c r="J596" s="68"/>
    </row>
    <row r="597" spans="1:10" ht="15.75" customHeight="1">
      <c r="A597" s="98" t="s">
        <v>465</v>
      </c>
      <c r="B597" s="98"/>
      <c r="C597" s="98"/>
      <c r="D597" s="98"/>
      <c r="E597" s="98"/>
      <c r="F597" s="98"/>
      <c r="G597" s="98"/>
      <c r="H597" s="98"/>
      <c r="I597" s="68">
        <f>1+3</f>
        <v>4</v>
      </c>
    </row>
    <row r="598" spans="1:10" ht="15.75" customHeight="1">
      <c r="A598" s="56">
        <v>1</v>
      </c>
      <c r="B598" s="56" t="s">
        <v>330</v>
      </c>
      <c r="C598" s="56" t="s">
        <v>322</v>
      </c>
      <c r="D598" s="66">
        <f>(117.11)*(10.764)</f>
        <v>1260.57204</v>
      </c>
      <c r="E598" s="66">
        <f>(8.28)*(10.764)</f>
        <v>89.125919999999994</v>
      </c>
      <c r="F598" s="56">
        <f>D598+E598</f>
        <v>1349.69796</v>
      </c>
      <c r="G598" s="56">
        <v>0</v>
      </c>
      <c r="H598" s="56">
        <f>F598*(($H$282)+1)+(IF(G598&lt;101,G598,IF(G598&lt;201,G598/2,IF(G598&lt;=301,G598/3,G598/4))))</f>
        <v>2024.5469399999999</v>
      </c>
      <c r="I598" s="34" t="s">
        <v>475</v>
      </c>
    </row>
    <row r="599" spans="1:10" ht="15.75" customHeight="1">
      <c r="A599" s="56">
        <v>2</v>
      </c>
      <c r="B599" s="56" t="s">
        <v>330</v>
      </c>
      <c r="C599" s="56" t="s">
        <v>322</v>
      </c>
      <c r="D599" s="66">
        <f>(117.39)*(10.764)</f>
        <v>1263.5859599999999</v>
      </c>
      <c r="E599" s="66">
        <f>(8.25)*(10.764)</f>
        <v>88.802999999999997</v>
      </c>
      <c r="F599" s="56">
        <f>D599+E599</f>
        <v>1352.3889599999998</v>
      </c>
      <c r="G599" s="56">
        <v>0</v>
      </c>
      <c r="H599" s="56">
        <f>F599*(($H$282)+1)+(IF(G599&lt;101,G599,IF(G599&lt;201,G599/2,IF(G599&lt;=301,G599/3,G599/4))))</f>
        <v>2028.5834399999997</v>
      </c>
      <c r="I599" s="34" t="s">
        <v>475</v>
      </c>
    </row>
    <row r="600" spans="1:10" ht="15.75" customHeight="1">
      <c r="A600" s="98" t="s">
        <v>334</v>
      </c>
      <c r="B600" s="98"/>
      <c r="C600" s="98"/>
      <c r="D600" s="98"/>
      <c r="E600" s="98"/>
      <c r="F600" s="98"/>
      <c r="G600" s="98"/>
      <c r="H600" s="98"/>
      <c r="I600" s="68">
        <f>1</f>
        <v>1</v>
      </c>
    </row>
    <row r="601" spans="1:10" ht="15.75" customHeight="1">
      <c r="A601" s="56">
        <v>1</v>
      </c>
      <c r="B601" s="56" t="s">
        <v>330</v>
      </c>
      <c r="C601" s="56" t="s">
        <v>322</v>
      </c>
      <c r="D601" s="66">
        <f>(117.11)*(10.764)</f>
        <v>1260.57204</v>
      </c>
      <c r="E601" s="66">
        <f>(8.28)*(10.764)</f>
        <v>89.125919999999994</v>
      </c>
      <c r="F601" s="56">
        <f>D601+E601</f>
        <v>1349.69796</v>
      </c>
      <c r="G601" s="56">
        <v>0</v>
      </c>
      <c r="H601" s="56">
        <f>F601*(($H$282)+1)+(IF(G601&lt;101,G601,IF(G601&lt;201,G601/2,IF(G601&lt;=301,G601/3,G601/4))))</f>
        <v>2024.5469399999999</v>
      </c>
      <c r="I601" s="34" t="s">
        <v>475</v>
      </c>
    </row>
    <row r="602" spans="1:10" ht="15.75" customHeight="1">
      <c r="A602" s="56">
        <v>2</v>
      </c>
      <c r="B602" s="74" t="s">
        <v>331</v>
      </c>
      <c r="C602" s="56" t="s">
        <v>322</v>
      </c>
      <c r="D602" s="66">
        <f>(117.39)*(10.764)</f>
        <v>1263.5859599999999</v>
      </c>
      <c r="E602" s="66">
        <f>(8.25)*(10.764)</f>
        <v>88.802999999999997</v>
      </c>
      <c r="F602" s="56">
        <f>D602+E602</f>
        <v>1352.3889599999998</v>
      </c>
      <c r="G602" s="56">
        <v>0</v>
      </c>
      <c r="H602" s="56">
        <f>F602*(($H$282)+1)+(IF(G602&lt;101,G602,IF(G602&lt;201,G602/2,IF(G602&lt;=301,G602/3,G602/4))))</f>
        <v>2028.5834399999997</v>
      </c>
    </row>
    <row r="603" spans="1:10" ht="15.75" customHeight="1">
      <c r="A603" s="98" t="s">
        <v>427</v>
      </c>
      <c r="B603" s="98"/>
      <c r="C603" s="98"/>
      <c r="D603" s="98"/>
      <c r="E603" s="98"/>
      <c r="F603" s="98"/>
      <c r="G603" s="98"/>
      <c r="H603" s="98"/>
      <c r="I603" s="68">
        <f>1</f>
        <v>1</v>
      </c>
    </row>
    <row r="604" spans="1:10" ht="15.75" customHeight="1">
      <c r="A604" s="56">
        <v>1</v>
      </c>
      <c r="B604" s="56" t="s">
        <v>330</v>
      </c>
      <c r="C604" s="56" t="s">
        <v>322</v>
      </c>
      <c r="D604" s="66">
        <f>(117.11)*(10.764)</f>
        <v>1260.57204</v>
      </c>
      <c r="E604" s="66">
        <f>(8.28)*(10.764)</f>
        <v>89.125919999999994</v>
      </c>
      <c r="F604" s="56">
        <f>D604+E604</f>
        <v>1349.69796</v>
      </c>
      <c r="G604" s="56">
        <v>0</v>
      </c>
      <c r="H604" s="56">
        <f>F604*(($H$282)+1)+(IF(G604&lt;101,G604,IF(G604&lt;201,G604/2,IF(G604&lt;=301,G604/3,G604/4))))</f>
        <v>2024.5469399999999</v>
      </c>
      <c r="I604" s="34" t="s">
        <v>475</v>
      </c>
    </row>
    <row r="605" spans="1:10" ht="15.75" customHeight="1">
      <c r="A605" s="56">
        <v>2</v>
      </c>
      <c r="B605" s="56" t="s">
        <v>330</v>
      </c>
      <c r="C605" s="56" t="s">
        <v>322</v>
      </c>
      <c r="D605" s="66">
        <f>(117.39)*(10.764)</f>
        <v>1263.5859599999999</v>
      </c>
      <c r="E605" s="66">
        <f>(8.25)*(10.764)</f>
        <v>88.802999999999997</v>
      </c>
      <c r="F605" s="56">
        <f>D605+E605</f>
        <v>1352.3889599999998</v>
      </c>
      <c r="G605" s="56">
        <v>0</v>
      </c>
      <c r="H605" s="56">
        <f>F605*(($H$282)+1)+(IF(G605&lt;101,G605,IF(G605&lt;201,G605/2,IF(G605&lt;=301,G605/3,G605/4))))</f>
        <v>2028.5834399999997</v>
      </c>
      <c r="I605" s="34" t="s">
        <v>475</v>
      </c>
    </row>
    <row r="606" spans="1:10" ht="15.75" customHeight="1">
      <c r="A606" s="98" t="s">
        <v>426</v>
      </c>
      <c r="B606" s="98"/>
      <c r="C606" s="98"/>
      <c r="D606" s="98"/>
      <c r="E606" s="98"/>
      <c r="F606" s="98"/>
      <c r="G606" s="98"/>
      <c r="H606" s="98"/>
      <c r="I606" s="68">
        <f>1</f>
        <v>1</v>
      </c>
    </row>
    <row r="607" spans="1:10" ht="15.75" customHeight="1">
      <c r="A607" s="56">
        <v>1</v>
      </c>
      <c r="B607" s="56" t="s">
        <v>330</v>
      </c>
      <c r="C607" s="56" t="s">
        <v>322</v>
      </c>
      <c r="D607" s="66">
        <f>(117.11)*(10.764)</f>
        <v>1260.57204</v>
      </c>
      <c r="E607" s="66">
        <f>(11)*(10.764)</f>
        <v>118.404</v>
      </c>
      <c r="F607" s="56">
        <f>D607+E607</f>
        <v>1378.97604</v>
      </c>
      <c r="G607" s="56">
        <v>0</v>
      </c>
      <c r="H607" s="56">
        <f>F607*(($H$282)+1)+(IF(G607&lt;101,G607,IF(G607&lt;201,G607/2,IF(G607&lt;=301,G607/3,G607/4))))</f>
        <v>2068.4640600000002</v>
      </c>
      <c r="I607" s="34" t="s">
        <v>475</v>
      </c>
    </row>
    <row r="608" spans="1:10" ht="15.75" customHeight="1">
      <c r="A608" s="56">
        <v>2</v>
      </c>
      <c r="B608" s="56" t="s">
        <v>330</v>
      </c>
      <c r="C608" s="56" t="s">
        <v>322</v>
      </c>
      <c r="D608" s="66">
        <f>(117.39)*(10.764)</f>
        <v>1263.5859599999999</v>
      </c>
      <c r="E608" s="66">
        <f>(10.96)*(10.764)</f>
        <v>117.97344</v>
      </c>
      <c r="F608" s="56">
        <f>D608+E608</f>
        <v>1381.5593999999999</v>
      </c>
      <c r="G608" s="56">
        <v>0</v>
      </c>
      <c r="H608" s="56">
        <f>F608*(($H$282)+1)+(IF(G608&lt;101,G608,IF(G608&lt;201,G608/2,IF(G608&lt;=301,G608/3,G608/4))))</f>
        <v>2072.3390999999997</v>
      </c>
      <c r="I608" s="34" t="s">
        <v>475</v>
      </c>
    </row>
    <row r="609" spans="1:9" ht="15.75" customHeight="1">
      <c r="A609" s="98" t="s">
        <v>466</v>
      </c>
      <c r="B609" s="98"/>
      <c r="C609" s="98"/>
      <c r="D609" s="98"/>
      <c r="E609" s="98"/>
      <c r="F609" s="98"/>
      <c r="G609" s="98"/>
      <c r="H609" s="98"/>
      <c r="I609" s="68">
        <f>5</f>
        <v>5</v>
      </c>
    </row>
    <row r="610" spans="1:9" ht="15.75" customHeight="1">
      <c r="A610" s="56">
        <v>1</v>
      </c>
      <c r="B610" s="74" t="s">
        <v>331</v>
      </c>
      <c r="C610" s="56" t="s">
        <v>322</v>
      </c>
      <c r="D610" s="66">
        <f>(117.11)*(10.764)</f>
        <v>1260.57204</v>
      </c>
      <c r="E610" s="66">
        <f>(11)*(10.764)</f>
        <v>118.404</v>
      </c>
      <c r="F610" s="56">
        <f>D610+E610</f>
        <v>1378.97604</v>
      </c>
      <c r="G610" s="56">
        <v>0</v>
      </c>
      <c r="H610" s="56">
        <f>F610*(($H$282)+1)+(IF(G610&lt;101,G610,IF(G610&lt;201,G610/2,IF(G610&lt;=301,G610/3,G610/4))))</f>
        <v>2068.4640600000002</v>
      </c>
    </row>
    <row r="611" spans="1:9" ht="15.75" customHeight="1">
      <c r="A611" s="56">
        <v>2</v>
      </c>
      <c r="B611" s="74" t="s">
        <v>331</v>
      </c>
      <c r="C611" s="56" t="s">
        <v>322</v>
      </c>
      <c r="D611" s="66">
        <f>(117.39)*(10.764)</f>
        <v>1263.5859599999999</v>
      </c>
      <c r="E611" s="66">
        <f>(10.96)*(10.764)</f>
        <v>117.97344</v>
      </c>
      <c r="F611" s="56">
        <f>D611+E611</f>
        <v>1381.5593999999999</v>
      </c>
      <c r="G611" s="56">
        <v>0</v>
      </c>
      <c r="H611" s="56">
        <f>F611*(($H$282)+1)+(IF(G611&lt;101,G611,IF(G611&lt;201,G611/2,IF(G611&lt;=301,G611/3,G611/4))))</f>
        <v>2072.3390999999997</v>
      </c>
    </row>
    <row r="612" spans="1:9" ht="15.75" customHeight="1">
      <c r="A612" s="98" t="s">
        <v>467</v>
      </c>
      <c r="B612" s="98"/>
      <c r="C612" s="98"/>
      <c r="D612" s="98"/>
      <c r="E612" s="98"/>
      <c r="F612" s="98"/>
      <c r="G612" s="98"/>
      <c r="H612" s="98"/>
      <c r="I612" s="68">
        <f>4</f>
        <v>4</v>
      </c>
    </row>
    <row r="613" spans="1:9" ht="15.75" customHeight="1">
      <c r="A613" s="56">
        <v>1</v>
      </c>
      <c r="B613" s="74" t="s">
        <v>331</v>
      </c>
      <c r="C613" s="56" t="s">
        <v>322</v>
      </c>
      <c r="D613" s="66">
        <f>(117.11)*(10.764)</f>
        <v>1260.57204</v>
      </c>
      <c r="E613" s="66">
        <f>(11)*(10.764)</f>
        <v>118.404</v>
      </c>
      <c r="F613" s="56">
        <f>D613+E613</f>
        <v>1378.97604</v>
      </c>
      <c r="G613" s="56">
        <v>0</v>
      </c>
      <c r="H613" s="56">
        <f>F613*(($H$282)+1)+(IF(G613&lt;101,G613,IF(G613&lt;201,G613/2,IF(G613&lt;=301,G613/3,G613/4))))</f>
        <v>2068.4640600000002</v>
      </c>
    </row>
    <row r="614" spans="1:9" ht="15.75" customHeight="1">
      <c r="A614" s="56">
        <v>2</v>
      </c>
      <c r="B614" s="74" t="s">
        <v>331</v>
      </c>
      <c r="C614" s="56" t="s">
        <v>322</v>
      </c>
      <c r="D614" s="66">
        <f>(117.39)*(10.764)</f>
        <v>1263.5859599999999</v>
      </c>
      <c r="E614" s="66">
        <f>(10.96)*(10.764)</f>
        <v>117.97344</v>
      </c>
      <c r="F614" s="56">
        <f>D614+E614</f>
        <v>1381.5593999999999</v>
      </c>
      <c r="G614" s="56">
        <v>0</v>
      </c>
      <c r="H614" s="56">
        <f>F614*(($H$282)+1)+(IF(G614&lt;101,G614,IF(G614&lt;201,G614/2,IF(G614&lt;=301,G614/3,G614/4))))</f>
        <v>2072.3390999999997</v>
      </c>
    </row>
    <row r="615" spans="1:9" ht="15.75" customHeight="1">
      <c r="A615" s="98" t="s">
        <v>464</v>
      </c>
      <c r="B615" s="98"/>
      <c r="C615" s="98"/>
      <c r="D615" s="98"/>
      <c r="E615" s="98"/>
      <c r="F615" s="98"/>
      <c r="G615" s="98"/>
      <c r="H615" s="98"/>
      <c r="I615" s="68">
        <f>1</f>
        <v>1</v>
      </c>
    </row>
    <row r="616" spans="1:9" ht="15.75" customHeight="1">
      <c r="A616" s="56">
        <v>1</v>
      </c>
      <c r="B616" s="56" t="s">
        <v>330</v>
      </c>
      <c r="C616" s="56" t="s">
        <v>320</v>
      </c>
      <c r="D616" s="66">
        <f>(235.22)*(10.764)</f>
        <v>2531.9080799999997</v>
      </c>
      <c r="E616" s="66">
        <f>(22.33)*(10.764)</f>
        <v>240.36011999999997</v>
      </c>
      <c r="F616" s="56">
        <f>D616+E616</f>
        <v>2772.2681999999995</v>
      </c>
      <c r="G616" s="56">
        <v>0</v>
      </c>
      <c r="H616" s="56">
        <f>F616*(($H$282)+1)+(IF(G616&lt;101,G616,IF(G616&lt;201,G616/2,IF(G616&lt;=301,G616/3,G616/4))))</f>
        <v>4158.4022999999997</v>
      </c>
      <c r="I616" s="34" t="s">
        <v>475</v>
      </c>
    </row>
    <row r="617" spans="1:9" ht="15.75" customHeight="1">
      <c r="A617" s="146" t="s">
        <v>414</v>
      </c>
      <c r="B617" s="146"/>
      <c r="C617" s="146"/>
      <c r="D617" s="146"/>
      <c r="E617" s="146"/>
      <c r="F617" s="146"/>
      <c r="G617" s="146"/>
      <c r="H617" s="146"/>
    </row>
    <row r="618" spans="1:9" ht="15.75" customHeight="1">
      <c r="A618" s="102" t="s">
        <v>377</v>
      </c>
      <c r="B618" s="103"/>
      <c r="C618" s="103"/>
      <c r="D618" s="103"/>
      <c r="E618" s="103"/>
      <c r="F618" s="103"/>
      <c r="G618" s="103"/>
      <c r="H618" s="104"/>
    </row>
    <row r="619" spans="1:9" ht="15.75" customHeight="1">
      <c r="A619" s="139" t="s">
        <v>381</v>
      </c>
      <c r="B619" s="140"/>
      <c r="C619" s="140"/>
      <c r="D619" s="140"/>
      <c r="E619" s="140"/>
      <c r="F619" s="140"/>
      <c r="G619" s="140"/>
      <c r="H619" s="141"/>
    </row>
    <row r="620" spans="1:9" ht="15.75" customHeight="1">
      <c r="A620" s="98" t="s">
        <v>336</v>
      </c>
      <c r="B620" s="98"/>
      <c r="C620" s="98"/>
      <c r="D620" s="98"/>
      <c r="E620" s="98"/>
      <c r="F620" s="98"/>
      <c r="G620" s="98"/>
      <c r="H620" s="98"/>
      <c r="I620" s="68">
        <f>1</f>
        <v>1</v>
      </c>
    </row>
    <row r="621" spans="1:9" ht="15.75" customHeight="1">
      <c r="A621" s="56">
        <v>1</v>
      </c>
      <c r="B621" s="74" t="s">
        <v>331</v>
      </c>
      <c r="C621" s="56" t="s">
        <v>322</v>
      </c>
      <c r="D621" s="66">
        <f>(93.19)*(10.764)</f>
        <v>1003.0971599999999</v>
      </c>
      <c r="E621" s="66">
        <f>0*(10.764)</f>
        <v>0</v>
      </c>
      <c r="F621" s="56">
        <f>D623+E621</f>
        <v>1717.9343999999999</v>
      </c>
      <c r="G621" s="56">
        <v>0</v>
      </c>
      <c r="H621" s="56">
        <f>F621*(($H$282)+1)+(IF(G621&lt;101,G621,IF(G621&lt;201,G621/2,IF(G621&lt;=301,G621/3,G621/4))))</f>
        <v>2576.9015999999997</v>
      </c>
    </row>
    <row r="622" spans="1:9" ht="15.75" customHeight="1">
      <c r="A622" s="56">
        <f>A621+1</f>
        <v>2</v>
      </c>
      <c r="B622" s="74" t="s">
        <v>331</v>
      </c>
      <c r="C622" s="56" t="s">
        <v>322</v>
      </c>
      <c r="D622" s="66">
        <f>(93.44)*(10.764)</f>
        <v>1005.7881599999999</v>
      </c>
      <c r="E622" s="66">
        <f>0*(10.764)</f>
        <v>0</v>
      </c>
      <c r="F622" s="56">
        <f t="shared" ref="F622:F623" si="65">D622+E622</f>
        <v>1005.7881599999999</v>
      </c>
      <c r="G622" s="56">
        <v>0</v>
      </c>
      <c r="H622" s="56">
        <f t="shared" ref="H622:H623" si="66">F622*(($H$282)+1)+(IF(G622&lt;101,G622,IF(G622&lt;201,G622/2,IF(G622&lt;=301,G622/3,G622/4))))</f>
        <v>1508.6822399999999</v>
      </c>
    </row>
    <row r="623" spans="1:9" ht="15.75" customHeight="1">
      <c r="A623" s="56">
        <f>A622+1</f>
        <v>3</v>
      </c>
      <c r="B623" s="74" t="s">
        <v>331</v>
      </c>
      <c r="C623" s="56" t="s">
        <v>332</v>
      </c>
      <c r="D623" s="66">
        <f>(159.6)*(10.764)</f>
        <v>1717.9343999999999</v>
      </c>
      <c r="E623" s="66">
        <f>(20.83)*(10.764)</f>
        <v>224.21411999999998</v>
      </c>
      <c r="F623" s="56">
        <f t="shared" si="65"/>
        <v>1942.1485199999997</v>
      </c>
      <c r="G623" s="56">
        <v>0</v>
      </c>
      <c r="H623" s="56">
        <f t="shared" si="66"/>
        <v>2913.2227799999996</v>
      </c>
    </row>
    <row r="624" spans="1:9" ht="15.75" customHeight="1">
      <c r="A624" s="98" t="s">
        <v>469</v>
      </c>
      <c r="B624" s="98"/>
      <c r="C624" s="98"/>
      <c r="D624" s="98"/>
      <c r="E624" s="98"/>
      <c r="F624" s="98"/>
      <c r="G624" s="98"/>
      <c r="H624" s="98"/>
      <c r="I624" s="68">
        <f>4+1</f>
        <v>5</v>
      </c>
    </row>
    <row r="625" spans="1:9" ht="15.75" customHeight="1">
      <c r="A625" s="56">
        <v>1</v>
      </c>
      <c r="B625" s="56" t="s">
        <v>330</v>
      </c>
      <c r="C625" s="56" t="s">
        <v>322</v>
      </c>
      <c r="D625" s="66">
        <f>(93.65)*(10.764)</f>
        <v>1008.0486</v>
      </c>
      <c r="E625" s="66">
        <f>0*(10.764)</f>
        <v>0</v>
      </c>
      <c r="F625" s="56">
        <f>D627+E625</f>
        <v>1717.9343999999999</v>
      </c>
      <c r="G625" s="56">
        <v>0</v>
      </c>
      <c r="H625" s="56">
        <f>F625*(($H$282)+1)+(IF(G625&lt;101,G625,IF(G625&lt;201,G625/2,IF(G625&lt;=301,G625/3,G625/4))))</f>
        <v>2576.9015999999997</v>
      </c>
      <c r="I625" s="34" t="s">
        <v>475</v>
      </c>
    </row>
    <row r="626" spans="1:9" ht="15.75" customHeight="1">
      <c r="A626" s="56">
        <f>A625+1</f>
        <v>2</v>
      </c>
      <c r="B626" s="56" t="s">
        <v>330</v>
      </c>
      <c r="C626" s="56" t="s">
        <v>322</v>
      </c>
      <c r="D626" s="66">
        <f>(93.9)*(10.764)</f>
        <v>1010.7396</v>
      </c>
      <c r="E626" s="66">
        <f>4.36*(10.764)</f>
        <v>46.931040000000003</v>
      </c>
      <c r="F626" s="56">
        <f t="shared" ref="F626:F627" si="67">D626+E626</f>
        <v>1057.67064</v>
      </c>
      <c r="G626" s="56">
        <v>0</v>
      </c>
      <c r="H626" s="56">
        <f t="shared" ref="H626:H627" si="68">F626*(($H$282)+1)+(IF(G626&lt;101,G626,IF(G626&lt;201,G626/2,IF(G626&lt;=301,G626/3,G626/4))))</f>
        <v>1586.50596</v>
      </c>
      <c r="I626" s="34" t="s">
        <v>475</v>
      </c>
    </row>
    <row r="627" spans="1:9" ht="15.75" customHeight="1">
      <c r="A627" s="56">
        <f>A626+1</f>
        <v>3</v>
      </c>
      <c r="B627" s="74" t="s">
        <v>331</v>
      </c>
      <c r="C627" s="56" t="s">
        <v>332</v>
      </c>
      <c r="D627" s="66">
        <f>(159.6)*(10.764)</f>
        <v>1717.9343999999999</v>
      </c>
      <c r="E627" s="66">
        <f>(20.83)*(10.764)</f>
        <v>224.21411999999998</v>
      </c>
      <c r="F627" s="56">
        <f t="shared" si="67"/>
        <v>1942.1485199999997</v>
      </c>
      <c r="G627" s="56">
        <v>0</v>
      </c>
      <c r="H627" s="56">
        <f t="shared" si="68"/>
        <v>2913.2227799999996</v>
      </c>
    </row>
    <row r="628" spans="1:9" ht="15.75" customHeight="1">
      <c r="A628" s="98" t="s">
        <v>468</v>
      </c>
      <c r="B628" s="98"/>
      <c r="C628" s="98"/>
      <c r="D628" s="98"/>
      <c r="E628" s="98"/>
      <c r="F628" s="98"/>
      <c r="G628" s="98"/>
      <c r="H628" s="98"/>
      <c r="I628" s="68">
        <f>2</f>
        <v>2</v>
      </c>
    </row>
    <row r="629" spans="1:9" ht="15.75" customHeight="1">
      <c r="A629" s="56">
        <v>1</v>
      </c>
      <c r="B629" s="56" t="s">
        <v>330</v>
      </c>
      <c r="C629" s="56" t="s">
        <v>322</v>
      </c>
      <c r="D629" s="66">
        <f>(93.65)*(10.764)</f>
        <v>1008.0486</v>
      </c>
      <c r="E629" s="66">
        <f>0*(10.764)</f>
        <v>0</v>
      </c>
      <c r="F629" s="56">
        <f>D631+E629</f>
        <v>1717.9343999999999</v>
      </c>
      <c r="G629" s="56">
        <v>0</v>
      </c>
      <c r="H629" s="56">
        <f>F629*(($H$282)+1)+(IF(G629&lt;101,G629,IF(G629&lt;201,G629/2,IF(G629&lt;=301,G629/3,G629/4))))</f>
        <v>2576.9015999999997</v>
      </c>
      <c r="I629" s="34" t="s">
        <v>475</v>
      </c>
    </row>
    <row r="630" spans="1:9" ht="15.75" customHeight="1">
      <c r="A630" s="56">
        <f>A629+1</f>
        <v>2</v>
      </c>
      <c r="B630" s="56" t="s">
        <v>330</v>
      </c>
      <c r="C630" s="56" t="s">
        <v>322</v>
      </c>
      <c r="D630" s="66">
        <f>(93.9)*(10.764)</f>
        <v>1010.7396</v>
      </c>
      <c r="E630" s="66">
        <f>4.36*(10.764)</f>
        <v>46.931040000000003</v>
      </c>
      <c r="F630" s="56">
        <f t="shared" ref="F630:F631" si="69">D630+E630</f>
        <v>1057.67064</v>
      </c>
      <c r="G630" s="56">
        <v>0</v>
      </c>
      <c r="H630" s="56">
        <f t="shared" ref="H630:H631" si="70">F630*(($H$282)+1)+(IF(G630&lt;101,G630,IF(G630&lt;201,G630/2,IF(G630&lt;=301,G630/3,G630/4))))</f>
        <v>1586.50596</v>
      </c>
      <c r="I630" s="34" t="s">
        <v>475</v>
      </c>
    </row>
    <row r="631" spans="1:9" ht="15.75" customHeight="1">
      <c r="A631" s="56">
        <f>A630+1</f>
        <v>3</v>
      </c>
      <c r="B631" s="74" t="s">
        <v>331</v>
      </c>
      <c r="C631" s="56" t="s">
        <v>332</v>
      </c>
      <c r="D631" s="66">
        <f>(159.6)*(10.764)</f>
        <v>1717.9343999999999</v>
      </c>
      <c r="E631" s="66">
        <f>(20.83)*(10.764)</f>
        <v>224.21411999999998</v>
      </c>
      <c r="F631" s="56">
        <f t="shared" si="69"/>
        <v>1942.1485199999997</v>
      </c>
      <c r="G631" s="56">
        <v>0</v>
      </c>
      <c r="H631" s="56">
        <f t="shared" si="70"/>
        <v>2913.2227799999996</v>
      </c>
    </row>
    <row r="632" spans="1:9" ht="15.75" customHeight="1">
      <c r="A632" s="98" t="s">
        <v>452</v>
      </c>
      <c r="B632" s="98"/>
      <c r="C632" s="98"/>
      <c r="D632" s="98"/>
      <c r="E632" s="98"/>
      <c r="F632" s="98"/>
      <c r="G632" s="98"/>
      <c r="H632" s="98"/>
      <c r="I632" s="68">
        <f>1</f>
        <v>1</v>
      </c>
    </row>
    <row r="633" spans="1:9" ht="15.75" customHeight="1">
      <c r="A633" s="56">
        <v>1</v>
      </c>
      <c r="B633" s="56" t="s">
        <v>330</v>
      </c>
      <c r="C633" s="56" t="s">
        <v>322</v>
      </c>
      <c r="D633" s="66">
        <f>(93.65)*(10.764)</f>
        <v>1008.0486</v>
      </c>
      <c r="E633" s="66">
        <f>0*(10.764)</f>
        <v>0</v>
      </c>
      <c r="F633" s="56">
        <f>D635+E633</f>
        <v>1717.9343999999999</v>
      </c>
      <c r="G633" s="56">
        <v>0</v>
      </c>
      <c r="H633" s="56">
        <f>F633*(($H$282)+1)+(IF(G633&lt;101,G633,IF(G633&lt;201,G633/2,IF(G633&lt;=301,G633/3,G633/4))))</f>
        <v>2576.9015999999997</v>
      </c>
      <c r="I633" s="34" t="s">
        <v>475</v>
      </c>
    </row>
    <row r="634" spans="1:9" ht="15.75" customHeight="1">
      <c r="A634" s="56">
        <f>A633+1</f>
        <v>2</v>
      </c>
      <c r="B634" s="74" t="s">
        <v>331</v>
      </c>
      <c r="C634" s="56" t="s">
        <v>322</v>
      </c>
      <c r="D634" s="66">
        <f>(93.9)*(10.764)</f>
        <v>1010.7396</v>
      </c>
      <c r="E634" s="66">
        <f>4.36*(10.764)</f>
        <v>46.931040000000003</v>
      </c>
      <c r="F634" s="56">
        <f t="shared" ref="F634:F635" si="71">D634+E634</f>
        <v>1057.67064</v>
      </c>
      <c r="G634" s="56">
        <v>0</v>
      </c>
      <c r="H634" s="56">
        <f t="shared" ref="H634:H635" si="72">F634*(($H$282)+1)+(IF(G634&lt;101,G634,IF(G634&lt;201,G634/2,IF(G634&lt;=301,G634/3,G634/4))))</f>
        <v>1586.50596</v>
      </c>
    </row>
    <row r="635" spans="1:9" ht="15.75" customHeight="1">
      <c r="A635" s="56">
        <f>A634+1</f>
        <v>3</v>
      </c>
      <c r="B635" s="74" t="s">
        <v>331</v>
      </c>
      <c r="C635" s="56" t="s">
        <v>332</v>
      </c>
      <c r="D635" s="66">
        <f>(159.6)*(10.764)</f>
        <v>1717.9343999999999</v>
      </c>
      <c r="E635" s="66">
        <f>(20.83)*(10.764)</f>
        <v>224.21411999999998</v>
      </c>
      <c r="F635" s="56">
        <f t="shared" si="71"/>
        <v>1942.1485199999997</v>
      </c>
      <c r="G635" s="56">
        <v>0</v>
      </c>
      <c r="H635" s="56">
        <f t="shared" si="72"/>
        <v>2913.2227799999996</v>
      </c>
    </row>
    <row r="636" spans="1:9" ht="15.75" customHeight="1">
      <c r="A636" s="98" t="s">
        <v>470</v>
      </c>
      <c r="B636" s="98"/>
      <c r="C636" s="98"/>
      <c r="D636" s="98"/>
      <c r="E636" s="98"/>
      <c r="F636" s="98"/>
      <c r="G636" s="98"/>
      <c r="H636" s="98"/>
      <c r="I636" s="68">
        <f>1</f>
        <v>1</v>
      </c>
    </row>
    <row r="637" spans="1:9" ht="15.75" customHeight="1">
      <c r="A637" s="56">
        <v>1</v>
      </c>
      <c r="B637" s="56" t="s">
        <v>330</v>
      </c>
      <c r="C637" s="56" t="s">
        <v>322</v>
      </c>
      <c r="D637" s="66">
        <f>(104.84)*(10.764)</f>
        <v>1128.49776</v>
      </c>
      <c r="E637" s="66">
        <f>9.4*(10.764)</f>
        <v>101.1816</v>
      </c>
      <c r="F637" s="56">
        <f>D639+E637</f>
        <v>1819.116</v>
      </c>
      <c r="G637" s="56">
        <v>0</v>
      </c>
      <c r="H637" s="56">
        <f>F637*(($H$282)+1)+(IF(G637&lt;101,G637,IF(G637&lt;201,G637/2,IF(G637&lt;=301,G637/3,G637/4))))</f>
        <v>2728.674</v>
      </c>
      <c r="I637" s="34" t="s">
        <v>475</v>
      </c>
    </row>
    <row r="638" spans="1:9" ht="15.75" customHeight="1">
      <c r="A638" s="56">
        <f>A637+1</f>
        <v>2</v>
      </c>
      <c r="B638" s="74" t="s">
        <v>331</v>
      </c>
      <c r="C638" s="56" t="s">
        <v>322</v>
      </c>
      <c r="D638" s="66">
        <f>(98.14)*(10.764)</f>
        <v>1056.37896</v>
      </c>
      <c r="E638" s="66">
        <f>4.36*(10.764)</f>
        <v>46.931040000000003</v>
      </c>
      <c r="F638" s="56">
        <f t="shared" ref="F638:F639" si="73">D638+E638</f>
        <v>1103.31</v>
      </c>
      <c r="G638" s="56">
        <v>0</v>
      </c>
      <c r="H638" s="56">
        <f t="shared" ref="H638:H639" si="74">F638*(($H$282)+1)+(IF(G638&lt;101,G638,IF(G638&lt;201,G638/2,IF(G638&lt;=301,G638/3,G638/4))))</f>
        <v>1654.9649999999999</v>
      </c>
    </row>
    <row r="639" spans="1:9" ht="15.75" customHeight="1">
      <c r="A639" s="56">
        <f>A638+1</f>
        <v>3</v>
      </c>
      <c r="B639" s="74" t="s">
        <v>331</v>
      </c>
      <c r="C639" s="56" t="s">
        <v>332</v>
      </c>
      <c r="D639" s="66">
        <f>(159.6)*(10.764)</f>
        <v>1717.9343999999999</v>
      </c>
      <c r="E639" s="66">
        <f>(20.83)*(10.764)</f>
        <v>224.21411999999998</v>
      </c>
      <c r="F639" s="56">
        <f t="shared" si="73"/>
        <v>1942.1485199999997</v>
      </c>
      <c r="G639" s="56">
        <v>0</v>
      </c>
      <c r="H639" s="56">
        <f t="shared" si="74"/>
        <v>2913.2227799999996</v>
      </c>
    </row>
    <row r="640" spans="1:9" ht="15.75" customHeight="1">
      <c r="A640" s="98" t="s">
        <v>429</v>
      </c>
      <c r="B640" s="98"/>
      <c r="C640" s="98"/>
      <c r="D640" s="98"/>
      <c r="E640" s="98"/>
      <c r="F640" s="98"/>
      <c r="G640" s="98"/>
      <c r="H640" s="98"/>
      <c r="I640" s="68">
        <f>1</f>
        <v>1</v>
      </c>
    </row>
    <row r="641" spans="1:9" ht="15.75" customHeight="1">
      <c r="A641" s="56">
        <v>1</v>
      </c>
      <c r="B641" s="56" t="s">
        <v>330</v>
      </c>
      <c r="C641" s="56" t="s">
        <v>322</v>
      </c>
      <c r="D641" s="66">
        <f>(104.84)*(10.764)</f>
        <v>1128.49776</v>
      </c>
      <c r="E641" s="66">
        <f>9.4*(10.764)</f>
        <v>101.1816</v>
      </c>
      <c r="F641" s="56">
        <f>D643+E641</f>
        <v>1819.116</v>
      </c>
      <c r="G641" s="56">
        <v>0</v>
      </c>
      <c r="H641" s="56">
        <f>F641*(($H$282)+1)+(IF(G641&lt;101,G641,IF(G641&lt;201,G641/2,IF(G641&lt;=301,G641/3,G641/4))))</f>
        <v>2728.674</v>
      </c>
      <c r="I641" s="34" t="s">
        <v>475</v>
      </c>
    </row>
    <row r="642" spans="1:9" ht="15.75" customHeight="1">
      <c r="A642" s="56">
        <f>A641+1</f>
        <v>2</v>
      </c>
      <c r="B642" s="56" t="s">
        <v>330</v>
      </c>
      <c r="C642" s="56" t="s">
        <v>322</v>
      </c>
      <c r="D642" s="66">
        <f>(98.14)*(10.764)</f>
        <v>1056.37896</v>
      </c>
      <c r="E642" s="66">
        <f>4.36*(10.764)</f>
        <v>46.931040000000003</v>
      </c>
      <c r="F642" s="56">
        <f t="shared" ref="F642:F643" si="75">D642+E642</f>
        <v>1103.31</v>
      </c>
      <c r="G642" s="56">
        <v>0</v>
      </c>
      <c r="H642" s="56">
        <f t="shared" ref="H642:H643" si="76">F642*(($H$282)+1)+(IF(G642&lt;101,G642,IF(G642&lt;201,G642/2,IF(G642&lt;=301,G642/3,G642/4))))</f>
        <v>1654.9649999999999</v>
      </c>
      <c r="I642" s="34" t="s">
        <v>475</v>
      </c>
    </row>
    <row r="643" spans="1:9" ht="15.75" customHeight="1">
      <c r="A643" s="56">
        <f>A642+1</f>
        <v>3</v>
      </c>
      <c r="B643" s="74" t="s">
        <v>331</v>
      </c>
      <c r="C643" s="56" t="s">
        <v>332</v>
      </c>
      <c r="D643" s="66">
        <f>(159.6)*(10.764)</f>
        <v>1717.9343999999999</v>
      </c>
      <c r="E643" s="66">
        <f>(20.83)*(10.764)</f>
        <v>224.21411999999998</v>
      </c>
      <c r="F643" s="56">
        <f t="shared" si="75"/>
        <v>1942.1485199999997</v>
      </c>
      <c r="G643" s="56">
        <v>0</v>
      </c>
      <c r="H643" s="56">
        <f t="shared" si="76"/>
        <v>2913.2227799999996</v>
      </c>
    </row>
    <row r="644" spans="1:9" ht="15.75" customHeight="1">
      <c r="A644" s="98" t="s">
        <v>471</v>
      </c>
      <c r="B644" s="98"/>
      <c r="C644" s="98"/>
      <c r="D644" s="98"/>
      <c r="E644" s="98"/>
      <c r="F644" s="98"/>
      <c r="G644" s="98"/>
      <c r="H644" s="98"/>
      <c r="I644" s="68">
        <f>1</f>
        <v>1</v>
      </c>
    </row>
    <row r="645" spans="1:9" ht="15.75" customHeight="1">
      <c r="A645" s="56">
        <v>1</v>
      </c>
      <c r="B645" s="56" t="s">
        <v>330</v>
      </c>
      <c r="C645" s="56" t="s">
        <v>322</v>
      </c>
      <c r="D645" s="66">
        <f>(104.84)*(10.764)</f>
        <v>1128.49776</v>
      </c>
      <c r="E645" s="66">
        <f>9.4*(10.764)</f>
        <v>101.1816</v>
      </c>
      <c r="F645" s="56">
        <f>D647+E645</f>
        <v>1819.116</v>
      </c>
      <c r="G645" s="56">
        <v>0</v>
      </c>
      <c r="H645" s="56">
        <f>F645*(($H$282)+1)+(IF(G645&lt;101,G645,IF(G645&lt;201,G645/2,IF(G645&lt;=301,G645/3,G645/4))))</f>
        <v>2728.674</v>
      </c>
      <c r="I645" s="34" t="s">
        <v>475</v>
      </c>
    </row>
    <row r="646" spans="1:9" ht="15.75" customHeight="1">
      <c r="A646" s="56">
        <f>A645+1</f>
        <v>2</v>
      </c>
      <c r="B646" s="56" t="s">
        <v>330</v>
      </c>
      <c r="C646" s="56" t="s">
        <v>322</v>
      </c>
      <c r="D646" s="66">
        <f>(98.14)*(10.764)</f>
        <v>1056.37896</v>
      </c>
      <c r="E646" s="66">
        <f>4.36*(10.764)</f>
        <v>46.931040000000003</v>
      </c>
      <c r="F646" s="56">
        <f t="shared" ref="F646:F647" si="77">D646+E646</f>
        <v>1103.31</v>
      </c>
      <c r="G646" s="56">
        <v>0</v>
      </c>
      <c r="H646" s="56">
        <f t="shared" ref="H646:H647" si="78">F646*(($H$282)+1)+(IF(G646&lt;101,G646,IF(G646&lt;201,G646/2,IF(G646&lt;=301,G646/3,G646/4))))</f>
        <v>1654.9649999999999</v>
      </c>
      <c r="I646" s="34" t="s">
        <v>475</v>
      </c>
    </row>
    <row r="647" spans="1:9" ht="15.75" customHeight="1">
      <c r="A647" s="56">
        <f>A646+1</f>
        <v>3</v>
      </c>
      <c r="B647" s="74" t="s">
        <v>331</v>
      </c>
      <c r="C647" s="56" t="s">
        <v>332</v>
      </c>
      <c r="D647" s="66">
        <f>(159.6)*(10.764)</f>
        <v>1717.9343999999999</v>
      </c>
      <c r="E647" s="66">
        <f>(20.83)*(10.764)</f>
        <v>224.21411999999998</v>
      </c>
      <c r="F647" s="56">
        <f t="shared" si="77"/>
        <v>1942.1485199999997</v>
      </c>
      <c r="G647" s="56">
        <v>0</v>
      </c>
      <c r="H647" s="56">
        <f t="shared" si="78"/>
        <v>2913.2227799999996</v>
      </c>
    </row>
    <row r="648" spans="1:9" ht="15.75" customHeight="1">
      <c r="A648" s="98" t="s">
        <v>472</v>
      </c>
      <c r="B648" s="98"/>
      <c r="C648" s="98"/>
      <c r="D648" s="98"/>
      <c r="E648" s="98"/>
      <c r="F648" s="98"/>
      <c r="G648" s="98"/>
      <c r="H648" s="98"/>
      <c r="I648" s="68">
        <f>2</f>
        <v>2</v>
      </c>
    </row>
    <row r="649" spans="1:9" ht="15.75" customHeight="1">
      <c r="A649" s="56">
        <v>1</v>
      </c>
      <c r="B649" s="74" t="s">
        <v>331</v>
      </c>
      <c r="C649" s="56" t="s">
        <v>322</v>
      </c>
      <c r="D649" s="66">
        <f>(110.88)*(10.764)</f>
        <v>1193.5123199999998</v>
      </c>
      <c r="E649" s="66">
        <f>11.08*(10.764)</f>
        <v>119.26512</v>
      </c>
      <c r="F649" s="56">
        <f>D651+E649</f>
        <v>1837.1995199999999</v>
      </c>
      <c r="G649" s="56">
        <v>0</v>
      </c>
      <c r="H649" s="56">
        <f>F649*(($H$282)+1)+(IF(G649&lt;101,G649,IF(G649&lt;201,G649/2,IF(G649&lt;=301,G649/3,G649/4))))</f>
        <v>2755.7992799999997</v>
      </c>
    </row>
    <row r="650" spans="1:9" ht="15.75" customHeight="1">
      <c r="A650" s="56">
        <f>A649+1</f>
        <v>2</v>
      </c>
      <c r="B650" s="74" t="s">
        <v>331</v>
      </c>
      <c r="C650" s="56" t="s">
        <v>322</v>
      </c>
      <c r="D650" s="66">
        <f>(104.16)*(10.764)</f>
        <v>1121.17824</v>
      </c>
      <c r="E650" s="66">
        <f>6.06*(10.764)</f>
        <v>65.229839999999996</v>
      </c>
      <c r="F650" s="56">
        <f t="shared" ref="F650:F651" si="79">D650+E650</f>
        <v>1186.4080799999999</v>
      </c>
      <c r="G650" s="56">
        <v>0</v>
      </c>
      <c r="H650" s="56">
        <f t="shared" ref="H650:H651" si="80">F650*(($H$282)+1)+(IF(G650&lt;101,G650,IF(G650&lt;201,G650/2,IF(G650&lt;=301,G650/3,G650/4))))</f>
        <v>1779.6121199999998</v>
      </c>
    </row>
    <row r="651" spans="1:9" ht="15.75" customHeight="1">
      <c r="A651" s="56">
        <f>A650+1</f>
        <v>3</v>
      </c>
      <c r="B651" s="74" t="s">
        <v>331</v>
      </c>
      <c r="C651" s="56" t="s">
        <v>332</v>
      </c>
      <c r="D651" s="66">
        <f>(159.6)*(10.764)</f>
        <v>1717.9343999999999</v>
      </c>
      <c r="E651" s="66">
        <f>(20.83)*(10.764)</f>
        <v>224.21411999999998</v>
      </c>
      <c r="F651" s="56">
        <f t="shared" si="79"/>
        <v>1942.1485199999997</v>
      </c>
      <c r="G651" s="56">
        <v>0</v>
      </c>
      <c r="H651" s="56">
        <f t="shared" si="80"/>
        <v>2913.2227799999996</v>
      </c>
    </row>
    <row r="652" spans="1:9" ht="15.75" customHeight="1">
      <c r="A652" s="98" t="s">
        <v>464</v>
      </c>
      <c r="B652" s="98"/>
      <c r="C652" s="98"/>
      <c r="D652" s="98"/>
      <c r="E652" s="98"/>
      <c r="F652" s="98"/>
      <c r="G652" s="98"/>
      <c r="H652" s="98"/>
      <c r="I652" s="68">
        <f>1</f>
        <v>1</v>
      </c>
    </row>
    <row r="653" spans="1:9" ht="15.75" customHeight="1">
      <c r="A653" s="56">
        <v>1</v>
      </c>
      <c r="B653" s="56" t="s">
        <v>330</v>
      </c>
      <c r="C653" s="56" t="s">
        <v>322</v>
      </c>
      <c r="D653" s="66">
        <f>(110.88)*(10.764)</f>
        <v>1193.5123199999998</v>
      </c>
      <c r="E653" s="66">
        <f>11.08*(10.764)</f>
        <v>119.26512</v>
      </c>
      <c r="F653" s="56">
        <f>D655+E653</f>
        <v>1837.1995199999999</v>
      </c>
      <c r="G653" s="56">
        <v>0</v>
      </c>
      <c r="H653" s="56">
        <f>F653*(($H$282)+1)+(IF(G653&lt;101,G653,IF(G653&lt;201,G653/2,IF(G653&lt;=301,G653/3,G653/4))))</f>
        <v>2755.7992799999997</v>
      </c>
      <c r="I653" s="34" t="s">
        <v>475</v>
      </c>
    </row>
    <row r="654" spans="1:9" ht="15.75" customHeight="1">
      <c r="A654" s="56">
        <f>A653+1</f>
        <v>2</v>
      </c>
      <c r="B654" s="74" t="s">
        <v>331</v>
      </c>
      <c r="C654" s="56" t="s">
        <v>322</v>
      </c>
      <c r="D654" s="66">
        <f>(104.16)*(10.764)</f>
        <v>1121.17824</v>
      </c>
      <c r="E654" s="66">
        <f>6.06*(10.764)</f>
        <v>65.229839999999996</v>
      </c>
      <c r="F654" s="56">
        <f t="shared" ref="F654:F655" si="81">D654+E654</f>
        <v>1186.4080799999999</v>
      </c>
      <c r="G654" s="56">
        <v>0</v>
      </c>
      <c r="H654" s="56">
        <f t="shared" ref="H654:H655" si="82">F654*(($H$282)+1)+(IF(G654&lt;101,G654,IF(G654&lt;201,G654/2,IF(G654&lt;=301,G654/3,G654/4))))</f>
        <v>1779.6121199999998</v>
      </c>
    </row>
    <row r="655" spans="1:9" ht="15.75" customHeight="1">
      <c r="A655" s="56">
        <f>A654+1</f>
        <v>3</v>
      </c>
      <c r="B655" s="74" t="s">
        <v>331</v>
      </c>
      <c r="C655" s="56" t="s">
        <v>332</v>
      </c>
      <c r="D655" s="66">
        <f>(159.6)*(10.764)</f>
        <v>1717.9343999999999</v>
      </c>
      <c r="E655" s="66">
        <f>(20.83)*(10.764)</f>
        <v>224.21411999999998</v>
      </c>
      <c r="F655" s="56">
        <f t="shared" si="81"/>
        <v>1942.1485199999997</v>
      </c>
      <c r="G655" s="56">
        <v>0</v>
      </c>
      <c r="H655" s="56">
        <f t="shared" si="82"/>
        <v>2913.2227799999996</v>
      </c>
    </row>
    <row r="656" spans="1:9" ht="15.75" customHeight="1">
      <c r="A656" s="98" t="s">
        <v>473</v>
      </c>
      <c r="B656" s="98"/>
      <c r="C656" s="98"/>
      <c r="D656" s="98"/>
      <c r="E656" s="98"/>
      <c r="F656" s="98"/>
      <c r="G656" s="98"/>
      <c r="H656" s="98"/>
      <c r="I656" s="68">
        <f>1</f>
        <v>1</v>
      </c>
    </row>
    <row r="657" spans="1:9" ht="15.75" customHeight="1">
      <c r="A657" s="56">
        <v>1</v>
      </c>
      <c r="B657" s="56" t="s">
        <v>330</v>
      </c>
      <c r="C657" s="56" t="s">
        <v>322</v>
      </c>
      <c r="D657" s="66">
        <f>(110.88)*(10.764)</f>
        <v>1193.5123199999998</v>
      </c>
      <c r="E657" s="66">
        <f>11.08*(10.764)</f>
        <v>119.26512</v>
      </c>
      <c r="F657" s="56">
        <f>D659+E657</f>
        <v>1837.1995199999999</v>
      </c>
      <c r="G657" s="56">
        <v>0</v>
      </c>
      <c r="H657" s="56">
        <f>F657*(($H$282)+1)+(IF(G657&lt;101,G657,IF(G657&lt;201,G657/2,IF(G657&lt;=301,G657/3,G657/4))))</f>
        <v>2755.7992799999997</v>
      </c>
      <c r="I657" s="34" t="s">
        <v>475</v>
      </c>
    </row>
    <row r="658" spans="1:9" ht="15.75" customHeight="1">
      <c r="A658" s="56">
        <f>A657+1</f>
        <v>2</v>
      </c>
      <c r="B658" s="74" t="s">
        <v>331</v>
      </c>
      <c r="C658" s="56" t="s">
        <v>322</v>
      </c>
      <c r="D658" s="66">
        <f>(104.16)*(10.764)</f>
        <v>1121.17824</v>
      </c>
      <c r="E658" s="66">
        <f>6.06*(10.764)</f>
        <v>65.229839999999996</v>
      </c>
      <c r="F658" s="56">
        <f t="shared" ref="F658:F659" si="83">D658+E658</f>
        <v>1186.4080799999999</v>
      </c>
      <c r="G658" s="56">
        <v>0</v>
      </c>
      <c r="H658" s="56">
        <f t="shared" ref="H658:H659" si="84">F658*(($H$282)+1)+(IF(G658&lt;101,G658,IF(G658&lt;201,G658/2,IF(G658&lt;=301,G658/3,G658/4))))</f>
        <v>1779.6121199999998</v>
      </c>
    </row>
    <row r="659" spans="1:9" ht="15.75" customHeight="1">
      <c r="A659" s="56">
        <f>A658+1</f>
        <v>3</v>
      </c>
      <c r="B659" s="74" t="s">
        <v>331</v>
      </c>
      <c r="C659" s="56" t="s">
        <v>332</v>
      </c>
      <c r="D659" s="66">
        <f>(159.6)*(10.764)</f>
        <v>1717.9343999999999</v>
      </c>
      <c r="E659" s="66">
        <f>(20.83)*(10.764)</f>
        <v>224.21411999999998</v>
      </c>
      <c r="F659" s="56">
        <f t="shared" si="83"/>
        <v>1942.1485199999997</v>
      </c>
      <c r="G659" s="56">
        <v>0</v>
      </c>
      <c r="H659" s="56">
        <f t="shared" si="84"/>
        <v>2913.2227799999996</v>
      </c>
    </row>
    <row r="660" spans="1:9" ht="15.75" customHeight="1">
      <c r="A660" s="98" t="s">
        <v>474</v>
      </c>
      <c r="B660" s="98"/>
      <c r="C660" s="98"/>
      <c r="D660" s="98"/>
      <c r="E660" s="98"/>
      <c r="F660" s="98"/>
      <c r="G660" s="98"/>
      <c r="H660" s="98"/>
      <c r="I660" s="68">
        <f>1</f>
        <v>1</v>
      </c>
    </row>
    <row r="661" spans="1:9" ht="15.75" customHeight="1">
      <c r="A661" s="56">
        <v>1</v>
      </c>
      <c r="B661" s="74" t="s">
        <v>331</v>
      </c>
      <c r="C661" s="56" t="s">
        <v>322</v>
      </c>
      <c r="D661" s="66">
        <f>(110.88)*(10.764)</f>
        <v>1193.5123199999998</v>
      </c>
      <c r="E661" s="66">
        <f>11.08*(10.764)</f>
        <v>119.26512</v>
      </c>
      <c r="F661" s="56">
        <f>D663+E661</f>
        <v>1837.1995199999999</v>
      </c>
      <c r="G661" s="56">
        <v>0</v>
      </c>
      <c r="H661" s="56">
        <f>F661*(($H$282)+1)+(IF(G661&lt;101,G661,IF(G661&lt;201,G661/2,IF(G661&lt;=301,G661/3,G661/4))))</f>
        <v>2755.7992799999997</v>
      </c>
    </row>
    <row r="662" spans="1:9" ht="15.75" customHeight="1">
      <c r="A662" s="56">
        <f>A661+1</f>
        <v>2</v>
      </c>
      <c r="B662" s="74" t="s">
        <v>331</v>
      </c>
      <c r="C662" s="56" t="s">
        <v>322</v>
      </c>
      <c r="D662" s="66">
        <f>(104.16)*(10.764)</f>
        <v>1121.17824</v>
      </c>
      <c r="E662" s="66">
        <f>6.06*(10.764)</f>
        <v>65.229839999999996</v>
      </c>
      <c r="F662" s="56">
        <f t="shared" ref="F662:F663" si="85">D662+E662</f>
        <v>1186.4080799999999</v>
      </c>
      <c r="G662" s="56">
        <v>0</v>
      </c>
      <c r="H662" s="56">
        <f t="shared" ref="H662:H663" si="86">F662*(($H$282)+1)+(IF(G662&lt;101,G662,IF(G662&lt;201,G662/2,IF(G662&lt;=301,G662/3,G662/4))))</f>
        <v>1779.6121199999998</v>
      </c>
    </row>
    <row r="663" spans="1:9" ht="15.75" customHeight="1">
      <c r="A663" s="56">
        <f>A662+1</f>
        <v>3</v>
      </c>
      <c r="B663" s="74" t="s">
        <v>331</v>
      </c>
      <c r="C663" s="56" t="s">
        <v>332</v>
      </c>
      <c r="D663" s="66">
        <f>(159.6)*(10.764)</f>
        <v>1717.9343999999999</v>
      </c>
      <c r="E663" s="66">
        <f>(20.83)*(10.764)</f>
        <v>224.21411999999998</v>
      </c>
      <c r="F663" s="56">
        <f t="shared" si="85"/>
        <v>1942.1485199999997</v>
      </c>
      <c r="G663" s="56">
        <v>0</v>
      </c>
      <c r="H663" s="56">
        <f t="shared" si="86"/>
        <v>2913.2227799999996</v>
      </c>
    </row>
    <row r="664" spans="1:9">
      <c r="A664" s="202" t="s">
        <v>64</v>
      </c>
      <c r="B664" s="202"/>
      <c r="C664" s="202"/>
      <c r="D664" s="202"/>
      <c r="E664" s="202"/>
      <c r="F664" s="202"/>
      <c r="G664" s="202"/>
      <c r="H664" s="202"/>
    </row>
    <row r="665" spans="1:9" ht="17.25" customHeight="1">
      <c r="A665" s="43">
        <v>1</v>
      </c>
      <c r="B665" s="209" t="s">
        <v>400</v>
      </c>
      <c r="C665" s="210"/>
      <c r="D665" s="210"/>
      <c r="E665" s="210"/>
      <c r="F665" s="210"/>
      <c r="G665" s="210"/>
      <c r="H665" s="211"/>
    </row>
    <row r="666" spans="1:9">
      <c r="A666" s="43">
        <f>A665+1</f>
        <v>2</v>
      </c>
      <c r="B666" s="209" t="str">
        <f>(IF(H281="Saleable area Loading :","We have considered Saleable area of Flats as per our Calculation.","We considered Saleable area of Flat as per Builder area Sheet."))</f>
        <v>We have considered Saleable area of Flats as per our Calculation.</v>
      </c>
      <c r="C666" s="210"/>
      <c r="D666" s="210"/>
      <c r="E666" s="210"/>
      <c r="F666" s="210"/>
      <c r="G666" s="210"/>
      <c r="H666" s="211"/>
    </row>
    <row r="667" spans="1:9">
      <c r="A667" s="43">
        <f t="shared" ref="A667:A673" si="87">A666+1</f>
        <v>3</v>
      </c>
      <c r="B667" s="209" t="str">
        <f>(IF(H273="Saleable area Loading :","We have considered Saleable area of Commercial as per our Calculation.","We considered Saleable area of Commercial as per Builder area Sheet."))</f>
        <v>We have considered Saleable area of Commercial as per our Calculation.</v>
      </c>
      <c r="C667" s="210"/>
      <c r="D667" s="210"/>
      <c r="E667" s="210"/>
      <c r="F667" s="210"/>
      <c r="G667" s="210"/>
      <c r="H667" s="211"/>
    </row>
    <row r="668" spans="1:9">
      <c r="A668" s="43">
        <f t="shared" si="87"/>
        <v>4</v>
      </c>
      <c r="B668" s="89" t="s">
        <v>120</v>
      </c>
      <c r="C668" s="90"/>
      <c r="D668" s="90"/>
      <c r="E668" s="90"/>
      <c r="F668" s="90"/>
      <c r="G668" s="90"/>
      <c r="H668" s="91"/>
    </row>
    <row r="669" spans="1:9">
      <c r="A669" s="43">
        <f t="shared" si="87"/>
        <v>5</v>
      </c>
      <c r="B669" s="89" t="s">
        <v>346</v>
      </c>
      <c r="C669" s="90"/>
      <c r="D669" s="90"/>
      <c r="E669" s="90"/>
      <c r="F669" s="90"/>
      <c r="G669" s="90"/>
      <c r="H669" s="91"/>
    </row>
    <row r="670" spans="1:9">
      <c r="A670" s="43">
        <f t="shared" si="87"/>
        <v>6</v>
      </c>
      <c r="B670" s="89" t="s">
        <v>149</v>
      </c>
      <c r="C670" s="90"/>
      <c r="D670" s="90"/>
      <c r="E670" s="90"/>
      <c r="F670" s="90"/>
      <c r="G670" s="90"/>
      <c r="H670" s="91"/>
    </row>
    <row r="671" spans="1:9">
      <c r="A671" s="43">
        <f t="shared" si="87"/>
        <v>7</v>
      </c>
      <c r="B671" s="89" t="s">
        <v>121</v>
      </c>
      <c r="C671" s="90"/>
      <c r="D671" s="90"/>
      <c r="E671" s="90"/>
      <c r="F671" s="90"/>
      <c r="G671" s="90"/>
      <c r="H671" s="91"/>
    </row>
    <row r="672" spans="1:9">
      <c r="A672" s="43">
        <f t="shared" si="87"/>
        <v>8</v>
      </c>
      <c r="B672" s="89" t="s">
        <v>151</v>
      </c>
      <c r="C672" s="90"/>
      <c r="D672" s="90"/>
      <c r="E672" s="90"/>
      <c r="F672" s="90"/>
      <c r="G672" s="90"/>
      <c r="H672" s="91"/>
    </row>
    <row r="673" spans="1:10">
      <c r="A673" s="43">
        <f t="shared" si="87"/>
        <v>9</v>
      </c>
      <c r="B673" s="89" t="s">
        <v>122</v>
      </c>
      <c r="C673" s="90"/>
      <c r="D673" s="90"/>
      <c r="E673" s="90"/>
      <c r="F673" s="90"/>
      <c r="G673" s="90"/>
      <c r="H673" s="91"/>
    </row>
    <row r="674" spans="1:10" hidden="1">
      <c r="A674" s="43" t="s">
        <v>150</v>
      </c>
      <c r="B674" s="198" t="s">
        <v>347</v>
      </c>
      <c r="C674" s="199"/>
      <c r="D674" s="199"/>
      <c r="E674" s="199"/>
      <c r="F674" s="199"/>
      <c r="G674" s="199"/>
      <c r="H674" s="200"/>
    </row>
    <row r="675" spans="1:10">
      <c r="A675" s="43">
        <v>10</v>
      </c>
      <c r="B675" s="89" t="s">
        <v>398</v>
      </c>
      <c r="C675" s="90"/>
      <c r="D675" s="90"/>
      <c r="E675" s="90"/>
      <c r="F675" s="90"/>
      <c r="G675" s="90"/>
      <c r="H675" s="91"/>
    </row>
    <row r="676" spans="1:10" ht="33" customHeight="1">
      <c r="A676" s="43">
        <v>11</v>
      </c>
      <c r="B676" s="89" t="s">
        <v>402</v>
      </c>
      <c r="C676" s="90"/>
      <c r="D676" s="90"/>
      <c r="E676" s="90"/>
      <c r="F676" s="90"/>
      <c r="G676" s="90"/>
      <c r="H676" s="91"/>
    </row>
    <row r="677" spans="1:10">
      <c r="A677" s="43">
        <v>12</v>
      </c>
      <c r="B677" s="89" t="s">
        <v>476</v>
      </c>
      <c r="C677" s="90"/>
      <c r="D677" s="90"/>
      <c r="E677" s="90"/>
      <c r="F677" s="90"/>
      <c r="G677" s="90"/>
      <c r="H677" s="91"/>
    </row>
    <row r="678" spans="1:10">
      <c r="A678" s="197" t="s">
        <v>57</v>
      </c>
      <c r="B678" s="197"/>
      <c r="C678" s="197"/>
      <c r="D678" s="197"/>
      <c r="E678" s="197"/>
      <c r="F678" s="197"/>
      <c r="G678" s="197"/>
      <c r="H678" s="197"/>
    </row>
    <row r="679" spans="1:10">
      <c r="A679" s="151" t="s">
        <v>58</v>
      </c>
      <c r="B679" s="151"/>
      <c r="C679" s="151"/>
      <c r="D679" s="151"/>
      <c r="E679" s="151"/>
      <c r="F679" s="151"/>
      <c r="G679" s="151"/>
      <c r="H679" s="151"/>
    </row>
    <row r="680" spans="1:10">
      <c r="A680" s="201" t="s">
        <v>59</v>
      </c>
      <c r="B680" s="201"/>
      <c r="C680" s="201"/>
      <c r="D680" s="201"/>
      <c r="E680" s="201"/>
      <c r="F680" s="201"/>
      <c r="G680" s="201"/>
      <c r="H680" s="201"/>
    </row>
    <row r="681" spans="1:10">
      <c r="A681" s="151" t="s">
        <v>60</v>
      </c>
      <c r="B681" s="151"/>
      <c r="C681" s="151"/>
      <c r="D681" s="151"/>
      <c r="E681" s="151"/>
      <c r="F681" s="151"/>
      <c r="G681" s="151"/>
      <c r="H681" s="151"/>
    </row>
    <row r="682" spans="1:10">
      <c r="A682" s="151" t="s">
        <v>61</v>
      </c>
      <c r="B682" s="151"/>
      <c r="C682" s="151"/>
      <c r="D682" s="151"/>
      <c r="E682" s="151"/>
      <c r="F682" s="151"/>
      <c r="G682" s="151"/>
      <c r="H682" s="151"/>
    </row>
    <row r="683" spans="1:10">
      <c r="A683" s="151" t="s">
        <v>123</v>
      </c>
      <c r="B683" s="151"/>
      <c r="C683" s="151"/>
      <c r="D683" s="151"/>
      <c r="E683" s="151"/>
      <c r="F683" s="151"/>
      <c r="G683" s="151"/>
      <c r="H683" s="151"/>
    </row>
    <row r="684" spans="1:10">
      <c r="A684" s="105" t="s">
        <v>124</v>
      </c>
      <c r="B684" s="105"/>
      <c r="C684" s="105"/>
      <c r="D684" s="105"/>
      <c r="E684" s="105"/>
      <c r="F684" s="105"/>
      <c r="G684" s="105"/>
      <c r="H684" s="105"/>
    </row>
    <row r="685" spans="1:10" ht="15.6" customHeight="1">
      <c r="A685" s="88" t="s">
        <v>72</v>
      </c>
      <c r="B685" s="88"/>
      <c r="C685" s="88" t="s">
        <v>487</v>
      </c>
      <c r="D685" s="88"/>
      <c r="E685" s="88" t="s">
        <v>102</v>
      </c>
      <c r="F685" s="88"/>
      <c r="G685" s="88" t="s">
        <v>486</v>
      </c>
      <c r="H685" s="88"/>
    </row>
    <row r="686" spans="1:10">
      <c r="A686" s="196" t="s">
        <v>74</v>
      </c>
      <c r="B686" s="196"/>
      <c r="C686" s="196"/>
      <c r="D686" s="196"/>
      <c r="E686" s="196"/>
      <c r="F686" s="196"/>
      <c r="G686" s="196"/>
      <c r="H686" s="196"/>
      <c r="I686" s="88" t="s">
        <v>399</v>
      </c>
      <c r="J686" s="88"/>
    </row>
    <row r="687" spans="1:10">
      <c r="A687" s="196"/>
      <c r="B687" s="196"/>
      <c r="C687" s="196"/>
      <c r="D687" s="196"/>
      <c r="E687" s="196"/>
      <c r="F687" s="196"/>
      <c r="G687" s="196"/>
      <c r="H687" s="196"/>
    </row>
    <row r="688" spans="1:10">
      <c r="A688" s="196"/>
      <c r="B688" s="196"/>
      <c r="C688" s="196"/>
      <c r="D688" s="196"/>
      <c r="E688" s="196"/>
      <c r="F688" s="196"/>
      <c r="G688" s="196"/>
      <c r="H688" s="196"/>
    </row>
    <row r="689" spans="1:8">
      <c r="A689" s="196"/>
      <c r="B689" s="196"/>
      <c r="C689" s="196"/>
      <c r="D689" s="196"/>
      <c r="E689" s="196"/>
      <c r="F689" s="196"/>
      <c r="G689" s="196"/>
      <c r="H689" s="196"/>
    </row>
    <row r="690" spans="1:8">
      <c r="A690" s="37" t="s">
        <v>62</v>
      </c>
      <c r="B690" s="38"/>
      <c r="C690" s="38"/>
      <c r="D690" s="37" t="str">
        <f>E9</f>
        <v>Aaradhya Onepark</v>
      </c>
      <c r="F690" s="38"/>
      <c r="G690" s="38"/>
      <c r="H690" s="38"/>
    </row>
    <row r="691" spans="1:8">
      <c r="A691" s="38"/>
      <c r="B691" s="38"/>
      <c r="C691" s="38"/>
      <c r="D691" s="38"/>
      <c r="E691" s="38"/>
      <c r="F691" s="38"/>
      <c r="G691" s="38"/>
      <c r="H691" s="38"/>
    </row>
    <row r="692" spans="1:8">
      <c r="A692" s="38"/>
      <c r="B692" s="38"/>
      <c r="C692" s="38"/>
      <c r="D692" s="38"/>
      <c r="E692" s="38"/>
      <c r="F692" s="38"/>
      <c r="G692" s="38"/>
      <c r="H692" s="38"/>
    </row>
    <row r="732" spans="1:1">
      <c r="A732" s="40" t="s">
        <v>161</v>
      </c>
    </row>
    <row r="774" spans="1:8">
      <c r="A774" s="37" t="s">
        <v>415</v>
      </c>
      <c r="B774" s="38"/>
      <c r="C774" s="38"/>
      <c r="D774" s="37"/>
      <c r="F774" s="38"/>
      <c r="G774" s="38"/>
      <c r="H774" s="38"/>
    </row>
    <row r="775" spans="1:8">
      <c r="A775" s="38"/>
      <c r="B775" s="38"/>
      <c r="C775" s="38"/>
      <c r="D775" s="38"/>
      <c r="E775" s="38"/>
      <c r="F775" s="38"/>
      <c r="G775" s="38"/>
      <c r="H775" s="38"/>
    </row>
    <row r="776" spans="1:8">
      <c r="A776" s="38"/>
      <c r="B776" s="38"/>
      <c r="C776" s="38"/>
      <c r="D776" s="38"/>
      <c r="E776" s="38"/>
      <c r="F776" s="38"/>
      <c r="G776" s="38"/>
      <c r="H776" s="38"/>
    </row>
    <row r="816" spans="1:8">
      <c r="A816" s="37" t="s">
        <v>415</v>
      </c>
      <c r="B816" s="38"/>
      <c r="C816" s="38"/>
      <c r="D816" s="37"/>
      <c r="F816" s="38"/>
      <c r="G816" s="38"/>
      <c r="H816" s="38"/>
    </row>
    <row r="817" spans="1:8">
      <c r="A817" s="38"/>
      <c r="B817" s="38"/>
      <c r="C817" s="38"/>
      <c r="D817" s="38"/>
      <c r="E817" s="38"/>
      <c r="F817" s="38"/>
      <c r="G817" s="38"/>
      <c r="H817" s="38"/>
    </row>
    <row r="818" spans="1:8">
      <c r="A818" s="38"/>
      <c r="B818" s="38"/>
      <c r="C818" s="38"/>
      <c r="D818" s="38"/>
      <c r="E818" s="38"/>
      <c r="F818" s="38"/>
      <c r="G818" s="38"/>
      <c r="H818" s="38"/>
    </row>
    <row r="858" spans="1:1">
      <c r="A858" s="40" t="s">
        <v>63</v>
      </c>
    </row>
  </sheetData>
  <mergeCells count="684">
    <mergeCell ref="A194:B194"/>
    <mergeCell ref="A195:B195"/>
    <mergeCell ref="A196:B196"/>
    <mergeCell ref="A558:H558"/>
    <mergeCell ref="A562:H562"/>
    <mergeCell ref="A618:H618"/>
    <mergeCell ref="A619:H619"/>
    <mergeCell ref="A547:H547"/>
    <mergeCell ref="A548:H548"/>
    <mergeCell ref="A595:H595"/>
    <mergeCell ref="I11:L11"/>
    <mergeCell ref="A183:B183"/>
    <mergeCell ref="C183:H183"/>
    <mergeCell ref="A185:B185"/>
    <mergeCell ref="C185:H185"/>
    <mergeCell ref="A186:B186"/>
    <mergeCell ref="E186:F186"/>
    <mergeCell ref="G186:H186"/>
    <mergeCell ref="A187:B187"/>
    <mergeCell ref="E187:F196"/>
    <mergeCell ref="G187:H196"/>
    <mergeCell ref="A188:B188"/>
    <mergeCell ref="A189:B189"/>
    <mergeCell ref="A190:B190"/>
    <mergeCell ref="A191:B191"/>
    <mergeCell ref="A192:B192"/>
    <mergeCell ref="A193:B193"/>
    <mergeCell ref="B421:H421"/>
    <mergeCell ref="A423:H423"/>
    <mergeCell ref="B424:H424"/>
    <mergeCell ref="A444:H444"/>
    <mergeCell ref="A447:H447"/>
    <mergeCell ref="B465:H465"/>
    <mergeCell ref="C481:H481"/>
    <mergeCell ref="A656:H656"/>
    <mergeCell ref="A660:H660"/>
    <mergeCell ref="A521:H521"/>
    <mergeCell ref="A526:H526"/>
    <mergeCell ref="A531:H531"/>
    <mergeCell ref="A536:H536"/>
    <mergeCell ref="A541:H541"/>
    <mergeCell ref="C572:H572"/>
    <mergeCell ref="A586:H586"/>
    <mergeCell ref="C588:H588"/>
    <mergeCell ref="A590:H590"/>
    <mergeCell ref="A652:H652"/>
    <mergeCell ref="A578:H578"/>
    <mergeCell ref="A582:H582"/>
    <mergeCell ref="A546:H546"/>
    <mergeCell ref="A550:H550"/>
    <mergeCell ref="A554:H554"/>
    <mergeCell ref="E265:F265"/>
    <mergeCell ref="G265:H265"/>
    <mergeCell ref="C266:D266"/>
    <mergeCell ref="E266:F266"/>
    <mergeCell ref="G266:H266"/>
    <mergeCell ref="A259:A268"/>
    <mergeCell ref="C259:D259"/>
    <mergeCell ref="E259:F259"/>
    <mergeCell ref="A417:H417"/>
    <mergeCell ref="A99:B99"/>
    <mergeCell ref="C99:H99"/>
    <mergeCell ref="A101:B101"/>
    <mergeCell ref="C101:H101"/>
    <mergeCell ref="A102:B102"/>
    <mergeCell ref="E102:F102"/>
    <mergeCell ref="G102:H102"/>
    <mergeCell ref="A103:B103"/>
    <mergeCell ref="E103:F112"/>
    <mergeCell ref="G103:H112"/>
    <mergeCell ref="A104:B104"/>
    <mergeCell ref="A105:B105"/>
    <mergeCell ref="A106:B106"/>
    <mergeCell ref="A107:B107"/>
    <mergeCell ref="A108:B108"/>
    <mergeCell ref="A109:B109"/>
    <mergeCell ref="A110:B110"/>
    <mergeCell ref="A111:B111"/>
    <mergeCell ref="A112:B112"/>
    <mergeCell ref="D67:H67"/>
    <mergeCell ref="D68:H68"/>
    <mergeCell ref="A80:C80"/>
    <mergeCell ref="D80:H80"/>
    <mergeCell ref="A81:C81"/>
    <mergeCell ref="D81:H81"/>
    <mergeCell ref="A84:C84"/>
    <mergeCell ref="D84:H84"/>
    <mergeCell ref="A82:C82"/>
    <mergeCell ref="D83:H83"/>
    <mergeCell ref="C87:H87"/>
    <mergeCell ref="D69:H69"/>
    <mergeCell ref="D70:H70"/>
    <mergeCell ref="D71:H71"/>
    <mergeCell ref="D72:H72"/>
    <mergeCell ref="D73:H73"/>
    <mergeCell ref="D74:H74"/>
    <mergeCell ref="D75:H75"/>
    <mergeCell ref="D76:H76"/>
    <mergeCell ref="A516:H516"/>
    <mergeCell ref="A496:H496"/>
    <mergeCell ref="A501:H501"/>
    <mergeCell ref="A506:H506"/>
    <mergeCell ref="E88:F88"/>
    <mergeCell ref="G88:H88"/>
    <mergeCell ref="A89:B89"/>
    <mergeCell ref="A90:B90"/>
    <mergeCell ref="A91:B91"/>
    <mergeCell ref="A92:B92"/>
    <mergeCell ref="A93:B93"/>
    <mergeCell ref="A246:A255"/>
    <mergeCell ref="G250:H250"/>
    <mergeCell ref="G252:H252"/>
    <mergeCell ref="A488:H488"/>
    <mergeCell ref="A489:H489"/>
    <mergeCell ref="A257:H257"/>
    <mergeCell ref="A258:B258"/>
    <mergeCell ref="C258:D258"/>
    <mergeCell ref="E258:F258"/>
    <mergeCell ref="G258:H258"/>
    <mergeCell ref="A243:H243"/>
    <mergeCell ref="E200:F200"/>
    <mergeCell ref="E249:F249"/>
    <mergeCell ref="A596:H596"/>
    <mergeCell ref="A594:H594"/>
    <mergeCell ref="A597:H597"/>
    <mergeCell ref="A600:H600"/>
    <mergeCell ref="A603:H603"/>
    <mergeCell ref="A566:H566"/>
    <mergeCell ref="A570:H570"/>
    <mergeCell ref="L79:P79"/>
    <mergeCell ref="L80:P80"/>
    <mergeCell ref="A285:H285"/>
    <mergeCell ref="F225:H225"/>
    <mergeCell ref="F230:H230"/>
    <mergeCell ref="E116:F116"/>
    <mergeCell ref="G116:H116"/>
    <mergeCell ref="A231:E231"/>
    <mergeCell ref="F231:H231"/>
    <mergeCell ref="A233:E233"/>
    <mergeCell ref="F228:H228"/>
    <mergeCell ref="A232:E232"/>
    <mergeCell ref="A204:B204"/>
    <mergeCell ref="A205:B205"/>
    <mergeCell ref="E117:F126"/>
    <mergeCell ref="A124:B124"/>
    <mergeCell ref="A125:B125"/>
    <mergeCell ref="I15:P15"/>
    <mergeCell ref="F235:H235"/>
    <mergeCell ref="F233:H233"/>
    <mergeCell ref="A272:H272"/>
    <mergeCell ref="G239:H239"/>
    <mergeCell ref="A234:E234"/>
    <mergeCell ref="E43:H43"/>
    <mergeCell ref="A43:D43"/>
    <mergeCell ref="A50:B50"/>
    <mergeCell ref="L78:P78"/>
    <mergeCell ref="C50:E50"/>
    <mergeCell ref="C53:E53"/>
    <mergeCell ref="G53:H53"/>
    <mergeCell ref="G50:H50"/>
    <mergeCell ref="G52:H52"/>
    <mergeCell ref="A51:B51"/>
    <mergeCell ref="A56:B57"/>
    <mergeCell ref="C56:E56"/>
    <mergeCell ref="G56:H56"/>
    <mergeCell ref="D77:H77"/>
    <mergeCell ref="A67:C77"/>
    <mergeCell ref="A85:B85"/>
    <mergeCell ref="C85:H85"/>
    <mergeCell ref="A87:B87"/>
    <mergeCell ref="A277:B277"/>
    <mergeCell ref="A62:B62"/>
    <mergeCell ref="C62:E62"/>
    <mergeCell ref="D64:H64"/>
    <mergeCell ref="F234:H234"/>
    <mergeCell ref="E239:F239"/>
    <mergeCell ref="A239:B239"/>
    <mergeCell ref="A241:B241"/>
    <mergeCell ref="C244:D244"/>
    <mergeCell ref="D82:H82"/>
    <mergeCell ref="A83:C83"/>
    <mergeCell ref="A113:B113"/>
    <mergeCell ref="C113:H113"/>
    <mergeCell ref="A94:B94"/>
    <mergeCell ref="A63:H63"/>
    <mergeCell ref="A64:C64"/>
    <mergeCell ref="A65:C65"/>
    <mergeCell ref="D65:H65"/>
    <mergeCell ref="G62:H62"/>
    <mergeCell ref="A121:B121"/>
    <mergeCell ref="A122:B122"/>
    <mergeCell ref="A123:B123"/>
    <mergeCell ref="A207:B207"/>
    <mergeCell ref="F226:H226"/>
    <mergeCell ref="A58:B59"/>
    <mergeCell ref="C58:E58"/>
    <mergeCell ref="G58:H58"/>
    <mergeCell ref="A60:B61"/>
    <mergeCell ref="C60:E60"/>
    <mergeCell ref="G60:H60"/>
    <mergeCell ref="G51:H51"/>
    <mergeCell ref="C52:E52"/>
    <mergeCell ref="C51:E51"/>
    <mergeCell ref="G240:H240"/>
    <mergeCell ref="A210:B210"/>
    <mergeCell ref="F232:H232"/>
    <mergeCell ref="C239:D239"/>
    <mergeCell ref="A238:H238"/>
    <mergeCell ref="A240:B240"/>
    <mergeCell ref="A227:E227"/>
    <mergeCell ref="G200:H200"/>
    <mergeCell ref="A199:B199"/>
    <mergeCell ref="E201:F210"/>
    <mergeCell ref="F227:H227"/>
    <mergeCell ref="A230:E230"/>
    <mergeCell ref="A229:E229"/>
    <mergeCell ref="A206:B206"/>
    <mergeCell ref="A208:B208"/>
    <mergeCell ref="A209:B209"/>
    <mergeCell ref="A228:E228"/>
    <mergeCell ref="A225:E225"/>
    <mergeCell ref="F229:H229"/>
    <mergeCell ref="A236:E236"/>
    <mergeCell ref="F236:H236"/>
    <mergeCell ref="A237:E237"/>
    <mergeCell ref="F237:H237"/>
    <mergeCell ref="C211:H211"/>
    <mergeCell ref="A126:B126"/>
    <mergeCell ref="A201:B201"/>
    <mergeCell ref="A127:B127"/>
    <mergeCell ref="C127:H127"/>
    <mergeCell ref="A129:B129"/>
    <mergeCell ref="C129:H129"/>
    <mergeCell ref="A130:B130"/>
    <mergeCell ref="B667:H667"/>
    <mergeCell ref="B665:H665"/>
    <mergeCell ref="B666:H666"/>
    <mergeCell ref="A361:H361"/>
    <mergeCell ref="A365:H365"/>
    <mergeCell ref="A369:H369"/>
    <mergeCell ref="A373:H373"/>
    <mergeCell ref="A450:H450"/>
    <mergeCell ref="A381:H381"/>
    <mergeCell ref="A463:H463"/>
    <mergeCell ref="A467:H467"/>
    <mergeCell ref="A471:H471"/>
    <mergeCell ref="A475:H475"/>
    <mergeCell ref="A479:H479"/>
    <mergeCell ref="A483:H483"/>
    <mergeCell ref="A632:H632"/>
    <mergeCell ref="A636:H636"/>
    <mergeCell ref="A640:H640"/>
    <mergeCell ref="A644:H644"/>
    <mergeCell ref="A648:H648"/>
    <mergeCell ref="A606:H606"/>
    <mergeCell ref="B281:B282"/>
    <mergeCell ref="A270:B270"/>
    <mergeCell ref="C270:D270"/>
    <mergeCell ref="E270:F270"/>
    <mergeCell ref="A244:B244"/>
    <mergeCell ref="D281:D282"/>
    <mergeCell ref="E281:E282"/>
    <mergeCell ref="A286:H286"/>
    <mergeCell ref="A276:B276"/>
    <mergeCell ref="A288:H288"/>
    <mergeCell ref="C246:D246"/>
    <mergeCell ref="E246:F246"/>
    <mergeCell ref="G246:H246"/>
    <mergeCell ref="E251:F251"/>
    <mergeCell ref="G251:H251"/>
    <mergeCell ref="C251:D251"/>
    <mergeCell ref="C247:D247"/>
    <mergeCell ref="C248:D248"/>
    <mergeCell ref="A284:H284"/>
    <mergeCell ref="A327:H327"/>
    <mergeCell ref="A281:A282"/>
    <mergeCell ref="F281:F282"/>
    <mergeCell ref="A664:H664"/>
    <mergeCell ref="A377:H377"/>
    <mergeCell ref="A303:H303"/>
    <mergeCell ref="A511:H511"/>
    <mergeCell ref="E247:F247"/>
    <mergeCell ref="E248:F248"/>
    <mergeCell ref="A628:H628"/>
    <mergeCell ref="A279:B279"/>
    <mergeCell ref="A278:B278"/>
    <mergeCell ref="A283:H283"/>
    <mergeCell ref="A287:H287"/>
    <mergeCell ref="A456:H456"/>
    <mergeCell ref="A459:H459"/>
    <mergeCell ref="A609:H609"/>
    <mergeCell ref="A612:H612"/>
    <mergeCell ref="A615:H615"/>
    <mergeCell ref="A617:H617"/>
    <mergeCell ref="A620:H620"/>
    <mergeCell ref="A624:H624"/>
    <mergeCell ref="A574:H574"/>
    <mergeCell ref="C273:C274"/>
    <mergeCell ref="D273:D274"/>
    <mergeCell ref="A686:H689"/>
    <mergeCell ref="A685:B685"/>
    <mergeCell ref="E685:F685"/>
    <mergeCell ref="C685:D685"/>
    <mergeCell ref="G685:H685"/>
    <mergeCell ref="A684:H684"/>
    <mergeCell ref="A682:H682"/>
    <mergeCell ref="B668:H668"/>
    <mergeCell ref="B669:H669"/>
    <mergeCell ref="A679:H679"/>
    <mergeCell ref="A678:H678"/>
    <mergeCell ref="B670:H670"/>
    <mergeCell ref="B672:H672"/>
    <mergeCell ref="B674:H674"/>
    <mergeCell ref="B673:H673"/>
    <mergeCell ref="B671:H671"/>
    <mergeCell ref="A683:H683"/>
    <mergeCell ref="A680:H680"/>
    <mergeCell ref="A681:H681"/>
    <mergeCell ref="B676:H676"/>
    <mergeCell ref="B675:H675"/>
    <mergeCell ref="C241:D241"/>
    <mergeCell ref="E241:F241"/>
    <mergeCell ref="G241:H241"/>
    <mergeCell ref="A242:B242"/>
    <mergeCell ref="C242:D242"/>
    <mergeCell ref="E242:F242"/>
    <mergeCell ref="G242:H242"/>
    <mergeCell ref="C255:D255"/>
    <mergeCell ref="E255:F255"/>
    <mergeCell ref="E244:F244"/>
    <mergeCell ref="E250:F250"/>
    <mergeCell ref="E252:F252"/>
    <mergeCell ref="G247:H247"/>
    <mergeCell ref="G248:H248"/>
    <mergeCell ref="C252:D252"/>
    <mergeCell ref="A271:H271"/>
    <mergeCell ref="G273:G274"/>
    <mergeCell ref="C199:H199"/>
    <mergeCell ref="A200:B200"/>
    <mergeCell ref="A235:E235"/>
    <mergeCell ref="G244:H244"/>
    <mergeCell ref="C249:D249"/>
    <mergeCell ref="C250:D250"/>
    <mergeCell ref="G249:H249"/>
    <mergeCell ref="C253:D253"/>
    <mergeCell ref="C254:D254"/>
    <mergeCell ref="E253:F253"/>
    <mergeCell ref="E254:F254"/>
    <mergeCell ref="G253:H253"/>
    <mergeCell ref="G254:H254"/>
    <mergeCell ref="G259:H259"/>
    <mergeCell ref="C260:D260"/>
    <mergeCell ref="E260:F260"/>
    <mergeCell ref="G260:H260"/>
    <mergeCell ref="C261:D261"/>
    <mergeCell ref="E261:F261"/>
    <mergeCell ref="G261:H261"/>
    <mergeCell ref="C262:D262"/>
    <mergeCell ref="A211:B211"/>
    <mergeCell ref="A115:B1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38:H38"/>
    <mergeCell ref="A37:B37"/>
    <mergeCell ref="C37:E37"/>
    <mergeCell ref="G201:H210"/>
    <mergeCell ref="A42:D42"/>
    <mergeCell ref="E42:H42"/>
    <mergeCell ref="A41:H41"/>
    <mergeCell ref="A78:C78"/>
    <mergeCell ref="A79:C79"/>
    <mergeCell ref="D78:H78"/>
    <mergeCell ref="E89:F98"/>
    <mergeCell ref="G89:H98"/>
    <mergeCell ref="A97:B97"/>
    <mergeCell ref="A98:B98"/>
    <mergeCell ref="D79:H79"/>
    <mergeCell ref="A44:D44"/>
    <mergeCell ref="E44:H44"/>
    <mergeCell ref="E45:H45"/>
    <mergeCell ref="E46:H46"/>
    <mergeCell ref="A116:B116"/>
    <mergeCell ref="E47:H47"/>
    <mergeCell ref="C59:H59"/>
    <mergeCell ref="C61:H61"/>
    <mergeCell ref="F37:H37"/>
    <mergeCell ref="A292:H292"/>
    <mergeCell ref="A39:B39"/>
    <mergeCell ref="C39:H39"/>
    <mergeCell ref="A46:D46"/>
    <mergeCell ref="L279:M279"/>
    <mergeCell ref="L278:M278"/>
    <mergeCell ref="L277:M277"/>
    <mergeCell ref="L276:M276"/>
    <mergeCell ref="A96:B96"/>
    <mergeCell ref="C245:D245"/>
    <mergeCell ref="E245:F245"/>
    <mergeCell ref="G245:H245"/>
    <mergeCell ref="A226:E226"/>
    <mergeCell ref="A197:B197"/>
    <mergeCell ref="C197:H197"/>
    <mergeCell ref="A275:H275"/>
    <mergeCell ref="E273:E274"/>
    <mergeCell ref="A117:B117"/>
    <mergeCell ref="A47:D47"/>
    <mergeCell ref="A48:H48"/>
    <mergeCell ref="D66:H66"/>
    <mergeCell ref="A66:C66"/>
    <mergeCell ref="A95:B95"/>
    <mergeCell ref="C115:H115"/>
    <mergeCell ref="L288:M288"/>
    <mergeCell ref="A40:B40"/>
    <mergeCell ref="C40:H40"/>
    <mergeCell ref="F273:F274"/>
    <mergeCell ref="C240:D240"/>
    <mergeCell ref="E240:F240"/>
    <mergeCell ref="B273:B274"/>
    <mergeCell ref="A273:A274"/>
    <mergeCell ref="C281:C282"/>
    <mergeCell ref="G281:G282"/>
    <mergeCell ref="G270:H270"/>
    <mergeCell ref="C57:H57"/>
    <mergeCell ref="A88:B88"/>
    <mergeCell ref="A49:B49"/>
    <mergeCell ref="C49:H49"/>
    <mergeCell ref="A202:B202"/>
    <mergeCell ref="A203:B203"/>
    <mergeCell ref="G117:H126"/>
    <mergeCell ref="A118:B118"/>
    <mergeCell ref="A119:B119"/>
    <mergeCell ref="A120:B120"/>
    <mergeCell ref="G255:H255"/>
    <mergeCell ref="A45:D45"/>
    <mergeCell ref="A280:H280"/>
    <mergeCell ref="A300:H300"/>
    <mergeCell ref="A408:H408"/>
    <mergeCell ref="A343:H343"/>
    <mergeCell ref="A346:H346"/>
    <mergeCell ref="A298:H298"/>
    <mergeCell ref="A299:H299"/>
    <mergeCell ref="A385:H385"/>
    <mergeCell ref="A389:H389"/>
    <mergeCell ref="A405:H405"/>
    <mergeCell ref="A307:H307"/>
    <mergeCell ref="A311:H311"/>
    <mergeCell ref="A315:H315"/>
    <mergeCell ref="A319:H319"/>
    <mergeCell ref="A331:H331"/>
    <mergeCell ref="A335:H335"/>
    <mergeCell ref="B356:H356"/>
    <mergeCell ref="A358:H358"/>
    <mergeCell ref="B359:H359"/>
    <mergeCell ref="A393:H393"/>
    <mergeCell ref="A397:H397"/>
    <mergeCell ref="A323:H323"/>
    <mergeCell ref="A339:H339"/>
    <mergeCell ref="A349:H349"/>
    <mergeCell ref="A352:H352"/>
    <mergeCell ref="A491:H491"/>
    <mergeCell ref="A344:H344"/>
    <mergeCell ref="A345:H345"/>
    <mergeCell ref="A362:H362"/>
    <mergeCell ref="A363:H363"/>
    <mergeCell ref="A406:H406"/>
    <mergeCell ref="A407:H407"/>
    <mergeCell ref="A427:H427"/>
    <mergeCell ref="A428:H428"/>
    <mergeCell ref="A457:H457"/>
    <mergeCell ref="A458:H458"/>
    <mergeCell ref="A453:H453"/>
    <mergeCell ref="A426:H426"/>
    <mergeCell ref="A429:H429"/>
    <mergeCell ref="A432:H432"/>
    <mergeCell ref="A435:H435"/>
    <mergeCell ref="A438:H438"/>
    <mergeCell ref="A441:H441"/>
    <mergeCell ref="A411:H411"/>
    <mergeCell ref="A414:H414"/>
    <mergeCell ref="A401:H401"/>
    <mergeCell ref="A487:H487"/>
    <mergeCell ref="A355:H355"/>
    <mergeCell ref="A420:H420"/>
    <mergeCell ref="K268:L268"/>
    <mergeCell ref="A256:B256"/>
    <mergeCell ref="C256:D256"/>
    <mergeCell ref="E256:F256"/>
    <mergeCell ref="G256:H256"/>
    <mergeCell ref="A269:B269"/>
    <mergeCell ref="C269:D269"/>
    <mergeCell ref="E269:F269"/>
    <mergeCell ref="G269:H269"/>
    <mergeCell ref="E262:F262"/>
    <mergeCell ref="G262:H262"/>
    <mergeCell ref="C263:D263"/>
    <mergeCell ref="E263:F263"/>
    <mergeCell ref="G263:H263"/>
    <mergeCell ref="C267:D267"/>
    <mergeCell ref="E267:F267"/>
    <mergeCell ref="G267:H267"/>
    <mergeCell ref="C268:D268"/>
    <mergeCell ref="E268:F268"/>
    <mergeCell ref="G268:H268"/>
    <mergeCell ref="C264:D264"/>
    <mergeCell ref="E264:F264"/>
    <mergeCell ref="G264:H264"/>
    <mergeCell ref="C265:D265"/>
    <mergeCell ref="E130:F130"/>
    <mergeCell ref="G130:H130"/>
    <mergeCell ref="A131:B131"/>
    <mergeCell ref="E131:F140"/>
    <mergeCell ref="G131:H140"/>
    <mergeCell ref="A132:B132"/>
    <mergeCell ref="A133:B133"/>
    <mergeCell ref="A134:B134"/>
    <mergeCell ref="A135:B135"/>
    <mergeCell ref="A136:B136"/>
    <mergeCell ref="A137:B137"/>
    <mergeCell ref="A138:B138"/>
    <mergeCell ref="A139:B139"/>
    <mergeCell ref="A140:B140"/>
    <mergeCell ref="A167:B167"/>
    <mergeCell ref="A168:B168"/>
    <mergeCell ref="A141:B141"/>
    <mergeCell ref="C141:H141"/>
    <mergeCell ref="A143:B143"/>
    <mergeCell ref="C143:H143"/>
    <mergeCell ref="A144:B144"/>
    <mergeCell ref="E144:F144"/>
    <mergeCell ref="G144:H144"/>
    <mergeCell ref="A145:B145"/>
    <mergeCell ref="E145:F154"/>
    <mergeCell ref="G145:H154"/>
    <mergeCell ref="A146:B146"/>
    <mergeCell ref="A147:B147"/>
    <mergeCell ref="A148:B148"/>
    <mergeCell ref="A149:B149"/>
    <mergeCell ref="A150:B150"/>
    <mergeCell ref="A151:B151"/>
    <mergeCell ref="A152:B152"/>
    <mergeCell ref="A153:B153"/>
    <mergeCell ref="A154:B154"/>
    <mergeCell ref="A176:B176"/>
    <mergeCell ref="A177:B177"/>
    <mergeCell ref="A178:B178"/>
    <mergeCell ref="A179:B179"/>
    <mergeCell ref="A180:B180"/>
    <mergeCell ref="A181:B181"/>
    <mergeCell ref="A182:B182"/>
    <mergeCell ref="A155:B155"/>
    <mergeCell ref="C155:H155"/>
    <mergeCell ref="A157:B157"/>
    <mergeCell ref="C157:H157"/>
    <mergeCell ref="A158:B158"/>
    <mergeCell ref="E158:F158"/>
    <mergeCell ref="G158:H158"/>
    <mergeCell ref="A159:B159"/>
    <mergeCell ref="E159:F168"/>
    <mergeCell ref="G159:H168"/>
    <mergeCell ref="A160:B160"/>
    <mergeCell ref="A161:B161"/>
    <mergeCell ref="A162:B162"/>
    <mergeCell ref="A163:B163"/>
    <mergeCell ref="A164:B164"/>
    <mergeCell ref="A165:B165"/>
    <mergeCell ref="A166:B166"/>
    <mergeCell ref="A213:B213"/>
    <mergeCell ref="C213:H213"/>
    <mergeCell ref="A214:B214"/>
    <mergeCell ref="E214:F214"/>
    <mergeCell ref="G214:H214"/>
    <mergeCell ref="A215:B215"/>
    <mergeCell ref="E215:F224"/>
    <mergeCell ref="G215:H224"/>
    <mergeCell ref="A216:B216"/>
    <mergeCell ref="A217:B217"/>
    <mergeCell ref="A218:B218"/>
    <mergeCell ref="A219:B219"/>
    <mergeCell ref="A220:B220"/>
    <mergeCell ref="A221:B221"/>
    <mergeCell ref="A222:B222"/>
    <mergeCell ref="A223:B223"/>
    <mergeCell ref="A224:B224"/>
    <mergeCell ref="I686:J686"/>
    <mergeCell ref="B677:H677"/>
    <mergeCell ref="A52:B55"/>
    <mergeCell ref="A290:H290"/>
    <mergeCell ref="A294:H294"/>
    <mergeCell ref="A296:H296"/>
    <mergeCell ref="C297:H297"/>
    <mergeCell ref="A301:H301"/>
    <mergeCell ref="C54:E54"/>
    <mergeCell ref="G54:H54"/>
    <mergeCell ref="C55:E55"/>
    <mergeCell ref="G55:H55"/>
    <mergeCell ref="A169:B169"/>
    <mergeCell ref="C169:H169"/>
    <mergeCell ref="A171:B171"/>
    <mergeCell ref="C171:H171"/>
    <mergeCell ref="A172:B172"/>
    <mergeCell ref="E172:F172"/>
    <mergeCell ref="G172:H172"/>
    <mergeCell ref="A173:B173"/>
    <mergeCell ref="E173:F182"/>
    <mergeCell ref="G173:H182"/>
    <mergeCell ref="A174:B174"/>
    <mergeCell ref="A175:B175"/>
  </mergeCells>
  <dataValidations disablePrompts="1"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273:E274" xr:uid="{00000000-0002-0000-0000-000003000000}">
      <formula1>"Attached Loft area,Attached Otla area,Attached Mezzanine area"</formula1>
    </dataValidation>
    <dataValidation type="list" allowBlank="1" showInputMessage="1" showErrorMessage="1" sqref="F225:H225" xr:uid="{00000000-0002-0000-0000-000005000000}">
      <formula1>"On Saleable Area,On Builtup Area,On Carpet Area,On Plot Area"</formula1>
    </dataValidation>
    <dataValidation type="list" allowBlank="1" showInputMessage="1" showErrorMessage="1" sqref="F236:H236" xr:uid="{00000000-0002-0000-0000-000006000000}">
      <formula1>OFFSET($S$225,1,MATCH($G20,$S$225:$W$225,0)-1,15,1)</formula1>
    </dataValidation>
    <dataValidation type="list" allowBlank="1" showInputMessage="1" showErrorMessage="1" sqref="B273:B274" xr:uid="{00000000-0002-0000-0000-000007000000}">
      <formula1>"Shop No. (Sale Plan),Sale / Rehab,Sale / Mhada"</formula1>
    </dataValidation>
    <dataValidation type="list" allowBlank="1" showInputMessage="1" showErrorMessage="1" sqref="B281:B282" xr:uid="{00000000-0002-0000-0000-000008000000}">
      <formula1>"Flat No. (Sale Plan),Sale / Rehab,Sale / Mhada,Sale/Rehab/Mhada"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281:E282" xr:uid="{00000000-0002-0000-0000-00000B000000}">
      <formula1>"Fungible area,Deck Area, Balcony Area,Chajja Area,Cornice Area,AP Area,WS Area"</formula1>
    </dataValidation>
    <dataValidation type="list" allowBlank="1" showInputMessage="1" showErrorMessage="1" sqref="H274 H28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273 H281" xr:uid="{00000000-0002-0000-0000-00000F000000}">
      <formula1>"Saleable area Loading :,Builder Saleable Area"</formula1>
    </dataValidation>
    <dataValidation type="list" allowBlank="1" showInputMessage="1" showErrorMessage="1" sqref="D273:D274 D281:D282"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8" manualBreakCount="8">
    <brk id="84" max="16383" man="1"/>
    <brk id="168" max="16383" man="1"/>
    <brk id="256" max="16383" man="1"/>
    <brk id="689" max="7" man="1"/>
    <brk id="731" max="7" man="1"/>
    <brk id="773" max="16383" man="1"/>
    <brk id="815" max="16383" man="1"/>
    <brk id="85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4" zoomScale="70" zoomScaleNormal="70" workbookViewId="0">
      <selection activeCell="B15" sqref="B15"/>
    </sheetView>
  </sheetViews>
  <sheetFormatPr defaultColWidth="8.7109375" defaultRowHeight="1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249" t="s">
        <v>103</v>
      </c>
      <c r="C3" s="249"/>
      <c r="D3" s="249"/>
      <c r="E3" s="249"/>
      <c r="F3" s="249"/>
      <c r="G3" s="249"/>
      <c r="H3" s="249"/>
    </row>
    <row r="4" spans="1:9">
      <c r="A4" s="2"/>
      <c r="B4" s="3" t="s">
        <v>104</v>
      </c>
      <c r="C4" s="3" t="s">
        <v>105</v>
      </c>
      <c r="D4" s="3" t="s">
        <v>65</v>
      </c>
      <c r="E4" s="3" t="s">
        <v>106</v>
      </c>
      <c r="F4" s="3" t="s">
        <v>112</v>
      </c>
      <c r="G4" s="3" t="s">
        <v>113</v>
      </c>
      <c r="H4" s="3" t="s">
        <v>107</v>
      </c>
    </row>
    <row r="5" spans="1:9" ht="15" customHeight="1">
      <c r="A5" s="2"/>
      <c r="B5" s="5" t="s">
        <v>108</v>
      </c>
      <c r="C5" s="6"/>
      <c r="D5" s="5"/>
      <c r="E5" s="5"/>
      <c r="F5" s="7">
        <f>E5*1.6</f>
        <v>0</v>
      </c>
      <c r="G5" s="7" t="e">
        <f>H5/F5</f>
        <v>#DIV/0!</v>
      </c>
      <c r="H5" s="8"/>
    </row>
    <row r="6" spans="1:9">
      <c r="A6" s="2"/>
      <c r="B6" s="5" t="s">
        <v>108</v>
      </c>
      <c r="C6" s="9"/>
      <c r="D6" s="5"/>
      <c r="E6" s="5"/>
      <c r="F6" s="7">
        <f t="shared" ref="F6:F11" si="0">E6*1.6</f>
        <v>0</v>
      </c>
      <c r="G6" s="7" t="e">
        <f t="shared" ref="G6:G11" si="1">H6/F6</f>
        <v>#DIV/0!</v>
      </c>
      <c r="H6" s="8"/>
    </row>
    <row r="7" spans="1:9" ht="15" customHeight="1">
      <c r="A7" s="2"/>
      <c r="B7" s="5" t="s">
        <v>108</v>
      </c>
      <c r="C7" s="6"/>
      <c r="D7" s="5"/>
      <c r="E7" s="5"/>
      <c r="F7" s="7">
        <f t="shared" si="0"/>
        <v>0</v>
      </c>
      <c r="G7" s="7" t="e">
        <f t="shared" si="1"/>
        <v>#DIV/0!</v>
      </c>
      <c r="H7" s="8"/>
    </row>
    <row r="8" spans="1:9">
      <c r="A8" s="2"/>
      <c r="B8" s="5" t="s">
        <v>108</v>
      </c>
      <c r="C8" s="9"/>
      <c r="D8" s="5"/>
      <c r="E8" s="5"/>
      <c r="F8" s="7">
        <f t="shared" si="0"/>
        <v>0</v>
      </c>
      <c r="G8" s="7" t="e">
        <f t="shared" si="1"/>
        <v>#DIV/0!</v>
      </c>
      <c r="H8" s="8"/>
    </row>
    <row r="9" spans="1:9" ht="15" customHeight="1">
      <c r="A9" s="2"/>
      <c r="B9" s="5" t="s">
        <v>108</v>
      </c>
      <c r="C9" s="9"/>
      <c r="D9" s="5"/>
      <c r="E9" s="5"/>
      <c r="F9" s="7">
        <f t="shared" si="0"/>
        <v>0</v>
      </c>
      <c r="G9" s="7" t="e">
        <f t="shared" si="1"/>
        <v>#DIV/0!</v>
      </c>
      <c r="H9" s="8"/>
    </row>
    <row r="10" spans="1:9" ht="15" customHeight="1">
      <c r="A10" s="2"/>
      <c r="B10" s="5" t="s">
        <v>109</v>
      </c>
      <c r="C10" s="6"/>
      <c r="D10" s="5"/>
      <c r="E10" s="5"/>
      <c r="F10" s="7">
        <f t="shared" si="0"/>
        <v>0</v>
      </c>
      <c r="G10" s="7" t="e">
        <f t="shared" si="1"/>
        <v>#DIV/0!</v>
      </c>
      <c r="H10" s="8"/>
    </row>
    <row r="11" spans="1:9" ht="15" customHeight="1">
      <c r="A11" s="2"/>
      <c r="B11" s="5" t="s">
        <v>109</v>
      </c>
      <c r="C11" s="6"/>
      <c r="D11" s="5"/>
      <c r="E11" s="5"/>
      <c r="F11" s="7">
        <f t="shared" si="0"/>
        <v>0</v>
      </c>
      <c r="G11" s="7" t="e">
        <f t="shared" si="1"/>
        <v>#DIV/0!</v>
      </c>
      <c r="H11" s="8"/>
    </row>
    <row r="12" spans="1:9" ht="15" customHeight="1">
      <c r="A12" s="2"/>
      <c r="B12" s="10" t="s">
        <v>110</v>
      </c>
      <c r="C12" s="5"/>
      <c r="D12" s="5"/>
      <c r="E12" s="5"/>
      <c r="F12" s="5"/>
      <c r="G12" s="11" t="e">
        <f>AVERAGE(G5:G11)</f>
        <v>#DIV/0!</v>
      </c>
      <c r="H12" s="5"/>
    </row>
    <row r="13" spans="1:9" ht="15" customHeight="1">
      <c r="B13" s="10" t="s">
        <v>111</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c r="J3">
        <v>1</v>
      </c>
      <c r="K3">
        <v>2</v>
      </c>
    </row>
    <row r="4" spans="2:11">
      <c r="B4" s="50"/>
      <c r="C4" s="50" t="s">
        <v>11</v>
      </c>
      <c r="D4" s="51" t="s">
        <v>174</v>
      </c>
      <c r="E4" s="51" t="s">
        <v>184</v>
      </c>
      <c r="F4" s="51" t="s">
        <v>170</v>
      </c>
      <c r="G4" s="51" t="s">
        <v>189</v>
      </c>
      <c r="H4" s="51" t="s">
        <v>207</v>
      </c>
      <c r="J4" t="s">
        <v>189</v>
      </c>
      <c r="K4" t="s">
        <v>205</v>
      </c>
    </row>
    <row r="5" spans="2:11">
      <c r="B5" s="50"/>
      <c r="C5" s="50"/>
      <c r="D5" s="51" t="s">
        <v>175</v>
      </c>
      <c r="E5" s="51" t="s">
        <v>182</v>
      </c>
      <c r="F5" s="51" t="s">
        <v>204</v>
      </c>
      <c r="G5" s="51" t="s">
        <v>190</v>
      </c>
      <c r="H5" s="51" t="s">
        <v>208</v>
      </c>
    </row>
    <row r="6" spans="2:11">
      <c r="B6" s="50"/>
      <c r="C6" s="50"/>
      <c r="D6" s="51" t="s">
        <v>176</v>
      </c>
      <c r="E6" s="51" t="s">
        <v>183</v>
      </c>
      <c r="F6" s="51" t="s">
        <v>205</v>
      </c>
      <c r="G6" s="51" t="s">
        <v>191</v>
      </c>
      <c r="H6" s="51" t="s">
        <v>221</v>
      </c>
    </row>
    <row r="7" spans="2:11">
      <c r="B7" s="50"/>
      <c r="C7" s="50"/>
      <c r="D7" s="51" t="s">
        <v>177</v>
      </c>
      <c r="E7" s="51" t="s">
        <v>185</v>
      </c>
      <c r="F7" s="51" t="s">
        <v>206</v>
      </c>
      <c r="G7" s="51" t="s">
        <v>192</v>
      </c>
      <c r="H7" s="51" t="s">
        <v>209</v>
      </c>
    </row>
    <row r="8" spans="2:11">
      <c r="B8" s="50"/>
      <c r="C8" s="50"/>
      <c r="D8" s="51" t="s">
        <v>178</v>
      </c>
      <c r="E8" s="51" t="s">
        <v>186</v>
      </c>
      <c r="F8" s="51"/>
      <c r="G8" s="51" t="s">
        <v>193</v>
      </c>
      <c r="H8" s="51" t="s">
        <v>210</v>
      </c>
    </row>
    <row r="9" spans="2:11">
      <c r="B9" s="50"/>
      <c r="C9" s="50"/>
      <c r="D9" s="51" t="s">
        <v>179</v>
      </c>
      <c r="E9" s="51" t="s">
        <v>184</v>
      </c>
      <c r="F9" s="51"/>
      <c r="G9" s="51" t="s">
        <v>194</v>
      </c>
      <c r="H9" s="51" t="s">
        <v>211</v>
      </c>
    </row>
    <row r="10" spans="2:11">
      <c r="B10" s="50"/>
      <c r="C10" s="50"/>
      <c r="D10" s="51" t="s">
        <v>180</v>
      </c>
      <c r="E10" s="51" t="s">
        <v>187</v>
      </c>
      <c r="F10" s="51"/>
      <c r="G10" s="51" t="s">
        <v>195</v>
      </c>
      <c r="H10" s="51" t="s">
        <v>212</v>
      </c>
    </row>
    <row r="11" spans="2:11">
      <c r="B11" s="50"/>
      <c r="C11" s="50"/>
      <c r="D11" s="51" t="s">
        <v>181</v>
      </c>
      <c r="E11" s="51" t="s">
        <v>188</v>
      </c>
      <c r="F11" s="51"/>
      <c r="G11" s="51" t="s">
        <v>196</v>
      </c>
      <c r="H11" s="51" t="s">
        <v>213</v>
      </c>
    </row>
    <row r="12" spans="2:11">
      <c r="B12" s="50"/>
      <c r="C12" s="50"/>
      <c r="D12" s="51"/>
      <c r="E12" s="51"/>
      <c r="F12" s="51"/>
      <c r="G12" s="51" t="s">
        <v>197</v>
      </c>
      <c r="H12" s="51" t="s">
        <v>214</v>
      </c>
    </row>
    <row r="13" spans="2:11">
      <c r="B13" s="50"/>
      <c r="C13" s="50"/>
      <c r="D13" s="51"/>
      <c r="E13" s="51"/>
      <c r="F13" s="51"/>
      <c r="G13" s="51" t="s">
        <v>198</v>
      </c>
      <c r="H13" s="51" t="s">
        <v>215</v>
      </c>
    </row>
    <row r="14" spans="2:11">
      <c r="B14" s="50"/>
      <c r="C14" s="50"/>
      <c r="D14" s="51"/>
      <c r="E14" s="51"/>
      <c r="F14" s="51"/>
      <c r="G14" s="51" t="s">
        <v>199</v>
      </c>
      <c r="H14" s="51" t="s">
        <v>216</v>
      </c>
    </row>
    <row r="15" spans="2:11">
      <c r="B15" s="50"/>
      <c r="C15" s="50"/>
      <c r="D15" s="51"/>
      <c r="E15" s="51"/>
      <c r="F15" s="51"/>
      <c r="G15" s="51" t="s">
        <v>200</v>
      </c>
      <c r="H15" s="51" t="s">
        <v>217</v>
      </c>
    </row>
    <row r="16" spans="2:11">
      <c r="B16" s="50"/>
      <c r="C16" s="50"/>
      <c r="D16" s="51"/>
      <c r="E16" s="51"/>
      <c r="F16" s="51"/>
      <c r="G16" s="51" t="s">
        <v>201</v>
      </c>
      <c r="H16" s="51" t="s">
        <v>218</v>
      </c>
    </row>
    <row r="17" spans="2:8">
      <c r="B17" s="50"/>
      <c r="C17" s="50"/>
      <c r="D17" s="51"/>
      <c r="E17" s="51"/>
      <c r="F17" s="51"/>
      <c r="G17" s="51" t="s">
        <v>202</v>
      </c>
      <c r="H17" s="51" t="s">
        <v>219</v>
      </c>
    </row>
    <row r="18" spans="2:8">
      <c r="B18" s="50"/>
      <c r="C18" s="50"/>
      <c r="D18" s="51"/>
      <c r="E18" s="51"/>
      <c r="F18" s="51"/>
      <c r="G18" s="51" t="s">
        <v>203</v>
      </c>
      <c r="H18" s="51" t="s">
        <v>220</v>
      </c>
    </row>
    <row r="24" spans="2:8">
      <c r="C24" t="s">
        <v>167</v>
      </c>
    </row>
    <row r="25" spans="2:8">
      <c r="C25" t="s">
        <v>222</v>
      </c>
    </row>
    <row r="26" spans="2:8">
      <c r="C26" t="s">
        <v>223</v>
      </c>
    </row>
    <row r="27" spans="2:8">
      <c r="C27" t="s">
        <v>224</v>
      </c>
    </row>
    <row r="28" spans="2:8">
      <c r="C28" t="s">
        <v>225</v>
      </c>
    </row>
    <row r="29" spans="2:8">
      <c r="C29" t="s">
        <v>226</v>
      </c>
    </row>
    <row r="30" spans="2:8">
      <c r="C30" t="s">
        <v>167</v>
      </c>
    </row>
    <row r="33" spans="3:11">
      <c r="J33">
        <v>1</v>
      </c>
      <c r="K33">
        <v>2</v>
      </c>
    </row>
    <row r="34" spans="3:11">
      <c r="C34" s="52" t="s">
        <v>231</v>
      </c>
      <c r="D34" s="51" t="s">
        <v>229</v>
      </c>
      <c r="E34" s="51" t="s">
        <v>234</v>
      </c>
      <c r="F34" s="51" t="s">
        <v>232</v>
      </c>
      <c r="G34" s="51" t="s">
        <v>233</v>
      </c>
      <c r="H34" s="51" t="s">
        <v>235</v>
      </c>
      <c r="J34" t="s">
        <v>189</v>
      </c>
      <c r="K34" t="s">
        <v>205</v>
      </c>
    </row>
    <row r="35" spans="3:11">
      <c r="C35" s="50" t="s">
        <v>230</v>
      </c>
      <c r="D35" s="51" t="s">
        <v>168</v>
      </c>
      <c r="E35" s="51" t="s">
        <v>239</v>
      </c>
      <c r="F35" s="51" t="s">
        <v>241</v>
      </c>
      <c r="G35" s="51" t="s">
        <v>243</v>
      </c>
      <c r="H35" s="51"/>
    </row>
    <row r="36" spans="3:11">
      <c r="C36" s="50"/>
      <c r="D36" s="51" t="s">
        <v>236</v>
      </c>
      <c r="E36" s="51" t="s">
        <v>240</v>
      </c>
      <c r="F36" s="51" t="s">
        <v>242</v>
      </c>
      <c r="G36" s="51" t="s">
        <v>244</v>
      </c>
      <c r="H36" s="51"/>
    </row>
    <row r="37" spans="3:11">
      <c r="C37" s="50"/>
      <c r="D37" s="51" t="s">
        <v>237</v>
      </c>
      <c r="E37" s="51"/>
      <c r="F37" s="51"/>
      <c r="G37" s="51" t="s">
        <v>245</v>
      </c>
      <c r="H37" s="51"/>
    </row>
    <row r="38" spans="3:11">
      <c r="C38" s="50"/>
      <c r="D38" s="51" t="s">
        <v>238</v>
      </c>
      <c r="E38" s="51"/>
      <c r="F38" s="51"/>
      <c r="G38" s="51" t="s">
        <v>245</v>
      </c>
      <c r="H38" s="51"/>
    </row>
    <row r="39" spans="3:11">
      <c r="C39" s="50"/>
      <c r="D39" s="51"/>
      <c r="E39" s="51"/>
      <c r="F39" s="51"/>
      <c r="G39" s="51" t="s">
        <v>246</v>
      </c>
      <c r="H39" s="51"/>
    </row>
    <row r="40" spans="3:11">
      <c r="C40" s="50"/>
      <c r="D40" s="51"/>
      <c r="E40" s="51"/>
      <c r="F40" s="51"/>
      <c r="G40" s="51" t="s">
        <v>247</v>
      </c>
      <c r="H40" s="51"/>
    </row>
    <row r="41" spans="3:11">
      <c r="C41" s="50"/>
      <c r="D41" s="51"/>
      <c r="E41" s="51"/>
      <c r="F41" s="51"/>
      <c r="G41" s="51"/>
      <c r="H41" s="51"/>
    </row>
    <row r="43" spans="3:11">
      <c r="C43" t="s">
        <v>248</v>
      </c>
    </row>
    <row r="44" spans="3:11">
      <c r="C44" t="s">
        <v>170</v>
      </c>
      <c r="D44" t="s">
        <v>249</v>
      </c>
    </row>
    <row r="45" spans="3:11">
      <c r="D45" t="s">
        <v>250</v>
      </c>
    </row>
    <row r="46" spans="3:11">
      <c r="D46" t="s">
        <v>251</v>
      </c>
    </row>
    <row r="47" spans="3:11">
      <c r="D47" t="s">
        <v>252</v>
      </c>
    </row>
    <row r="48" spans="3:11">
      <c r="D48" t="s">
        <v>253</v>
      </c>
    </row>
    <row r="49" spans="3:4">
      <c r="C49" t="s">
        <v>174</v>
      </c>
      <c r="D49" t="s">
        <v>254</v>
      </c>
    </row>
    <row r="50" spans="3:4">
      <c r="D50" t="s">
        <v>255</v>
      </c>
    </row>
    <row r="51" spans="3:4">
      <c r="D51" t="s">
        <v>256</v>
      </c>
    </row>
    <row r="52" spans="3:4">
      <c r="D52" t="s">
        <v>259</v>
      </c>
    </row>
    <row r="53" spans="3:4">
      <c r="D53" t="s">
        <v>257</v>
      </c>
    </row>
    <row r="54" spans="3:4">
      <c r="D54" t="s">
        <v>258</v>
      </c>
    </row>
    <row r="55" spans="3:4">
      <c r="D55" t="s">
        <v>260</v>
      </c>
    </row>
    <row r="56" spans="3:4">
      <c r="D56" t="s">
        <v>261</v>
      </c>
    </row>
    <row r="57" spans="3:4">
      <c r="D57" t="s">
        <v>262</v>
      </c>
    </row>
    <row r="58" spans="3:4">
      <c r="D58" t="s">
        <v>264</v>
      </c>
    </row>
    <row r="59" spans="3:4">
      <c r="D59" t="s">
        <v>273</v>
      </c>
    </row>
    <row r="60" spans="3:4">
      <c r="C60" t="s">
        <v>189</v>
      </c>
      <c r="D60" t="s">
        <v>265</v>
      </c>
    </row>
    <row r="61" spans="3:4">
      <c r="D61" t="s">
        <v>263</v>
      </c>
    </row>
    <row r="62" spans="3:4">
      <c r="D62" t="s">
        <v>253</v>
      </c>
    </row>
    <row r="63" spans="3:4">
      <c r="D63" t="s">
        <v>266</v>
      </c>
    </row>
    <row r="64" spans="3:4">
      <c r="D64" t="s">
        <v>267</v>
      </c>
    </row>
    <row r="65" spans="3:4">
      <c r="D65" t="s">
        <v>268</v>
      </c>
    </row>
    <row r="66" spans="3:4">
      <c r="D66" t="s">
        <v>269</v>
      </c>
    </row>
    <row r="67" spans="3:4">
      <c r="C67" t="s">
        <v>184</v>
      </c>
      <c r="D67" t="s">
        <v>270</v>
      </c>
    </row>
    <row r="68" spans="3:4">
      <c r="D68" t="s">
        <v>271</v>
      </c>
    </row>
    <row r="69" spans="3:4">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5"/>
  <cols>
    <col min="2" max="2" width="3" bestFit="1" customWidth="1"/>
    <col min="3" max="3" width="130" customWidth="1"/>
  </cols>
  <sheetData>
    <row r="2" spans="2:3" ht="15" customHeight="1">
      <c r="B2" s="53">
        <v>1</v>
      </c>
      <c r="C2" s="55" t="s">
        <v>279</v>
      </c>
    </row>
    <row r="3" spans="2:3">
      <c r="B3" s="53">
        <v>2</v>
      </c>
      <c r="C3" s="54" t="s">
        <v>280</v>
      </c>
    </row>
    <row r="4" spans="2:3">
      <c r="B4" s="53">
        <v>3</v>
      </c>
      <c r="C4" s="53" t="s">
        <v>281</v>
      </c>
    </row>
    <row r="5" spans="2:3" ht="30">
      <c r="B5" s="53">
        <v>4</v>
      </c>
      <c r="C5" s="54" t="s">
        <v>282</v>
      </c>
    </row>
    <row r="6" spans="2:3">
      <c r="B6" s="53">
        <v>5</v>
      </c>
      <c r="C6" s="53" t="s">
        <v>283</v>
      </c>
    </row>
    <row r="7" spans="2:3" ht="30">
      <c r="B7" s="53">
        <v>6</v>
      </c>
      <c r="C7" s="54" t="s">
        <v>284</v>
      </c>
    </row>
    <row r="8" spans="2:3" ht="90">
      <c r="B8" s="53">
        <v>7</v>
      </c>
      <c r="C8" s="54" t="s">
        <v>285</v>
      </c>
    </row>
    <row r="9" spans="2:3">
      <c r="B9" s="53">
        <v>8</v>
      </c>
      <c r="C9" s="53" t="s">
        <v>286</v>
      </c>
    </row>
    <row r="10" spans="2:3">
      <c r="B10" s="53">
        <v>9</v>
      </c>
      <c r="C10" s="53" t="s">
        <v>287</v>
      </c>
    </row>
    <row r="11" spans="2:3">
      <c r="B11" s="53">
        <v>10</v>
      </c>
      <c r="C11" s="53" t="s">
        <v>288</v>
      </c>
    </row>
    <row r="12" spans="2:3">
      <c r="B12" s="53">
        <v>11</v>
      </c>
      <c r="C12" s="53" t="s">
        <v>289</v>
      </c>
    </row>
    <row r="13" spans="2:3">
      <c r="B13" s="53">
        <v>12</v>
      </c>
      <c r="C13" s="53" t="s">
        <v>290</v>
      </c>
    </row>
    <row r="14" spans="2:3">
      <c r="B14" s="53">
        <v>13</v>
      </c>
      <c r="C14" s="53" t="s">
        <v>291</v>
      </c>
    </row>
    <row r="15" spans="2:3">
      <c r="B15" s="53">
        <v>14</v>
      </c>
      <c r="C15" s="53" t="s">
        <v>281</v>
      </c>
    </row>
    <row r="16" spans="2:3">
      <c r="B16" s="53">
        <v>15</v>
      </c>
      <c r="C16" s="53" t="s">
        <v>293</v>
      </c>
    </row>
    <row r="17" spans="2:3" ht="31.5" customHeight="1">
      <c r="B17" s="57">
        <v>16</v>
      </c>
      <c r="C17" s="59" t="s">
        <v>294</v>
      </c>
    </row>
    <row r="18" spans="2:3">
      <c r="B18" s="58">
        <v>17</v>
      </c>
      <c r="C18" s="59" t="s">
        <v>295</v>
      </c>
    </row>
    <row r="19" spans="2:3">
      <c r="B19" s="57">
        <v>18</v>
      </c>
      <c r="C19" s="53" t="s">
        <v>296</v>
      </c>
    </row>
    <row r="20" spans="2:3">
      <c r="B20" s="58">
        <v>19</v>
      </c>
      <c r="C20" s="53"/>
    </row>
    <row r="21" spans="2:3">
      <c r="B21" s="53">
        <v>20</v>
      </c>
      <c r="C21" s="53"/>
    </row>
    <row r="22" spans="2:3">
      <c r="B22" s="53"/>
      <c r="C22" s="53"/>
    </row>
    <row r="23" spans="2:3">
      <c r="B23" s="53"/>
      <c r="C23" s="53"/>
    </row>
    <row r="24" spans="2:3">
      <c r="B24" s="53"/>
      <c r="C24" s="53"/>
    </row>
    <row r="25" spans="2:3">
      <c r="B25" s="53"/>
      <c r="C25" s="53"/>
    </row>
    <row r="26" spans="2:3">
      <c r="B26" s="53"/>
      <c r="C26" s="53"/>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2025-08-12T18:46:12Z</cp:lastPrinted>
  <dcterms:created xsi:type="dcterms:W3CDTF">2019-07-16T09:29:46Z</dcterms:created>
  <dcterms:modified xsi:type="dcterms:W3CDTF">2025-08-12T18:57:09Z</dcterms:modified>
</cp:coreProperties>
</file>