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aug 25\AXIS\DUMP\"/>
    </mc:Choice>
  </mc:AlternateContent>
  <xr:revisionPtr revIDLastSave="0" documentId="13_ncr:1_{7F3B28E0-F308-45AB-9087-8C6D1A99318D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6" i="1" l="1"/>
  <c r="D105" i="1"/>
  <c r="D104" i="1"/>
  <c r="J104" i="1" s="1"/>
  <c r="K103" i="1"/>
  <c r="J103" i="1"/>
  <c r="E96" i="1" l="1"/>
  <c r="C96" i="1"/>
  <c r="I105" i="1"/>
  <c r="I104" i="1"/>
  <c r="J97" i="1"/>
  <c r="N105" i="1" l="1"/>
  <c r="N104" i="1"/>
  <c r="M104" i="1"/>
  <c r="M105" i="1"/>
  <c r="L105" i="1"/>
  <c r="K105" i="1"/>
  <c r="K104" i="1"/>
  <c r="K45" i="1"/>
  <c r="L44" i="1"/>
  <c r="J105" i="1" l="1"/>
  <c r="J40" i="1"/>
  <c r="C14" i="1" l="1"/>
  <c r="E29" i="1" l="1"/>
  <c r="A105" i="1" l="1"/>
  <c r="G104" i="1"/>
  <c r="F93" i="1" l="1"/>
  <c r="B108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31" i="1"/>
  <c r="J77" i="1"/>
  <c r="J76" i="1"/>
  <c r="J75" i="1"/>
  <c r="J74" i="1"/>
  <c r="C66" i="1"/>
  <c r="D55" i="1"/>
  <c r="C49" i="1"/>
  <c r="E42" i="1"/>
  <c r="E43" i="1" s="1"/>
  <c r="E26" i="1"/>
  <c r="E24" i="1"/>
  <c r="E7" i="1"/>
  <c r="E3" i="1"/>
  <c r="H67" i="1"/>
  <c r="D60" i="1" l="1"/>
  <c r="D79" i="1"/>
  <c r="D77" i="1"/>
  <c r="D76" i="1"/>
  <c r="D75" i="1"/>
  <c r="D73" i="1"/>
  <c r="J66" i="1"/>
  <c r="D78" i="1"/>
  <c r="D74" i="1"/>
  <c r="J70" i="1"/>
  <c r="J71" i="1"/>
  <c r="J69" i="1"/>
  <c r="J72" i="1"/>
  <c r="J73" i="1" s="1"/>
  <c r="J78" i="1" s="1"/>
  <c r="J79" i="1" s="1"/>
  <c r="D72" i="1" l="1"/>
  <c r="J68" i="1"/>
  <c r="E70" i="1"/>
  <c r="D71" i="1"/>
  <c r="G70" i="1"/>
  <c r="D64" i="1" s="1"/>
  <c r="D70" i="1"/>
  <c r="J67" i="1" s="1"/>
  <c r="I67" i="1" l="1"/>
  <c r="F65" i="1"/>
  <c r="D65" i="1"/>
  <c r="I68" i="1" l="1"/>
  <c r="I66" i="1" s="1"/>
  <c r="C68" i="1" s="1"/>
</calcChain>
</file>

<file path=xl/sharedStrings.xml><?xml version="1.0" encoding="utf-8"?>
<sst xmlns="http://schemas.openxmlformats.org/spreadsheetml/2006/main" count="255" uniqueCount="217">
  <si>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</si>
  <si>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</si>
  <si>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</si>
  <si>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</si>
  <si>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</si>
  <si>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</si>
  <si>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</si>
  <si>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</si>
  <si>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</si>
  <si>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</si>
  <si>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</si>
  <si>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</si>
  <si>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</si>
  <si>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</si>
  <si>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</si>
  <si>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</si>
  <si>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</si>
  <si>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</si>
  <si>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</si>
  <si>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</si>
  <si>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</si>
  <si>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</si>
  <si>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</si>
  <si>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</si>
  <si>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</si>
  <si>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</si>
  <si>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</si>
  <si>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</si>
  <si>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</si>
  <si>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</si>
  <si>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</si>
  <si>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</si>
  <si>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</si>
  <si>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</si>
  <si>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</si>
  <si>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</si>
  <si>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</si>
  <si>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</si>
  <si>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</si>
  <si>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</si>
  <si>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</si>
  <si>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</si>
  <si>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</si>
  <si>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</si>
  <si>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</si>
  <si>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</si>
  <si>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</si>
  <si>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</si>
  <si>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</si>
  <si>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</si>
  <si>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</si>
  <si>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</si>
  <si>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</si>
  <si>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</si>
  <si>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</si>
  <si>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</si>
  <si>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</si>
  <si>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</si>
  <si>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</si>
  <si>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</si>
  <si>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</si>
  <si>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</si>
  <si>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</si>
  <si>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</si>
  <si>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</si>
  <si>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</si>
  <si>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</si>
  <si>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</si>
  <si>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</si>
  <si>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</si>
  <si>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</si>
  <si>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</si>
  <si>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</si>
  <si>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</si>
  <si>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</si>
  <si>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</si>
  <si>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</si>
  <si>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</si>
  <si>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</si>
  <si>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</si>
  <si>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</si>
  <si>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</si>
  <si>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</si>
  <si>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</si>
  <si>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</si>
  <si>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</si>
  <si>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</si>
  <si>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</si>
  <si>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</si>
  <si>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</si>
  <si>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</si>
  <si>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</si>
  <si>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</si>
  <si>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</si>
  <si>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</si>
  <si>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</si>
  <si>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</si>
  <si>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</si>
  <si>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</si>
  <si>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</si>
  <si>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</si>
  <si>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</si>
  <si>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</si>
  <si>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</si>
  <si>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</si>
  <si>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</si>
  <si>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</si>
  <si>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</si>
  <si>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</si>
  <si>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</si>
  <si>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</si>
  <si>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</si>
  <si>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</si>
  <si>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</si>
  <si>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</si>
  <si>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</si>
  <si>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</si>
  <si>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</si>
  <si>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</si>
  <si>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</si>
  <si>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</si>
  <si>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</si>
  <si>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</si>
  <si>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</si>
  <si>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</si>
  <si>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</si>
  <si>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</si>
  <si>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</si>
  <si>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</si>
  <si>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</si>
  <si>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</si>
  <si>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</si>
  <si>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</si>
  <si>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</si>
  <si>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</si>
  <si>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</si>
  <si>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</si>
  <si>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</si>
  <si>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</si>
  <si>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</si>
  <si>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</si>
  <si>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</si>
  <si>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</si>
  <si>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</si>
  <si>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</si>
  <si>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</si>
  <si>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</si>
  <si>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</si>
  <si>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</si>
  <si>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</si>
  <si>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</si>
  <si>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</si>
  <si>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</si>
  <si>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</si>
  <si>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</si>
  <si>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</si>
  <si>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</si>
  <si>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</si>
  <si>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</si>
  <si>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</si>
  <si>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</si>
  <si>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Axis Sanpada</t>
  </si>
  <si>
    <t>Shreenathji Organisers Pvt Ltd</t>
  </si>
  <si>
    <t>Delta Luxuria</t>
  </si>
  <si>
    <t>P51700035130</t>
  </si>
  <si>
    <t>Plot No</t>
  </si>
  <si>
    <t>61, Sector -19</t>
  </si>
  <si>
    <t>Thane</t>
  </si>
  <si>
    <t>Airoli</t>
  </si>
  <si>
    <t>https://goo.gl/maps/zkGW9mkCfZxrf3bo6</t>
  </si>
  <si>
    <t>Jnan Vikas Mandal's Mehta Degree College</t>
  </si>
  <si>
    <t>2.2KM from Airoli Railway Station</t>
  </si>
  <si>
    <t>Internal Road</t>
  </si>
  <si>
    <t>1 Building</t>
  </si>
  <si>
    <t>As per RERA - 30/04/2027</t>
  </si>
  <si>
    <t>Approved Plans, CC, Builder Saleable Area</t>
  </si>
  <si>
    <t>Airoli West</t>
  </si>
  <si>
    <t>Rajiv Gandhi Garden</t>
  </si>
  <si>
    <t>Mahavir Residency</t>
  </si>
  <si>
    <t>Mahavir Heritage</t>
  </si>
  <si>
    <t>Jan Vikas Mandal's Mehta Degree College</t>
  </si>
  <si>
    <t>Navi Mumbai Municipal Corporation (NMMC)</t>
  </si>
  <si>
    <t xml:space="preserve">Builder Saleable Area </t>
  </si>
  <si>
    <t>Market</t>
  </si>
  <si>
    <t>The plot has not been demarcated.</t>
  </si>
  <si>
    <t>Site Person - Contact Details ( Name &amp; Contact No.)</t>
  </si>
  <si>
    <t>01 Building</t>
  </si>
  <si>
    <t>NRV/A-15944</t>
  </si>
  <si>
    <t>NMMC/TPO/BP/15944/2023
Gr/St + 1st to 5th Floor (Podium) + 6th to 28th Floor</t>
  </si>
  <si>
    <t>Gr/St + 1st to 5th Floor (Podium) + 6th to 28th Floor</t>
  </si>
  <si>
    <t xml:space="preserve">NMMC/TPO/BP/15944/2023
</t>
  </si>
  <si>
    <t xml:space="preserve">Commencement-CC No :
Valid Upto :
</t>
  </si>
  <si>
    <t>Sit Out Area, Yoga,Kids Play Area, Terrace Garden, Banquet Hall,
24x7 CCTV Camera, Electrical Vehical Charging, Swimming Pool,
Club House &amp; Gym.</t>
  </si>
  <si>
    <t>Ground Floor For Entrance Lobby &amp;  Parking</t>
  </si>
  <si>
    <t>1st, 2nd &amp; 3rd Floor For Parking</t>
  </si>
  <si>
    <t>4th Floor For parking</t>
  </si>
  <si>
    <t>5th Floor For Amenities, Society Office &amp; Driver Room</t>
  </si>
  <si>
    <t>6th to 28th Floor for Residential (Fire Balcony @ Mid Landing of 7th, 12th, 17th, 22nd &amp; 7th Floor)</t>
  </si>
  <si>
    <t>We considered Gross carpet area = Net carpet + Balcony + Wash Area.</t>
  </si>
  <si>
    <t>We have updated approved revised layout plan, floor plan &amp; cc on 20/11/2023.</t>
  </si>
  <si>
    <t>Flats - 46</t>
  </si>
  <si>
    <t>Layout  :</t>
  </si>
  <si>
    <t>Floor Rise Rate From 6th floor</t>
  </si>
  <si>
    <t>1220 to 12500</t>
  </si>
  <si>
    <t>viraj</t>
  </si>
  <si>
    <t>Society Charges &amp; Other Charges</t>
  </si>
  <si>
    <t>Office No. 1031, Wing J, Akshar Business Park, Plot No. 03 Sector 25, Near APMC Market, Vashi, Navi Mumbai, Maharashtra 400703 TEL: 022-46090378/79/80
Email : vsjcapf@gmail.com. Web site : www.vsjadon.com</t>
  </si>
  <si>
    <t xml:space="preserve">Mr. Sachin 9326409017
Mr. Nitesh 9819974572
</t>
  </si>
  <si>
    <t>Latitude &amp; Longitude</t>
  </si>
  <si>
    <t>19.157574,72.9933766</t>
  </si>
  <si>
    <t>Construction work goes beyond the CC permission. Please provide revised approved CC.</t>
  </si>
  <si>
    <t>Rate 400+ Smith Verbal LTV issue</t>
  </si>
  <si>
    <t>Recommended Rates/Other Charges of the Property have been revised on 09/01/2024 &amp; 26/11/2024.</t>
  </si>
  <si>
    <t>12500 to 12900</t>
  </si>
  <si>
    <t>Finishing work in process at the time of visit.</t>
  </si>
  <si>
    <t>Gaurav Panchal</t>
  </si>
  <si>
    <t>Tushar Mohite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</si>
</sst>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8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8" fillId="0" borderId="0" xfId="0" applyFont="1" applyProtection="1">
      <protection hidden="1"/>
    </xf>
    <xf numFmtId="0" fontId="18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26" fillId="0" borderId="30" xfId="0" applyFont="1" applyBorder="1"/>
    <xf numFmtId="0" fontId="26" fillId="0" borderId="1" xfId="0" applyFont="1" applyBorder="1"/>
    <xf numFmtId="0" fontId="26" fillId="0" borderId="4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164" fontId="7" fillId="0" borderId="0" xfId="1" applyNumberFormat="1" applyFont="1" applyAlignment="1">
      <alignment vertical="center"/>
    </xf>
    <xf numFmtId="0" fontId="25" fillId="0" borderId="29" xfId="0" applyFont="1" applyBorder="1"/>
    <xf numFmtId="0" fontId="7" fillId="2" borderId="0" xfId="1" applyFont="1" applyFill="1"/>
    <xf numFmtId="0" fontId="15" fillId="2" borderId="0" xfId="1" applyFont="1" applyFill="1"/>
    <xf numFmtId="14" fontId="15" fillId="2" borderId="0" xfId="1" applyNumberFormat="1" applyFont="1" applyFill="1"/>
    <xf numFmtId="0" fontId="28" fillId="2" borderId="0" xfId="1" applyFont="1" applyFill="1"/>
    <xf numFmtId="14" fontId="28" fillId="2" borderId="0" xfId="1" applyNumberFormat="1" applyFont="1" applyFill="1"/>
    <xf numFmtId="0" fontId="6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27" fillId="0" borderId="1" xfId="10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0" fillId="0" borderId="7" xfId="1" applyFont="1" applyBorder="1" applyAlignment="1" applyProtection="1">
      <alignment horizontal="left"/>
      <protection locked="0"/>
    </xf>
    <xf numFmtId="0" fontId="10" fillId="0" borderId="20" xfId="1" applyFont="1" applyBorder="1" applyAlignment="1" applyProtection="1">
      <alignment horizontal="left"/>
      <protection locked="0"/>
    </xf>
    <xf numFmtId="0" fontId="10" fillId="0" borderId="8" xfId="1" applyFont="1" applyBorder="1" applyAlignment="1" applyProtection="1">
      <alignment horizontal="left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4" fontId="8" fillId="0" borderId="7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1" fontId="10" fillId="0" borderId="20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7" fillId="0" borderId="7" xfId="0" applyNumberFormat="1" applyFont="1" applyBorder="1" applyAlignment="1" applyProtection="1">
      <alignment vertical="top" wrapText="1"/>
      <protection locked="0"/>
    </xf>
    <xf numFmtId="1" fontId="17" fillId="0" borderId="20" xfId="0" applyNumberFormat="1" applyFont="1" applyBorder="1" applyAlignment="1" applyProtection="1">
      <alignment vertical="top" wrapText="1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1" fontId="8" fillId="0" borderId="7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7" Type="http://schemas.openxmlformats.org/officeDocument/2006/relationships/image" Target="../media/image34.png"/><Relationship Id="rId2" Type="http://schemas.openxmlformats.org/officeDocument/2006/relationships/image" Target="../media/image29.png"/><Relationship Id="rId1" Type="http://schemas.openxmlformats.org/officeDocument/2006/relationships/image" Target="../media/image28.png"/><Relationship Id="rId6" Type="http://schemas.openxmlformats.org/officeDocument/2006/relationships/image" Target="../media/image33.png"/><Relationship Id="rId5" Type="http://schemas.openxmlformats.org/officeDocument/2006/relationships/image" Target="../media/image32.png"/><Relationship Id="rId4" Type="http://schemas.openxmlformats.org/officeDocument/2006/relationships/image" Target="../media/image3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216</xdr:row>
      <xdr:rowOff>28575</xdr:rowOff>
    </xdr:from>
    <xdr:to>
      <xdr:col>6</xdr:col>
      <xdr:colOff>393821</xdr:colOff>
      <xdr:row>232</xdr:row>
      <xdr:rowOff>68174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3000" y="35547300"/>
          <a:ext cx="4527671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85725</xdr:colOff>
      <xdr:row>232</xdr:row>
      <xdr:rowOff>171450</xdr:rowOff>
    </xdr:from>
    <xdr:to>
      <xdr:col>6</xdr:col>
      <xdr:colOff>572545</xdr:colOff>
      <xdr:row>254</xdr:row>
      <xdr:rowOff>182880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0585" y="48383190"/>
          <a:ext cx="4746400" cy="437007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542925</xdr:colOff>
      <xdr:row>245</xdr:row>
      <xdr:rowOff>66675</xdr:rowOff>
    </xdr:from>
    <xdr:to>
      <xdr:col>4</xdr:col>
      <xdr:colOff>152400</xdr:colOff>
      <xdr:row>249</xdr:row>
      <xdr:rowOff>133350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19325" y="50187225"/>
          <a:ext cx="1533525" cy="866775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</xdr:col>
      <xdr:colOff>257175</xdr:colOff>
      <xdr:row>174</xdr:row>
      <xdr:rowOff>0</xdr:rowOff>
    </xdr:from>
    <xdr:to>
      <xdr:col>6</xdr:col>
      <xdr:colOff>548368</xdr:colOff>
      <xdr:row>201</xdr:row>
      <xdr:rowOff>191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6325" y="35518725"/>
          <a:ext cx="4748893" cy="54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510541</xdr:colOff>
      <xdr:row>132</xdr:row>
      <xdr:rowOff>15241</xdr:rowOff>
    </xdr:from>
    <xdr:to>
      <xdr:col>15</xdr:col>
      <xdr:colOff>594361</xdr:colOff>
      <xdr:row>171</xdr:row>
      <xdr:rowOff>7621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98AFE2D9-0909-C209-F8A0-BA3906952AAA}"/>
            </a:ext>
          </a:extLst>
        </xdr:cNvPr>
        <xdr:cNvGrpSpPr/>
      </xdr:nvGrpSpPr>
      <xdr:grpSpPr>
        <a:xfrm>
          <a:off x="7035166" y="28666441"/>
          <a:ext cx="5789295" cy="7783830"/>
          <a:chOff x="308918" y="176054"/>
          <a:chExt cx="5980055" cy="8172373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F42B9737-3FF2-0953-635E-72F19C1D4067}"/>
              </a:ext>
            </a:extLst>
          </xdr:cNvPr>
          <xdr:cNvGrpSpPr/>
        </xdr:nvGrpSpPr>
        <xdr:grpSpPr>
          <a:xfrm>
            <a:off x="308918" y="4203242"/>
            <a:ext cx="5980055" cy="2162002"/>
            <a:chOff x="328945" y="4203242"/>
            <a:chExt cx="5980055" cy="2162002"/>
          </a:xfrm>
        </xdr:grpSpPr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32A1C8C0-349A-FD9E-4F55-0157B67D93D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8945" y="4203242"/>
              <a:ext cx="2880000" cy="2162002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BCAF3CF3-2BA2-BBC2-5CE8-3ABE5A3BE9E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4203242"/>
              <a:ext cx="2880000" cy="2162002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B931DB87-5A39-CD9E-B4E6-EDCC79EC330B}"/>
              </a:ext>
            </a:extLst>
          </xdr:cNvPr>
          <xdr:cNvGrpSpPr/>
        </xdr:nvGrpSpPr>
        <xdr:grpSpPr>
          <a:xfrm>
            <a:off x="308918" y="176054"/>
            <a:ext cx="5980055" cy="3844005"/>
            <a:chOff x="328945" y="176054"/>
            <a:chExt cx="5980055" cy="3844005"/>
          </a:xfrm>
        </xdr:grpSpPr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664C9E62-C934-91A4-E5E5-760EBBAC82F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176054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DF8DF442-D336-63FF-3BB6-30FB45CC047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8945" y="176054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5494E4D7-E0DE-57CC-11B3-66A225C6F767}"/>
              </a:ext>
            </a:extLst>
          </xdr:cNvPr>
          <xdr:cNvGrpSpPr/>
        </xdr:nvGrpSpPr>
        <xdr:grpSpPr>
          <a:xfrm>
            <a:off x="530001" y="6548427"/>
            <a:ext cx="5537888" cy="1800000"/>
            <a:chOff x="288890" y="6548427"/>
            <a:chExt cx="5537888" cy="1800000"/>
          </a:xfrm>
        </xdr:grpSpPr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2226A731-A701-627F-AC19-A7B9D7C9456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6548427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2576627B-B1AA-6248-7D3C-5C9721A4EF7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857539" y="6548427"/>
              <a:ext cx="135140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8B1A3E2D-14BB-81D3-C66C-F98FE321D49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88890" y="6548427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8</xdr:col>
      <xdr:colOff>651510</xdr:colOff>
      <xdr:row>131</xdr:row>
      <xdr:rowOff>158115</xdr:rowOff>
    </xdr:from>
    <xdr:to>
      <xdr:col>16</xdr:col>
      <xdr:colOff>140521</xdr:colOff>
      <xdr:row>167</xdr:row>
      <xdr:rowOff>198847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70E766F6-AADC-1B38-AEC2-244A2ABC012E}"/>
            </a:ext>
          </a:extLst>
        </xdr:cNvPr>
        <xdr:cNvGrpSpPr/>
      </xdr:nvGrpSpPr>
      <xdr:grpSpPr>
        <a:xfrm>
          <a:off x="7176135" y="28609290"/>
          <a:ext cx="5975536" cy="7232107"/>
          <a:chOff x="415031" y="360927"/>
          <a:chExt cx="6124126" cy="7165432"/>
        </a:xfrm>
      </xdr:grpSpPr>
      <xdr:grpSp>
        <xdr:nvGrpSpPr>
          <xdr:cNvPr id="13" name="Group 12">
            <a:extLst>
              <a:ext uri="{FF2B5EF4-FFF2-40B4-BE49-F238E27FC236}">
                <a16:creationId xmlns:a16="http://schemas.microsoft.com/office/drawing/2014/main" id="{A78680DF-A740-21D5-5989-4E729ACE1C3D}"/>
              </a:ext>
            </a:extLst>
          </xdr:cNvPr>
          <xdr:cNvGrpSpPr/>
        </xdr:nvGrpSpPr>
        <xdr:grpSpPr>
          <a:xfrm>
            <a:off x="415031" y="360927"/>
            <a:ext cx="6124126" cy="2520000"/>
            <a:chOff x="366937" y="360927"/>
            <a:chExt cx="6124126" cy="2520000"/>
          </a:xfrm>
        </xdr:grpSpPr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4D6022BC-BC77-E4B7-D1F1-621F4A2C7BF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6937" y="360927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7" name="Picture 26">
              <a:extLst>
                <a:ext uri="{FF2B5EF4-FFF2-40B4-BE49-F238E27FC236}">
                  <a16:creationId xmlns:a16="http://schemas.microsoft.com/office/drawing/2014/main" id="{A223EC7F-5598-1786-F43A-6703431D16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85312" y="360927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8" name="Picture 27">
              <a:extLst>
                <a:ext uri="{FF2B5EF4-FFF2-40B4-BE49-F238E27FC236}">
                  <a16:creationId xmlns:a16="http://schemas.microsoft.com/office/drawing/2014/main" id="{FB5E6A88-83A3-0FE1-0A78-202071D4EB3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603688" y="360927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5" name="Group 14">
            <a:extLst>
              <a:ext uri="{FF2B5EF4-FFF2-40B4-BE49-F238E27FC236}">
                <a16:creationId xmlns:a16="http://schemas.microsoft.com/office/drawing/2014/main" id="{D32F8C0C-D86E-CB96-6373-80509789668C}"/>
              </a:ext>
            </a:extLst>
          </xdr:cNvPr>
          <xdr:cNvGrpSpPr/>
        </xdr:nvGrpSpPr>
        <xdr:grpSpPr>
          <a:xfrm>
            <a:off x="1223904" y="5726359"/>
            <a:ext cx="4506377" cy="1800000"/>
            <a:chOff x="2080874" y="5883115"/>
            <a:chExt cx="4506377" cy="1800000"/>
          </a:xfrm>
        </xdr:grpSpPr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BD7ABE18-7874-9219-989F-3C6054A2DE4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239126" y="5883115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0D4AB89C-8CC4-FF95-F153-19DD2271833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80874" y="5883115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84130EAE-F73D-07D7-C5DA-65A9FE673BD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60000" y="5883115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7" name="Group 16">
            <a:extLst>
              <a:ext uri="{FF2B5EF4-FFF2-40B4-BE49-F238E27FC236}">
                <a16:creationId xmlns:a16="http://schemas.microsoft.com/office/drawing/2014/main" id="{601F70A3-D1AA-5E91-D9EE-57FA9A64F5CE}"/>
              </a:ext>
            </a:extLst>
          </xdr:cNvPr>
          <xdr:cNvGrpSpPr/>
        </xdr:nvGrpSpPr>
        <xdr:grpSpPr>
          <a:xfrm>
            <a:off x="1474219" y="3043643"/>
            <a:ext cx="4005750" cy="2520000"/>
            <a:chOff x="1541625" y="3122021"/>
            <a:chExt cx="4005750" cy="2520000"/>
          </a:xfrm>
        </xdr:grpSpPr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5DA1AB72-BA26-56AD-137C-822D047ADE7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541625" y="3122021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0889EACD-A219-D28B-0704-12BA99C9988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60000" y="3122021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295275</xdr:colOff>
      <xdr:row>131</xdr:row>
      <xdr:rowOff>133350</xdr:rowOff>
    </xdr:from>
    <xdr:to>
      <xdr:col>7</xdr:col>
      <xdr:colOff>647700</xdr:colOff>
      <xdr:row>169</xdr:row>
      <xdr:rowOff>104775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31C845C8-8547-4387-8540-6C88EFD4E360}"/>
            </a:ext>
          </a:extLst>
        </xdr:cNvPr>
        <xdr:cNvGrpSpPr/>
      </xdr:nvGrpSpPr>
      <xdr:grpSpPr>
        <a:xfrm>
          <a:off x="295275" y="28584525"/>
          <a:ext cx="6048375" cy="7562850"/>
          <a:chOff x="228181" y="190500"/>
          <a:chExt cx="6439319" cy="7790250"/>
        </a:xfrm>
      </xdr:grpSpPr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1ADC2978-F20D-45E5-A573-E6BEACC4BA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8181" y="3553501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E2FE0CFD-77C7-448C-8B97-90C6D6C1D5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190500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BDCEF064-7889-446C-B0CC-DDB7A836CF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84623" y="190500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A48710B2-A53B-46DA-9ED0-1EE17C539B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09174" y="3553501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B8DEDB1B-54B9-4A1F-A759-ACB2E3B6D4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90167" y="3553501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5F2BA80F-C7BB-4812-8C3C-151F773EB2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22454" y="6000750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924DF36B-51E7-401E-8985-808D4C93A1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48000" y="6000750"/>
            <a:ext cx="2637556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2</xdr:col>
      <xdr:colOff>2092160</xdr:colOff>
      <xdr:row>38</xdr:row>
      <xdr:rowOff>35224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6376" t="18161" r="36176" b="21462"/>
        <a:stretch/>
      </xdr:blipFill>
      <xdr:spPr>
        <a:xfrm>
          <a:off x="582706" y="2868706"/>
          <a:ext cx="3571336" cy="4416724"/>
        </a:xfrm>
        <a:prstGeom prst="rect">
          <a:avLst/>
        </a:prstGeom>
      </xdr:spPr>
    </xdr:pic>
    <xdr:clientData/>
  </xdr:twoCellAnchor>
  <xdr:twoCellAnchor editAs="oneCell">
    <xdr:from>
      <xdr:col>2</xdr:col>
      <xdr:colOff>2364441</xdr:colOff>
      <xdr:row>19</xdr:row>
      <xdr:rowOff>11207</xdr:rowOff>
    </xdr:from>
    <xdr:to>
      <xdr:col>10</xdr:col>
      <xdr:colOff>251095</xdr:colOff>
      <xdr:row>37</xdr:row>
      <xdr:rowOff>182207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26323" y="3641913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1</xdr:colOff>
      <xdr:row>36</xdr:row>
      <xdr:rowOff>27900</xdr:rowOff>
    </xdr:from>
    <xdr:to>
      <xdr:col>11</xdr:col>
      <xdr:colOff>531243</xdr:colOff>
      <xdr:row>55</xdr:row>
      <xdr:rowOff>8400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89177" y="68971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371780</xdr:colOff>
      <xdr:row>35</xdr:row>
      <xdr:rowOff>92015</xdr:rowOff>
    </xdr:from>
    <xdr:to>
      <xdr:col>23</xdr:col>
      <xdr:colOff>365141</xdr:colOff>
      <xdr:row>54</xdr:row>
      <xdr:rowOff>72515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15545" y="6770721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371781</xdr:colOff>
      <xdr:row>19</xdr:row>
      <xdr:rowOff>11205</xdr:rowOff>
    </xdr:from>
    <xdr:to>
      <xdr:col>21</xdr:col>
      <xdr:colOff>365141</xdr:colOff>
      <xdr:row>37</xdr:row>
      <xdr:rowOff>182205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50134" y="3641911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1</xdr:colOff>
      <xdr:row>0</xdr:row>
      <xdr:rowOff>0</xdr:rowOff>
    </xdr:from>
    <xdr:to>
      <xdr:col>19</xdr:col>
      <xdr:colOff>576067</xdr:colOff>
      <xdr:row>18</xdr:row>
      <xdr:rowOff>159794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995648" y="0"/>
          <a:ext cx="6403125" cy="36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1826559</xdr:colOff>
      <xdr:row>0</xdr:row>
      <xdr:rowOff>0</xdr:rowOff>
    </xdr:from>
    <xdr:to>
      <xdr:col>9</xdr:col>
      <xdr:colOff>295919</xdr:colOff>
      <xdr:row>18</xdr:row>
      <xdr:rowOff>159794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88441" y="0"/>
          <a:ext cx="6403125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zkGW9mkCfZxrf3bo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56"/>
  <sheetViews>
    <sheetView tabSelected="1" view="pageBreakPreview" topLeftCell="A29" zoomScaleNormal="100" zoomScaleSheetLayoutView="100" workbookViewId="0">
      <selection activeCell="I7" sqref="I7"/>
    </sheetView>
  </sheetViews>
  <sheetFormatPr defaultColWidth="9.140625" defaultRowHeight="15.75" x14ac:dyDescent="0.25"/>
  <cols>
    <col min="1" max="1" width="11.42578125" style="38" customWidth="1"/>
    <col min="2" max="2" width="12" style="38" customWidth="1"/>
    <col min="3" max="3" width="12.7109375" style="38" customWidth="1"/>
    <col min="4" max="4" width="14.140625" style="38" customWidth="1"/>
    <col min="5" max="7" width="11.7109375" style="38" customWidth="1"/>
    <col min="8" max="8" width="12.42578125" style="38" customWidth="1"/>
    <col min="9" max="9" width="17.42578125" style="20" customWidth="1"/>
    <col min="10" max="10" width="11.42578125" style="20" customWidth="1"/>
    <col min="11" max="11" width="11.85546875" style="20" bestFit="1" customWidth="1"/>
    <col min="12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8" ht="46.5" customHeight="1" x14ac:dyDescent="0.25">
      <c r="A1" s="147" t="s">
        <v>206</v>
      </c>
      <c r="B1" s="147"/>
      <c r="C1" s="147"/>
      <c r="D1" s="147"/>
      <c r="E1" s="147"/>
      <c r="F1" s="147"/>
      <c r="G1" s="147"/>
      <c r="H1" s="147"/>
    </row>
    <row r="2" spans="1:8" ht="16.5" customHeight="1" x14ac:dyDescent="0.25">
      <c r="A2" s="148" t="s">
        <v>0</v>
      </c>
      <c r="B2" s="148"/>
      <c r="C2" s="148"/>
      <c r="D2" s="148"/>
      <c r="E2" s="148"/>
      <c r="F2" s="148"/>
      <c r="G2" s="148"/>
      <c r="H2" s="148"/>
    </row>
    <row r="3" spans="1:8" x14ac:dyDescent="0.25">
      <c r="A3" s="127" t="s">
        <v>1</v>
      </c>
      <c r="B3" s="127"/>
      <c r="C3" s="127"/>
      <c r="D3" s="127"/>
      <c r="E3" s="127" t="str">
        <f ca="1">TEXT(TODAY(),"DD/MM/YYYY")</f>
        <v>18/08/2025</v>
      </c>
      <c r="F3" s="127"/>
      <c r="G3" s="127"/>
      <c r="H3" s="127"/>
    </row>
    <row r="4" spans="1:8" ht="15" customHeight="1" x14ac:dyDescent="0.25">
      <c r="A4" s="127" t="s">
        <v>2</v>
      </c>
      <c r="B4" s="127"/>
      <c r="C4" s="127"/>
      <c r="D4" s="127"/>
      <c r="E4" s="127" t="s">
        <v>161</v>
      </c>
      <c r="F4" s="127"/>
      <c r="G4" s="127"/>
      <c r="H4" s="127"/>
    </row>
    <row r="5" spans="1:8" x14ac:dyDescent="0.25">
      <c r="A5" s="127" t="s">
        <v>3</v>
      </c>
      <c r="B5" s="127"/>
      <c r="C5" s="127"/>
      <c r="D5" s="127"/>
      <c r="E5" s="145">
        <v>45887</v>
      </c>
      <c r="F5" s="127"/>
      <c r="G5" s="127"/>
      <c r="H5" s="127"/>
    </row>
    <row r="6" spans="1:8" ht="16.5" customHeight="1" x14ac:dyDescent="0.25">
      <c r="A6" s="127" t="s">
        <v>4</v>
      </c>
      <c r="B6" s="127"/>
      <c r="C6" s="127"/>
      <c r="D6" s="127"/>
      <c r="E6" s="127" t="s">
        <v>162</v>
      </c>
      <c r="F6" s="127"/>
      <c r="G6" s="127"/>
      <c r="H6" s="127"/>
    </row>
    <row r="7" spans="1:8" ht="15" customHeight="1" x14ac:dyDescent="0.25">
      <c r="A7" s="127" t="s">
        <v>5</v>
      </c>
      <c r="B7" s="127"/>
      <c r="C7" s="127"/>
      <c r="D7" s="127"/>
      <c r="E7" s="127" t="str">
        <f>E6</f>
        <v>Shreenathji Organisers Pvt Ltd</v>
      </c>
      <c r="F7" s="127"/>
      <c r="G7" s="127"/>
      <c r="H7" s="127"/>
    </row>
    <row r="8" spans="1:8" x14ac:dyDescent="0.25">
      <c r="A8" s="127" t="s">
        <v>6</v>
      </c>
      <c r="B8" s="127"/>
      <c r="C8" s="127"/>
      <c r="D8" s="127"/>
      <c r="E8" s="149" t="s">
        <v>163</v>
      </c>
      <c r="F8" s="149"/>
      <c r="G8" s="149"/>
      <c r="H8" s="149"/>
    </row>
    <row r="9" spans="1:8" x14ac:dyDescent="0.25">
      <c r="A9" s="127" t="s">
        <v>119</v>
      </c>
      <c r="B9" s="127"/>
      <c r="C9" s="127"/>
      <c r="D9" s="127"/>
      <c r="E9" s="127">
        <v>9326438922</v>
      </c>
      <c r="F9" s="127"/>
      <c r="G9" s="127"/>
      <c r="H9" s="127"/>
    </row>
    <row r="10" spans="1:8" ht="33" customHeight="1" x14ac:dyDescent="0.25">
      <c r="A10" s="127" t="s">
        <v>185</v>
      </c>
      <c r="B10" s="127"/>
      <c r="C10" s="127"/>
      <c r="D10" s="127"/>
      <c r="E10" s="71" t="s">
        <v>207</v>
      </c>
      <c r="F10" s="127"/>
      <c r="G10" s="127"/>
      <c r="H10" s="127"/>
    </row>
    <row r="11" spans="1:8" x14ac:dyDescent="0.25">
      <c r="A11" s="127" t="s">
        <v>7</v>
      </c>
      <c r="B11" s="127"/>
      <c r="C11" s="127"/>
      <c r="D11" s="127"/>
      <c r="E11" s="127" t="s">
        <v>173</v>
      </c>
      <c r="F11" s="127"/>
      <c r="G11" s="127"/>
      <c r="H11" s="127"/>
    </row>
    <row r="12" spans="1:8" x14ac:dyDescent="0.25">
      <c r="A12" s="66" t="s">
        <v>8</v>
      </c>
      <c r="B12" s="66"/>
      <c r="C12" s="66"/>
      <c r="D12" s="66"/>
      <c r="E12" s="71" t="s">
        <v>175</v>
      </c>
      <c r="F12" s="146"/>
      <c r="G12" s="146"/>
      <c r="H12" s="146"/>
    </row>
    <row r="13" spans="1:8" x14ac:dyDescent="0.25">
      <c r="A13" s="66" t="s">
        <v>9</v>
      </c>
      <c r="B13" s="66"/>
      <c r="C13" s="66"/>
      <c r="D13" s="66"/>
      <c r="E13" s="71" t="s">
        <v>164</v>
      </c>
      <c r="F13" s="127"/>
      <c r="G13" s="127"/>
      <c r="H13" s="127"/>
    </row>
    <row r="14" spans="1:8" ht="33" customHeight="1" x14ac:dyDescent="0.25">
      <c r="A14" s="68" t="s">
        <v>10</v>
      </c>
      <c r="B14" s="68"/>
      <c r="C14" s="68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Delta Luxuria, Plot No.61, Sector -19, near Jnan Vikas Mandal's Mehta Degree College, Internal Road, , Airoli, Airoli West, Thane, Thane - 400708.</v>
      </c>
      <c r="D14" s="68"/>
      <c r="E14" s="68"/>
      <c r="F14" s="68"/>
      <c r="G14" s="68"/>
      <c r="H14" s="68"/>
    </row>
    <row r="15" spans="1:8" x14ac:dyDescent="0.25">
      <c r="A15" s="71" t="s">
        <v>165</v>
      </c>
      <c r="B15" s="71"/>
      <c r="C15" s="71" t="s">
        <v>166</v>
      </c>
      <c r="D15" s="71"/>
      <c r="E15" s="71"/>
      <c r="F15" s="71"/>
      <c r="G15" s="71"/>
      <c r="H15" s="71"/>
    </row>
    <row r="16" spans="1:8" ht="15.75" hidden="1" customHeight="1" x14ac:dyDescent="0.25">
      <c r="A16" s="141" t="s">
        <v>158</v>
      </c>
      <c r="B16" s="142"/>
      <c r="C16" s="141" t="s">
        <v>30</v>
      </c>
      <c r="D16" s="143"/>
      <c r="E16" s="143"/>
      <c r="F16" s="143"/>
      <c r="G16" s="143"/>
      <c r="H16" s="142"/>
    </row>
    <row r="17" spans="1:8" ht="15.75" customHeight="1" x14ac:dyDescent="0.25">
      <c r="A17" s="68" t="s">
        <v>11</v>
      </c>
      <c r="B17" s="68"/>
      <c r="C17" s="127" t="s">
        <v>172</v>
      </c>
      <c r="D17" s="127"/>
      <c r="E17" s="68" t="s">
        <v>159</v>
      </c>
      <c r="F17" s="68"/>
      <c r="G17" s="71" t="s">
        <v>168</v>
      </c>
      <c r="H17" s="71"/>
    </row>
    <row r="18" spans="1:8" x14ac:dyDescent="0.25">
      <c r="A18" s="66" t="s">
        <v>13</v>
      </c>
      <c r="B18" s="66"/>
      <c r="C18" s="71" t="s">
        <v>176</v>
      </c>
      <c r="D18" s="71"/>
      <c r="E18" s="68" t="s">
        <v>12</v>
      </c>
      <c r="F18" s="68"/>
      <c r="G18" s="144" t="s">
        <v>167</v>
      </c>
      <c r="H18" s="144"/>
    </row>
    <row r="19" spans="1:8" x14ac:dyDescent="0.25">
      <c r="A19" s="66" t="s">
        <v>73</v>
      </c>
      <c r="B19" s="66"/>
      <c r="C19" s="71" t="s">
        <v>167</v>
      </c>
      <c r="D19" s="71"/>
      <c r="E19" s="68" t="s">
        <v>14</v>
      </c>
      <c r="F19" s="68"/>
      <c r="G19" s="71">
        <v>400708</v>
      </c>
      <c r="H19" s="71"/>
    </row>
    <row r="20" spans="1:8" ht="32.25" customHeight="1" x14ac:dyDescent="0.25">
      <c r="A20" s="66" t="s">
        <v>120</v>
      </c>
      <c r="B20" s="66"/>
      <c r="C20" s="71" t="s">
        <v>170</v>
      </c>
      <c r="D20" s="71"/>
      <c r="E20" s="68" t="s">
        <v>15</v>
      </c>
      <c r="F20" s="68"/>
      <c r="G20" s="71" t="s">
        <v>171</v>
      </c>
      <c r="H20" s="71"/>
    </row>
    <row r="21" spans="1:8" ht="15" customHeight="1" x14ac:dyDescent="0.25">
      <c r="A21" s="68" t="s">
        <v>75</v>
      </c>
      <c r="B21" s="68"/>
      <c r="C21" s="68"/>
      <c r="D21" s="68"/>
      <c r="E21" s="127" t="s">
        <v>16</v>
      </c>
      <c r="F21" s="127"/>
      <c r="G21" s="127"/>
      <c r="H21" s="127"/>
    </row>
    <row r="22" spans="1:8" ht="18.75" customHeight="1" x14ac:dyDescent="0.25">
      <c r="A22" s="68"/>
      <c r="B22" s="68"/>
      <c r="C22" s="68"/>
      <c r="D22" s="68"/>
      <c r="E22" s="127"/>
      <c r="F22" s="127"/>
      <c r="G22" s="127"/>
      <c r="H22" s="127"/>
    </row>
    <row r="23" spans="1:8" ht="15" customHeight="1" x14ac:dyDescent="0.25">
      <c r="A23" s="68" t="s">
        <v>17</v>
      </c>
      <c r="B23" s="68"/>
      <c r="C23" s="68"/>
      <c r="D23" s="68"/>
      <c r="E23" s="71" t="s">
        <v>18</v>
      </c>
      <c r="F23" s="71"/>
      <c r="G23" s="71"/>
      <c r="H23" s="71"/>
    </row>
    <row r="24" spans="1:8" ht="15" customHeight="1" x14ac:dyDescent="0.25">
      <c r="A24" s="66" t="s">
        <v>19</v>
      </c>
      <c r="B24" s="66"/>
      <c r="C24" s="66"/>
      <c r="D24" s="66"/>
      <c r="E24" s="71" t="str">
        <f>IF(AND(G18="Mumbai"),"Upper Class","Middle Class")</f>
        <v>Middle Class</v>
      </c>
      <c r="F24" s="71"/>
      <c r="G24" s="71"/>
      <c r="H24" s="71"/>
    </row>
    <row r="25" spans="1:8" x14ac:dyDescent="0.25">
      <c r="A25" s="66" t="s">
        <v>20</v>
      </c>
      <c r="B25" s="66"/>
      <c r="C25" s="66"/>
      <c r="D25" s="66"/>
      <c r="E25" s="71" t="s">
        <v>21</v>
      </c>
      <c r="F25" s="71"/>
      <c r="G25" s="71"/>
      <c r="H25" s="71"/>
    </row>
    <row r="26" spans="1:8" ht="15.75" customHeight="1" x14ac:dyDescent="0.25">
      <c r="A26" s="66" t="s">
        <v>22</v>
      </c>
      <c r="B26" s="66"/>
      <c r="C26" s="66"/>
      <c r="D26" s="66"/>
      <c r="E26" s="71" t="str">
        <f>IF(AND(G18="Mumbai"),"Developed","Developing")</f>
        <v>Developing</v>
      </c>
      <c r="F26" s="71"/>
      <c r="G26" s="71"/>
      <c r="H26" s="71"/>
    </row>
    <row r="27" spans="1:8" x14ac:dyDescent="0.25">
      <c r="A27" s="66" t="s">
        <v>23</v>
      </c>
      <c r="B27" s="66"/>
      <c r="C27" s="66"/>
      <c r="D27" s="66"/>
      <c r="E27" s="71" t="s">
        <v>24</v>
      </c>
      <c r="F27" s="71"/>
      <c r="G27" s="71"/>
      <c r="H27" s="71"/>
    </row>
    <row r="28" spans="1:8" ht="15.75" customHeight="1" x14ac:dyDescent="0.25">
      <c r="A28" s="66" t="s">
        <v>80</v>
      </c>
      <c r="B28" s="66"/>
      <c r="C28" s="66"/>
      <c r="D28" s="66"/>
      <c r="E28" s="71" t="s">
        <v>81</v>
      </c>
      <c r="F28" s="71"/>
      <c r="G28" s="71"/>
      <c r="H28" s="71"/>
    </row>
    <row r="29" spans="1:8" ht="15" customHeight="1" x14ac:dyDescent="0.25">
      <c r="A29" s="66" t="s">
        <v>33</v>
      </c>
      <c r="B29" s="66"/>
      <c r="C29" s="66"/>
      <c r="D29" s="66"/>
      <c r="E29" s="71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29" s="71"/>
      <c r="G29" s="71"/>
      <c r="H29" s="71"/>
    </row>
    <row r="30" spans="1:8" ht="15.75" customHeight="1" x14ac:dyDescent="0.25">
      <c r="A30" s="66" t="s">
        <v>92</v>
      </c>
      <c r="B30" s="66"/>
      <c r="C30" s="66"/>
      <c r="D30" s="66"/>
      <c r="E30" s="71" t="s">
        <v>34</v>
      </c>
      <c r="F30" s="71"/>
      <c r="G30" s="71"/>
      <c r="H30" s="71"/>
    </row>
    <row r="31" spans="1:8" s="21" customFormat="1" x14ac:dyDescent="0.25">
      <c r="A31" s="75" t="s">
        <v>93</v>
      </c>
      <c r="B31" s="75"/>
      <c r="C31" s="74" t="s">
        <v>29</v>
      </c>
      <c r="D31" s="74"/>
      <c r="E31" s="74"/>
      <c r="F31" s="74" t="s">
        <v>31</v>
      </c>
      <c r="G31" s="74"/>
      <c r="H31" s="74"/>
    </row>
    <row r="32" spans="1:8" s="21" customFormat="1" x14ac:dyDescent="0.25">
      <c r="A32" s="72" t="s">
        <v>25</v>
      </c>
      <c r="B32" s="72" t="s">
        <v>30</v>
      </c>
      <c r="C32" s="73" t="s">
        <v>30</v>
      </c>
      <c r="D32" s="73"/>
      <c r="E32" s="73"/>
      <c r="F32" s="73" t="s">
        <v>177</v>
      </c>
      <c r="G32" s="73"/>
      <c r="H32" s="73"/>
    </row>
    <row r="33" spans="1:12" x14ac:dyDescent="0.25">
      <c r="A33" s="72" t="s">
        <v>26</v>
      </c>
      <c r="B33" s="72" t="s">
        <v>30</v>
      </c>
      <c r="C33" s="73" t="s">
        <v>30</v>
      </c>
      <c r="D33" s="73"/>
      <c r="E33" s="73"/>
      <c r="F33" s="73" t="s">
        <v>178</v>
      </c>
      <c r="G33" s="73"/>
      <c r="H33" s="73"/>
    </row>
    <row r="34" spans="1:12" s="21" customFormat="1" x14ac:dyDescent="0.25">
      <c r="A34" s="72" t="s">
        <v>28</v>
      </c>
      <c r="B34" s="72" t="s">
        <v>30</v>
      </c>
      <c r="C34" s="73" t="s">
        <v>30</v>
      </c>
      <c r="D34" s="73"/>
      <c r="E34" s="73"/>
      <c r="F34" s="73" t="s">
        <v>179</v>
      </c>
      <c r="G34" s="73"/>
      <c r="H34" s="73"/>
    </row>
    <row r="35" spans="1:12" x14ac:dyDescent="0.25">
      <c r="A35" s="72" t="s">
        <v>27</v>
      </c>
      <c r="B35" s="72" t="s">
        <v>30</v>
      </c>
      <c r="C35" s="73" t="s">
        <v>30</v>
      </c>
      <c r="D35" s="73"/>
      <c r="E35" s="73"/>
      <c r="F35" s="73" t="s">
        <v>180</v>
      </c>
      <c r="G35" s="73"/>
      <c r="H35" s="73"/>
    </row>
    <row r="36" spans="1:12" x14ac:dyDescent="0.25">
      <c r="A36" s="66" t="s">
        <v>32</v>
      </c>
      <c r="B36" s="66"/>
      <c r="C36" s="66"/>
      <c r="D36" s="66"/>
      <c r="E36" s="66"/>
      <c r="F36" s="66"/>
      <c r="G36" s="66"/>
      <c r="H36" s="66"/>
    </row>
    <row r="37" spans="1:12" ht="15.75" customHeight="1" x14ac:dyDescent="0.25">
      <c r="A37" s="66" t="s">
        <v>208</v>
      </c>
      <c r="B37" s="66"/>
      <c r="C37" s="85" t="s">
        <v>209</v>
      </c>
      <c r="D37" s="86"/>
      <c r="E37" s="86"/>
      <c r="F37" s="86"/>
      <c r="G37" s="86"/>
      <c r="H37" s="87"/>
    </row>
    <row r="38" spans="1:12" x14ac:dyDescent="0.25">
      <c r="A38" s="66" t="s">
        <v>157</v>
      </c>
      <c r="B38" s="66"/>
      <c r="C38" s="76" t="s">
        <v>169</v>
      </c>
      <c r="D38" s="77"/>
      <c r="E38" s="77"/>
      <c r="F38" s="77"/>
      <c r="G38" s="77"/>
      <c r="H38" s="77"/>
    </row>
    <row r="39" spans="1:12" x14ac:dyDescent="0.25">
      <c r="A39" s="84" t="s">
        <v>35</v>
      </c>
      <c r="B39" s="84"/>
      <c r="C39" s="84"/>
      <c r="D39" s="84"/>
      <c r="E39" s="84"/>
      <c r="F39" s="84"/>
      <c r="G39" s="84"/>
      <c r="H39" s="84"/>
    </row>
    <row r="40" spans="1:12" x14ac:dyDescent="0.25">
      <c r="A40" s="66" t="s">
        <v>36</v>
      </c>
      <c r="B40" s="66"/>
      <c r="C40" s="66"/>
      <c r="D40" s="66"/>
      <c r="E40" s="83">
        <v>1912.58</v>
      </c>
      <c r="F40" s="83"/>
      <c r="G40" s="83"/>
      <c r="H40" s="83"/>
      <c r="J40" s="20">
        <f>1973.85/E40</f>
        <v>1.0320352612701167</v>
      </c>
    </row>
    <row r="41" spans="1:12" x14ac:dyDescent="0.25">
      <c r="A41" s="66" t="s">
        <v>37</v>
      </c>
      <c r="B41" s="66"/>
      <c r="C41" s="66"/>
      <c r="D41" s="66"/>
      <c r="E41" s="91">
        <v>1</v>
      </c>
      <c r="F41" s="91"/>
      <c r="G41" s="91"/>
      <c r="H41" s="91"/>
    </row>
    <row r="42" spans="1:12" x14ac:dyDescent="0.25">
      <c r="A42" s="66" t="s">
        <v>38</v>
      </c>
      <c r="B42" s="66"/>
      <c r="C42" s="66"/>
      <c r="D42" s="66"/>
      <c r="E42" s="91">
        <f>E44/E40-E41</f>
        <v>2.1205063317612858</v>
      </c>
      <c r="F42" s="91"/>
      <c r="G42" s="91"/>
      <c r="H42" s="91"/>
    </row>
    <row r="43" spans="1:12" x14ac:dyDescent="0.25">
      <c r="A43" s="66" t="s">
        <v>39</v>
      </c>
      <c r="B43" s="66"/>
      <c r="C43" s="66"/>
      <c r="D43" s="66"/>
      <c r="E43" s="91">
        <f>E41+E42</f>
        <v>3.1205063317612858</v>
      </c>
      <c r="F43" s="91"/>
      <c r="G43" s="91"/>
      <c r="H43" s="91"/>
    </row>
    <row r="44" spans="1:12" x14ac:dyDescent="0.25">
      <c r="A44" s="66" t="s">
        <v>91</v>
      </c>
      <c r="B44" s="66"/>
      <c r="C44" s="66"/>
      <c r="D44" s="66"/>
      <c r="E44" s="126">
        <v>5968.2179999999998</v>
      </c>
      <c r="F44" s="126"/>
      <c r="G44" s="126"/>
      <c r="H44" s="126"/>
      <c r="J44" s="20">
        <v>1973.85</v>
      </c>
      <c r="K44" s="20">
        <v>1</v>
      </c>
      <c r="L44" s="20">
        <f>K44*J44</f>
        <v>1973.85</v>
      </c>
    </row>
    <row r="45" spans="1:12" x14ac:dyDescent="0.25">
      <c r="A45" s="127" t="s">
        <v>40</v>
      </c>
      <c r="B45" s="127"/>
      <c r="C45" s="127"/>
      <c r="D45" s="127"/>
      <c r="E45" s="127" t="s">
        <v>186</v>
      </c>
      <c r="F45" s="127"/>
      <c r="G45" s="127"/>
      <c r="H45" s="127"/>
      <c r="J45" s="20">
        <v>6316.32</v>
      </c>
      <c r="K45" s="20">
        <f>J45/J44</f>
        <v>3.2</v>
      </c>
    </row>
    <row r="46" spans="1:12" x14ac:dyDescent="0.25">
      <c r="A46" s="84" t="s">
        <v>41</v>
      </c>
      <c r="B46" s="84"/>
      <c r="C46" s="84"/>
      <c r="D46" s="84"/>
      <c r="E46" s="84"/>
      <c r="F46" s="84"/>
      <c r="G46" s="84"/>
      <c r="H46" s="84"/>
    </row>
    <row r="47" spans="1:12" ht="33.75" customHeight="1" x14ac:dyDescent="0.25">
      <c r="A47" s="78" t="s">
        <v>147</v>
      </c>
      <c r="B47" s="79"/>
      <c r="C47" s="80" t="s">
        <v>181</v>
      </c>
      <c r="D47" s="81"/>
      <c r="E47" s="81"/>
      <c r="F47" s="81"/>
      <c r="G47" s="81"/>
      <c r="H47" s="82"/>
    </row>
    <row r="48" spans="1:12" ht="15.75" customHeight="1" x14ac:dyDescent="0.25">
      <c r="A48" s="78" t="s">
        <v>42</v>
      </c>
      <c r="B48" s="79"/>
      <c r="C48" s="78" t="s">
        <v>187</v>
      </c>
      <c r="D48" s="116"/>
      <c r="E48" s="79"/>
      <c r="F48" s="17" t="s">
        <v>43</v>
      </c>
      <c r="G48" s="117">
        <v>44988</v>
      </c>
      <c r="H48" s="79"/>
    </row>
    <row r="49" spans="1:14" x14ac:dyDescent="0.25">
      <c r="A49" s="78" t="s">
        <v>44</v>
      </c>
      <c r="B49" s="79"/>
      <c r="C49" s="78" t="str">
        <f>C48</f>
        <v>NRV/A-15944</v>
      </c>
      <c r="D49" s="116"/>
      <c r="E49" s="79"/>
      <c r="F49" s="17" t="s">
        <v>43</v>
      </c>
      <c r="G49" s="117">
        <v>44988</v>
      </c>
      <c r="H49" s="133"/>
    </row>
    <row r="50" spans="1:14" s="22" customFormat="1" ht="15.75" customHeight="1" x14ac:dyDescent="0.25">
      <c r="A50" s="121" t="s">
        <v>191</v>
      </c>
      <c r="B50" s="122"/>
      <c r="C50" s="78" t="s">
        <v>190</v>
      </c>
      <c r="D50" s="116"/>
      <c r="E50" s="79"/>
      <c r="F50" s="17" t="s">
        <v>43</v>
      </c>
      <c r="G50" s="117">
        <v>44988</v>
      </c>
      <c r="H50" s="79"/>
    </row>
    <row r="51" spans="1:14" s="22" customFormat="1" ht="35.25" customHeight="1" x14ac:dyDescent="0.25">
      <c r="A51" s="123"/>
      <c r="B51" s="124"/>
      <c r="C51" s="118" t="s">
        <v>188</v>
      </c>
      <c r="D51" s="119"/>
      <c r="E51" s="119"/>
      <c r="F51" s="119"/>
      <c r="G51" s="119"/>
      <c r="H51" s="120"/>
    </row>
    <row r="52" spans="1:14" x14ac:dyDescent="0.25">
      <c r="A52" s="137" t="s">
        <v>160</v>
      </c>
      <c r="B52" s="138"/>
      <c r="C52" s="88" t="s">
        <v>30</v>
      </c>
      <c r="D52" s="89"/>
      <c r="E52" s="90"/>
      <c r="F52" s="56" t="s">
        <v>43</v>
      </c>
      <c r="G52" s="135" t="s">
        <v>30</v>
      </c>
      <c r="H52" s="136"/>
    </row>
    <row r="53" spans="1:14" x14ac:dyDescent="0.25">
      <c r="A53" s="139"/>
      <c r="B53" s="140"/>
      <c r="C53" s="88" t="s">
        <v>30</v>
      </c>
      <c r="D53" s="89"/>
      <c r="E53" s="89"/>
      <c r="F53" s="89"/>
      <c r="G53" s="89"/>
      <c r="H53" s="90"/>
    </row>
    <row r="54" spans="1:14" x14ac:dyDescent="0.25">
      <c r="A54" s="187" t="s">
        <v>46</v>
      </c>
      <c r="B54" s="187"/>
      <c r="C54" s="187"/>
      <c r="D54" s="187"/>
      <c r="E54" s="187"/>
      <c r="F54" s="187"/>
      <c r="G54" s="187"/>
      <c r="H54" s="187"/>
    </row>
    <row r="55" spans="1:14" x14ac:dyDescent="0.25">
      <c r="A55" s="68" t="s">
        <v>90</v>
      </c>
      <c r="B55" s="68"/>
      <c r="C55" s="68"/>
      <c r="D55" s="66">
        <f>E44</f>
        <v>5968.2179999999998</v>
      </c>
      <c r="E55" s="66"/>
      <c r="F55" s="66"/>
      <c r="G55" s="66"/>
      <c r="H55" s="66"/>
    </row>
    <row r="56" spans="1:14" x14ac:dyDescent="0.25">
      <c r="A56" s="71" t="s">
        <v>47</v>
      </c>
      <c r="B56" s="127"/>
      <c r="C56" s="127"/>
      <c r="D56" s="127" t="s">
        <v>200</v>
      </c>
      <c r="E56" s="127"/>
      <c r="F56" s="127"/>
      <c r="G56" s="127"/>
      <c r="H56" s="127"/>
      <c r="I56" s="23"/>
    </row>
    <row r="57" spans="1:14" x14ac:dyDescent="0.25">
      <c r="A57" s="130" t="s">
        <v>48</v>
      </c>
      <c r="B57" s="131"/>
      <c r="C57" s="132"/>
      <c r="D57" s="128" t="s">
        <v>189</v>
      </c>
      <c r="E57" s="129"/>
      <c r="F57" s="129"/>
      <c r="G57" s="129"/>
      <c r="H57" s="129"/>
    </row>
    <row r="58" spans="1:14" x14ac:dyDescent="0.25">
      <c r="A58" s="130" t="s">
        <v>88</v>
      </c>
      <c r="B58" s="131"/>
      <c r="C58" s="131"/>
      <c r="D58" s="141" t="s">
        <v>189</v>
      </c>
      <c r="E58" s="143"/>
      <c r="F58" s="143"/>
      <c r="G58" s="143"/>
      <c r="H58" s="142"/>
    </row>
    <row r="59" spans="1:14" ht="15.75" customHeight="1" x14ac:dyDescent="0.25">
      <c r="A59" s="66" t="s">
        <v>45</v>
      </c>
      <c r="B59" s="66"/>
      <c r="C59" s="66"/>
      <c r="D59" s="134" t="s">
        <v>174</v>
      </c>
      <c r="E59" s="134"/>
      <c r="F59" s="134"/>
      <c r="G59" s="134"/>
      <c r="H59" s="134"/>
      <c r="J59" s="24"/>
      <c r="K59" s="23"/>
      <c r="N59" s="23"/>
    </row>
    <row r="60" spans="1:14" ht="15.75" customHeight="1" x14ac:dyDescent="0.25">
      <c r="A60" s="66" t="s">
        <v>86</v>
      </c>
      <c r="B60" s="66"/>
      <c r="C60" s="66"/>
      <c r="D60" s="125" t="str">
        <f>(IF(G52="NA","60 Years After Completion",IF(G52&lt;&gt;"NA",""&amp;60-ROUNDDOWN((E3-G52)/360,0)&amp;" Years"," ")))</f>
        <v>60 Years After Completion</v>
      </c>
      <c r="E60" s="125"/>
      <c r="F60" s="125"/>
      <c r="G60" s="125"/>
      <c r="H60" s="125"/>
      <c r="N60" s="23"/>
    </row>
    <row r="61" spans="1:14" ht="15.75" customHeight="1" x14ac:dyDescent="0.25">
      <c r="A61" s="66" t="s">
        <v>87</v>
      </c>
      <c r="B61" s="66"/>
      <c r="C61" s="66"/>
      <c r="D61" s="68" t="s">
        <v>24</v>
      </c>
      <c r="E61" s="68"/>
      <c r="F61" s="68"/>
      <c r="G61" s="68"/>
      <c r="H61" s="68"/>
      <c r="J61" s="25"/>
      <c r="K61" s="25"/>
    </row>
    <row r="62" spans="1:14" ht="47.25" customHeight="1" x14ac:dyDescent="0.25">
      <c r="A62" s="66" t="s">
        <v>74</v>
      </c>
      <c r="B62" s="66"/>
      <c r="C62" s="66"/>
      <c r="D62" s="71" t="s">
        <v>192</v>
      </c>
      <c r="E62" s="68"/>
      <c r="F62" s="68"/>
      <c r="G62" s="68"/>
      <c r="H62" s="68"/>
    </row>
    <row r="63" spans="1:14" x14ac:dyDescent="0.25">
      <c r="A63" s="68" t="s">
        <v>146</v>
      </c>
      <c r="B63" s="68"/>
      <c r="C63" s="68"/>
      <c r="D63" s="68" t="s">
        <v>30</v>
      </c>
      <c r="E63" s="68"/>
      <c r="F63" s="68"/>
      <c r="G63" s="68"/>
      <c r="H63" s="68"/>
      <c r="I63" s="26"/>
      <c r="J63" s="26"/>
      <c r="K63" s="26"/>
      <c r="L63" s="26"/>
      <c r="M63" s="26"/>
      <c r="N63" s="26"/>
    </row>
    <row r="64" spans="1:14" ht="15.75" customHeight="1" x14ac:dyDescent="0.25">
      <c r="A64" s="175" t="s">
        <v>85</v>
      </c>
      <c r="B64" s="175"/>
      <c r="C64" s="175"/>
      <c r="D64" s="128" t="str">
        <f ca="1">(IF(G70&gt;95%,"Nothing",IF(G70&gt;0%,"Cement, Aggregate, Steel, etc",IF(G70=0%,"Work not yet Started"))))</f>
        <v>Cement, Aggregate, Steel, etc</v>
      </c>
      <c r="E64" s="128"/>
      <c r="F64" s="128"/>
      <c r="G64" s="128"/>
      <c r="H64" s="128"/>
      <c r="J64" s="25"/>
    </row>
    <row r="65" spans="1:10" ht="33.75" customHeight="1" thickBot="1" x14ac:dyDescent="0.3">
      <c r="A65" s="159" t="s">
        <v>116</v>
      </c>
      <c r="B65" s="159"/>
      <c r="C65" s="159"/>
      <c r="D65" s="128" t="str">
        <f ca="1">(IF(D64="Nothing","Yes",IF(D64="Cement, Aggregate, Steel, etc","Under Construction",IF(D64="Work not yet Started","Work not yet Started"))))</f>
        <v>Under Construction</v>
      </c>
      <c r="E65" s="128"/>
      <c r="F65" s="128" t="str">
        <f ca="1">(IF(D64="Nothing","Yes",IF(D64="Cement, Aggregate, Steel, etc","Under Construction",IF(D64="Work not yet Started","Work not yet Started"))))</f>
        <v>Under Construction</v>
      </c>
      <c r="G65" s="128"/>
      <c r="H65" s="128"/>
    </row>
    <row r="66" spans="1:10" x14ac:dyDescent="0.25">
      <c r="A66" s="178" t="s">
        <v>138</v>
      </c>
      <c r="B66" s="179"/>
      <c r="C66" s="180" t="str">
        <f>D58</f>
        <v>Gr/St + 1st to 5th Floor (Podium) + 6th to 28th Floor</v>
      </c>
      <c r="D66" s="181"/>
      <c r="E66" s="181"/>
      <c r="F66" s="181"/>
      <c r="G66" s="181"/>
      <c r="H66" s="182"/>
      <c r="I66" s="60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Plaster, Flooring Completed, Painting upto 26 Floor, Finishing upto 14 Floor Completed</v>
      </c>
      <c r="J66" s="41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Painting upto 26 Floor, Finishing upto 14 Floor</v>
      </c>
    </row>
    <row r="67" spans="1:10" x14ac:dyDescent="0.25">
      <c r="A67" s="15" t="s">
        <v>140</v>
      </c>
      <c r="B67" s="51">
        <v>0</v>
      </c>
      <c r="C67" s="51" t="s">
        <v>72</v>
      </c>
      <c r="D67" s="51">
        <v>1</v>
      </c>
      <c r="E67" s="51" t="s">
        <v>71</v>
      </c>
      <c r="F67" s="51">
        <v>0</v>
      </c>
      <c r="G67" s="54" t="s">
        <v>79</v>
      </c>
      <c r="H67" s="16">
        <f ca="1">--TRIM(RIGHT(SUBSTITUTE(LEFT(C66,_xlfn.AGGREGATE(16,6,FIND({0,1,2,3,4,5,6,7,8,9},C66,ROW(INDIRECT("1:"&amp;LEN(C66)))),1))," ",REPT(" ",LEN(C66))),LEN(C66)))</f>
        <v>28</v>
      </c>
      <c r="I67" s="42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Plaster, Flooring</v>
      </c>
      <c r="J67" s="43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48.75" customHeight="1" x14ac:dyDescent="0.25">
      <c r="A68" s="183" t="s">
        <v>89</v>
      </c>
      <c r="B68" s="149"/>
      <c r="C68" s="69" t="str">
        <f ca="1">(IF($C$53=C66,"All work Completed. OC Received.",I66))</f>
        <v>Excavation, Plinth, RCC Slab, Brickwork, Internal Plaster, External Plaster, Flooring Completed, Painting upto 26 Floor, Finishing upto 14 Floor Completed</v>
      </c>
      <c r="D68" s="69"/>
      <c r="E68" s="69"/>
      <c r="F68" s="69"/>
      <c r="G68" s="69"/>
      <c r="H68" s="70"/>
      <c r="I68" s="42" t="str">
        <f ca="1">IF(I67&lt;&gt;""," Completed","")</f>
        <v xml:space="preserve"> Completed</v>
      </c>
      <c r="J68" s="43" t="str">
        <f ca="1">IF(J66&lt;&gt;"","Completed","")</f>
        <v>Completed</v>
      </c>
    </row>
    <row r="69" spans="1:10" ht="15.75" customHeight="1" x14ac:dyDescent="0.25">
      <c r="A69" s="93" t="s">
        <v>49</v>
      </c>
      <c r="B69" s="94"/>
      <c r="C69" s="52" t="s">
        <v>137</v>
      </c>
      <c r="D69" s="52" t="s">
        <v>82</v>
      </c>
      <c r="E69" s="94" t="s">
        <v>84</v>
      </c>
      <c r="F69" s="94"/>
      <c r="G69" s="94" t="s">
        <v>83</v>
      </c>
      <c r="H69" s="176"/>
      <c r="I69" s="13" t="s">
        <v>139</v>
      </c>
      <c r="J69" s="27">
        <f ca="1">H67*25%</f>
        <v>7</v>
      </c>
    </row>
    <row r="70" spans="1:10" x14ac:dyDescent="0.25">
      <c r="A70" s="93" t="s">
        <v>126</v>
      </c>
      <c r="B70" s="94"/>
      <c r="C70" s="52">
        <v>28</v>
      </c>
      <c r="D70" s="18">
        <f ca="1">((100/H67)*C70)/100</f>
        <v>1</v>
      </c>
      <c r="E70" s="105">
        <f ca="1">(((C71/H67*10)+(40/(D67+F67+H67)*C72)+(7.5/(H67)*C73)+(7.5/(H67)*C74)+(10/H67*C75)+(10/H67*C76)+(5/H67*C77)+(5/H67*C78)+(5/H67*C79))/100)</f>
        <v>0.92142857142857137</v>
      </c>
      <c r="F70" s="106"/>
      <c r="G70" s="105">
        <f ca="1">((((C70/H67)*20)+((C71/H67)*25)+(30/(H67+F67+D67)*C72)+(5/H67*C73)+(5/H67*C74)+(5/H67*C75)+(5/H67*C76)+(0/H67*C77)+(0/H67*C78)+(5/H67*C79))/100)</f>
        <v>0.95</v>
      </c>
      <c r="H70" s="111"/>
      <c r="I70" s="13" t="s">
        <v>99</v>
      </c>
      <c r="J70" s="28">
        <f ca="1">H67*50%</f>
        <v>14</v>
      </c>
    </row>
    <row r="71" spans="1:10" x14ac:dyDescent="0.25">
      <c r="A71" s="93" t="s">
        <v>50</v>
      </c>
      <c r="B71" s="94"/>
      <c r="C71" s="52">
        <v>28</v>
      </c>
      <c r="D71" s="18">
        <f ca="1">((100/H67)*C71)/100</f>
        <v>1</v>
      </c>
      <c r="E71" s="107"/>
      <c r="F71" s="108"/>
      <c r="G71" s="107"/>
      <c r="H71" s="112"/>
      <c r="I71" s="13" t="s">
        <v>100</v>
      </c>
      <c r="J71" s="28">
        <f ca="1">H67</f>
        <v>28</v>
      </c>
    </row>
    <row r="72" spans="1:10" ht="15.75" customHeight="1" x14ac:dyDescent="0.25">
      <c r="A72" s="93" t="s">
        <v>127</v>
      </c>
      <c r="B72" s="94"/>
      <c r="C72" s="52">
        <v>29</v>
      </c>
      <c r="D72" s="18">
        <f ca="1">((100/(D67+F67+H67))*C72)/100</f>
        <v>1</v>
      </c>
      <c r="E72" s="107"/>
      <c r="F72" s="108"/>
      <c r="G72" s="107"/>
      <c r="H72" s="112"/>
      <c r="I72" s="13" t="s">
        <v>101</v>
      </c>
      <c r="J72" s="29">
        <f ca="1">(IF(B67&gt;1,(H67/(B67+2)),H67/4))</f>
        <v>7</v>
      </c>
    </row>
    <row r="73" spans="1:10" ht="15.75" customHeight="1" x14ac:dyDescent="0.25">
      <c r="A73" s="93" t="s">
        <v>134</v>
      </c>
      <c r="B73" s="94" t="s">
        <v>128</v>
      </c>
      <c r="C73" s="52">
        <v>28</v>
      </c>
      <c r="D73" s="18">
        <f ca="1">((100/H67)*C73)/100</f>
        <v>1</v>
      </c>
      <c r="E73" s="107"/>
      <c r="F73" s="108"/>
      <c r="G73" s="107"/>
      <c r="H73" s="112"/>
      <c r="I73" s="13" t="s">
        <v>102</v>
      </c>
      <c r="J73" s="29">
        <f ca="1">(IF(B67&gt;1,(H67/(B67+2)+J72),H67/4+J72))</f>
        <v>14</v>
      </c>
    </row>
    <row r="74" spans="1:10" ht="15.75" customHeight="1" x14ac:dyDescent="0.25">
      <c r="A74" s="93" t="s">
        <v>135</v>
      </c>
      <c r="B74" s="94" t="s">
        <v>128</v>
      </c>
      <c r="C74" s="52">
        <v>28</v>
      </c>
      <c r="D74" s="18">
        <f ca="1">((100/H67)*C74)/100</f>
        <v>1</v>
      </c>
      <c r="E74" s="107"/>
      <c r="F74" s="108"/>
      <c r="G74" s="107"/>
      <c r="H74" s="112"/>
      <c r="I74" s="13" t="s">
        <v>144</v>
      </c>
      <c r="J74" s="29">
        <f>(IF(B67&gt;1,(H67/(B67+2)+J73),0))</f>
        <v>0</v>
      </c>
    </row>
    <row r="75" spans="1:10" ht="15" customHeight="1" x14ac:dyDescent="0.25">
      <c r="A75" s="93" t="s">
        <v>133</v>
      </c>
      <c r="B75" s="94" t="s">
        <v>130</v>
      </c>
      <c r="C75" s="52">
        <v>28</v>
      </c>
      <c r="D75" s="18">
        <f ca="1">((100/(H67))*C75)/100</f>
        <v>1</v>
      </c>
      <c r="E75" s="107"/>
      <c r="F75" s="108"/>
      <c r="G75" s="107"/>
      <c r="H75" s="112"/>
      <c r="I75" s="13" t="s">
        <v>141</v>
      </c>
      <c r="J75" s="29">
        <f>(IF(B67&gt;2,(H67/(B67+2)+J74),0))</f>
        <v>0</v>
      </c>
    </row>
    <row r="76" spans="1:10" ht="15.75" customHeight="1" x14ac:dyDescent="0.25">
      <c r="A76" s="93" t="s">
        <v>129</v>
      </c>
      <c r="B76" s="94" t="s">
        <v>129</v>
      </c>
      <c r="C76" s="52">
        <v>28</v>
      </c>
      <c r="D76" s="18">
        <f ca="1">((100/H67)*C76)/100</f>
        <v>1</v>
      </c>
      <c r="E76" s="107"/>
      <c r="F76" s="108"/>
      <c r="G76" s="107"/>
      <c r="H76" s="112"/>
      <c r="I76" s="13" t="s">
        <v>142</v>
      </c>
      <c r="J76" s="30">
        <f>(IF(B67&gt;3,(H67/(B67+2)+J75),0))</f>
        <v>0</v>
      </c>
    </row>
    <row r="77" spans="1:10" ht="15.75" customHeight="1" x14ac:dyDescent="0.25">
      <c r="A77" s="93" t="s">
        <v>136</v>
      </c>
      <c r="B77" s="94"/>
      <c r="C77" s="52">
        <v>26</v>
      </c>
      <c r="D77" s="18">
        <f ca="1">((100/H67)*C77)/100</f>
        <v>0.9285714285714286</v>
      </c>
      <c r="E77" s="107"/>
      <c r="F77" s="108"/>
      <c r="G77" s="107"/>
      <c r="H77" s="112"/>
      <c r="I77" s="13" t="s">
        <v>143</v>
      </c>
      <c r="J77" s="29">
        <f>(IF(B67&gt;4,(H67/(B67+2)+J76),0))</f>
        <v>0</v>
      </c>
    </row>
    <row r="78" spans="1:10" ht="15.75" customHeight="1" x14ac:dyDescent="0.25">
      <c r="A78" s="93" t="s">
        <v>131</v>
      </c>
      <c r="B78" s="94" t="s">
        <v>131</v>
      </c>
      <c r="C78" s="52">
        <v>14</v>
      </c>
      <c r="D78" s="18">
        <f ca="1">((100/(H67))*C78)/100</f>
        <v>0.5</v>
      </c>
      <c r="E78" s="107"/>
      <c r="F78" s="108"/>
      <c r="G78" s="107"/>
      <c r="H78" s="112"/>
      <c r="I78" s="13" t="s">
        <v>145</v>
      </c>
      <c r="J78" s="29">
        <f ca="1">(IF(B67=1,(H67/(B67+3)+J73),IF(B67=0,(H67/4+J73),IF(B67&gt;1,0))))</f>
        <v>21</v>
      </c>
    </row>
    <row r="79" spans="1:10" ht="16.5" thickBot="1" x14ac:dyDescent="0.3">
      <c r="A79" s="114" t="s">
        <v>132</v>
      </c>
      <c r="B79" s="115"/>
      <c r="C79" s="53">
        <v>0</v>
      </c>
      <c r="D79" s="19">
        <f ca="1">((100/(H67))*C79)/100</f>
        <v>0</v>
      </c>
      <c r="E79" s="109"/>
      <c r="F79" s="110"/>
      <c r="G79" s="109"/>
      <c r="H79" s="113"/>
      <c r="I79" s="14" t="s">
        <v>103</v>
      </c>
      <c r="J79" s="31">
        <f ca="1">(IF(B67&gt;1.5,(H67/(B67+2)+J73+MAX(0,J74-J73)+MAX(0,J75-J74)+MAX(0,J76-J75)+MAX(0,J77-J76)+MAX(0,J78-J77)),IF(B67=1,(H67/(B67+3)+J78),IF(B67=0,H67/4+J78))))</f>
        <v>28</v>
      </c>
    </row>
    <row r="80" spans="1:10" x14ac:dyDescent="0.25">
      <c r="A80" s="104" t="s">
        <v>151</v>
      </c>
      <c r="B80" s="104"/>
      <c r="C80" s="104"/>
      <c r="D80" s="104"/>
      <c r="E80" s="104"/>
      <c r="F80" s="177" t="s">
        <v>155</v>
      </c>
      <c r="G80" s="177"/>
      <c r="H80" s="177"/>
    </row>
    <row r="81" spans="1:13" x14ac:dyDescent="0.25">
      <c r="A81" s="66" t="s">
        <v>153</v>
      </c>
      <c r="B81" s="66"/>
      <c r="C81" s="66"/>
      <c r="D81" s="66"/>
      <c r="E81" s="66"/>
      <c r="F81" s="67">
        <v>12900</v>
      </c>
      <c r="G81" s="67"/>
      <c r="H81" s="67"/>
      <c r="I81" s="61" t="s">
        <v>203</v>
      </c>
      <c r="J81" s="62" t="s">
        <v>204</v>
      </c>
      <c r="K81" s="63">
        <v>45300</v>
      </c>
      <c r="L81" s="61"/>
    </row>
    <row r="82" spans="1:13" hidden="1" x14ac:dyDescent="0.25">
      <c r="A82" s="66" t="s">
        <v>152</v>
      </c>
      <c r="B82" s="66"/>
      <c r="C82" s="66"/>
      <c r="D82" s="66"/>
      <c r="E82" s="66"/>
      <c r="F82" s="67"/>
      <c r="G82" s="67"/>
      <c r="H82" s="67"/>
    </row>
    <row r="83" spans="1:13" hidden="1" x14ac:dyDescent="0.25">
      <c r="A83" s="66" t="s">
        <v>154</v>
      </c>
      <c r="B83" s="66"/>
      <c r="C83" s="66"/>
      <c r="D83" s="66"/>
      <c r="E83" s="66"/>
      <c r="F83" s="67"/>
      <c r="G83" s="67"/>
      <c r="H83" s="67"/>
    </row>
    <row r="84" spans="1:13" s="32" customFormat="1" x14ac:dyDescent="0.25">
      <c r="A84" s="66" t="s">
        <v>202</v>
      </c>
      <c r="B84" s="66"/>
      <c r="C84" s="66"/>
      <c r="D84" s="66"/>
      <c r="E84" s="66"/>
      <c r="F84" s="67">
        <v>50</v>
      </c>
      <c r="G84" s="67"/>
      <c r="H84" s="67"/>
      <c r="I84" s="32" t="s">
        <v>213</v>
      </c>
      <c r="J84" s="64" t="s">
        <v>211</v>
      </c>
      <c r="K84" s="64"/>
      <c r="L84" s="65">
        <v>45622</v>
      </c>
      <c r="M84" s="64"/>
    </row>
    <row r="85" spans="1:13" s="32" customFormat="1" x14ac:dyDescent="0.25">
      <c r="A85" s="66" t="s">
        <v>94</v>
      </c>
      <c r="B85" s="66"/>
      <c r="C85" s="66"/>
      <c r="D85" s="66"/>
      <c r="E85" s="66"/>
      <c r="F85" s="67">
        <v>400000</v>
      </c>
      <c r="G85" s="67"/>
      <c r="H85" s="67"/>
    </row>
    <row r="86" spans="1:13" s="32" customFormat="1" x14ac:dyDescent="0.25">
      <c r="A86" s="66" t="s">
        <v>95</v>
      </c>
      <c r="B86" s="66"/>
      <c r="C86" s="66"/>
      <c r="D86" s="66"/>
      <c r="E86" s="66"/>
      <c r="F86" s="67">
        <v>350000</v>
      </c>
      <c r="G86" s="67"/>
      <c r="H86" s="67"/>
    </row>
    <row r="87" spans="1:13" s="32" customFormat="1" hidden="1" x14ac:dyDescent="0.25">
      <c r="A87" s="66" t="s">
        <v>156</v>
      </c>
      <c r="B87" s="66"/>
      <c r="C87" s="66"/>
      <c r="D87" s="66"/>
      <c r="E87" s="66"/>
      <c r="F87" s="67"/>
      <c r="G87" s="67"/>
      <c r="H87" s="67"/>
    </row>
    <row r="88" spans="1:13" s="32" customFormat="1" hidden="1" x14ac:dyDescent="0.25">
      <c r="A88" s="66" t="s">
        <v>96</v>
      </c>
      <c r="B88" s="66"/>
      <c r="C88" s="66"/>
      <c r="D88" s="66"/>
      <c r="E88" s="66"/>
      <c r="F88" s="67"/>
      <c r="G88" s="67"/>
      <c r="H88" s="67"/>
    </row>
    <row r="89" spans="1:13" s="32" customFormat="1" hidden="1" x14ac:dyDescent="0.25">
      <c r="A89" s="66" t="s">
        <v>97</v>
      </c>
      <c r="B89" s="66"/>
      <c r="C89" s="66"/>
      <c r="D89" s="66"/>
      <c r="E89" s="66"/>
      <c r="F89" s="67"/>
      <c r="G89" s="67"/>
      <c r="H89" s="67"/>
    </row>
    <row r="90" spans="1:13" s="32" customFormat="1" x14ac:dyDescent="0.25">
      <c r="A90" s="66" t="s">
        <v>205</v>
      </c>
      <c r="B90" s="66"/>
      <c r="C90" s="66"/>
      <c r="D90" s="66"/>
      <c r="E90" s="66"/>
      <c r="F90" s="67">
        <v>50000</v>
      </c>
      <c r="G90" s="67"/>
      <c r="H90" s="67"/>
    </row>
    <row r="91" spans="1:13" s="32" customFormat="1" hidden="1" x14ac:dyDescent="0.25">
      <c r="A91" s="66" t="s">
        <v>98</v>
      </c>
      <c r="B91" s="66"/>
      <c r="C91" s="66"/>
      <c r="D91" s="66"/>
      <c r="E91" s="66"/>
      <c r="F91" s="67"/>
      <c r="G91" s="67"/>
      <c r="H91" s="67"/>
    </row>
    <row r="92" spans="1:13" x14ac:dyDescent="0.25">
      <c r="A92" s="66" t="s">
        <v>51</v>
      </c>
      <c r="B92" s="66"/>
      <c r="C92" s="66"/>
      <c r="D92" s="66"/>
      <c r="E92" s="66"/>
      <c r="F92" s="67">
        <v>600000</v>
      </c>
      <c r="G92" s="67"/>
      <c r="H92" s="67"/>
      <c r="J92" s="20" t="s">
        <v>183</v>
      </c>
    </row>
    <row r="93" spans="1:13" s="33" customFormat="1" x14ac:dyDescent="0.25">
      <c r="A93" s="84" t="s">
        <v>52</v>
      </c>
      <c r="B93" s="84"/>
      <c r="C93" s="84"/>
      <c r="D93" s="84"/>
      <c r="E93" s="84"/>
      <c r="F93" s="67">
        <f>F81*0.8</f>
        <v>10320</v>
      </c>
      <c r="G93" s="67"/>
      <c r="H93" s="67"/>
      <c r="J93" s="33">
        <v>14500</v>
      </c>
    </row>
    <row r="94" spans="1:13" s="34" customFormat="1" x14ac:dyDescent="0.25">
      <c r="A94" s="156" t="s">
        <v>70</v>
      </c>
      <c r="B94" s="156"/>
      <c r="C94" s="156"/>
      <c r="D94" s="156"/>
      <c r="E94" s="156"/>
      <c r="F94" s="156"/>
      <c r="G94" s="156"/>
      <c r="H94" s="156"/>
    </row>
    <row r="95" spans="1:13" s="34" customFormat="1" ht="15.75" customHeight="1" x14ac:dyDescent="0.25">
      <c r="A95" s="167" t="s">
        <v>53</v>
      </c>
      <c r="B95" s="167"/>
      <c r="C95" s="92" t="s">
        <v>77</v>
      </c>
      <c r="D95" s="92"/>
      <c r="E95" s="168" t="s">
        <v>54</v>
      </c>
      <c r="F95" s="168"/>
      <c r="G95" s="167" t="s">
        <v>55</v>
      </c>
      <c r="H95" s="167"/>
    </row>
    <row r="96" spans="1:13" s="34" customFormat="1" x14ac:dyDescent="0.25">
      <c r="A96" s="155" t="s">
        <v>69</v>
      </c>
      <c r="B96" s="155"/>
      <c r="C96" s="157">
        <f>COUNT(D104:D105)*23</f>
        <v>46</v>
      </c>
      <c r="D96" s="157"/>
      <c r="E96" s="158">
        <f>SUM(D104:D105)*23</f>
        <v>41588.629992000002</v>
      </c>
      <c r="F96" s="158"/>
      <c r="G96" s="158">
        <f>SUM(F104:F105)*23</f>
        <v>75900</v>
      </c>
      <c r="H96" s="158"/>
    </row>
    <row r="97" spans="1:14" s="33" customFormat="1" x14ac:dyDescent="0.25">
      <c r="A97" s="148" t="s">
        <v>56</v>
      </c>
      <c r="B97" s="148"/>
      <c r="C97" s="148"/>
      <c r="D97" s="148"/>
      <c r="E97" s="148"/>
      <c r="F97" s="148"/>
      <c r="G97" s="148"/>
      <c r="H97" s="148"/>
      <c r="J97" s="33">
        <f>21000/1.7</f>
        <v>12352.941176470589</v>
      </c>
    </row>
    <row r="98" spans="1:14" ht="47.25" customHeight="1" x14ac:dyDescent="0.25">
      <c r="A98" s="50" t="s">
        <v>117</v>
      </c>
      <c r="B98" s="50" t="s">
        <v>118</v>
      </c>
      <c r="C98" s="47" t="s">
        <v>57</v>
      </c>
      <c r="D98" s="47" t="s">
        <v>58</v>
      </c>
      <c r="E98" s="48" t="s">
        <v>59</v>
      </c>
      <c r="F98" s="47" t="s">
        <v>182</v>
      </c>
      <c r="G98" s="185" t="s">
        <v>60</v>
      </c>
      <c r="H98" s="186"/>
      <c r="I98" s="35"/>
    </row>
    <row r="99" spans="1:14" s="49" customFormat="1" x14ac:dyDescent="0.25">
      <c r="A99" s="172" t="s">
        <v>193</v>
      </c>
      <c r="B99" s="173"/>
      <c r="C99" s="173"/>
      <c r="D99" s="173"/>
      <c r="E99" s="173"/>
      <c r="F99" s="173"/>
      <c r="G99" s="173"/>
      <c r="H99" s="174"/>
      <c r="I99" s="35"/>
    </row>
    <row r="100" spans="1:14" s="49" customFormat="1" x14ac:dyDescent="0.25">
      <c r="A100" s="172" t="s">
        <v>194</v>
      </c>
      <c r="B100" s="173"/>
      <c r="C100" s="173"/>
      <c r="D100" s="173"/>
      <c r="E100" s="173"/>
      <c r="F100" s="173"/>
      <c r="G100" s="173"/>
      <c r="H100" s="174"/>
      <c r="I100" s="35"/>
    </row>
    <row r="101" spans="1:14" s="49" customFormat="1" ht="15.75" customHeight="1" x14ac:dyDescent="0.25">
      <c r="A101" s="172" t="s">
        <v>195</v>
      </c>
      <c r="B101" s="173"/>
      <c r="C101" s="173"/>
      <c r="D101" s="173"/>
      <c r="E101" s="173"/>
      <c r="F101" s="173"/>
      <c r="G101" s="173"/>
      <c r="H101" s="174"/>
      <c r="I101" s="35"/>
    </row>
    <row r="102" spans="1:14" s="49" customFormat="1" ht="15.75" customHeight="1" x14ac:dyDescent="0.25">
      <c r="A102" s="172" t="s">
        <v>196</v>
      </c>
      <c r="B102" s="173"/>
      <c r="C102" s="173"/>
      <c r="D102" s="173"/>
      <c r="E102" s="173"/>
      <c r="F102" s="173"/>
      <c r="G102" s="173"/>
      <c r="H102" s="174"/>
      <c r="I102" s="35"/>
    </row>
    <row r="103" spans="1:14" s="49" customFormat="1" x14ac:dyDescent="0.25">
      <c r="A103" s="95" t="s">
        <v>197</v>
      </c>
      <c r="B103" s="96"/>
      <c r="C103" s="96"/>
      <c r="D103" s="96"/>
      <c r="E103" s="96"/>
      <c r="F103" s="96"/>
      <c r="G103" s="96"/>
      <c r="H103" s="97"/>
      <c r="J103" s="49">
        <f>88.162+8.085</f>
        <v>96.247000000000014</v>
      </c>
      <c r="K103" s="49">
        <f>3.35*5.2+1.3*3.05+2.45*3.2+3.1*4.25+3.7*4.3+3.35*3.55+2.1*1.35+2.45*1.5+2.45*1.5+3.55*1+(3.15*1.5+2.4*1.4)</f>
        <v>92.02249999999998</v>
      </c>
    </row>
    <row r="104" spans="1:14" s="49" customFormat="1" ht="31.5" customHeight="1" x14ac:dyDescent="0.25">
      <c r="A104" s="98">
        <v>1</v>
      </c>
      <c r="B104" s="99"/>
      <c r="C104" s="44">
        <v>3</v>
      </c>
      <c r="D104" s="45">
        <f>(88.162+8.085)*10.764</f>
        <v>1036.002708</v>
      </c>
      <c r="E104" s="40">
        <v>0</v>
      </c>
      <c r="F104" s="40">
        <v>1900</v>
      </c>
      <c r="G104" s="100" t="str">
        <f>A103</f>
        <v>6th to 28th Floor for Residential (Fire Balcony @ Mid Landing of 7th, 12th, 17th, 22nd &amp; 7th Floor)</v>
      </c>
      <c r="H104" s="101"/>
      <c r="I104" s="46">
        <f>22500000/F104</f>
        <v>11842.105263157895</v>
      </c>
      <c r="J104" s="46">
        <f>F104/D104</f>
        <v>1.8339720401580264</v>
      </c>
      <c r="K104" s="46">
        <f>18300000/F104</f>
        <v>9631.5789473684217</v>
      </c>
      <c r="L104" s="49">
        <v>1899</v>
      </c>
      <c r="M104" s="59">
        <f>27900000/F104</f>
        <v>14684.21052631579</v>
      </c>
      <c r="N104" s="35">
        <f>14000*F104</f>
        <v>26600000</v>
      </c>
    </row>
    <row r="105" spans="1:14" s="49" customFormat="1" ht="30" customHeight="1" x14ac:dyDescent="0.25">
      <c r="A105" s="98">
        <f t="shared" ref="A105" si="0">A104+1</f>
        <v>2</v>
      </c>
      <c r="B105" s="99"/>
      <c r="C105" s="44">
        <v>2</v>
      </c>
      <c r="D105" s="45">
        <f>(64.074+7.665)*10.764</f>
        <v>772.19859599999995</v>
      </c>
      <c r="E105" s="40">
        <v>0</v>
      </c>
      <c r="F105" s="40">
        <v>1400</v>
      </c>
      <c r="G105" s="102"/>
      <c r="H105" s="103"/>
      <c r="I105" s="46">
        <f>17000000/F105</f>
        <v>12142.857142857143</v>
      </c>
      <c r="J105" s="46">
        <f>F105/D105</f>
        <v>1.8130051093747392</v>
      </c>
      <c r="K105" s="46">
        <f>18700000/F105</f>
        <v>13357.142857142857</v>
      </c>
      <c r="L105" s="49">
        <f>21600000/F105</f>
        <v>15428.571428571429</v>
      </c>
      <c r="M105" s="59">
        <f>20800000/F105</f>
        <v>14857.142857142857</v>
      </c>
      <c r="N105" s="35">
        <f>14000*F105</f>
        <v>19600000</v>
      </c>
    </row>
    <row r="106" spans="1:14" s="34" customFormat="1" x14ac:dyDescent="0.25">
      <c r="A106" s="166" t="s">
        <v>68</v>
      </c>
      <c r="B106" s="166"/>
      <c r="C106" s="166"/>
      <c r="D106" s="166"/>
      <c r="E106" s="166"/>
      <c r="F106" s="166"/>
      <c r="G106" s="166"/>
      <c r="H106" s="166"/>
      <c r="J106" s="35"/>
    </row>
    <row r="107" spans="1:14" s="58" customFormat="1" x14ac:dyDescent="0.25">
      <c r="A107" s="57" t="s">
        <v>149</v>
      </c>
      <c r="B107" s="160" t="s">
        <v>214</v>
      </c>
      <c r="C107" s="161"/>
      <c r="D107" s="161"/>
      <c r="E107" s="161"/>
      <c r="F107" s="161"/>
      <c r="G107" s="161"/>
      <c r="H107" s="162"/>
      <c r="J107" s="35"/>
    </row>
    <row r="108" spans="1:14" s="34" customFormat="1" x14ac:dyDescent="0.25">
      <c r="A108" s="55" t="s">
        <v>149</v>
      </c>
      <c r="B108" s="160" t="str">
        <f>(IF(F98="Saleable area Loading :","We have considered Saleable area of Flats as per our Calculation.","We considered Saleable area of Flat as per Builder area Sheet."))</f>
        <v>We considered Saleable area of Flat as per Builder area Sheet.</v>
      </c>
      <c r="C108" s="161"/>
      <c r="D108" s="161"/>
      <c r="E108" s="161"/>
      <c r="F108" s="161"/>
      <c r="G108" s="161"/>
      <c r="H108" s="162"/>
      <c r="J108" s="35"/>
    </row>
    <row r="109" spans="1:14" s="34" customFormat="1" x14ac:dyDescent="0.25">
      <c r="A109" s="55" t="s">
        <v>149</v>
      </c>
      <c r="B109" s="163" t="s">
        <v>121</v>
      </c>
      <c r="C109" s="164"/>
      <c r="D109" s="164"/>
      <c r="E109" s="164"/>
      <c r="F109" s="164"/>
      <c r="G109" s="164"/>
      <c r="H109" s="165"/>
    </row>
    <row r="110" spans="1:14" s="34" customFormat="1" x14ac:dyDescent="0.25">
      <c r="A110" s="55" t="s">
        <v>149</v>
      </c>
      <c r="B110" s="163" t="s">
        <v>198</v>
      </c>
      <c r="C110" s="164"/>
      <c r="D110" s="164"/>
      <c r="E110" s="164"/>
      <c r="F110" s="164"/>
      <c r="G110" s="164"/>
      <c r="H110" s="165"/>
    </row>
    <row r="111" spans="1:14" s="34" customFormat="1" x14ac:dyDescent="0.25">
      <c r="A111" s="55" t="s">
        <v>149</v>
      </c>
      <c r="B111" s="163" t="s">
        <v>148</v>
      </c>
      <c r="C111" s="164"/>
      <c r="D111" s="164"/>
      <c r="E111" s="164"/>
      <c r="F111" s="164"/>
      <c r="G111" s="164"/>
      <c r="H111" s="165"/>
    </row>
    <row r="112" spans="1:14" s="34" customFormat="1" x14ac:dyDescent="0.25">
      <c r="A112" s="55" t="s">
        <v>149</v>
      </c>
      <c r="B112" s="163" t="s">
        <v>122</v>
      </c>
      <c r="C112" s="164"/>
      <c r="D112" s="164"/>
      <c r="E112" s="164"/>
      <c r="F112" s="164"/>
      <c r="G112" s="164"/>
      <c r="H112" s="165"/>
    </row>
    <row r="113" spans="1:8" s="34" customFormat="1" ht="34.5" customHeight="1" x14ac:dyDescent="0.25">
      <c r="A113" s="55" t="s">
        <v>149</v>
      </c>
      <c r="B113" s="163" t="s">
        <v>150</v>
      </c>
      <c r="C113" s="164"/>
      <c r="D113" s="164"/>
      <c r="E113" s="164"/>
      <c r="F113" s="164"/>
      <c r="G113" s="164"/>
      <c r="H113" s="165"/>
    </row>
    <row r="114" spans="1:8" s="34" customFormat="1" x14ac:dyDescent="0.25">
      <c r="A114" s="55" t="s">
        <v>149</v>
      </c>
      <c r="B114" s="163" t="s">
        <v>123</v>
      </c>
      <c r="C114" s="164"/>
      <c r="D114" s="164"/>
      <c r="E114" s="164"/>
      <c r="F114" s="164"/>
      <c r="G114" s="164"/>
      <c r="H114" s="165"/>
    </row>
    <row r="115" spans="1:8" s="34" customFormat="1" hidden="1" x14ac:dyDescent="0.25">
      <c r="A115" s="55" t="s">
        <v>149</v>
      </c>
      <c r="B115" s="169" t="s">
        <v>184</v>
      </c>
      <c r="C115" s="170"/>
      <c r="D115" s="170"/>
      <c r="E115" s="170"/>
      <c r="F115" s="170"/>
      <c r="G115" s="170"/>
      <c r="H115" s="171"/>
    </row>
    <row r="116" spans="1:8" s="34" customFormat="1" x14ac:dyDescent="0.25">
      <c r="A116" s="55" t="s">
        <v>149</v>
      </c>
      <c r="B116" s="150" t="s">
        <v>199</v>
      </c>
      <c r="C116" s="151"/>
      <c r="D116" s="151"/>
      <c r="E116" s="151"/>
      <c r="F116" s="151"/>
      <c r="G116" s="151"/>
      <c r="H116" s="152"/>
    </row>
    <row r="117" spans="1:8" s="34" customFormat="1" ht="33" customHeight="1" x14ac:dyDescent="0.25">
      <c r="A117" s="55" t="s">
        <v>149</v>
      </c>
      <c r="B117" s="150" t="s">
        <v>212</v>
      </c>
      <c r="C117" s="151"/>
      <c r="D117" s="151"/>
      <c r="E117" s="151"/>
      <c r="F117" s="151"/>
      <c r="G117" s="151"/>
      <c r="H117" s="152"/>
    </row>
    <row r="118" spans="1:8" s="34" customFormat="1" ht="30.75" hidden="1" customHeight="1" x14ac:dyDescent="0.25">
      <c r="A118" s="55" t="s">
        <v>149</v>
      </c>
      <c r="B118" s="150" t="s">
        <v>210</v>
      </c>
      <c r="C118" s="151"/>
      <c r="D118" s="151"/>
      <c r="E118" s="151"/>
      <c r="F118" s="151"/>
      <c r="G118" s="151"/>
      <c r="H118" s="152"/>
    </row>
    <row r="119" spans="1:8" x14ac:dyDescent="0.25">
      <c r="A119" s="187" t="s">
        <v>61</v>
      </c>
      <c r="B119" s="187"/>
      <c r="C119" s="187"/>
      <c r="D119" s="187"/>
      <c r="E119" s="187"/>
      <c r="F119" s="187"/>
      <c r="G119" s="187"/>
      <c r="H119" s="187"/>
    </row>
    <row r="120" spans="1:8" x14ac:dyDescent="0.25">
      <c r="A120" s="66" t="s">
        <v>62</v>
      </c>
      <c r="B120" s="66"/>
      <c r="C120" s="66"/>
      <c r="D120" s="66"/>
      <c r="E120" s="66"/>
      <c r="F120" s="66"/>
      <c r="G120" s="66"/>
      <c r="H120" s="66"/>
    </row>
    <row r="121" spans="1:8" ht="15.75" customHeight="1" x14ac:dyDescent="0.25">
      <c r="A121" s="184" t="s">
        <v>63</v>
      </c>
      <c r="B121" s="184"/>
      <c r="C121" s="184"/>
      <c r="D121" s="184"/>
      <c r="E121" s="184"/>
      <c r="F121" s="184"/>
      <c r="G121" s="184"/>
      <c r="H121" s="184"/>
    </row>
    <row r="122" spans="1:8" x14ac:dyDescent="0.25">
      <c r="A122" s="66" t="s">
        <v>64</v>
      </c>
      <c r="B122" s="66"/>
      <c r="C122" s="66"/>
      <c r="D122" s="66"/>
      <c r="E122" s="66"/>
      <c r="F122" s="66"/>
      <c r="G122" s="66"/>
      <c r="H122" s="66"/>
    </row>
    <row r="123" spans="1:8" x14ac:dyDescent="0.25">
      <c r="A123" s="66" t="s">
        <v>65</v>
      </c>
      <c r="B123" s="66"/>
      <c r="C123" s="66"/>
      <c r="D123" s="66"/>
      <c r="E123" s="66"/>
      <c r="F123" s="66"/>
      <c r="G123" s="66"/>
      <c r="H123" s="66"/>
    </row>
    <row r="124" spans="1:8" x14ac:dyDescent="0.25">
      <c r="A124" s="66" t="s">
        <v>124</v>
      </c>
      <c r="B124" s="66"/>
      <c r="C124" s="66"/>
      <c r="D124" s="66"/>
      <c r="E124" s="66"/>
      <c r="F124" s="66"/>
      <c r="G124" s="66"/>
      <c r="H124" s="66"/>
    </row>
    <row r="125" spans="1:8" ht="35.25" customHeight="1" x14ac:dyDescent="0.25">
      <c r="A125" s="68" t="s">
        <v>125</v>
      </c>
      <c r="B125" s="68"/>
      <c r="C125" s="68"/>
      <c r="D125" s="68"/>
      <c r="E125" s="68"/>
      <c r="F125" s="68"/>
      <c r="G125" s="68"/>
      <c r="H125" s="68"/>
    </row>
    <row r="126" spans="1:8" x14ac:dyDescent="0.25">
      <c r="A126" s="154" t="s">
        <v>76</v>
      </c>
      <c r="B126" s="154"/>
      <c r="C126" s="154" t="s">
        <v>216</v>
      </c>
      <c r="D126" s="154"/>
      <c r="E126" s="154" t="s">
        <v>104</v>
      </c>
      <c r="F126" s="154"/>
      <c r="G126" s="154" t="s">
        <v>215</v>
      </c>
      <c r="H126" s="154"/>
    </row>
    <row r="127" spans="1:8" x14ac:dyDescent="0.25">
      <c r="A127" s="153" t="s">
        <v>78</v>
      </c>
      <c r="B127" s="153"/>
      <c r="C127" s="153"/>
      <c r="D127" s="153"/>
      <c r="E127" s="153"/>
      <c r="F127" s="153"/>
      <c r="G127" s="153"/>
      <c r="H127" s="153"/>
    </row>
    <row r="128" spans="1:8" x14ac:dyDescent="0.25">
      <c r="A128" s="153"/>
      <c r="B128" s="153"/>
      <c r="C128" s="153"/>
      <c r="D128" s="153"/>
      <c r="E128" s="153"/>
      <c r="F128" s="153"/>
      <c r="G128" s="153"/>
      <c r="H128" s="153"/>
    </row>
    <row r="129" spans="1:8" x14ac:dyDescent="0.25">
      <c r="A129" s="153"/>
      <c r="B129" s="153"/>
      <c r="C129" s="153"/>
      <c r="D129" s="153"/>
      <c r="E129" s="153"/>
      <c r="F129" s="153"/>
      <c r="G129" s="153"/>
      <c r="H129" s="153"/>
    </row>
    <row r="130" spans="1:8" x14ac:dyDescent="0.25">
      <c r="A130" s="153"/>
      <c r="B130" s="153"/>
      <c r="C130" s="153"/>
      <c r="D130" s="153"/>
      <c r="E130" s="153"/>
      <c r="F130" s="153"/>
      <c r="G130" s="153"/>
      <c r="H130" s="153"/>
    </row>
    <row r="131" spans="1:8" x14ac:dyDescent="0.25">
      <c r="A131" s="36" t="s">
        <v>66</v>
      </c>
      <c r="B131" s="37"/>
      <c r="C131" s="37"/>
      <c r="D131" s="36" t="str">
        <f>E8</f>
        <v>Delta Luxuria</v>
      </c>
      <c r="F131" s="37"/>
      <c r="G131" s="37"/>
      <c r="H131" s="37"/>
    </row>
    <row r="132" spans="1:8" x14ac:dyDescent="0.25">
      <c r="A132" s="37"/>
      <c r="B132" s="37"/>
      <c r="C132" s="37"/>
      <c r="D132" s="37"/>
      <c r="E132" s="37"/>
      <c r="F132" s="37"/>
      <c r="G132" s="37"/>
      <c r="H132" s="37"/>
    </row>
    <row r="133" spans="1:8" x14ac:dyDescent="0.25">
      <c r="A133" s="37"/>
      <c r="B133" s="37"/>
      <c r="C133" s="37"/>
      <c r="D133" s="37"/>
      <c r="E133" s="37"/>
      <c r="F133" s="37"/>
      <c r="G133" s="37"/>
      <c r="H133" s="37"/>
    </row>
    <row r="134" spans="1:8" ht="15" customHeight="1" x14ac:dyDescent="0.25"/>
    <row r="173" spans="1:1" x14ac:dyDescent="0.25">
      <c r="A173" s="39" t="s">
        <v>201</v>
      </c>
    </row>
    <row r="215" spans="1:1" x14ac:dyDescent="0.25">
      <c r="A215" s="39" t="s">
        <v>67</v>
      </c>
    </row>
    <row r="256" ht="13.9" customHeight="1" x14ac:dyDescent="0.25"/>
  </sheetData>
  <mergeCells count="228">
    <mergeCell ref="A63:C63"/>
    <mergeCell ref="A48:B48"/>
    <mergeCell ref="C48:E48"/>
    <mergeCell ref="G48:H48"/>
    <mergeCell ref="D55:H55"/>
    <mergeCell ref="A58:C58"/>
    <mergeCell ref="D58:H58"/>
    <mergeCell ref="C49:E49"/>
    <mergeCell ref="C52:E52"/>
    <mergeCell ref="A49:B49"/>
    <mergeCell ref="A54:H54"/>
    <mergeCell ref="A55:C55"/>
    <mergeCell ref="A56:C56"/>
    <mergeCell ref="D56:H56"/>
    <mergeCell ref="D65:H65"/>
    <mergeCell ref="A66:B66"/>
    <mergeCell ref="C66:H66"/>
    <mergeCell ref="A72:B72"/>
    <mergeCell ref="A68:B68"/>
    <mergeCell ref="A78:B78"/>
    <mergeCell ref="A87:E87"/>
    <mergeCell ref="A124:H124"/>
    <mergeCell ref="A121:H121"/>
    <mergeCell ref="A95:B95"/>
    <mergeCell ref="G98:H98"/>
    <mergeCell ref="A75:B75"/>
    <mergeCell ref="F81:H81"/>
    <mergeCell ref="G96:H96"/>
    <mergeCell ref="A101:H101"/>
    <mergeCell ref="A119:H119"/>
    <mergeCell ref="A120:H120"/>
    <mergeCell ref="B107:H107"/>
    <mergeCell ref="B108:H108"/>
    <mergeCell ref="B109:H109"/>
    <mergeCell ref="B110:H110"/>
    <mergeCell ref="A106:H106"/>
    <mergeCell ref="G95:H95"/>
    <mergeCell ref="E95:F95"/>
    <mergeCell ref="B114:H114"/>
    <mergeCell ref="B115:H115"/>
    <mergeCell ref="B112:H112"/>
    <mergeCell ref="A97:H97"/>
    <mergeCell ref="A105:B105"/>
    <mergeCell ref="B113:H113"/>
    <mergeCell ref="B111:H111"/>
    <mergeCell ref="A99:H99"/>
    <mergeCell ref="A100:H100"/>
    <mergeCell ref="A102:H102"/>
    <mergeCell ref="B118:H118"/>
    <mergeCell ref="A61:C61"/>
    <mergeCell ref="A127:H130"/>
    <mergeCell ref="A126:B126"/>
    <mergeCell ref="E126:F126"/>
    <mergeCell ref="C126:D126"/>
    <mergeCell ref="G126:H126"/>
    <mergeCell ref="A92:E92"/>
    <mergeCell ref="F92:H92"/>
    <mergeCell ref="A93:E93"/>
    <mergeCell ref="F93:H93"/>
    <mergeCell ref="A96:B96"/>
    <mergeCell ref="A122:H122"/>
    <mergeCell ref="A94:H94"/>
    <mergeCell ref="A125:H125"/>
    <mergeCell ref="A123:H123"/>
    <mergeCell ref="C96:D96"/>
    <mergeCell ref="E96:F96"/>
    <mergeCell ref="A69:B69"/>
    <mergeCell ref="A62:C62"/>
    <mergeCell ref="D62:H62"/>
    <mergeCell ref="A65:C65"/>
    <mergeCell ref="B116:H116"/>
    <mergeCell ref="B117:H117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9:D9"/>
    <mergeCell ref="E9:H9"/>
    <mergeCell ref="A21:D22"/>
    <mergeCell ref="E21:H22"/>
    <mergeCell ref="E13:H13"/>
    <mergeCell ref="A14:B14"/>
    <mergeCell ref="C14:H14"/>
    <mergeCell ref="C15:H15"/>
    <mergeCell ref="A16:B16"/>
    <mergeCell ref="C16:H16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D60:H60"/>
    <mergeCell ref="A36:H36"/>
    <mergeCell ref="A35:B35"/>
    <mergeCell ref="C35:E35"/>
    <mergeCell ref="E42:H42"/>
    <mergeCell ref="E43:H43"/>
    <mergeCell ref="E44:H44"/>
    <mergeCell ref="E45:H45"/>
    <mergeCell ref="A43:D43"/>
    <mergeCell ref="F35:H35"/>
    <mergeCell ref="A37:B37"/>
    <mergeCell ref="A44:D44"/>
    <mergeCell ref="A45:D45"/>
    <mergeCell ref="A46:H46"/>
    <mergeCell ref="D57:H57"/>
    <mergeCell ref="A57:C57"/>
    <mergeCell ref="G49:H49"/>
    <mergeCell ref="A59:C59"/>
    <mergeCell ref="A60:C60"/>
    <mergeCell ref="D59:H59"/>
    <mergeCell ref="G52:H52"/>
    <mergeCell ref="A52:B53"/>
    <mergeCell ref="C53:H53"/>
    <mergeCell ref="E41:H41"/>
    <mergeCell ref="C95:D95"/>
    <mergeCell ref="F91:H91"/>
    <mergeCell ref="F89:H89"/>
    <mergeCell ref="A74:B74"/>
    <mergeCell ref="A103:H103"/>
    <mergeCell ref="A104:B104"/>
    <mergeCell ref="G104:H105"/>
    <mergeCell ref="A80:E80"/>
    <mergeCell ref="E70:F79"/>
    <mergeCell ref="G70:H79"/>
    <mergeCell ref="A90:E90"/>
    <mergeCell ref="A79:B79"/>
    <mergeCell ref="A77:B77"/>
    <mergeCell ref="A76:B76"/>
    <mergeCell ref="F88:H88"/>
    <mergeCell ref="C50:E50"/>
    <mergeCell ref="G50:H50"/>
    <mergeCell ref="C51:H51"/>
    <mergeCell ref="A50:B51"/>
    <mergeCell ref="F82:H82"/>
    <mergeCell ref="A82:E82"/>
    <mergeCell ref="A84:E84"/>
    <mergeCell ref="A38:B38"/>
    <mergeCell ref="C38:H38"/>
    <mergeCell ref="A47:B47"/>
    <mergeCell ref="C47:H47"/>
    <mergeCell ref="A40:D40"/>
    <mergeCell ref="E40:H40"/>
    <mergeCell ref="F32:H32"/>
    <mergeCell ref="F33:H33"/>
    <mergeCell ref="A39:H39"/>
    <mergeCell ref="C37:H37"/>
    <mergeCell ref="F34:H34"/>
    <mergeCell ref="A32:B32"/>
    <mergeCell ref="C32:E32"/>
    <mergeCell ref="A33:B33"/>
    <mergeCell ref="C33:E33"/>
    <mergeCell ref="A41:D41"/>
    <mergeCell ref="A42:D42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1:H31"/>
    <mergeCell ref="A31:B31"/>
    <mergeCell ref="A89:E89"/>
    <mergeCell ref="F83:H83"/>
    <mergeCell ref="A88:E88"/>
    <mergeCell ref="A85:E85"/>
    <mergeCell ref="F84:H84"/>
    <mergeCell ref="F90:H90"/>
    <mergeCell ref="A91:E91"/>
    <mergeCell ref="D61:H61"/>
    <mergeCell ref="C68:H68"/>
    <mergeCell ref="D63:H63"/>
    <mergeCell ref="A64:C64"/>
    <mergeCell ref="D64:H64"/>
    <mergeCell ref="A70:B70"/>
    <mergeCell ref="G69:H69"/>
    <mergeCell ref="F87:H87"/>
    <mergeCell ref="A81:E81"/>
    <mergeCell ref="F80:H80"/>
    <mergeCell ref="F85:H85"/>
    <mergeCell ref="A86:E86"/>
    <mergeCell ref="F86:H86"/>
    <mergeCell ref="A83:E83"/>
    <mergeCell ref="A71:B71"/>
    <mergeCell ref="A73:B73"/>
    <mergeCell ref="E69:F69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130" max="16383" man="1"/>
    <brk id="172" max="7" man="1"/>
    <brk id="21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1" sqref="C1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88" t="s">
        <v>105</v>
      </c>
      <c r="C3" s="188"/>
      <c r="D3" s="188"/>
      <c r="E3" s="188"/>
      <c r="F3" s="188"/>
      <c r="G3" s="188"/>
      <c r="H3" s="188"/>
    </row>
    <row r="4" spans="1:9" x14ac:dyDescent="0.25">
      <c r="A4" s="2"/>
      <c r="B4" s="3" t="s">
        <v>106</v>
      </c>
      <c r="C4" s="3" t="s">
        <v>107</v>
      </c>
      <c r="D4" s="3" t="s">
        <v>69</v>
      </c>
      <c r="E4" s="3" t="s">
        <v>108</v>
      </c>
      <c r="F4" s="3" t="s">
        <v>114</v>
      </c>
      <c r="G4" s="3" t="s">
        <v>115</v>
      </c>
      <c r="H4" s="3" t="s">
        <v>109</v>
      </c>
    </row>
    <row r="5" spans="1:9" ht="15" customHeight="1" x14ac:dyDescent="0.25">
      <c r="A5" s="2"/>
      <c r="B5" s="5" t="s">
        <v>110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110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110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110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110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111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111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112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113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2025-08-18T12:30:45Z</cp:lastPrinted>
  <dcterms:created xsi:type="dcterms:W3CDTF">2019-07-16T09:29:46Z</dcterms:created>
  <dcterms:modified xsi:type="dcterms:W3CDTF">2025-08-18T12:34:06Z</dcterms:modified>
</cp:coreProperties>
</file>