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D:\aug 25\AXIS\DUMP\"/>
    </mc:Choice>
  </mc:AlternateContent>
  <xr:revisionPtr revIDLastSave="0" documentId="13_ncr:1_{7DB7024E-445C-44E6-A8FA-DCB9F222C1B1}" xr6:coauthVersionLast="47" xr6:coauthVersionMax="47" xr10:uidLastSave="{00000000-0000-0000-0000-000000000000}"/>
  <bookViews>
    <workbookView xWindow="-120" yWindow="-120" windowWidth="20730" windowHeight="11160" tabRatio="725" xr2:uid="{00000000-000D-0000-FFFF-FFFF00000000}"/>
  </bookViews>
  <sheets>
    <sheet name="Report" sheetId="1" r:id="rId1"/>
    <sheet name="valuation" sheetId="5" r:id="rId2"/>
    <sheet name="Research" sheetId="4" r:id="rId3"/>
    <sheet name="Remarks" sheetId="6" r:id="rId4"/>
    <sheet name="Area Calculation" sheetId="7" r:id="rId5"/>
  </sheets>
  <definedNames>
    <definedName name="_xlnm.Print_Area" localSheetId="0">Report!$A$1:$H$399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7" i="1" l="1"/>
  <c r="D213" i="1" l="1"/>
  <c r="F213" i="1" s="1"/>
  <c r="H213" i="1" s="1"/>
  <c r="D212" i="1"/>
  <c r="F212" i="1" s="1"/>
  <c r="H212" i="1" s="1"/>
  <c r="D211" i="1"/>
  <c r="D210" i="1"/>
  <c r="F210" i="1" s="1"/>
  <c r="H210" i="1" s="1"/>
  <c r="D209" i="1"/>
  <c r="F209" i="1" s="1"/>
  <c r="H209" i="1" s="1"/>
  <c r="D208" i="1"/>
  <c r="F208" i="1" s="1"/>
  <c r="H208" i="1" s="1"/>
  <c r="D207" i="1"/>
  <c r="F207" i="1" s="1"/>
  <c r="H207" i="1" s="1"/>
  <c r="D205" i="1"/>
  <c r="F205" i="1" s="1"/>
  <c r="H205" i="1" s="1"/>
  <c r="D204" i="1"/>
  <c r="F204" i="1" s="1"/>
  <c r="H204" i="1" s="1"/>
  <c r="D203" i="1"/>
  <c r="D202" i="1"/>
  <c r="F202" i="1" s="1"/>
  <c r="H202" i="1" s="1"/>
  <c r="D199" i="1"/>
  <c r="F199" i="1" s="1"/>
  <c r="H199" i="1" s="1"/>
  <c r="D198" i="1"/>
  <c r="D197" i="1"/>
  <c r="F197" i="1" s="1"/>
  <c r="H197" i="1" s="1"/>
  <c r="D195" i="1"/>
  <c r="F195" i="1" s="1"/>
  <c r="H195" i="1" s="1"/>
  <c r="D194" i="1"/>
  <c r="F194" i="1" s="1"/>
  <c r="H194" i="1" s="1"/>
  <c r="D193" i="1"/>
  <c r="F193" i="1" s="1"/>
  <c r="H193" i="1" s="1"/>
  <c r="D192" i="1"/>
  <c r="F192" i="1" s="1"/>
  <c r="H192" i="1" s="1"/>
  <c r="D191" i="1"/>
  <c r="D190" i="1"/>
  <c r="F190" i="1" s="1"/>
  <c r="H190" i="1" s="1"/>
  <c r="D187" i="1"/>
  <c r="D185" i="1"/>
  <c r="F185" i="1" s="1"/>
  <c r="H185" i="1" s="1"/>
  <c r="D184" i="1"/>
  <c r="F184" i="1" s="1"/>
  <c r="H184" i="1" s="1"/>
  <c r="D183" i="1"/>
  <c r="F183" i="1" s="1"/>
  <c r="H183" i="1" s="1"/>
  <c r="J183" i="1" s="1"/>
  <c r="D182" i="1"/>
  <c r="F182" i="1" s="1"/>
  <c r="H182" i="1" s="1"/>
  <c r="J182" i="1" s="1"/>
  <c r="D181" i="1"/>
  <c r="D180" i="1"/>
  <c r="F180" i="1" s="1"/>
  <c r="H180" i="1" s="1"/>
  <c r="D179" i="1"/>
  <c r="F179" i="1" s="1"/>
  <c r="H179" i="1" s="1"/>
  <c r="J179" i="1" s="1"/>
  <c r="D178" i="1"/>
  <c r="F178" i="1" s="1"/>
  <c r="H178" i="1" s="1"/>
  <c r="D177" i="1"/>
  <c r="D163" i="1"/>
  <c r="F163" i="1" s="1"/>
  <c r="H163" i="1" s="1"/>
  <c r="D162" i="1"/>
  <c r="F162" i="1" s="1"/>
  <c r="H162" i="1" s="1"/>
  <c r="D161" i="1"/>
  <c r="D160" i="1"/>
  <c r="F160" i="1" s="1"/>
  <c r="H160" i="1" s="1"/>
  <c r="D159" i="1"/>
  <c r="F159" i="1" s="1"/>
  <c r="H159" i="1" s="1"/>
  <c r="D158" i="1"/>
  <c r="F158" i="1" s="1"/>
  <c r="H158" i="1" s="1"/>
  <c r="D157" i="1"/>
  <c r="F157" i="1" s="1"/>
  <c r="H157" i="1" s="1"/>
  <c r="D156" i="1"/>
  <c r="D155" i="1"/>
  <c r="F155" i="1" s="1"/>
  <c r="H155" i="1" s="1"/>
  <c r="D154" i="1"/>
  <c r="F154" i="1" s="1"/>
  <c r="H154" i="1" s="1"/>
  <c r="D153" i="1"/>
  <c r="F153" i="1" s="1"/>
  <c r="H153" i="1" s="1"/>
  <c r="D152" i="1"/>
  <c r="F152" i="1" s="1"/>
  <c r="H152" i="1" s="1"/>
  <c r="D151" i="1"/>
  <c r="F151" i="1" s="1"/>
  <c r="D150" i="1"/>
  <c r="F150" i="1" s="1"/>
  <c r="H150" i="1" s="1"/>
  <c r="D149" i="1"/>
  <c r="F149" i="1" s="1"/>
  <c r="H149" i="1" s="1"/>
  <c r="D148" i="1"/>
  <c r="F148" i="1" s="1"/>
  <c r="H148" i="1" s="1"/>
  <c r="D147" i="1"/>
  <c r="F147" i="1" s="1"/>
  <c r="H147" i="1" s="1"/>
  <c r="F211" i="1"/>
  <c r="H211" i="1" s="1"/>
  <c r="A208" i="1"/>
  <c r="A209" i="1" s="1"/>
  <c r="A210" i="1" s="1"/>
  <c r="A211" i="1" s="1"/>
  <c r="A212" i="1" s="1"/>
  <c r="A213" i="1" s="1"/>
  <c r="F203" i="1"/>
  <c r="H203" i="1" s="1"/>
  <c r="F198" i="1"/>
  <c r="H198" i="1" s="1"/>
  <c r="J198" i="1" s="1"/>
  <c r="A198" i="1"/>
  <c r="A199" i="1" s="1"/>
  <c r="A200" i="1" s="1"/>
  <c r="A201" i="1" s="1"/>
  <c r="A202" i="1" s="1"/>
  <c r="A203" i="1" s="1"/>
  <c r="A204" i="1" s="1"/>
  <c r="A205" i="1" s="1"/>
  <c r="F191" i="1"/>
  <c r="H191" i="1" s="1"/>
  <c r="A188" i="1"/>
  <c r="A189" i="1" s="1"/>
  <c r="A190" i="1" s="1"/>
  <c r="A191" i="1" s="1"/>
  <c r="A192" i="1" s="1"/>
  <c r="A193" i="1" s="1"/>
  <c r="A194" i="1" s="1"/>
  <c r="A195" i="1" s="1"/>
  <c r="F187" i="1"/>
  <c r="H187" i="1" s="1"/>
  <c r="J187" i="1" s="1"/>
  <c r="I179" i="1"/>
  <c r="F181" i="1"/>
  <c r="H181" i="1" s="1"/>
  <c r="A178" i="1"/>
  <c r="A179" i="1" s="1"/>
  <c r="A180" i="1" s="1"/>
  <c r="A181" i="1" s="1"/>
  <c r="A182" i="1" s="1"/>
  <c r="A183" i="1" s="1"/>
  <c r="A184" i="1" s="1"/>
  <c r="A185" i="1" s="1"/>
  <c r="F177" i="1"/>
  <c r="H177" i="1" s="1"/>
  <c r="J177" i="1" s="1"/>
  <c r="F161" i="1"/>
  <c r="H161" i="1" s="1"/>
  <c r="I147" i="1"/>
  <c r="A162" i="1"/>
  <c r="A163" i="1" s="1"/>
  <c r="A158" i="1"/>
  <c r="A159" i="1" s="1"/>
  <c r="A160" i="1" s="1"/>
  <c r="F156" i="1"/>
  <c r="H156" i="1" s="1"/>
  <c r="A148" i="1"/>
  <c r="A149" i="1" s="1"/>
  <c r="A150" i="1" s="1"/>
  <c r="A151" i="1" s="1"/>
  <c r="A152" i="1" s="1"/>
  <c r="A153" i="1" s="1"/>
  <c r="A154" i="1" s="1"/>
  <c r="A155" i="1" s="1"/>
  <c r="A156" i="1" s="1"/>
  <c r="J119" i="1" l="1"/>
  <c r="H151" i="1"/>
  <c r="G133" i="1" s="1"/>
  <c r="G134" i="1" s="1"/>
  <c r="C133" i="1"/>
  <c r="C134" i="1" s="1"/>
  <c r="C137" i="1"/>
  <c r="C138" i="1" s="1"/>
  <c r="G137" i="1"/>
  <c r="G138" i="1" s="1"/>
  <c r="E133" i="1"/>
  <c r="E134" i="1" s="1"/>
  <c r="E137" i="1"/>
  <c r="E138" i="1" s="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l="1"/>
  <c r="I42" i="7"/>
  <c r="H42" i="7" s="1"/>
  <c r="L42" i="7"/>
  <c r="K42" i="7" s="1"/>
  <c r="E44" i="7" l="1"/>
  <c r="D42" i="7"/>
  <c r="D44" i="7" s="1"/>
  <c r="E31" i="1"/>
  <c r="B246" i="1" l="1"/>
  <c r="F166" i="1" l="1"/>
  <c r="H166" i="1" s="1"/>
  <c r="F167" i="1"/>
  <c r="H167" i="1" s="1"/>
  <c r="F168" i="1"/>
  <c r="H168" i="1" s="1"/>
  <c r="F165" i="1"/>
  <c r="H165" i="1" s="1"/>
  <c r="S33" i="1" l="1"/>
  <c r="F11" i="5" l="1"/>
  <c r="G11" i="5" s="1"/>
  <c r="F10" i="5"/>
  <c r="G10" i="5" s="1"/>
  <c r="F9" i="5"/>
  <c r="G9" i="5" s="1"/>
  <c r="F8" i="5"/>
  <c r="G8" i="5" s="1"/>
  <c r="F7" i="5"/>
  <c r="G7" i="5" s="1"/>
  <c r="F6" i="5"/>
  <c r="G6" i="5" s="1"/>
  <c r="F5" i="5"/>
  <c r="G5" i="5" s="1"/>
  <c r="G12" i="5" s="1"/>
  <c r="D271" i="1"/>
  <c r="B247" i="1"/>
  <c r="F242" i="1"/>
  <c r="H242" i="1" s="1"/>
  <c r="F241" i="1"/>
  <c r="H241" i="1" s="1"/>
  <c r="F240" i="1"/>
  <c r="H240" i="1" s="1"/>
  <c r="F239" i="1"/>
  <c r="H239" i="1" s="1"/>
  <c r="F238" i="1"/>
  <c r="H238" i="1" s="1"/>
  <c r="F236" i="1"/>
  <c r="H236" i="1" s="1"/>
  <c r="F235" i="1"/>
  <c r="H235" i="1" s="1"/>
  <c r="F234" i="1"/>
  <c r="H234" i="1" s="1"/>
  <c r="F233" i="1"/>
  <c r="H233" i="1" s="1"/>
  <c r="F232" i="1"/>
  <c r="H232" i="1" s="1"/>
  <c r="F230" i="1"/>
  <c r="H230" i="1" s="1"/>
  <c r="F229" i="1"/>
  <c r="H229" i="1" s="1"/>
  <c r="F228" i="1"/>
  <c r="H228" i="1" s="1"/>
  <c r="F227" i="1"/>
  <c r="H227" i="1" s="1"/>
  <c r="F226" i="1"/>
  <c r="H226" i="1" s="1"/>
  <c r="F224" i="1"/>
  <c r="H224" i="1" s="1"/>
  <c r="F223" i="1"/>
  <c r="H223" i="1" s="1"/>
  <c r="F222" i="1"/>
  <c r="H222" i="1" s="1"/>
  <c r="F221" i="1"/>
  <c r="H221" i="1" s="1"/>
  <c r="F220" i="1"/>
  <c r="H220" i="1" s="1"/>
  <c r="A220" i="1"/>
  <c r="A221" i="1" s="1"/>
  <c r="A222" i="1" s="1"/>
  <c r="A223" i="1" s="1"/>
  <c r="A224" i="1" s="1"/>
  <c r="F218" i="1"/>
  <c r="H218" i="1" s="1"/>
  <c r="F217" i="1"/>
  <c r="H217" i="1" s="1"/>
  <c r="F216" i="1"/>
  <c r="H216" i="1" s="1"/>
  <c r="A216" i="1"/>
  <c r="A217" i="1" s="1"/>
  <c r="A218" i="1" s="1"/>
  <c r="F215" i="1"/>
  <c r="H215" i="1" s="1"/>
  <c r="A166" i="1"/>
  <c r="A167" i="1" s="1"/>
  <c r="A168" i="1" s="1"/>
  <c r="G139" i="1"/>
  <c r="E139" i="1"/>
  <c r="C139" i="1"/>
  <c r="F130" i="1"/>
  <c r="C104" i="1"/>
  <c r="D69" i="1"/>
  <c r="G51" i="1"/>
  <c r="C51" i="1"/>
  <c r="E44" i="1"/>
  <c r="E45" i="1" s="1"/>
  <c r="E28" i="1"/>
  <c r="E26" i="1"/>
  <c r="C16" i="1"/>
  <c r="I15" i="1"/>
  <c r="Z13" i="1"/>
  <c r="E8" i="1"/>
  <c r="E3" i="1"/>
  <c r="A226" i="1"/>
  <c r="H90" i="1"/>
  <c r="A238" i="1"/>
  <c r="A232" i="1"/>
  <c r="H105" i="1"/>
  <c r="H76" i="1"/>
  <c r="J75" i="1" l="1"/>
  <c r="J77" i="1" s="1"/>
  <c r="J78" i="1"/>
  <c r="J79" i="1"/>
  <c r="J80" i="1"/>
  <c r="C79" i="1" s="1"/>
  <c r="J94" i="1"/>
  <c r="D98" i="1"/>
  <c r="D100" i="1"/>
  <c r="J93" i="1"/>
  <c r="D99" i="1"/>
  <c r="J89" i="1"/>
  <c r="J91" i="1" s="1"/>
  <c r="D97" i="1"/>
  <c r="J92" i="1"/>
  <c r="D96" i="1"/>
  <c r="D102" i="1"/>
  <c r="D101" i="1"/>
  <c r="D95" i="1"/>
  <c r="D83" i="1"/>
  <c r="D85" i="1"/>
  <c r="D84" i="1"/>
  <c r="D88" i="1"/>
  <c r="D82" i="1"/>
  <c r="D87" i="1"/>
  <c r="D81" i="1"/>
  <c r="D86" i="1"/>
  <c r="C110" i="1"/>
  <c r="J104" i="1" s="1"/>
  <c r="J106" i="1" s="1"/>
  <c r="D113" i="1"/>
  <c r="D115" i="1"/>
  <c r="J109" i="1"/>
  <c r="C108" i="1" s="1"/>
  <c r="D108" i="1" s="1"/>
  <c r="D114" i="1"/>
  <c r="J108" i="1"/>
  <c r="D112" i="1"/>
  <c r="J107" i="1"/>
  <c r="D111" i="1"/>
  <c r="D117" i="1"/>
  <c r="D116" i="1"/>
  <c r="B105" i="1"/>
  <c r="B90" i="1"/>
  <c r="B76" i="1"/>
  <c r="J81" i="1" s="1"/>
  <c r="A239" i="1"/>
  <c r="A227" i="1"/>
  <c r="A233" i="1"/>
  <c r="C93" i="1" l="1"/>
  <c r="D93" i="1" s="1"/>
  <c r="D79" i="1"/>
  <c r="D110" i="1"/>
  <c r="J115" i="1"/>
  <c r="J112" i="1"/>
  <c r="J114" i="1"/>
  <c r="J113" i="1"/>
  <c r="J110" i="1"/>
  <c r="J111" i="1" s="1"/>
  <c r="J116" i="1" s="1"/>
  <c r="J117" i="1" s="1"/>
  <c r="C109" i="1" s="1"/>
  <c r="E108" i="1" s="1"/>
  <c r="J100" i="1"/>
  <c r="J97" i="1"/>
  <c r="J99" i="1"/>
  <c r="J98" i="1"/>
  <c r="J95" i="1"/>
  <c r="J96" i="1" s="1"/>
  <c r="J85" i="1"/>
  <c r="J83" i="1"/>
  <c r="J84" i="1"/>
  <c r="J82" i="1"/>
  <c r="J87" i="1" s="1"/>
  <c r="J86" i="1"/>
  <c r="A240" i="1"/>
  <c r="A234" i="1"/>
  <c r="A228" i="1"/>
  <c r="J88" i="1" l="1"/>
  <c r="C80" i="1" s="1"/>
  <c r="J76" i="1" s="1"/>
  <c r="J101" i="1"/>
  <c r="J102" i="1" s="1"/>
  <c r="D109" i="1"/>
  <c r="I105" i="1" s="1"/>
  <c r="J105" i="1"/>
  <c r="G108" i="1"/>
  <c r="D80" i="1"/>
  <c r="I76" i="1" s="1"/>
  <c r="G79" i="1"/>
  <c r="A229" i="1"/>
  <c r="A241" i="1"/>
  <c r="A235" i="1"/>
  <c r="E79" i="1" l="1"/>
  <c r="D73" i="1"/>
  <c r="F74" i="1" s="1"/>
  <c r="C94" i="1"/>
  <c r="I106" i="1"/>
  <c r="I104" i="1" s="1"/>
  <c r="C106" i="1" s="1"/>
  <c r="I77" i="1"/>
  <c r="I75" i="1" s="1"/>
  <c r="C77" i="1" s="1"/>
  <c r="A230" i="1"/>
  <c r="A242" i="1"/>
  <c r="A236" i="1"/>
  <c r="D74" i="1" l="1"/>
  <c r="D94" i="1"/>
  <c r="I90" i="1" s="1"/>
  <c r="I91" i="1" s="1"/>
  <c r="E93" i="1"/>
  <c r="C103" i="1" s="1"/>
  <c r="G93" i="1"/>
  <c r="G103" i="1" s="1"/>
  <c r="J90" i="1"/>
  <c r="I89" i="1" l="1"/>
  <c r="C9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2"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23"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71"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<sst xmlns="http://schemas.openxmlformats.org/spreadsheetml/2006/main" count="731" uniqueCount="408">
  <si>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</si>
  <si>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</si>
  <si>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</si>
  <si>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</si>
  <si>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</si>
  <si>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</si>
  <si>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</si>
  <si>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</si>
  <si>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</si>
  <si>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</si>
  <si>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</si>
  <si>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</si>
  <si>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</si>
  <si>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</si>
  <si>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</si>
  <si>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</si>
  <si>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</si>
  <si>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</si>
  <si>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</si>
  <si>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</si>
  <si>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</si>
  <si>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</si>
  <si>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</si>
  <si>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</si>
  <si>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</si>
  <si>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</si>
  <si>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</si>
  <si>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</si>
  <si>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</si>
  <si>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</si>
  <si>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</si>
  <si>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</si>
  <si>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</si>
  <si>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</si>
  <si>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</si>
  <si>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</si>
  <si>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</si>
  <si>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</si>
  <si>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</si>
  <si>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</si>
  <si>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</si>
  <si>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</si>
  <si>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</si>
  <si>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</si>
  <si>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</si>
  <si>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</si>
  <si>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</si>
  <si>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</si>
  <si>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</si>
  <si>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</si>
  <si>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</si>
  <si>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</si>
  <si>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</si>
  <si>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</si>
  <si>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</si>
  <si>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</si>
  <si>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</si>
  <si>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</si>
  <si>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</si>
  <si>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</si>
  <si>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</si>
  <si>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</si>
  <si>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</si>
  <si>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</si>
  <si>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</si>
  <si>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</si>
  <si>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</si>
  <si>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</si>
  <si>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</si>
  <si>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</si>
  <si>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</si>
  <si>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</si>
  <si>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</si>
  <si>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</si>
  <si>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</si>
  <si>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</si>
  <si>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</si>
  <si>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</si>
  <si>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</si>
  <si>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</si>
  <si>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</si>
  <si>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</si>
  <si>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</si>
  <si>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</si>
  <si>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</si>
  <si>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</si>
  <si>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</si>
  <si>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</si>
  <si>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</si>
  <si>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</si>
  <si>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</si>
  <si>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</si>
  <si>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</si>
  <si>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</si>
  <si>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</si>
  <si>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</si>
  <si>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</si>
  <si>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</si>
  <si>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</si>
  <si>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</si>
  <si>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</si>
  <si>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</si>
  <si>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</si>
  <si>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</si>
  <si>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</si>
  <si>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</si>
  <si>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</si>
  <si>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</si>
  <si>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</si>
  <si>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</si>
  <si>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</si>
  <si>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</si>
  <si>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</si>
  <si>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</si>
  <si>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</si>
  <si>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</si>
  <si>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</si>
  <si>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</si>
  <si>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</si>
  <si>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01 Building</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</si>
  <si>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</si>
  <si>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</si>
  <si>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</si>
  <si>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</si>
  <si>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</si>
  <si>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</si>
  <si>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</si>
  <si>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</si>
  <si>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</si>
  <si>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</si>
  <si>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</si>
  <si>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</si>
  <si>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</si>
  <si>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</si>
  <si>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</si>
  <si>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</si>
  <si>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</si>
  <si>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</si>
  <si>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</si>
  <si>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</si>
  <si>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</si>
  <si>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</si>
  <si>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</si>
  <si>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</si>
  <si>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</si>
  <si>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</si>
  <si>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</si>
  <si>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</si>
  <si>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</si>
  <si>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</si>
  <si>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</si>
  <si>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</si>
  <si>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</si>
  <si>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</si>
  <si>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</si>
  <si>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</si>
  <si>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</si>
  <si>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</si>
  <si>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</si>
  <si>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</si>
  <si>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</si>
  <si>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</si>
  <si>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</si>
  <si>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</si>
  <si>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</si>
  <si>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</si>
  <si>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</si>
  <si>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</si>
  <si>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</si>
  <si>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</si>
  <si>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</si>
  <si>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</si>
  <si>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</si>
  <si>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</si>
  <si>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</si>
  <si>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</si>
  <si>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</si>
  <si>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</si>
  <si>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</si>
  <si>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CTS No</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</si>
  <si>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</si>
  <si>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</si>
  <si>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</si>
  <si>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</si>
  <si>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</si>
  <si>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</si>
  <si>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</si>
  <si>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</si>
  <si>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</si>
  <si>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</si>
  <si>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</si>
  <si>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</si>
  <si>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</si>
  <si>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</si>
  <si>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</si>
  <si>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</si>
  <si>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</si>
  <si>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</si>
  <si>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</si>
  <si>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</si>
  <si>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</si>
  <si>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</si>
  <si>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</si>
  <si>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</si>
  <si>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</si>
  <si>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</si>
  <si>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</si>
  <si>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</si>
  <si>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</si>
  <si>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</si>
  <si>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</si>
  <si>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</si>
  <si>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</si>
  <si>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</si>
  <si>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</si>
  <si>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</si>
  <si>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</si>
  <si>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</si>
  <si>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</si>
  <si>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</si>
  <si>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</si>
  <si>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</si>
  <si>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</si>
  <si>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</si>
  <si>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</si>
  <si>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</si>
  <si>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</si>
  <si>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</si>
  <si>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</si>
  <si>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</si>
  <si>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</si>
  <si>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</si>
  <si>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</si>
  <si>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</si>
  <si>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</si>
  <si>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</si>
  <si>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</si>
  <si>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</si>
  <si>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</si>
  <si>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</si>
  <si>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</si>
  <si>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</si>
  <si>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</si>
  <si>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</si>
  <si>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</si>
  <si>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</si>
  <si>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</si>
  <si>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</si>
  <si>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</si>
  <si>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</si>
  <si>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</si>
  <si>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</si>
  <si>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</si>
  <si>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</si>
  <si>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</si>
  <si>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</si>
  <si>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</si>
  <si>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</si>
  <si>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</si>
  <si>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</si>
  <si>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</si>
  <si>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</si>
  <si>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</si>
  <si>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</si>
  <si>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</si>
  <si>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</si>
  <si>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</si>
  <si>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</si>
  <si>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</si>
  <si>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</si>
  <si>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</si>
  <si>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</si>
  <si>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</si>
  <si>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</si>
  <si>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</si>
  <si>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</si>
  <si>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</si>
  <si>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</si>
  <si>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</si>
  <si>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</si>
  <si>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</si>
  <si>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</si>
  <si>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</si>
  <si>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</si>
  <si>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</si>
  <si>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</si>
  <si>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</si>
  <si>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</si>
  <si>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</si>
  <si>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</si>
  <si>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</si>
  <si>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</si>
  <si>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</si>
  <si>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</si>
  <si>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</si>
  <si>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</si>
  <si>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</si>
  <si>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</si>
  <si>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</si>
  <si>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</si>
  <si>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</si>
  <si>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</si>
  <si>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</si>
  <si>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</si>
  <si>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</si>
  <si>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</si>
  <si>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</si>
  <si>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</si>
  <si>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</si>
  <si>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building have received CC on 08/05/2015 still building is still under construction.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</si>
  <si>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</si>
  <si>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</si>
  <si>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</si>
  <si>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</si>
  <si>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</si>
  <si>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</si>
  <si>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</si>
  <si>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</si>
  <si>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</si>
  <si>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</si>
  <si>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</si>
  <si>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</si>
  <si>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</si>
  <si>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</si>
  <si>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</si>
  <si>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</si>
  <si>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</si>
  <si>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</si>
  <si>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</si>
  <si>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</si>
  <si>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</si>
  <si>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</si>
  <si>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</si>
  <si>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</si>
  <si>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</si>
  <si>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</si>
  <si>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</si>
  <si>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</si>
  <si>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</si>
  <si>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P51900055088</t>
  </si>
  <si>
    <t>Darshan Properties</t>
  </si>
  <si>
    <t>Promesa Fremont</t>
  </si>
  <si>
    <t>As per RERA - 31/12/2030</t>
  </si>
  <si>
    <t>2 &amp; 3 &amp; Redevelopement of "BetIen Bhartiya Vidya Bhavan (Bawla Compound) CHS"</t>
  </si>
  <si>
    <t>Parel Sewree Division</t>
  </si>
  <si>
    <t>Sane Guruji Marg</t>
  </si>
  <si>
    <t>Gundecha Garden</t>
  </si>
  <si>
    <t>Chinchpokli</t>
  </si>
  <si>
    <t>0.75 KM from Chinchpokli Railway Station</t>
  </si>
  <si>
    <t>Muktai CHS</t>
  </si>
  <si>
    <t>Sale Wing A</t>
  </si>
  <si>
    <t>BetIen Bhartiya Vidya Bhavan (Bawla Compound) CHS</t>
  </si>
  <si>
    <t>Professor Dattaram Narayan Lad Marg</t>
  </si>
  <si>
    <t>Other Plot</t>
  </si>
  <si>
    <t>C.S. No.1</t>
  </si>
  <si>
    <t>36.60 M.Wide Sane Guruji Marg</t>
  </si>
  <si>
    <t>12.20 M.Wide Dattaram Lad Marg</t>
  </si>
  <si>
    <t>P-13055/2022/(2 &amp; 3)/F/South/PAREL-SEWERI/337/1/New</t>
  </si>
  <si>
    <t>P-13055/2022/(2 and 3)/F/South/PAREL-SEWERI/CC/2/Amend</t>
  </si>
  <si>
    <t>This C.C. is endorsed upto plinth level as per amended plans approved on 10.06.2024.</t>
  </si>
  <si>
    <t>SNCR/WEST/B/011623/737048</t>
  </si>
  <si>
    <t>210.03 M (Restricted)(AMSL)</t>
  </si>
  <si>
    <t>Basement Floor for Pump Room &amp; Tank</t>
  </si>
  <si>
    <t>Ground Floor for Commercial &amp; Meter Room</t>
  </si>
  <si>
    <t>N.R</t>
  </si>
  <si>
    <t>N.R
(Duplex with 1st Part Podium Floor)</t>
  </si>
  <si>
    <t>1st Part Podium Floor for Parking</t>
  </si>
  <si>
    <t>2nd to 10th Podium Floor for Parking</t>
  </si>
  <si>
    <t>11th Podium Floor for Fitness Center &amp; Other Amenities (Part Refuge Area)</t>
  </si>
  <si>
    <t>12th to 17th, 19th to 24th, 26th to 31st, 33rd to 38th &amp; 40th Floor for Residential</t>
  </si>
  <si>
    <t>3BHK</t>
  </si>
  <si>
    <t>2BHK</t>
  </si>
  <si>
    <t>18th, 25th &amp; 32nd Floor (Part Refuge Area)</t>
  </si>
  <si>
    <t>Refuge Area</t>
  </si>
  <si>
    <t>1BHK</t>
  </si>
  <si>
    <t>39th Floor (Part Refuge Area)</t>
  </si>
  <si>
    <t>41st to 43rd Floor</t>
  </si>
  <si>
    <t>4BHK</t>
  </si>
  <si>
    <r>
      <t xml:space="preserve">Flat No.
</t>
    </r>
    <r>
      <rPr>
        <b/>
        <sz val="11"/>
        <rFont val="Times New Roman"/>
        <family val="1"/>
      </rPr>
      <t>(Approved Plan)</t>
    </r>
  </si>
  <si>
    <r>
      <t xml:space="preserve">Shop No.
</t>
    </r>
    <r>
      <rPr>
        <b/>
        <sz val="11"/>
        <rFont val="Times New Roman"/>
        <family val="1"/>
      </rPr>
      <t>(Approved Plan)</t>
    </r>
  </si>
  <si>
    <t>N.R. Units</t>
  </si>
  <si>
    <t>Flats</t>
  </si>
  <si>
    <t>Sale Wing A = 1B + Gr/Stilt + P1 to P11 + 12th to 44th Floor</t>
  </si>
  <si>
    <t>Flats - 274, N.R. Units - 17</t>
  </si>
  <si>
    <t>We considered Gross carpet area = Net carpet.</t>
  </si>
  <si>
    <t>As per latest Layout plan, Wing A is Sale, Wing B is Rehab &amp; Wing C is Mhada. So we have draft APF for only Sale Wing A.</t>
  </si>
  <si>
    <t>As per latest Layout plan, project consists of 3 wings i.e. Wing A, B &amp; C. But only Sale Wing A is registered on Rera.</t>
  </si>
  <si>
    <t>Approved Plans, CC, Airport Noc</t>
  </si>
  <si>
    <t>Sale Wing A = 1B + Gr/Stilt + P1 to P11 + 12th to 60th Floor</t>
  </si>
  <si>
    <t>Swimming Pool, Fitness Center, Indias 1st O2 Tunnel, Multisports turf, Jain Mandir &amp; Upashray</t>
  </si>
  <si>
    <r>
      <t xml:space="preserve">Proposed Amenities :                                                                                                                                                                                                                         </t>
    </r>
    <r>
      <rPr>
        <b/>
        <sz val="12"/>
        <rFont val="Times New Roman"/>
        <family val="1"/>
      </rPr>
      <t xml:space="preserve">                                               </t>
    </r>
  </si>
  <si>
    <t>https://maps.app.goo.gl/T64b4HsQzxUPhxzk6</t>
  </si>
  <si>
    <t>18.9885342,72.8343482</t>
  </si>
  <si>
    <t>Online</t>
  </si>
  <si>
    <t>MIS</t>
  </si>
  <si>
    <t>Visitor</t>
  </si>
  <si>
    <t xml:space="preserve">Commencement-CC No
Valid Up to: </t>
  </si>
  <si>
    <t>44th Floor (Terrace Area)</t>
  </si>
  <si>
    <t>Karan Misal</t>
  </si>
  <si>
    <t>SIA/MH/INFRA2/424131/2023</t>
  </si>
  <si>
    <t>Wing A = 1B + 1st to 49th Floor (172.3M Height)</t>
  </si>
  <si>
    <t xml:space="preserve">We have updated Environment Clearance Certificate on 18/01/2025.
</t>
  </si>
  <si>
    <t>Mr.Abhijit 9833057418 &amp; Mr.Rahul : 7021272445</t>
  </si>
  <si>
    <t>Part II = Sale Wing A = 1B + Gr/Stilt + P1 to P11 + 12th to 60th Floor</t>
  </si>
  <si>
    <t>Average Progress %</t>
  </si>
  <si>
    <t>Average Disbursement %</t>
  </si>
  <si>
    <t xml:space="preserve">Construction work is in process at the time of Visit
</t>
  </si>
  <si>
    <t>Gaurav Panchal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</si>
</sst>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
      <sz val="11"/>
      <color rgb="FFFF0000"/>
      <name val="Times New Roman"/>
      <family val="1"/>
    </font>
  </fonts>
  <fills count="7">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82">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4" fillId="0" borderId="1" xfId="1" applyFont="1" applyBorder="1" applyAlignment="1" applyProtection="1">
      <alignment horizontal="center" vertical="top"/>
      <protection locked="0"/>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0" fontId="23" fillId="2" borderId="30" xfId="0" applyFont="1" applyFill="1" applyBorder="1"/>
    <xf numFmtId="0" fontId="24" fillId="0" borderId="31" xfId="0" applyFont="1" applyBorder="1"/>
    <xf numFmtId="0" fontId="24" fillId="0" borderId="1" xfId="0" applyFont="1" applyBorder="1"/>
    <xf numFmtId="0" fontId="24" fillId="0" borderId="5" xfId="0" applyFont="1" applyBorder="1"/>
    <xf numFmtId="0" fontId="11" fillId="0" borderId="1" xfId="1" applyFont="1" applyBorder="1" applyAlignment="1" applyProtection="1">
      <alignment horizontal="center" vertical="top"/>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5" fillId="0" borderId="1" xfId="1" applyNumberFormat="1" applyFont="1" applyBorder="1" applyAlignment="1" applyProtection="1">
      <alignment horizontal="center" vertical="center" wrapText="1"/>
      <protection locked="0"/>
    </xf>
    <xf numFmtId="1" fontId="5"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1" fontId="5" fillId="0" borderId="1" xfId="0"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11" fillId="0" borderId="1" xfId="1" applyFont="1" applyBorder="1" applyAlignment="1" applyProtection="1">
      <alignment vertical="top" wrapText="1"/>
      <protection locked="0"/>
    </xf>
    <xf numFmtId="2" fontId="6" fillId="0" borderId="0" xfId="1" applyNumberFormat="1" applyFont="1" applyAlignment="1">
      <alignment horizontal="center" vertical="center"/>
    </xf>
    <xf numFmtId="1" fontId="6" fillId="0" borderId="1" xfId="1" applyNumberFormat="1" applyFont="1" applyBorder="1" applyAlignment="1">
      <alignment horizontal="center" vertical="center"/>
    </xf>
    <xf numFmtId="1" fontId="12" fillId="0" borderId="3" xfId="1" applyNumberFormat="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center" wrapText="1"/>
      <protection locked="0"/>
    </xf>
    <xf numFmtId="1" fontId="11" fillId="0" borderId="1" xfId="1" applyNumberFormat="1" applyFont="1" applyBorder="1" applyAlignment="1">
      <alignment horizontal="center" vertical="center"/>
    </xf>
    <xf numFmtId="1" fontId="11" fillId="0" borderId="1" xfId="1" applyNumberFormat="1" applyFont="1" applyFill="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9" fontId="11" fillId="0" borderId="7" xfId="8" applyFont="1" applyFill="1" applyBorder="1" applyAlignment="1" applyProtection="1">
      <alignment horizontal="center" vertical="top" wrapText="1"/>
      <protection locked="0"/>
    </xf>
    <xf numFmtId="0" fontId="6" fillId="0" borderId="0" xfId="1" applyFont="1" applyAlignment="1">
      <alignment horizontal="center" vertical="center"/>
    </xf>
    <xf numFmtId="1" fontId="11" fillId="0" borderId="1" xfId="1" applyNumberFormat="1" applyFont="1" applyBorder="1" applyAlignment="1" applyProtection="1">
      <alignment horizontal="center" vertical="top" wrapText="1"/>
      <protection locked="0"/>
    </xf>
    <xf numFmtId="0" fontId="14" fillId="0" borderId="0" xfId="1" applyFont="1" applyAlignment="1">
      <alignment horizontal="center" vertical="center"/>
    </xf>
    <xf numFmtId="0" fontId="30" fillId="0" borderId="0" xfId="1" applyFont="1" applyAlignment="1">
      <alignment horizontal="center" vertical="center"/>
    </xf>
    <xf numFmtId="0" fontId="14" fillId="0" borderId="0" xfId="2" applyFont="1" applyAlignment="1">
      <alignment horizontal="center" vertical="center"/>
    </xf>
    <xf numFmtId="1" fontId="14" fillId="0" borderId="0" xfId="1" applyNumberFormat="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0" fontId="11" fillId="0" borderId="3" xfId="1" applyFont="1" applyBorder="1" applyAlignment="1" applyProtection="1">
      <alignment horizontal="center" vertical="top" wrapText="1"/>
      <protection locked="0"/>
    </xf>
    <xf numFmtId="9" fontId="11" fillId="0" borderId="3" xfId="8" applyFont="1" applyFill="1" applyBorder="1" applyAlignment="1" applyProtection="1">
      <alignment horizontal="center" vertical="top" wrapText="1"/>
      <protection locked="0"/>
    </xf>
    <xf numFmtId="0" fontId="12" fillId="6" borderId="32" xfId="1" applyFont="1" applyFill="1" applyBorder="1" applyAlignment="1" applyProtection="1">
      <alignment horizontal="center" vertical="center" wrapText="1"/>
      <protection locked="0"/>
    </xf>
    <xf numFmtId="0" fontId="12" fillId="6" borderId="33" xfId="1" applyFont="1" applyFill="1" applyBorder="1" applyAlignment="1" applyProtection="1">
      <alignment horizontal="center" vertical="center" wrapText="1"/>
      <protection locked="0"/>
    </xf>
    <xf numFmtId="9" fontId="12" fillId="6" borderId="33" xfId="1" applyNumberFormat="1" applyFont="1" applyFill="1" applyBorder="1" applyAlignment="1" applyProtection="1">
      <alignment horizontal="center" vertical="center" wrapText="1"/>
      <protection locked="0"/>
    </xf>
    <xf numFmtId="9" fontId="12" fillId="6" borderId="33" xfId="8" applyFont="1" applyFill="1" applyBorder="1" applyAlignment="1" applyProtection="1">
      <alignment horizontal="center" vertical="center" wrapText="1"/>
      <protection locked="0"/>
    </xf>
    <xf numFmtId="9" fontId="12" fillId="6" borderId="34" xfId="8" applyFont="1" applyFill="1" applyBorder="1" applyAlignment="1" applyProtection="1">
      <alignment horizontal="center" vertical="center"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1" fontId="7" fillId="0" borderId="3" xfId="0" applyNumberFormat="1" applyFont="1" applyBorder="1" applyAlignment="1" applyProtection="1">
      <alignment horizontal="center" vertical="center" wrapText="1"/>
      <protection locked="0"/>
    </xf>
    <xf numFmtId="1" fontId="9" fillId="0" borderId="3" xfId="0" applyNumberFormat="1" applyFont="1" applyBorder="1" applyAlignment="1" applyProtection="1">
      <alignment horizontal="center" vertical="top" wrapText="1"/>
      <protection locked="0"/>
    </xf>
    <xf numFmtId="0" fontId="9" fillId="0" borderId="3" xfId="0" applyFont="1" applyBorder="1" applyAlignment="1" applyProtection="1">
      <alignment horizontal="center" vertical="top" wrapText="1"/>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5" fillId="0" borderId="1" xfId="1" applyFont="1" applyBorder="1" applyAlignment="1" applyProtection="1">
      <alignment horizontal="left" vertical="top"/>
      <protection locked="0"/>
    </xf>
    <xf numFmtId="1" fontId="7" fillId="0" borderId="3"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1" fontId="9" fillId="0" borderId="1" xfId="0" applyNumberFormat="1"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0" fontId="7" fillId="0" borderId="16" xfId="1" applyFont="1" applyBorder="1" applyAlignment="1" applyProtection="1">
      <alignment horizontal="left" vertical="top"/>
      <protection locked="0"/>
    </xf>
    <xf numFmtId="167" fontId="11" fillId="0" borderId="1" xfId="9" applyNumberFormat="1" applyFont="1" applyFill="1" applyBorder="1" applyAlignment="1" applyProtection="1">
      <alignment horizontal="left" vertical="top"/>
      <protection locked="0"/>
    </xf>
    <xf numFmtId="0" fontId="6" fillId="0" borderId="5" xfId="1" applyFont="1" applyBorder="1" applyAlignment="1" applyProtection="1">
      <alignment horizontal="center" vertical="top" wrapText="1"/>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7" fillId="0" borderId="16" xfId="1" applyFont="1" applyBorder="1" applyAlignment="1" applyProtection="1">
      <alignment horizontal="center" vertical="top"/>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25" fillId="0" borderId="1" xfId="10" applyFill="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1" fontId="12" fillId="0" borderId="3"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1" fontId="6"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top" wrapText="1"/>
      <protection locked="0"/>
    </xf>
    <xf numFmtId="1" fontId="7" fillId="0" borderId="34" xfId="0" applyNumberFormat="1" applyFont="1" applyBorder="1" applyAlignment="1" applyProtection="1">
      <alignment horizontal="center"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11" fillId="0" borderId="4"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9" fontId="11" fillId="0" borderId="17" xfId="8" applyFont="1" applyFill="1" applyBorder="1" applyAlignment="1" applyProtection="1">
      <alignment horizontal="center" vertical="center" wrapText="1"/>
      <protection locked="0"/>
    </xf>
    <xf numFmtId="9" fontId="11" fillId="0" borderId="27"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10" xfId="8" applyFont="1" applyFill="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0" fontId="6" fillId="0" borderId="0" xfId="1" applyFont="1" applyAlignment="1">
      <alignment horizontal="center" vertical="center"/>
    </xf>
    <xf numFmtId="0" fontId="7" fillId="0" borderId="36"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7" fillId="0" borderId="2" xfId="1" applyFont="1" applyBorder="1" applyAlignment="1" applyProtection="1">
      <alignment horizontal="left" vertical="top" wrapText="1"/>
      <protection locked="0"/>
    </xf>
    <xf numFmtId="0" fontId="7" fillId="0" borderId="37" xfId="1" applyFont="1" applyBorder="1" applyAlignment="1" applyProtection="1">
      <alignment horizontal="left" vertical="top"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left" vertical="top"/>
      <protection locked="0"/>
    </xf>
    <xf numFmtId="0" fontId="11" fillId="0" borderId="8" xfId="1" applyFont="1" applyBorder="1" applyAlignment="1" applyProtection="1">
      <alignment horizontal="left" vertical="top" wrapText="1"/>
      <protection locked="0"/>
    </xf>
    <xf numFmtId="0" fontId="11" fillId="0" borderId="9" xfId="1" applyFont="1" applyBorder="1" applyAlignment="1" applyProtection="1">
      <alignment horizontal="left" vertical="top" wrapText="1"/>
      <protection locked="0"/>
    </xf>
    <xf numFmtId="0" fontId="11" fillId="0" borderId="1" xfId="1" applyFont="1" applyBorder="1" applyAlignment="1" applyProtection="1">
      <alignment horizontal="center" vertical="center"/>
      <protection locked="0"/>
    </xf>
    <xf numFmtId="9" fontId="6" fillId="0" borderId="17"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2" fontId="5" fillId="0" borderId="1" xfId="1" applyNumberFormat="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9" fontId="11" fillId="0" borderId="18" xfId="8" applyFont="1" applyFill="1" applyBorder="1" applyAlignment="1" applyProtection="1">
      <alignment horizontal="center" vertical="center" wrapText="1"/>
      <protection locked="0"/>
    </xf>
    <xf numFmtId="9" fontId="11" fillId="0" borderId="26" xfId="8" applyFont="1" applyFill="1" applyBorder="1" applyAlignment="1" applyProtection="1">
      <alignment horizontal="center" vertical="center" wrapText="1"/>
      <protection locked="0"/>
    </xf>
    <xf numFmtId="9" fontId="11" fillId="0" borderId="28" xfId="8" applyFont="1" applyFill="1" applyBorder="1" applyAlignment="1" applyProtection="1">
      <alignment horizontal="center" vertical="center" wrapText="1"/>
      <protection locked="0"/>
    </xf>
    <xf numFmtId="9" fontId="11" fillId="0" borderId="29" xfId="8" applyFont="1" applyFill="1" applyBorder="1" applyAlignment="1" applyProtection="1">
      <alignment horizontal="center" vertical="center" wrapText="1"/>
      <protection locked="0"/>
    </xf>
    <xf numFmtId="9" fontId="11" fillId="0" borderId="12" xfId="8" applyFont="1" applyFill="1" applyBorder="1" applyAlignment="1" applyProtection="1">
      <alignment horizontal="center" vertical="center" wrapText="1"/>
      <protection locked="0"/>
    </xf>
    <xf numFmtId="0" fontId="11" fillId="0" borderId="6"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1" fontId="5" fillId="0" borderId="1" xfId="1"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0" fontId="11" fillId="0" borderId="35" xfId="1" applyFont="1" applyBorder="1" applyAlignment="1" applyProtection="1">
      <alignment horizontal="center" vertical="top" wrapText="1"/>
      <protection locked="0"/>
    </xf>
    <xf numFmtId="0" fontId="11" fillId="0" borderId="3" xfId="1" applyFont="1" applyBorder="1" applyAlignment="1" applyProtection="1">
      <alignment horizontal="center" vertical="top" wrapText="1"/>
      <protection locked="0"/>
    </xf>
    <xf numFmtId="0" fontId="11" fillId="0" borderId="1" xfId="1" applyFont="1" applyBorder="1" applyAlignment="1" applyProtection="1">
      <alignment horizontal="center"/>
      <protection locked="0"/>
    </xf>
    <xf numFmtId="0" fontId="11"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1" fillId="0" borderId="1" xfId="1" applyFont="1" applyBorder="1" applyAlignment="1" applyProtection="1">
      <alignment horizontal="left"/>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0" fontId="12" fillId="0" borderId="22"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12" fillId="0" borderId="13"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5"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wrapText="1"/>
      <protection locked="0"/>
    </xf>
    <xf numFmtId="0" fontId="11" fillId="0" borderId="5"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9" fontId="6" fillId="0" borderId="18"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1" fontId="11" fillId="0" borderId="8" xfId="1" applyNumberFormat="1" applyFont="1" applyBorder="1" applyAlignment="1" applyProtection="1">
      <alignment horizontal="center" vertical="center" wrapText="1"/>
      <protection locked="0"/>
    </xf>
    <xf numFmtId="1" fontId="11" fillId="0" borderId="21" xfId="1" applyNumberFormat="1" applyFont="1" applyBorder="1" applyAlignment="1" applyProtection="1">
      <alignment horizontal="center" vertical="center" wrapText="1"/>
      <protection locked="0"/>
    </xf>
    <xf numFmtId="1" fontId="11" fillId="0" borderId="9" xfId="1" applyNumberFormat="1" applyFont="1" applyBorder="1" applyAlignment="1" applyProtection="1">
      <alignment horizontal="center" vertical="center" wrapText="1"/>
      <protection locked="0"/>
    </xf>
    <xf numFmtId="0" fontId="12" fillId="0" borderId="16" xfId="1" applyFont="1" applyBorder="1" applyAlignment="1" applyProtection="1">
      <alignment horizontal="center" vertical="top"/>
      <protection locked="0"/>
    </xf>
    <xf numFmtId="1" fontId="12" fillId="0" borderId="17" xfId="1" applyNumberFormat="1" applyFont="1" applyBorder="1" applyAlignment="1" applyProtection="1">
      <alignment horizontal="center" vertical="top" wrapText="1"/>
      <protection locked="0"/>
    </xf>
    <xf numFmtId="1" fontId="12" fillId="0" borderId="19" xfId="1" applyNumberFormat="1" applyFont="1" applyBorder="1" applyAlignment="1" applyProtection="1">
      <alignment horizontal="center" vertical="top" wrapText="1"/>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0" fontId="9" fillId="0" borderId="33" xfId="0" applyFont="1" applyBorder="1" applyAlignment="1" applyProtection="1">
      <alignment horizontal="center" vertical="center"/>
      <protection locked="0"/>
    </xf>
    <xf numFmtId="1" fontId="9" fillId="0" borderId="33" xfId="0" applyNumberFormat="1" applyFont="1" applyBorder="1" applyAlignment="1" applyProtection="1">
      <alignment horizontal="center" vertical="top" wrapText="1"/>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1" fontId="7" fillId="0" borderId="1" xfId="0" applyNumberFormat="1" applyFont="1" applyBorder="1" applyAlignment="1" applyProtection="1">
      <alignment horizontal="left" vertical="top" wrapText="1"/>
      <protection locked="0"/>
    </xf>
    <xf numFmtId="1" fontId="12" fillId="0" borderId="8" xfId="1" applyNumberFormat="1" applyFont="1" applyBorder="1" applyAlignment="1" applyProtection="1">
      <alignment horizontal="center" vertical="center" wrapText="1"/>
      <protection locked="0"/>
    </xf>
    <xf numFmtId="1" fontId="12" fillId="0" borderId="21" xfId="1" applyNumberFormat="1" applyFont="1" applyBorder="1" applyAlignment="1" applyProtection="1">
      <alignment horizontal="center" vertical="center" wrapText="1"/>
      <protection locked="0"/>
    </xf>
    <xf numFmtId="1" fontId="12" fillId="0" borderId="9" xfId="1" applyNumberFormat="1" applyFont="1" applyBorder="1" applyAlignment="1" applyProtection="1">
      <alignment horizontal="center" vertical="center" wrapText="1"/>
      <protection locked="0"/>
    </xf>
    <xf numFmtId="0" fontId="14" fillId="0" borderId="1" xfId="1" applyFont="1" applyBorder="1" applyAlignment="1" applyProtection="1">
      <alignment horizontal="left" vertical="top"/>
      <protection locked="0"/>
    </xf>
    <xf numFmtId="0" fontId="11" fillId="0" borderId="21" xfId="1" applyFont="1" applyBorder="1" applyAlignment="1" applyProtection="1">
      <alignment horizontal="left" vertical="top" wrapText="1"/>
      <protection locked="0"/>
    </xf>
    <xf numFmtId="0" fontId="5" fillId="0" borderId="1" xfId="1" applyFont="1" applyBorder="1" applyAlignment="1" applyProtection="1">
      <alignment vertical="top"/>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1" fontId="9" fillId="0" borderId="3"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14" fontId="11" fillId="0" borderId="8" xfId="1" applyNumberFormat="1" applyFont="1" applyBorder="1" applyAlignment="1" applyProtection="1">
      <alignment horizontal="left" vertical="top" wrapText="1"/>
      <protection locked="0"/>
    </xf>
    <xf numFmtId="14" fontId="11" fillId="0" borderId="9" xfId="1" applyNumberFormat="1" applyFont="1" applyBorder="1" applyAlignment="1" applyProtection="1">
      <alignment horizontal="left" vertical="top" wrapText="1"/>
      <protection locked="0"/>
    </xf>
    <xf numFmtId="0" fontId="7" fillId="0" borderId="8" xfId="1" applyFont="1" applyBorder="1" applyAlignment="1" applyProtection="1">
      <alignment horizontal="left" vertical="top"/>
      <protection locked="0"/>
    </xf>
    <xf numFmtId="0" fontId="7" fillId="0" borderId="9" xfId="1" applyFont="1" applyBorder="1" applyAlignment="1" applyProtection="1">
      <alignment horizontal="left" vertical="top"/>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0" fontId="11" fillId="0" borderId="17"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20" xfId="1" applyFont="1" applyBorder="1" applyAlignment="1" applyProtection="1">
      <alignment horizontal="left" vertical="top" wrapText="1"/>
      <protection locked="0"/>
    </xf>
    <xf numFmtId="14" fontId="5" fillId="0" borderId="1" xfId="1" applyNumberFormat="1" applyFont="1" applyBorder="1" applyAlignment="1" applyProtection="1">
      <alignment horizontal="left" vertical="top" wrapText="1"/>
      <protection locked="0"/>
    </xf>
    <xf numFmtId="0" fontId="6" fillId="0" borderId="25" xfId="1" applyFont="1" applyBorder="1" applyAlignment="1">
      <alignment horizontal="center"/>
    </xf>
    <xf numFmtId="0" fontId="6" fillId="0" borderId="0" xfId="1" applyFont="1" applyAlignment="1">
      <alignment horizontal="center"/>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1" fontId="5" fillId="0" borderId="17" xfId="1" applyNumberFormat="1" applyFont="1" applyBorder="1" applyAlignment="1" applyProtection="1">
      <alignment horizontal="center" vertical="center" wrapText="1"/>
      <protection locked="0"/>
    </xf>
    <xf numFmtId="1" fontId="5" fillId="0" borderId="24"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1" fontId="5" fillId="0" borderId="19" xfId="1" applyNumberFormat="1" applyFont="1" applyBorder="1" applyAlignment="1" applyProtection="1">
      <alignment horizontal="center" vertical="center" wrapText="1"/>
      <protection locked="0"/>
    </xf>
    <xf numFmtId="1" fontId="5" fillId="0" borderId="2" xfId="1" applyNumberFormat="1" applyFont="1" applyBorder="1" applyAlignment="1" applyProtection="1">
      <alignment horizontal="center" vertical="center" wrapText="1"/>
      <protection locked="0"/>
    </xf>
    <xf numFmtId="1" fontId="5" fillId="0" borderId="20" xfId="1" applyNumberFormat="1" applyFont="1" applyBorder="1" applyAlignment="1" applyProtection="1">
      <alignment horizontal="center" vertical="center" wrapText="1"/>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jpeg"/><Relationship Id="rId5" Type="http://schemas.openxmlformats.org/officeDocument/2006/relationships/image" Target="../media/image27.png"/><Relationship Id="rId4" Type="http://schemas.openxmlformats.org/officeDocument/2006/relationships/image" Target="../media/image26.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8</xdr:col>
      <xdr:colOff>82550</xdr:colOff>
      <xdr:row>15</xdr:row>
      <xdr:rowOff>63500</xdr:rowOff>
    </xdr:from>
    <xdr:to>
      <xdr:col>14</xdr:col>
      <xdr:colOff>59650</xdr:colOff>
      <xdr:row>16</xdr:row>
      <xdr:rowOff>98868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705600" y="3625850"/>
          <a:ext cx="5400000" cy="848168"/>
        </a:xfrm>
        <a:prstGeom prst="rect">
          <a:avLst/>
        </a:prstGeom>
        <a:ln>
          <a:solidFill>
            <a:schemeClr val="tx1"/>
          </a:solidFill>
        </a:ln>
      </xdr:spPr>
    </xdr:pic>
    <xdr:clientData/>
  </xdr:twoCellAnchor>
  <xdr:twoCellAnchor editAs="oneCell">
    <xdr:from>
      <xdr:col>8</xdr:col>
      <xdr:colOff>1006135</xdr:colOff>
      <xdr:row>4</xdr:row>
      <xdr:rowOff>152060</xdr:rowOff>
    </xdr:from>
    <xdr:to>
      <xdr:col>13</xdr:col>
      <xdr:colOff>439265</xdr:colOff>
      <xdr:row>12</xdr:row>
      <xdr:rowOff>280816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7629185" y="1339510"/>
          <a:ext cx="3979730" cy="1506706"/>
        </a:xfrm>
        <a:prstGeom prst="rect">
          <a:avLst/>
        </a:prstGeom>
        <a:ln>
          <a:solidFill>
            <a:schemeClr val="tx1"/>
          </a:solidFill>
        </a:ln>
      </xdr:spPr>
    </xdr:pic>
    <xdr:clientData/>
  </xdr:twoCellAnchor>
  <xdr:twoCellAnchor editAs="oneCell">
    <xdr:from>
      <xdr:col>1</xdr:col>
      <xdr:colOff>196850</xdr:colOff>
      <xdr:row>375</xdr:row>
      <xdr:rowOff>186772</xdr:rowOff>
    </xdr:from>
    <xdr:to>
      <xdr:col>6</xdr:col>
      <xdr:colOff>590600</xdr:colOff>
      <xdr:row>396</xdr:row>
      <xdr:rowOff>175952</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996950" y="67871422"/>
          <a:ext cx="4680000" cy="4123030"/>
        </a:xfrm>
        <a:prstGeom prst="rect">
          <a:avLst/>
        </a:prstGeom>
        <a:ln>
          <a:solidFill>
            <a:schemeClr val="tx1"/>
          </a:solidFill>
        </a:ln>
      </xdr:spPr>
    </xdr:pic>
    <xdr:clientData/>
  </xdr:twoCellAnchor>
  <xdr:twoCellAnchor editAs="oneCell">
    <xdr:from>
      <xdr:col>0</xdr:col>
      <xdr:colOff>628650</xdr:colOff>
      <xdr:row>357</xdr:row>
      <xdr:rowOff>63500</xdr:rowOff>
    </xdr:from>
    <xdr:to>
      <xdr:col>7</xdr:col>
      <xdr:colOff>173950</xdr:colOff>
      <xdr:row>375</xdr:row>
      <xdr:rowOff>66470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628650" y="64204850"/>
          <a:ext cx="5400000" cy="3546269"/>
        </a:xfrm>
        <a:prstGeom prst="rect">
          <a:avLst/>
        </a:prstGeom>
        <a:ln>
          <a:solidFill>
            <a:schemeClr val="tx1"/>
          </a:solidFill>
        </a:ln>
      </xdr:spPr>
    </xdr:pic>
    <xdr:clientData/>
  </xdr:twoCellAnchor>
  <xdr:twoCellAnchor>
    <xdr:from>
      <xdr:col>3</xdr:col>
      <xdr:colOff>597730</xdr:colOff>
      <xdr:row>382</xdr:row>
      <xdr:rowOff>51321</xdr:rowOff>
    </xdr:from>
    <xdr:to>
      <xdr:col>4</xdr:col>
      <xdr:colOff>330790</xdr:colOff>
      <xdr:row>390</xdr:row>
      <xdr:rowOff>50374</xdr:rowOff>
    </xdr:to>
    <xdr:sp macro="" textlink="">
      <xdr:nvSpPr>
        <xdr:cNvPr id="6" name="Rectangle 5">
          <a:extLst>
            <a:ext uri="{FF2B5EF4-FFF2-40B4-BE49-F238E27FC236}">
              <a16:creationId xmlns:a16="http://schemas.microsoft.com/office/drawing/2014/main" id="{00000000-0008-0000-0000-000006000000}"/>
            </a:ext>
          </a:extLst>
        </xdr:cNvPr>
        <xdr:cNvSpPr/>
      </xdr:nvSpPr>
      <xdr:spPr>
        <a:xfrm rot="18541738">
          <a:off x="2684058" y="69554893"/>
          <a:ext cx="1573853" cy="691910"/>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twoCellAnchor editAs="oneCell">
    <xdr:from>
      <xdr:col>1</xdr:col>
      <xdr:colOff>171450</xdr:colOff>
      <xdr:row>314</xdr:row>
      <xdr:rowOff>114300</xdr:rowOff>
    </xdr:from>
    <xdr:to>
      <xdr:col>6</xdr:col>
      <xdr:colOff>565200</xdr:colOff>
      <xdr:row>338</xdr:row>
      <xdr:rowOff>172670</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5"/>
        <a:stretch>
          <a:fillRect/>
        </a:stretch>
      </xdr:blipFill>
      <xdr:spPr>
        <a:xfrm>
          <a:off x="971550" y="58146950"/>
          <a:ext cx="4680000" cy="4782770"/>
        </a:xfrm>
        <a:prstGeom prst="rect">
          <a:avLst/>
        </a:prstGeom>
        <a:ln>
          <a:solidFill>
            <a:schemeClr val="tx1"/>
          </a:solidFill>
        </a:ln>
      </xdr:spPr>
    </xdr:pic>
    <xdr:clientData/>
  </xdr:twoCellAnchor>
  <xdr:twoCellAnchor editAs="oneCell">
    <xdr:from>
      <xdr:col>2</xdr:col>
      <xdr:colOff>254250</xdr:colOff>
      <xdr:row>339</xdr:row>
      <xdr:rowOff>88763</xdr:rowOff>
    </xdr:from>
    <xdr:to>
      <xdr:col>5</xdr:col>
      <xdr:colOff>467250</xdr:colOff>
      <xdr:row>354</xdr:row>
      <xdr:rowOff>95672</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6"/>
        <a:stretch>
          <a:fillRect/>
        </a:stretch>
      </xdr:blipFill>
      <xdr:spPr>
        <a:xfrm>
          <a:off x="1892550" y="60686813"/>
          <a:ext cx="2880000" cy="2959659"/>
        </a:xfrm>
        <a:prstGeom prst="rect">
          <a:avLst/>
        </a:prstGeom>
        <a:ln>
          <a:solidFill>
            <a:schemeClr val="tx1"/>
          </a:solidFill>
        </a:ln>
      </xdr:spPr>
    </xdr:pic>
    <xdr:clientData/>
  </xdr:twoCellAnchor>
  <xdr:twoCellAnchor editAs="oneCell">
    <xdr:from>
      <xdr:col>8</xdr:col>
      <xdr:colOff>222250</xdr:colOff>
      <xdr:row>48</xdr:row>
      <xdr:rowOff>355601</xdr:rowOff>
    </xdr:from>
    <xdr:to>
      <xdr:col>12</xdr:col>
      <xdr:colOff>461150</xdr:colOff>
      <xdr:row>49</xdr:row>
      <xdr:rowOff>266438</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7"/>
        <a:srcRect l="3969" t="31527"/>
        <a:stretch/>
      </xdr:blipFill>
      <xdr:spPr>
        <a:xfrm>
          <a:off x="6845300" y="11874501"/>
          <a:ext cx="3960000" cy="336287"/>
        </a:xfrm>
        <a:prstGeom prst="rect">
          <a:avLst/>
        </a:prstGeom>
        <a:ln>
          <a:solidFill>
            <a:schemeClr val="tx1"/>
          </a:solidFill>
        </a:ln>
      </xdr:spPr>
    </xdr:pic>
    <xdr:clientData/>
  </xdr:twoCellAnchor>
  <xdr:oneCellAnchor>
    <xdr:from>
      <xdr:col>1</xdr:col>
      <xdr:colOff>361950</xdr:colOff>
      <xdr:row>324</xdr:row>
      <xdr:rowOff>57150</xdr:rowOff>
    </xdr:from>
    <xdr:ext cx="880947" cy="264560"/>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1162050" y="60058300"/>
          <a:ext cx="88094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cap="none" spc="0">
              <a:ln w="0"/>
              <a:solidFill>
                <a:srgbClr val="FF0000"/>
              </a:solidFill>
              <a:effectLst>
                <a:outerShdw blurRad="38100" dist="25400" dir="5400000" algn="ctr" rotWithShape="0">
                  <a:srgbClr val="6E747A">
                    <a:alpha val="43000"/>
                  </a:srgbClr>
                </a:outerShdw>
              </a:effectLst>
            </a:rPr>
            <a:t>Sale Wing A</a:t>
          </a:r>
        </a:p>
      </xdr:txBody>
    </xdr:sp>
    <xdr:clientData/>
  </xdr:oneCellAnchor>
  <xdr:twoCellAnchor>
    <xdr:from>
      <xdr:col>1</xdr:col>
      <xdr:colOff>802424</xdr:colOff>
      <xdr:row>325</xdr:row>
      <xdr:rowOff>124860</xdr:rowOff>
    </xdr:from>
    <xdr:to>
      <xdr:col>2</xdr:col>
      <xdr:colOff>323850</xdr:colOff>
      <xdr:row>329</xdr:row>
      <xdr:rowOff>95250</xdr:rowOff>
    </xdr:to>
    <xdr:cxnSp macro="">
      <xdr:nvCxnSpPr>
        <xdr:cNvPr id="12" name="Straight Arrow Connector 11">
          <a:extLst>
            <a:ext uri="{FF2B5EF4-FFF2-40B4-BE49-F238E27FC236}">
              <a16:creationId xmlns:a16="http://schemas.microsoft.com/office/drawing/2014/main" id="{00000000-0008-0000-0000-00000C000000}"/>
            </a:ext>
          </a:extLst>
        </xdr:cNvPr>
        <xdr:cNvCxnSpPr>
          <a:stCxn id="10" idx="2"/>
        </xdr:cNvCxnSpPr>
      </xdr:nvCxnSpPr>
      <xdr:spPr>
        <a:xfrm>
          <a:off x="1602524" y="60322860"/>
          <a:ext cx="359626" cy="75779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3</xdr:col>
      <xdr:colOff>95250</xdr:colOff>
      <xdr:row>317</xdr:row>
      <xdr:rowOff>127000</xdr:rowOff>
    </xdr:from>
    <xdr:ext cx="996950" cy="264560"/>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2622550" y="58750200"/>
          <a:ext cx="9969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IN" sz="1100" b="1" cap="none" spc="0">
              <a:ln w="0"/>
              <a:solidFill>
                <a:srgbClr val="FF0000"/>
              </a:solidFill>
              <a:effectLst>
                <a:outerShdw blurRad="38100" dist="25400" dir="5400000" algn="ctr" rotWithShape="0">
                  <a:srgbClr val="6E747A">
                    <a:alpha val="43000"/>
                  </a:srgbClr>
                </a:outerShdw>
              </a:effectLst>
            </a:rPr>
            <a:t>Rehab Wing B</a:t>
          </a:r>
        </a:p>
      </xdr:txBody>
    </xdr:sp>
    <xdr:clientData/>
  </xdr:oneCellAnchor>
  <xdr:twoCellAnchor>
    <xdr:from>
      <xdr:col>3</xdr:col>
      <xdr:colOff>593725</xdr:colOff>
      <xdr:row>318</xdr:row>
      <xdr:rowOff>194710</xdr:rowOff>
    </xdr:from>
    <xdr:to>
      <xdr:col>4</xdr:col>
      <xdr:colOff>298450</xdr:colOff>
      <xdr:row>321</xdr:row>
      <xdr:rowOff>171450</xdr:rowOff>
    </xdr:to>
    <xdr:cxnSp macro="">
      <xdr:nvCxnSpPr>
        <xdr:cNvPr id="16" name="Straight Arrow Connector 15">
          <a:extLst>
            <a:ext uri="{FF2B5EF4-FFF2-40B4-BE49-F238E27FC236}">
              <a16:creationId xmlns:a16="http://schemas.microsoft.com/office/drawing/2014/main" id="{00000000-0008-0000-0000-000010000000}"/>
            </a:ext>
          </a:extLst>
        </xdr:cNvPr>
        <xdr:cNvCxnSpPr>
          <a:stCxn id="15" idx="2"/>
        </xdr:cNvCxnSpPr>
      </xdr:nvCxnSpPr>
      <xdr:spPr>
        <a:xfrm>
          <a:off x="3121025" y="59014760"/>
          <a:ext cx="663575" cy="56729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4</xdr:col>
      <xdr:colOff>495300</xdr:colOff>
      <xdr:row>334</xdr:row>
      <xdr:rowOff>12700</xdr:rowOff>
    </xdr:from>
    <xdr:ext cx="1066800" cy="264560"/>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3981450" y="61982350"/>
          <a:ext cx="10668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IN" sz="1100" b="1" cap="none" spc="0">
              <a:ln w="0"/>
              <a:solidFill>
                <a:srgbClr val="FF0000"/>
              </a:solidFill>
              <a:effectLst>
                <a:outerShdw blurRad="38100" dist="25400" dir="5400000" algn="ctr" rotWithShape="0">
                  <a:srgbClr val="6E747A">
                    <a:alpha val="43000"/>
                  </a:srgbClr>
                </a:outerShdw>
              </a:effectLst>
            </a:rPr>
            <a:t>Mhada Wing C</a:t>
          </a:r>
        </a:p>
      </xdr:txBody>
    </xdr:sp>
    <xdr:clientData/>
  </xdr:oneCellAnchor>
  <xdr:twoCellAnchor>
    <xdr:from>
      <xdr:col>4</xdr:col>
      <xdr:colOff>120650</xdr:colOff>
      <xdr:row>331</xdr:row>
      <xdr:rowOff>88900</xdr:rowOff>
    </xdr:from>
    <xdr:to>
      <xdr:col>5</xdr:col>
      <xdr:colOff>120650</xdr:colOff>
      <xdr:row>334</xdr:row>
      <xdr:rowOff>19050</xdr:rowOff>
    </xdr:to>
    <xdr:cxnSp macro="">
      <xdr:nvCxnSpPr>
        <xdr:cNvPr id="20" name="Straight Arrow Connector 19">
          <a:extLst>
            <a:ext uri="{FF2B5EF4-FFF2-40B4-BE49-F238E27FC236}">
              <a16:creationId xmlns:a16="http://schemas.microsoft.com/office/drawing/2014/main" id="{00000000-0008-0000-0000-000014000000}"/>
            </a:ext>
          </a:extLst>
        </xdr:cNvPr>
        <xdr:cNvCxnSpPr/>
      </xdr:nvCxnSpPr>
      <xdr:spPr>
        <a:xfrm flipH="1" flipV="1">
          <a:off x="3606800" y="61468000"/>
          <a:ext cx="819150" cy="5207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11</xdr:col>
      <xdr:colOff>175532</xdr:colOff>
      <xdr:row>71</xdr:row>
      <xdr:rowOff>7825</xdr:rowOff>
    </xdr:from>
    <xdr:to>
      <xdr:col>14</xdr:col>
      <xdr:colOff>332581</xdr:colOff>
      <xdr:row>133</xdr:row>
      <xdr:rowOff>173832</xdr:rowOff>
    </xdr:to>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8"/>
        <a:stretch>
          <a:fillRect/>
        </a:stretch>
      </xdr:blipFill>
      <xdr:spPr>
        <a:xfrm>
          <a:off x="9130733" y="16846664"/>
          <a:ext cx="2716893" cy="5676900"/>
        </a:xfrm>
        <a:prstGeom prst="rect">
          <a:avLst/>
        </a:prstGeom>
        <a:ln>
          <a:solidFill>
            <a:schemeClr val="tx1"/>
          </a:solidFill>
        </a:ln>
      </xdr:spPr>
    </xdr:pic>
    <xdr:clientData/>
  </xdr:twoCellAnchor>
  <xdr:oneCellAnchor>
    <xdr:from>
      <xdr:col>10</xdr:col>
      <xdr:colOff>127000</xdr:colOff>
      <xdr:row>282</xdr:row>
      <xdr:rowOff>171450</xdr:rowOff>
    </xdr:from>
    <xdr:ext cx="571888" cy="311496"/>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8769350" y="53695600"/>
          <a:ext cx="57188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Part I</a:t>
          </a:r>
        </a:p>
      </xdr:txBody>
    </xdr:sp>
    <xdr:clientData/>
  </xdr:oneCellAnchor>
  <xdr:twoCellAnchor>
    <xdr:from>
      <xdr:col>8</xdr:col>
      <xdr:colOff>1120775</xdr:colOff>
      <xdr:row>271</xdr:row>
      <xdr:rowOff>34925</xdr:rowOff>
    </xdr:from>
    <xdr:to>
      <xdr:col>16</xdr:col>
      <xdr:colOff>506737</xdr:colOff>
      <xdr:row>302</xdr:row>
      <xdr:rowOff>172710</xdr:rowOff>
    </xdr:to>
    <xdr:grpSp>
      <xdr:nvGrpSpPr>
        <xdr:cNvPr id="13" name="Group 12">
          <a:extLst>
            <a:ext uri="{FF2B5EF4-FFF2-40B4-BE49-F238E27FC236}">
              <a16:creationId xmlns:a16="http://schemas.microsoft.com/office/drawing/2014/main" id="{00000000-0008-0000-0000-00000D000000}"/>
            </a:ext>
          </a:extLst>
        </xdr:cNvPr>
        <xdr:cNvGrpSpPr/>
      </xdr:nvGrpSpPr>
      <xdr:grpSpPr>
        <a:xfrm>
          <a:off x="7435850" y="48726725"/>
          <a:ext cx="6158237" cy="6329035"/>
          <a:chOff x="82550" y="51485800"/>
          <a:chExt cx="6431287" cy="6230610"/>
        </a:xfrm>
      </xdr:grpSpPr>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82550" y="55556410"/>
            <a:ext cx="2877333" cy="2160000"/>
          </a:xfrm>
          <a:prstGeom prst="rect">
            <a:avLst/>
          </a:prstGeom>
          <a:ln>
            <a:solidFill>
              <a:schemeClr val="tx1"/>
            </a:solidFill>
          </a:ln>
        </xdr:spPr>
      </xdr:pic>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3118547" y="55556410"/>
            <a:ext cx="1618313" cy="2160000"/>
          </a:xfrm>
          <a:prstGeom prst="rect">
            <a:avLst/>
          </a:prstGeom>
          <a:ln>
            <a:solidFill>
              <a:schemeClr val="tx1"/>
            </a:solidFill>
          </a:ln>
        </xdr:spPr>
      </xdr:pic>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276455" y="51485800"/>
            <a:ext cx="2966907" cy="3960000"/>
          </a:xfrm>
          <a:prstGeom prst="rect">
            <a:avLst/>
          </a:prstGeom>
          <a:ln>
            <a:solidFill>
              <a:schemeClr val="tx1"/>
            </a:solidFill>
          </a:ln>
        </xdr:spPr>
      </xdr:pic>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3385769" y="51485800"/>
            <a:ext cx="2966907" cy="3960000"/>
          </a:xfrm>
          <a:prstGeom prst="rect">
            <a:avLst/>
          </a:prstGeom>
          <a:ln>
            <a:solidFill>
              <a:schemeClr val="tx1"/>
            </a:solidFill>
          </a:ln>
        </xdr:spPr>
      </xdr:pic>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4895524" y="55556410"/>
            <a:ext cx="1618313" cy="2160000"/>
          </a:xfrm>
          <a:prstGeom prst="rect">
            <a:avLst/>
          </a:prstGeom>
          <a:ln>
            <a:solidFill>
              <a:schemeClr val="tx1"/>
            </a:solidFill>
          </a:ln>
        </xdr:spPr>
      </xdr:pic>
      <xdr:sp macro="" textlink="">
        <xdr:nvSpPr>
          <xdr:cNvPr id="29" name="TextBox 28">
            <a:extLst>
              <a:ext uri="{FF2B5EF4-FFF2-40B4-BE49-F238E27FC236}">
                <a16:creationId xmlns:a16="http://schemas.microsoft.com/office/drawing/2014/main" id="{00000000-0008-0000-0000-00001D000000}"/>
              </a:ext>
            </a:extLst>
          </xdr:cNvPr>
          <xdr:cNvSpPr txBox="1"/>
        </xdr:nvSpPr>
        <xdr:spPr>
          <a:xfrm>
            <a:off x="1057505" y="53828950"/>
            <a:ext cx="57188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Part I</a:t>
            </a:r>
          </a:p>
        </xdr:txBody>
      </xdr:sp>
      <xdr:sp macro="" textlink="">
        <xdr:nvSpPr>
          <xdr:cNvPr id="30" name="TextBox 29">
            <a:extLst>
              <a:ext uri="{FF2B5EF4-FFF2-40B4-BE49-F238E27FC236}">
                <a16:creationId xmlns:a16="http://schemas.microsoft.com/office/drawing/2014/main" id="{00000000-0008-0000-0000-00001E000000}"/>
              </a:ext>
            </a:extLst>
          </xdr:cNvPr>
          <xdr:cNvSpPr txBox="1"/>
        </xdr:nvSpPr>
        <xdr:spPr>
          <a:xfrm>
            <a:off x="4528769" y="53886100"/>
            <a:ext cx="61709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Part II</a:t>
            </a:r>
          </a:p>
        </xdr:txBody>
      </xdr:sp>
    </xdr:grpSp>
    <xdr:clientData/>
  </xdr:twoCellAnchor>
  <xdr:twoCellAnchor>
    <xdr:from>
      <xdr:col>0</xdr:col>
      <xdr:colOff>266700</xdr:colOff>
      <xdr:row>271</xdr:row>
      <xdr:rowOff>85725</xdr:rowOff>
    </xdr:from>
    <xdr:to>
      <xdr:col>7</xdr:col>
      <xdr:colOff>364478</xdr:colOff>
      <xdr:row>310</xdr:row>
      <xdr:rowOff>43309</xdr:rowOff>
    </xdr:to>
    <xdr:grpSp>
      <xdr:nvGrpSpPr>
        <xdr:cNvPr id="31" name="Group 30">
          <a:extLst>
            <a:ext uri="{FF2B5EF4-FFF2-40B4-BE49-F238E27FC236}">
              <a16:creationId xmlns:a16="http://schemas.microsoft.com/office/drawing/2014/main" id="{7760264A-7FE9-48BB-8872-B4CD91B35F86}"/>
            </a:ext>
          </a:extLst>
        </xdr:cNvPr>
        <xdr:cNvGrpSpPr/>
      </xdr:nvGrpSpPr>
      <xdr:grpSpPr>
        <a:xfrm>
          <a:off x="266700" y="48777525"/>
          <a:ext cx="5679428" cy="7749034"/>
          <a:chOff x="589286" y="394448"/>
          <a:chExt cx="5679428" cy="7749034"/>
        </a:xfrm>
      </xdr:grpSpPr>
      <xdr:pic>
        <xdr:nvPicPr>
          <xdr:cNvPr id="32" name="Picture 31">
            <a:extLst>
              <a:ext uri="{FF2B5EF4-FFF2-40B4-BE49-F238E27FC236}">
                <a16:creationId xmlns:a16="http://schemas.microsoft.com/office/drawing/2014/main" id="{68414E33-4378-4182-A717-C5152FE7AE7F}"/>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859005" y="394448"/>
            <a:ext cx="2427469" cy="3240000"/>
          </a:xfrm>
          <a:prstGeom prst="rect">
            <a:avLst/>
          </a:prstGeom>
          <a:ln>
            <a:solidFill>
              <a:schemeClr val="tx1"/>
            </a:solidFill>
          </a:ln>
        </xdr:spPr>
      </xdr:pic>
      <xdr:pic>
        <xdr:nvPicPr>
          <xdr:cNvPr id="33" name="Picture 32">
            <a:extLst>
              <a:ext uri="{FF2B5EF4-FFF2-40B4-BE49-F238E27FC236}">
                <a16:creationId xmlns:a16="http://schemas.microsoft.com/office/drawing/2014/main" id="{D75ABD9B-FE66-4BD1-BA4F-BBE2530A477D}"/>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3571528" y="394448"/>
            <a:ext cx="2427469" cy="3240000"/>
          </a:xfrm>
          <a:prstGeom prst="rect">
            <a:avLst/>
          </a:prstGeom>
          <a:ln>
            <a:solidFill>
              <a:schemeClr val="tx1"/>
            </a:solidFill>
          </a:ln>
        </xdr:spPr>
      </xdr:pic>
      <xdr:pic>
        <xdr:nvPicPr>
          <xdr:cNvPr id="34" name="Picture 33">
            <a:extLst>
              <a:ext uri="{FF2B5EF4-FFF2-40B4-BE49-F238E27FC236}">
                <a16:creationId xmlns:a16="http://schemas.microsoft.com/office/drawing/2014/main" id="{333F7537-EA81-42E2-A2D4-E6F1AF8CEE35}"/>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589286" y="3818965"/>
            <a:ext cx="1753172" cy="2340000"/>
          </a:xfrm>
          <a:prstGeom prst="rect">
            <a:avLst/>
          </a:prstGeom>
          <a:ln>
            <a:solidFill>
              <a:schemeClr val="tx1"/>
            </a:solidFill>
          </a:ln>
        </xdr:spPr>
      </xdr:pic>
      <xdr:pic>
        <xdr:nvPicPr>
          <xdr:cNvPr id="35" name="Picture 34">
            <a:extLst>
              <a:ext uri="{FF2B5EF4-FFF2-40B4-BE49-F238E27FC236}">
                <a16:creationId xmlns:a16="http://schemas.microsoft.com/office/drawing/2014/main" id="{40CB1452-F2F8-45A9-9AC4-CE7A110D8266}"/>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2552414" y="3818965"/>
            <a:ext cx="1753172" cy="2340000"/>
          </a:xfrm>
          <a:prstGeom prst="rect">
            <a:avLst/>
          </a:prstGeom>
          <a:ln>
            <a:solidFill>
              <a:schemeClr val="tx1"/>
            </a:solidFill>
          </a:ln>
        </xdr:spPr>
      </xdr:pic>
      <xdr:pic>
        <xdr:nvPicPr>
          <xdr:cNvPr id="36" name="Picture 35">
            <a:extLst>
              <a:ext uri="{FF2B5EF4-FFF2-40B4-BE49-F238E27FC236}">
                <a16:creationId xmlns:a16="http://schemas.microsoft.com/office/drawing/2014/main" id="{18FE34A6-2F2A-4F9F-91AA-CDB961FF532A}"/>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4515542" y="3818965"/>
            <a:ext cx="1753172" cy="2340000"/>
          </a:xfrm>
          <a:prstGeom prst="rect">
            <a:avLst/>
          </a:prstGeom>
          <a:ln>
            <a:solidFill>
              <a:schemeClr val="tx1"/>
            </a:solidFill>
          </a:ln>
        </xdr:spPr>
      </xdr:pic>
      <xdr:pic>
        <xdr:nvPicPr>
          <xdr:cNvPr id="37" name="Picture 36">
            <a:extLst>
              <a:ext uri="{FF2B5EF4-FFF2-40B4-BE49-F238E27FC236}">
                <a16:creationId xmlns:a16="http://schemas.microsoft.com/office/drawing/2014/main" id="{247135D1-553A-4F2A-AA69-A35FC39E45D3}"/>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1937881" y="6343482"/>
            <a:ext cx="1348593" cy="1800000"/>
          </a:xfrm>
          <a:prstGeom prst="rect">
            <a:avLst/>
          </a:prstGeom>
          <a:ln>
            <a:solidFill>
              <a:schemeClr val="tx1"/>
            </a:solidFill>
          </a:ln>
        </xdr:spPr>
      </xdr:pic>
      <xdr:pic>
        <xdr:nvPicPr>
          <xdr:cNvPr id="38" name="Picture 37">
            <a:extLst>
              <a:ext uri="{FF2B5EF4-FFF2-40B4-BE49-F238E27FC236}">
                <a16:creationId xmlns:a16="http://schemas.microsoft.com/office/drawing/2014/main" id="{B8D8F8AD-2F91-48A8-A7B2-A0B586C11CA6}"/>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3571528" y="6343482"/>
            <a:ext cx="1348594" cy="180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4</xdr:col>
      <xdr:colOff>651056</xdr:colOff>
      <xdr:row>14</xdr:row>
      <xdr:rowOff>0</xdr:rowOff>
    </xdr:from>
    <xdr:to>
      <xdr:col>10</xdr:col>
      <xdr:colOff>500408</xdr:colOff>
      <xdr:row>45</xdr:row>
      <xdr:rowOff>118240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6194232" y="2696882"/>
          <a:ext cx="5400000" cy="5922887"/>
        </a:xfrm>
        <a:prstGeom prst="rect">
          <a:avLst/>
        </a:prstGeom>
        <a:ln>
          <a:solidFill>
            <a:schemeClr val="tx1"/>
          </a:solidFill>
        </a:ln>
      </xdr:spPr>
    </xdr:pic>
    <xdr:clientData/>
  </xdr:twoCellAnchor>
  <xdr:twoCellAnchor editAs="oneCell">
    <xdr:from>
      <xdr:col>1</xdr:col>
      <xdr:colOff>0</xdr:colOff>
      <xdr:row>14</xdr:row>
      <xdr:rowOff>1</xdr:rowOff>
    </xdr:from>
    <xdr:to>
      <xdr:col>4</xdr:col>
      <xdr:colOff>469412</xdr:colOff>
      <xdr:row>43</xdr:row>
      <xdr:rowOff>168882</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612588" y="2696883"/>
          <a:ext cx="5400000" cy="5599999"/>
        </a:xfrm>
        <a:prstGeom prst="rect">
          <a:avLst/>
        </a:prstGeom>
        <a:ln>
          <a:solidFill>
            <a:schemeClr val="tx1"/>
          </a:solidFill>
        </a:ln>
      </xdr:spPr>
    </xdr:pic>
    <xdr:clientData/>
  </xdr:twoCellAnchor>
  <xdr:twoCellAnchor editAs="oneCell">
    <xdr:from>
      <xdr:col>0</xdr:col>
      <xdr:colOff>582706</xdr:colOff>
      <xdr:row>45</xdr:row>
      <xdr:rowOff>0</xdr:rowOff>
    </xdr:from>
    <xdr:to>
      <xdr:col>4</xdr:col>
      <xdr:colOff>439530</xdr:colOff>
      <xdr:row>58</xdr:row>
      <xdr:rowOff>61278</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a:stretch>
          <a:fillRect/>
        </a:stretch>
      </xdr:blipFill>
      <xdr:spPr>
        <a:xfrm>
          <a:off x="582706" y="8501529"/>
          <a:ext cx="5400000" cy="2489220"/>
        </a:xfrm>
        <a:prstGeom prst="rect">
          <a:avLst/>
        </a:prstGeom>
        <a:ln>
          <a:solidFill>
            <a:schemeClr val="tx1"/>
          </a:solidFill>
        </a:ln>
      </xdr:spPr>
    </xdr:pic>
    <xdr:clientData/>
  </xdr:twoCellAnchor>
  <xdr:twoCellAnchor editAs="oneCell">
    <xdr:from>
      <xdr:col>3</xdr:col>
      <xdr:colOff>367393</xdr:colOff>
      <xdr:row>13</xdr:row>
      <xdr:rowOff>54428</xdr:rowOff>
    </xdr:from>
    <xdr:to>
      <xdr:col>22</xdr:col>
      <xdr:colOff>286846</xdr:colOff>
      <xdr:row>51</xdr:row>
      <xdr:rowOff>129714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5"/>
        <a:stretch>
          <a:fillRect/>
        </a:stretch>
      </xdr:blipFill>
      <xdr:spPr>
        <a:xfrm>
          <a:off x="4898572" y="2544535"/>
          <a:ext cx="13009524" cy="73142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T64b4HsQzxUPhxzk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357"/>
  <sheetViews>
    <sheetView tabSelected="1" view="pageBreakPreview" zoomScaleNormal="100" zoomScaleSheetLayoutView="100" zoomScalePageLayoutView="85" workbookViewId="0">
      <selection activeCell="I45" sqref="I45"/>
    </sheetView>
  </sheetViews>
  <sheetFormatPr defaultColWidth="9.140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140625" style="40" customWidth="1"/>
    <col min="7" max="8" width="11" style="40" customWidth="1"/>
    <col min="9" max="9" width="17.42578125" style="21" customWidth="1"/>
    <col min="10" max="10" width="11.42578125" style="21" customWidth="1"/>
    <col min="11" max="11" width="10.57031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199" t="s">
        <v>166</v>
      </c>
      <c r="B1" s="199"/>
      <c r="C1" s="199"/>
      <c r="D1" s="199"/>
      <c r="E1" s="199"/>
      <c r="F1" s="199"/>
      <c r="G1" s="199"/>
      <c r="H1" s="199"/>
    </row>
    <row r="2" spans="1:26" ht="16.5" customHeight="1" x14ac:dyDescent="0.25">
      <c r="A2" s="200" t="s">
        <v>0</v>
      </c>
      <c r="B2" s="200"/>
      <c r="C2" s="200"/>
      <c r="D2" s="200"/>
      <c r="E2" s="200"/>
      <c r="F2" s="200"/>
      <c r="G2" s="200"/>
      <c r="H2" s="200"/>
    </row>
    <row r="3" spans="1:26" x14ac:dyDescent="0.25">
      <c r="A3" s="170" t="s">
        <v>1</v>
      </c>
      <c r="B3" s="170"/>
      <c r="C3" s="170"/>
      <c r="D3" s="170"/>
      <c r="E3" s="170" t="str">
        <f ca="1">TEXT(TODAY(),"DD/MM/YYYY")</f>
        <v>19/08/2025</v>
      </c>
      <c r="F3" s="170"/>
      <c r="G3" s="170"/>
      <c r="H3" s="170"/>
      <c r="K3" s="59" t="s">
        <v>242</v>
      </c>
      <c r="L3" s="56" t="s">
        <v>240</v>
      </c>
      <c r="M3" s="56" t="s">
        <v>245</v>
      </c>
      <c r="N3" s="56" t="s">
        <v>243</v>
      </c>
      <c r="O3" s="56" t="s">
        <v>244</v>
      </c>
      <c r="P3" s="56" t="s">
        <v>246</v>
      </c>
    </row>
    <row r="4" spans="1:26" ht="15" customHeight="1" x14ac:dyDescent="0.25">
      <c r="A4" s="170" t="s">
        <v>239</v>
      </c>
      <c r="B4" s="170"/>
      <c r="C4" s="170"/>
      <c r="D4" s="170"/>
      <c r="E4" s="170" t="s">
        <v>240</v>
      </c>
      <c r="F4" s="170"/>
      <c r="G4" s="170"/>
      <c r="H4" s="170"/>
      <c r="K4" s="55" t="s">
        <v>241</v>
      </c>
      <c r="L4" s="56" t="s">
        <v>173</v>
      </c>
      <c r="M4" s="56" t="s">
        <v>250</v>
      </c>
      <c r="N4" s="56" t="s">
        <v>252</v>
      </c>
      <c r="O4" s="56" t="s">
        <v>254</v>
      </c>
      <c r="P4" s="56"/>
    </row>
    <row r="5" spans="1:26" ht="15" customHeight="1" x14ac:dyDescent="0.25">
      <c r="A5" s="170" t="s">
        <v>2</v>
      </c>
      <c r="B5" s="170"/>
      <c r="C5" s="170"/>
      <c r="D5" s="170"/>
      <c r="E5" s="170" t="s">
        <v>173</v>
      </c>
      <c r="F5" s="170"/>
      <c r="G5" s="170"/>
      <c r="H5" s="170"/>
      <c r="K5" s="55"/>
      <c r="L5" s="56" t="s">
        <v>247</v>
      </c>
      <c r="M5" s="56" t="s">
        <v>251</v>
      </c>
      <c r="N5" s="56" t="s">
        <v>253</v>
      </c>
      <c r="O5" s="56" t="s">
        <v>255</v>
      </c>
      <c r="P5" s="56"/>
    </row>
    <row r="6" spans="1:26" x14ac:dyDescent="0.25">
      <c r="A6" s="170" t="s">
        <v>3</v>
      </c>
      <c r="B6" s="170"/>
      <c r="C6" s="170"/>
      <c r="D6" s="170"/>
      <c r="E6" s="201">
        <v>45880</v>
      </c>
      <c r="F6" s="170"/>
      <c r="G6" s="170"/>
      <c r="H6" s="170"/>
      <c r="K6" s="55"/>
      <c r="L6" s="56" t="s">
        <v>248</v>
      </c>
      <c r="M6" s="56"/>
      <c r="N6" s="56"/>
      <c r="O6" s="56" t="s">
        <v>256</v>
      </c>
      <c r="P6" s="56"/>
    </row>
    <row r="7" spans="1:26" ht="16.5" customHeight="1" x14ac:dyDescent="0.25">
      <c r="A7" s="170" t="s">
        <v>4</v>
      </c>
      <c r="B7" s="170"/>
      <c r="C7" s="170"/>
      <c r="D7" s="170"/>
      <c r="E7" s="170" t="s">
        <v>340</v>
      </c>
      <c r="F7" s="170"/>
      <c r="G7" s="170"/>
      <c r="H7" s="170"/>
      <c r="K7" s="55"/>
      <c r="L7" s="56" t="s">
        <v>249</v>
      </c>
      <c r="M7" s="56"/>
      <c r="N7" s="56"/>
      <c r="O7" s="56" t="s">
        <v>256</v>
      </c>
      <c r="P7" s="56"/>
    </row>
    <row r="8" spans="1:26" ht="15" customHeight="1" x14ac:dyDescent="0.25">
      <c r="A8" s="170" t="s">
        <v>5</v>
      </c>
      <c r="B8" s="170"/>
      <c r="C8" s="170"/>
      <c r="D8" s="170"/>
      <c r="E8" s="170" t="str">
        <f>E7</f>
        <v>Darshan Properties</v>
      </c>
      <c r="F8" s="170"/>
      <c r="G8" s="170"/>
      <c r="H8" s="170"/>
      <c r="K8" s="55"/>
      <c r="L8" s="56"/>
      <c r="M8" s="56"/>
      <c r="N8" s="56"/>
      <c r="O8" s="56" t="s">
        <v>257</v>
      </c>
      <c r="P8" s="56"/>
    </row>
    <row r="9" spans="1:26" x14ac:dyDescent="0.25">
      <c r="A9" s="170" t="s">
        <v>6</v>
      </c>
      <c r="B9" s="170"/>
      <c r="C9" s="170"/>
      <c r="D9" s="170"/>
      <c r="E9" s="131" t="s">
        <v>341</v>
      </c>
      <c r="F9" s="131"/>
      <c r="G9" s="131"/>
      <c r="H9" s="131"/>
      <c r="K9" s="55"/>
      <c r="L9" s="56"/>
      <c r="M9" s="56"/>
      <c r="N9" s="56"/>
      <c r="O9" s="56" t="s">
        <v>258</v>
      </c>
      <c r="P9" s="56"/>
    </row>
    <row r="10" spans="1:26" x14ac:dyDescent="0.25">
      <c r="A10" s="170" t="s">
        <v>169</v>
      </c>
      <c r="B10" s="170"/>
      <c r="C10" s="170"/>
      <c r="D10" s="170"/>
      <c r="E10" s="170">
        <v>9821523356</v>
      </c>
      <c r="F10" s="170"/>
      <c r="G10" s="170"/>
      <c r="H10" s="170"/>
      <c r="K10" s="55"/>
      <c r="L10" s="56"/>
      <c r="M10" s="56"/>
      <c r="N10" s="56"/>
      <c r="O10" s="56"/>
      <c r="P10" s="56"/>
    </row>
    <row r="11" spans="1:26" hidden="1" x14ac:dyDescent="0.25">
      <c r="A11" s="170" t="s">
        <v>170</v>
      </c>
      <c r="B11" s="170"/>
      <c r="C11" s="170"/>
      <c r="D11" s="170"/>
      <c r="E11" s="170" t="s">
        <v>402</v>
      </c>
      <c r="F11" s="170"/>
      <c r="G11" s="170"/>
      <c r="H11" s="170"/>
    </row>
    <row r="12" spans="1:26" x14ac:dyDescent="0.25">
      <c r="A12" s="170" t="s">
        <v>7</v>
      </c>
      <c r="B12" s="170"/>
      <c r="C12" s="170"/>
      <c r="D12" s="170"/>
      <c r="E12" s="170" t="s">
        <v>350</v>
      </c>
      <c r="F12" s="170"/>
      <c r="G12" s="170"/>
      <c r="H12" s="170"/>
    </row>
    <row r="13" spans="1:26" ht="32.450000000000003" customHeight="1" x14ac:dyDescent="0.25">
      <c r="A13" s="170" t="s">
        <v>174</v>
      </c>
      <c r="B13" s="170"/>
      <c r="C13" s="170"/>
      <c r="D13" s="170"/>
      <c r="E13" s="139" t="s">
        <v>351</v>
      </c>
      <c r="F13" s="139"/>
      <c r="G13" s="139"/>
      <c r="H13" s="139"/>
      <c r="S13" s="56" t="s">
        <v>183</v>
      </c>
      <c r="T13" s="56" t="s">
        <v>193</v>
      </c>
      <c r="U13" s="56" t="s">
        <v>175</v>
      </c>
      <c r="V13" s="56" t="s">
        <v>198</v>
      </c>
      <c r="W13" s="56" t="s">
        <v>216</v>
      </c>
      <c r="X13"/>
      <c r="Y13" t="s">
        <v>198</v>
      </c>
      <c r="Z13" t="e">
        <f ca="1">OFFSET($S$13,1,MATCH($G20,$S$13:$W$13,0)-1,15,1)</f>
        <v>#VALUE!</v>
      </c>
    </row>
    <row r="14" spans="1:26" x14ac:dyDescent="0.25">
      <c r="A14" s="170" t="s">
        <v>285</v>
      </c>
      <c r="B14" s="170"/>
      <c r="C14" s="170"/>
      <c r="D14" s="170"/>
      <c r="E14" s="139" t="s">
        <v>387</v>
      </c>
      <c r="F14" s="139"/>
      <c r="G14" s="139"/>
      <c r="H14" s="139"/>
      <c r="S14" s="56" t="s">
        <v>184</v>
      </c>
      <c r="T14" s="56" t="s">
        <v>191</v>
      </c>
      <c r="U14" s="56" t="s">
        <v>213</v>
      </c>
      <c r="V14" s="56" t="s">
        <v>199</v>
      </c>
      <c r="W14" s="56" t="s">
        <v>217</v>
      </c>
      <c r="X14"/>
      <c r="Y14"/>
      <c r="Z14"/>
    </row>
    <row r="15" spans="1:26" x14ac:dyDescent="0.25">
      <c r="A15" s="170" t="s">
        <v>8</v>
      </c>
      <c r="B15" s="170"/>
      <c r="C15" s="170"/>
      <c r="D15" s="170"/>
      <c r="E15" s="139" t="s">
        <v>339</v>
      </c>
      <c r="F15" s="170"/>
      <c r="G15" s="170"/>
      <c r="H15" s="170"/>
      <c r="I15" s="262" t="e">
        <f ca="1">OFFSET($D$5,1,MATCH($J13,$D$5:$H$5,0)-1,15,1)</f>
        <v>#N/A</v>
      </c>
      <c r="J15" s="263"/>
      <c r="K15" s="263"/>
      <c r="L15" s="263"/>
      <c r="M15" s="263"/>
      <c r="N15" s="263"/>
      <c r="O15" s="263"/>
      <c r="P15" s="263"/>
      <c r="S15" s="56" t="s">
        <v>185</v>
      </c>
      <c r="T15" s="56" t="s">
        <v>192</v>
      </c>
      <c r="U15" s="56" t="s">
        <v>214</v>
      </c>
      <c r="V15" s="56" t="s">
        <v>200</v>
      </c>
      <c r="W15" s="56" t="s">
        <v>230</v>
      </c>
      <c r="X15"/>
      <c r="Y15"/>
      <c r="Z15"/>
    </row>
    <row r="16" spans="1:26" ht="63.95" customHeight="1" x14ac:dyDescent="0.25">
      <c r="A16" s="139" t="s">
        <v>9</v>
      </c>
      <c r="B16" s="139"/>
      <c r="C16" s="139" t="str">
        <f>CONCATENATE((IF(OR(E9="",E9="NA"),"",E9)),", ",(IF(OR(A17="",A17="NA"),"",A17)),".",(IF(OR(C17="",C17="NA"),"",C17)),", near ",(IF(OR(C22="",C22="NA"),"",C22)),", ",(IF(OR(C19="",C19="NA"),"",C19)),", ",(IF(OR(C18="",C18="NA"),"",C18)),", ",(IF(OR(G19="",G19="NA"),"",G19)),", ",(IF(OR(C20="",C20="NA"),"",C20)),", ",(IF(OR(C21="",C21="NA"),"",C21)),", ",(IF(OR(G20="",G20="NA"),"",G20))," - ",(IF(OR(G21="",G21="NA"),"",G21)),".")</f>
        <v>Promesa Fremont, CTS No.2 &amp; 3 &amp; Redevelopement of "BetIen Bhartiya Vidya Bhavan (Bawla Compound) CHS", near Muktai CHS, Sane Guruji Marg, Gundecha Garden, Parel Sewree Division, Chinchpokli, Mumbai, Mumbai - 400012.</v>
      </c>
      <c r="D16" s="139"/>
      <c r="E16" s="139"/>
      <c r="F16" s="139"/>
      <c r="G16" s="139"/>
      <c r="H16" s="139"/>
      <c r="S16" s="56" t="s">
        <v>186</v>
      </c>
      <c r="T16" s="56" t="s">
        <v>194</v>
      </c>
      <c r="U16" s="56" t="s">
        <v>215</v>
      </c>
      <c r="V16" s="56" t="s">
        <v>201</v>
      </c>
      <c r="W16" s="56" t="s">
        <v>218</v>
      </c>
      <c r="X16"/>
      <c r="Y16"/>
      <c r="Z16"/>
    </row>
    <row r="17" spans="1:26" ht="30.6" customHeight="1" x14ac:dyDescent="0.25">
      <c r="A17" s="139" t="s">
        <v>179</v>
      </c>
      <c r="B17" s="139"/>
      <c r="C17" s="139" t="s">
        <v>343</v>
      </c>
      <c r="D17" s="139"/>
      <c r="E17" s="139"/>
      <c r="F17" s="139"/>
      <c r="G17" s="139"/>
      <c r="H17" s="139"/>
      <c r="S17" s="56" t="s">
        <v>187</v>
      </c>
      <c r="T17" s="56" t="s">
        <v>195</v>
      </c>
      <c r="U17" s="56" t="s">
        <v>175</v>
      </c>
      <c r="V17" s="56" t="s">
        <v>202</v>
      </c>
      <c r="W17" s="56" t="s">
        <v>219</v>
      </c>
      <c r="X17"/>
      <c r="Y17"/>
      <c r="Z17"/>
    </row>
    <row r="18" spans="1:26" ht="15.75" customHeight="1" x14ac:dyDescent="0.25">
      <c r="A18" s="139" t="s">
        <v>164</v>
      </c>
      <c r="B18" s="139"/>
      <c r="C18" s="139" t="s">
        <v>346</v>
      </c>
      <c r="D18" s="139"/>
      <c r="E18" s="139"/>
      <c r="F18" s="139"/>
      <c r="G18" s="139"/>
      <c r="H18" s="139"/>
      <c r="S18" s="56" t="s">
        <v>188</v>
      </c>
      <c r="T18" s="56" t="s">
        <v>193</v>
      </c>
      <c r="U18" s="56"/>
      <c r="V18" s="56" t="s">
        <v>203</v>
      </c>
      <c r="W18" s="56" t="s">
        <v>220</v>
      </c>
      <c r="X18"/>
      <c r="Y18"/>
      <c r="Z18"/>
    </row>
    <row r="19" spans="1:26" ht="15.75" customHeight="1" x14ac:dyDescent="0.25">
      <c r="A19" s="139" t="s">
        <v>10</v>
      </c>
      <c r="B19" s="139"/>
      <c r="C19" s="170" t="s">
        <v>345</v>
      </c>
      <c r="D19" s="170"/>
      <c r="E19" s="139" t="s">
        <v>70</v>
      </c>
      <c r="F19" s="139"/>
      <c r="G19" s="139" t="s">
        <v>344</v>
      </c>
      <c r="H19" s="139"/>
      <c r="S19" s="56" t="s">
        <v>189</v>
      </c>
      <c r="T19" s="56" t="s">
        <v>196</v>
      </c>
      <c r="U19" s="56"/>
      <c r="V19" s="56" t="s">
        <v>204</v>
      </c>
      <c r="W19" s="56" t="s">
        <v>221</v>
      </c>
      <c r="X19"/>
      <c r="Y19"/>
      <c r="Z19"/>
    </row>
    <row r="20" spans="1:26" x14ac:dyDescent="0.25">
      <c r="A20" s="170" t="s">
        <v>12</v>
      </c>
      <c r="B20" s="170"/>
      <c r="C20" s="139" t="s">
        <v>347</v>
      </c>
      <c r="D20" s="139"/>
      <c r="E20" s="139" t="s">
        <v>11</v>
      </c>
      <c r="F20" s="139"/>
      <c r="G20" s="198" t="s">
        <v>175</v>
      </c>
      <c r="H20" s="198"/>
      <c r="S20" s="56" t="s">
        <v>190</v>
      </c>
      <c r="T20" s="56" t="s">
        <v>197</v>
      </c>
      <c r="U20" s="56"/>
      <c r="V20" s="56" t="s">
        <v>205</v>
      </c>
      <c r="W20" s="56" t="s">
        <v>222</v>
      </c>
      <c r="X20"/>
      <c r="Y20"/>
      <c r="Z20"/>
    </row>
    <row r="21" spans="1:26" x14ac:dyDescent="0.25">
      <c r="A21" s="170" t="s">
        <v>71</v>
      </c>
      <c r="B21" s="170"/>
      <c r="C21" s="139" t="s">
        <v>175</v>
      </c>
      <c r="D21" s="139"/>
      <c r="E21" s="139" t="s">
        <v>13</v>
      </c>
      <c r="F21" s="139"/>
      <c r="G21" s="139">
        <v>400012</v>
      </c>
      <c r="H21" s="139"/>
      <c r="S21" s="56"/>
      <c r="T21" s="56"/>
      <c r="U21" s="56"/>
      <c r="V21" s="56" t="s">
        <v>206</v>
      </c>
      <c r="W21" s="56" t="s">
        <v>223</v>
      </c>
      <c r="X21"/>
      <c r="Y21"/>
      <c r="Z21"/>
    </row>
    <row r="22" spans="1:26" ht="47.1" customHeight="1" x14ac:dyDescent="0.25">
      <c r="A22" s="170" t="s">
        <v>121</v>
      </c>
      <c r="B22" s="170"/>
      <c r="C22" s="139" t="s">
        <v>349</v>
      </c>
      <c r="D22" s="139"/>
      <c r="E22" s="139" t="s">
        <v>14</v>
      </c>
      <c r="F22" s="139"/>
      <c r="G22" s="139" t="s">
        <v>348</v>
      </c>
      <c r="H22" s="139"/>
      <c r="S22" s="56"/>
      <c r="T22" s="56"/>
      <c r="U22" s="56"/>
      <c r="V22" s="56" t="s">
        <v>207</v>
      </c>
      <c r="W22" s="56" t="s">
        <v>224</v>
      </c>
      <c r="X22"/>
      <c r="Y22"/>
      <c r="Z22"/>
    </row>
    <row r="23" spans="1:26" ht="15" customHeight="1" x14ac:dyDescent="0.25">
      <c r="A23" s="181" t="s">
        <v>73</v>
      </c>
      <c r="B23" s="181"/>
      <c r="C23" s="181"/>
      <c r="D23" s="181"/>
      <c r="E23" s="170" t="s">
        <v>15</v>
      </c>
      <c r="F23" s="170"/>
      <c r="G23" s="170"/>
      <c r="H23" s="170"/>
      <c r="S23" s="56"/>
      <c r="T23" s="56"/>
      <c r="U23" s="56"/>
      <c r="V23" s="56" t="s">
        <v>208</v>
      </c>
      <c r="W23" s="56" t="s">
        <v>225</v>
      </c>
      <c r="X23"/>
      <c r="Y23"/>
      <c r="Z23"/>
    </row>
    <row r="24" spans="1:26" ht="18.75" customHeight="1" x14ac:dyDescent="0.25">
      <c r="A24" s="181"/>
      <c r="B24" s="181"/>
      <c r="C24" s="181"/>
      <c r="D24" s="181"/>
      <c r="E24" s="170"/>
      <c r="F24" s="170"/>
      <c r="G24" s="170"/>
      <c r="H24" s="170"/>
      <c r="S24" s="56"/>
      <c r="T24" s="56"/>
      <c r="U24" s="56"/>
      <c r="V24" s="56" t="s">
        <v>209</v>
      </c>
      <c r="W24" s="56" t="s">
        <v>226</v>
      </c>
      <c r="X24"/>
      <c r="Y24"/>
      <c r="Z24"/>
    </row>
    <row r="25" spans="1:26" ht="15" customHeight="1" x14ac:dyDescent="0.25">
      <c r="A25" s="181" t="s">
        <v>16</v>
      </c>
      <c r="B25" s="181"/>
      <c r="C25" s="181"/>
      <c r="D25" s="181"/>
      <c r="E25" s="139" t="s">
        <v>17</v>
      </c>
      <c r="F25" s="139"/>
      <c r="G25" s="139"/>
      <c r="H25" s="139"/>
      <c r="S25" s="56"/>
      <c r="T25" s="56"/>
      <c r="U25" s="56"/>
      <c r="V25" s="56" t="s">
        <v>210</v>
      </c>
      <c r="W25" s="56" t="s">
        <v>227</v>
      </c>
      <c r="X25"/>
      <c r="Y25"/>
      <c r="Z25"/>
    </row>
    <row r="26" spans="1:26" ht="15" customHeight="1" x14ac:dyDescent="0.25">
      <c r="A26" s="119" t="s">
        <v>18</v>
      </c>
      <c r="B26" s="119"/>
      <c r="C26" s="119"/>
      <c r="D26" s="119"/>
      <c r="E26" s="139" t="str">
        <f>IF(AND(G20="Mumbai"),"Upper Class","Middle Class")</f>
        <v>Upper Class</v>
      </c>
      <c r="F26" s="139"/>
      <c r="G26" s="139"/>
      <c r="H26" s="139"/>
      <c r="S26" s="56"/>
      <c r="T26" s="56"/>
      <c r="U26" s="56"/>
      <c r="V26" s="56" t="s">
        <v>211</v>
      </c>
      <c r="W26" s="56" t="s">
        <v>228</v>
      </c>
      <c r="X26"/>
      <c r="Y26"/>
      <c r="Z26"/>
    </row>
    <row r="27" spans="1:26" x14ac:dyDescent="0.25">
      <c r="A27" s="119" t="s">
        <v>19</v>
      </c>
      <c r="B27" s="119"/>
      <c r="C27" s="119"/>
      <c r="D27" s="119"/>
      <c r="E27" s="139" t="s">
        <v>20</v>
      </c>
      <c r="F27" s="139"/>
      <c r="G27" s="139"/>
      <c r="H27" s="139"/>
      <c r="S27" s="56"/>
      <c r="T27" s="56"/>
      <c r="U27" s="56"/>
      <c r="V27" s="56" t="s">
        <v>212</v>
      </c>
      <c r="W27" s="56" t="s">
        <v>229</v>
      </c>
      <c r="X27"/>
      <c r="Y27"/>
      <c r="Z27"/>
    </row>
    <row r="28" spans="1:26" ht="15.75" customHeight="1" x14ac:dyDescent="0.25">
      <c r="A28" s="119" t="s">
        <v>21</v>
      </c>
      <c r="B28" s="119"/>
      <c r="C28" s="119"/>
      <c r="D28" s="119"/>
      <c r="E28" s="139" t="str">
        <f>IF(AND(G20="Mumbai"),"Developed","Developing")</f>
        <v>Developed</v>
      </c>
      <c r="F28" s="139"/>
      <c r="G28" s="139"/>
      <c r="H28" s="139"/>
    </row>
    <row r="29" spans="1:26" x14ac:dyDescent="0.25">
      <c r="A29" s="119" t="s">
        <v>22</v>
      </c>
      <c r="B29" s="119"/>
      <c r="C29" s="119"/>
      <c r="D29" s="119"/>
      <c r="E29" s="139" t="s">
        <v>23</v>
      </c>
      <c r="F29" s="139"/>
      <c r="G29" s="139"/>
      <c r="H29" s="139"/>
    </row>
    <row r="30" spans="1:26" ht="15.75" customHeight="1" x14ac:dyDescent="0.25">
      <c r="A30" s="119" t="s">
        <v>78</v>
      </c>
      <c r="B30" s="119"/>
      <c r="C30" s="119"/>
      <c r="D30" s="119"/>
      <c r="E30" s="139" t="s">
        <v>79</v>
      </c>
      <c r="F30" s="139"/>
      <c r="G30" s="139"/>
      <c r="H30" s="139"/>
    </row>
    <row r="31" spans="1:26" ht="15" customHeight="1" x14ac:dyDescent="0.25">
      <c r="A31" s="119" t="s">
        <v>30</v>
      </c>
      <c r="B31" s="119"/>
      <c r="C31" s="119"/>
      <c r="D31" s="119"/>
      <c r="E31" s="139"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39"/>
      <c r="G31" s="139"/>
      <c r="H31" s="139"/>
    </row>
    <row r="32" spans="1:26" ht="15.75" customHeight="1" x14ac:dyDescent="0.25">
      <c r="A32" s="119" t="s">
        <v>90</v>
      </c>
      <c r="B32" s="119"/>
      <c r="C32" s="119"/>
      <c r="D32" s="119"/>
      <c r="E32" s="139" t="s">
        <v>31</v>
      </c>
      <c r="F32" s="139"/>
      <c r="G32" s="139"/>
      <c r="H32" s="139"/>
    </row>
    <row r="33" spans="1:19" s="22" customFormat="1" x14ac:dyDescent="0.25">
      <c r="A33" s="197" t="s">
        <v>91</v>
      </c>
      <c r="B33" s="197"/>
      <c r="C33" s="196" t="s">
        <v>176</v>
      </c>
      <c r="D33" s="196"/>
      <c r="E33" s="196"/>
      <c r="F33" s="196" t="s">
        <v>29</v>
      </c>
      <c r="G33" s="196"/>
      <c r="H33" s="196"/>
      <c r="S33" s="22" t="e">
        <f ca="1">OFFSET($S$13,1,MATCH($G20,$S$13:$W$13,0)-1,15,1)</f>
        <v>#VALUE!</v>
      </c>
    </row>
    <row r="34" spans="1:19" s="22" customFormat="1" x14ac:dyDescent="0.25">
      <c r="A34" s="194" t="s">
        <v>24</v>
      </c>
      <c r="B34" s="194" t="s">
        <v>28</v>
      </c>
      <c r="C34" s="195" t="s">
        <v>353</v>
      </c>
      <c r="D34" s="195"/>
      <c r="E34" s="195"/>
      <c r="F34" s="195" t="s">
        <v>349</v>
      </c>
      <c r="G34" s="195"/>
      <c r="H34" s="195"/>
    </row>
    <row r="35" spans="1:19" x14ac:dyDescent="0.25">
      <c r="A35" s="194" t="s">
        <v>25</v>
      </c>
      <c r="B35" s="194" t="s">
        <v>28</v>
      </c>
      <c r="C35" s="195" t="s">
        <v>354</v>
      </c>
      <c r="D35" s="195"/>
      <c r="E35" s="195"/>
      <c r="F35" s="195" t="s">
        <v>345</v>
      </c>
      <c r="G35" s="195"/>
      <c r="H35" s="195"/>
    </row>
    <row r="36" spans="1:19" s="22" customFormat="1" x14ac:dyDescent="0.25">
      <c r="A36" s="194" t="s">
        <v>27</v>
      </c>
      <c r="B36" s="194" t="s">
        <v>28</v>
      </c>
      <c r="C36" s="195" t="s">
        <v>355</v>
      </c>
      <c r="D36" s="195"/>
      <c r="E36" s="195"/>
      <c r="F36" s="195" t="s">
        <v>345</v>
      </c>
      <c r="G36" s="195"/>
      <c r="H36" s="195"/>
    </row>
    <row r="37" spans="1:19" ht="33" customHeight="1" x14ac:dyDescent="0.25">
      <c r="A37" s="173" t="s">
        <v>26</v>
      </c>
      <c r="B37" s="173" t="s">
        <v>28</v>
      </c>
      <c r="C37" s="173" t="s">
        <v>356</v>
      </c>
      <c r="D37" s="173"/>
      <c r="E37" s="173"/>
      <c r="F37" s="152" t="s">
        <v>352</v>
      </c>
      <c r="G37" s="152"/>
      <c r="H37" s="152"/>
    </row>
    <row r="38" spans="1:19" x14ac:dyDescent="0.25">
      <c r="A38" s="119" t="s">
        <v>286</v>
      </c>
      <c r="B38" s="119"/>
      <c r="C38" s="119"/>
      <c r="D38" s="119"/>
      <c r="E38" s="119"/>
      <c r="F38" s="119"/>
      <c r="G38" s="119"/>
      <c r="H38" s="119"/>
    </row>
    <row r="39" spans="1:19" ht="15.75" customHeight="1" x14ac:dyDescent="0.25">
      <c r="A39" s="119" t="s">
        <v>167</v>
      </c>
      <c r="B39" s="119"/>
      <c r="C39" s="160" t="s">
        <v>392</v>
      </c>
      <c r="D39" s="160"/>
      <c r="E39" s="160"/>
      <c r="F39" s="160"/>
      <c r="G39" s="160"/>
      <c r="H39" s="160"/>
    </row>
    <row r="40" spans="1:19" x14ac:dyDescent="0.25">
      <c r="A40" s="119" t="s">
        <v>163</v>
      </c>
      <c r="B40" s="119"/>
      <c r="C40" s="138" t="s">
        <v>391</v>
      </c>
      <c r="D40" s="139"/>
      <c r="E40" s="139"/>
      <c r="F40" s="139"/>
      <c r="G40" s="139"/>
      <c r="H40" s="139"/>
    </row>
    <row r="41" spans="1:19" x14ac:dyDescent="0.25">
      <c r="A41" s="160" t="s">
        <v>32</v>
      </c>
      <c r="B41" s="160"/>
      <c r="C41" s="160"/>
      <c r="D41" s="160"/>
      <c r="E41" s="160"/>
      <c r="F41" s="160"/>
      <c r="G41" s="160"/>
      <c r="H41" s="160"/>
    </row>
    <row r="42" spans="1:19" x14ac:dyDescent="0.25">
      <c r="A42" s="119" t="s">
        <v>33</v>
      </c>
      <c r="B42" s="119"/>
      <c r="C42" s="119"/>
      <c r="D42" s="119"/>
      <c r="E42" s="180">
        <v>5312.73</v>
      </c>
      <c r="F42" s="180"/>
      <c r="G42" s="180"/>
      <c r="H42" s="180"/>
    </row>
    <row r="43" spans="1:19" x14ac:dyDescent="0.25">
      <c r="A43" s="119" t="s">
        <v>34</v>
      </c>
      <c r="B43" s="119"/>
      <c r="C43" s="119"/>
      <c r="D43" s="119"/>
      <c r="E43" s="190">
        <v>4</v>
      </c>
      <c r="F43" s="190"/>
      <c r="G43" s="190"/>
      <c r="H43" s="190"/>
    </row>
    <row r="44" spans="1:19" x14ac:dyDescent="0.25">
      <c r="A44" s="119" t="s">
        <v>35</v>
      </c>
      <c r="B44" s="119"/>
      <c r="C44" s="119"/>
      <c r="D44" s="119"/>
      <c r="E44" s="190">
        <f>E46/E42-E43</f>
        <v>5.3670881072442977</v>
      </c>
      <c r="F44" s="190"/>
      <c r="G44" s="190"/>
      <c r="H44" s="190"/>
    </row>
    <row r="45" spans="1:19" x14ac:dyDescent="0.25">
      <c r="A45" s="119" t="s">
        <v>36</v>
      </c>
      <c r="B45" s="119"/>
      <c r="C45" s="119"/>
      <c r="D45" s="119"/>
      <c r="E45" s="190">
        <f>E43+E44</f>
        <v>9.3670881072442977</v>
      </c>
      <c r="F45" s="190"/>
      <c r="G45" s="190"/>
      <c r="H45" s="190"/>
    </row>
    <row r="46" spans="1:19" x14ac:dyDescent="0.25">
      <c r="A46" s="119" t="s">
        <v>89</v>
      </c>
      <c r="B46" s="119"/>
      <c r="C46" s="119"/>
      <c r="D46" s="119"/>
      <c r="E46" s="191">
        <v>49764.81</v>
      </c>
      <c r="F46" s="191"/>
      <c r="G46" s="191"/>
      <c r="H46" s="191"/>
    </row>
    <row r="47" spans="1:19" x14ac:dyDescent="0.25">
      <c r="A47" s="170" t="s">
        <v>37</v>
      </c>
      <c r="B47" s="170"/>
      <c r="C47" s="170"/>
      <c r="D47" s="170"/>
      <c r="E47" s="170" t="s">
        <v>119</v>
      </c>
      <c r="F47" s="170"/>
      <c r="G47" s="170"/>
      <c r="H47" s="170"/>
    </row>
    <row r="48" spans="1:19" x14ac:dyDescent="0.25">
      <c r="A48" s="160" t="s">
        <v>38</v>
      </c>
      <c r="B48" s="160"/>
      <c r="C48" s="160"/>
      <c r="D48" s="160"/>
      <c r="E48" s="160"/>
      <c r="F48" s="160"/>
      <c r="G48" s="160"/>
      <c r="H48" s="160"/>
    </row>
    <row r="49" spans="1:24" ht="33.75" customHeight="1" x14ac:dyDescent="0.25">
      <c r="A49" s="171" t="s">
        <v>153</v>
      </c>
      <c r="B49" s="172"/>
      <c r="C49" s="153" t="s">
        <v>261</v>
      </c>
      <c r="D49" s="154"/>
      <c r="E49" s="154"/>
      <c r="F49" s="154"/>
      <c r="G49" s="154"/>
      <c r="H49" s="155"/>
      <c r="R49" t="s">
        <v>259</v>
      </c>
      <c r="S49" t="s">
        <v>175</v>
      </c>
      <c r="T49" t="s">
        <v>183</v>
      </c>
      <c r="U49" t="s">
        <v>198</v>
      </c>
      <c r="V49" t="s">
        <v>193</v>
      </c>
    </row>
    <row r="50" spans="1:24" ht="30.95" customHeight="1" x14ac:dyDescent="0.25">
      <c r="A50" s="171" t="s">
        <v>39</v>
      </c>
      <c r="B50" s="172"/>
      <c r="C50" s="171" t="s">
        <v>357</v>
      </c>
      <c r="D50" s="235"/>
      <c r="E50" s="172"/>
      <c r="F50" s="82" t="s">
        <v>40</v>
      </c>
      <c r="G50" s="241">
        <v>45453</v>
      </c>
      <c r="H50" s="242"/>
      <c r="R50"/>
      <c r="S50" t="s">
        <v>260</v>
      </c>
      <c r="T50" t="s">
        <v>265</v>
      </c>
      <c r="U50" t="s">
        <v>276</v>
      </c>
      <c r="V50" t="s">
        <v>281</v>
      </c>
    </row>
    <row r="51" spans="1:24" ht="30.95" customHeight="1" x14ac:dyDescent="0.25">
      <c r="A51" s="171" t="s">
        <v>41</v>
      </c>
      <c r="B51" s="172"/>
      <c r="C51" s="171" t="str">
        <f>C50</f>
        <v>P-13055/2022/(2 &amp; 3)/F/South/PAREL-SEWERI/337/1/New</v>
      </c>
      <c r="D51" s="235"/>
      <c r="E51" s="172"/>
      <c r="F51" s="82" t="s">
        <v>40</v>
      </c>
      <c r="G51" s="241">
        <f>G50</f>
        <v>45453</v>
      </c>
      <c r="H51" s="242"/>
      <c r="R51"/>
      <c r="S51" t="s">
        <v>261</v>
      </c>
      <c r="T51" t="s">
        <v>266</v>
      </c>
      <c r="U51" t="s">
        <v>274</v>
      </c>
      <c r="V51" t="s">
        <v>282</v>
      </c>
    </row>
    <row r="52" spans="1:24" s="23" customFormat="1" ht="48.75" customHeight="1" x14ac:dyDescent="0.25">
      <c r="A52" s="257" t="s">
        <v>396</v>
      </c>
      <c r="B52" s="258"/>
      <c r="C52" s="171" t="s">
        <v>358</v>
      </c>
      <c r="D52" s="235"/>
      <c r="E52" s="172"/>
      <c r="F52" s="82" t="s">
        <v>40</v>
      </c>
      <c r="G52" s="241">
        <v>45456</v>
      </c>
      <c r="H52" s="242"/>
      <c r="R52"/>
      <c r="S52" t="s">
        <v>262</v>
      </c>
      <c r="T52" t="s">
        <v>267</v>
      </c>
      <c r="U52" t="s">
        <v>264</v>
      </c>
      <c r="V52" t="s">
        <v>283</v>
      </c>
    </row>
    <row r="53" spans="1:24" s="23" customFormat="1" ht="48.95" customHeight="1" x14ac:dyDescent="0.25">
      <c r="A53" s="259"/>
      <c r="B53" s="260"/>
      <c r="C53" s="171" t="s">
        <v>359</v>
      </c>
      <c r="D53" s="235"/>
      <c r="E53" s="172"/>
      <c r="F53" s="82" t="s">
        <v>120</v>
      </c>
      <c r="G53" s="241">
        <v>45820</v>
      </c>
      <c r="H53" s="242"/>
      <c r="R53"/>
      <c r="S53" t="s">
        <v>263</v>
      </c>
      <c r="T53" t="s">
        <v>270</v>
      </c>
      <c r="U53" t="s">
        <v>277</v>
      </c>
    </row>
    <row r="54" spans="1:24" s="23" customFormat="1" hidden="1" x14ac:dyDescent="0.25">
      <c r="A54" s="245" t="s">
        <v>287</v>
      </c>
      <c r="B54" s="246"/>
      <c r="C54" s="249"/>
      <c r="D54" s="250"/>
      <c r="E54" s="251"/>
      <c r="F54" s="18" t="s">
        <v>40</v>
      </c>
      <c r="G54" s="249"/>
      <c r="H54" s="251"/>
      <c r="R54"/>
      <c r="S54" t="s">
        <v>262</v>
      </c>
      <c r="T54" t="s">
        <v>267</v>
      </c>
      <c r="U54" t="s">
        <v>264</v>
      </c>
      <c r="V54" t="s">
        <v>283</v>
      </c>
    </row>
    <row r="55" spans="1:24" s="23" customFormat="1" ht="32.25" hidden="1" customHeight="1" x14ac:dyDescent="0.25">
      <c r="A55" s="247"/>
      <c r="B55" s="248"/>
      <c r="C55" s="148"/>
      <c r="D55" s="149"/>
      <c r="E55" s="149"/>
      <c r="F55" s="149"/>
      <c r="G55" s="149"/>
      <c r="H55" s="150"/>
      <c r="R55"/>
      <c r="S55" t="s">
        <v>264</v>
      </c>
      <c r="T55" t="s">
        <v>268</v>
      </c>
      <c r="U55" t="s">
        <v>278</v>
      </c>
      <c r="V55" s="21"/>
      <c r="W55" s="21"/>
      <c r="X55" s="21"/>
    </row>
    <row r="56" spans="1:24" s="23" customFormat="1" ht="34.5" customHeight="1" x14ac:dyDescent="0.25">
      <c r="A56" s="252" t="s">
        <v>288</v>
      </c>
      <c r="B56" s="253"/>
      <c r="C56" s="249" t="s">
        <v>399</v>
      </c>
      <c r="D56" s="250"/>
      <c r="E56" s="251"/>
      <c r="F56" s="18" t="s">
        <v>40</v>
      </c>
      <c r="G56" s="256">
        <v>45148</v>
      </c>
      <c r="H56" s="251"/>
      <c r="R56"/>
      <c r="S56" s="21"/>
      <c r="T56" t="s">
        <v>269</v>
      </c>
      <c r="U56" t="s">
        <v>279</v>
      </c>
      <c r="V56" s="21"/>
      <c r="W56" s="21"/>
      <c r="X56" s="21"/>
    </row>
    <row r="57" spans="1:24" s="23" customFormat="1" ht="28.5" customHeight="1" x14ac:dyDescent="0.25">
      <c r="A57" s="254"/>
      <c r="B57" s="255"/>
      <c r="C57" s="249" t="s">
        <v>400</v>
      </c>
      <c r="D57" s="250"/>
      <c r="E57" s="250"/>
      <c r="F57" s="250"/>
      <c r="G57" s="250"/>
      <c r="H57" s="251"/>
      <c r="R57"/>
      <c r="S57" s="21"/>
      <c r="T57" t="s">
        <v>271</v>
      </c>
      <c r="U57" t="s">
        <v>280</v>
      </c>
      <c r="V57" s="21"/>
      <c r="W57" s="21"/>
      <c r="X57" s="21"/>
    </row>
    <row r="58" spans="1:24" s="23" customFormat="1" ht="15.75" customHeight="1" x14ac:dyDescent="0.25">
      <c r="A58" s="257" t="s">
        <v>289</v>
      </c>
      <c r="B58" s="258"/>
      <c r="C58" s="249" t="s">
        <v>360</v>
      </c>
      <c r="D58" s="250"/>
      <c r="E58" s="251"/>
      <c r="F58" s="18" t="s">
        <v>40</v>
      </c>
      <c r="G58" s="256">
        <v>44970</v>
      </c>
      <c r="H58" s="251"/>
      <c r="R58"/>
      <c r="S58" s="21"/>
      <c r="T58" t="s">
        <v>272</v>
      </c>
      <c r="U58" s="21" t="s">
        <v>303</v>
      </c>
      <c r="V58" s="21"/>
      <c r="W58" s="21"/>
      <c r="X58" s="21"/>
    </row>
    <row r="59" spans="1:24" s="23" customFormat="1" ht="30" customHeight="1" x14ac:dyDescent="0.25">
      <c r="A59" s="259"/>
      <c r="B59" s="260"/>
      <c r="C59" s="181" t="s">
        <v>361</v>
      </c>
      <c r="D59" s="181"/>
      <c r="E59" s="181"/>
      <c r="F59" s="18" t="s">
        <v>120</v>
      </c>
      <c r="G59" s="261">
        <v>47891</v>
      </c>
      <c r="H59" s="181"/>
      <c r="R59"/>
      <c r="S59" s="21"/>
      <c r="T59" t="s">
        <v>273</v>
      </c>
      <c r="U59" s="21"/>
      <c r="V59" s="21"/>
      <c r="W59" s="21"/>
      <c r="X59" s="21"/>
    </row>
    <row r="60" spans="1:24" x14ac:dyDescent="0.25">
      <c r="A60" s="264" t="s">
        <v>42</v>
      </c>
      <c r="B60" s="265"/>
      <c r="C60" s="264" t="s">
        <v>103</v>
      </c>
      <c r="D60" s="266"/>
      <c r="E60" s="265"/>
      <c r="F60" s="45" t="s">
        <v>40</v>
      </c>
      <c r="G60" s="243" t="s">
        <v>28</v>
      </c>
      <c r="H60" s="244"/>
      <c r="R60"/>
      <c r="T60" t="s">
        <v>275</v>
      </c>
    </row>
    <row r="61" spans="1:24" x14ac:dyDescent="0.25">
      <c r="A61" s="213" t="s">
        <v>44</v>
      </c>
      <c r="B61" s="213"/>
      <c r="C61" s="213"/>
      <c r="D61" s="213"/>
      <c r="E61" s="213"/>
      <c r="F61" s="213"/>
      <c r="G61" s="213"/>
      <c r="H61" s="213"/>
      <c r="T61" t="s">
        <v>284</v>
      </c>
    </row>
    <row r="62" spans="1:24" x14ac:dyDescent="0.25">
      <c r="A62" s="181" t="s">
        <v>88</v>
      </c>
      <c r="B62" s="181"/>
      <c r="C62" s="181"/>
      <c r="D62" s="119">
        <v>24719.14</v>
      </c>
      <c r="E62" s="119"/>
      <c r="F62" s="119"/>
      <c r="G62" s="119"/>
      <c r="H62" s="119"/>
      <c r="R62"/>
    </row>
    <row r="63" spans="1:24" x14ac:dyDescent="0.25">
      <c r="A63" s="139" t="s">
        <v>45</v>
      </c>
      <c r="B63" s="170"/>
      <c r="C63" s="170"/>
      <c r="D63" s="170" t="s">
        <v>383</v>
      </c>
      <c r="E63" s="170"/>
      <c r="F63" s="170"/>
      <c r="G63" s="170"/>
      <c r="H63" s="170"/>
      <c r="I63" s="24"/>
      <c r="R63"/>
    </row>
    <row r="64" spans="1:24" x14ac:dyDescent="0.25">
      <c r="A64" s="139" t="s">
        <v>46</v>
      </c>
      <c r="B64" s="139"/>
      <c r="C64" s="139"/>
      <c r="D64" s="139" t="s">
        <v>382</v>
      </c>
      <c r="E64" s="170"/>
      <c r="F64" s="170"/>
      <c r="G64" s="170"/>
      <c r="H64" s="170"/>
      <c r="R64"/>
    </row>
    <row r="65" spans="1:19" ht="15.75" customHeight="1" x14ac:dyDescent="0.25">
      <c r="A65" s="139" t="s">
        <v>86</v>
      </c>
      <c r="B65" s="139"/>
      <c r="C65" s="139"/>
      <c r="D65" s="139" t="s">
        <v>388</v>
      </c>
      <c r="E65" s="170"/>
      <c r="F65" s="170"/>
      <c r="G65" s="170"/>
      <c r="H65" s="170"/>
      <c r="R65"/>
    </row>
    <row r="66" spans="1:19" ht="15.75" hidden="1" customHeight="1" x14ac:dyDescent="0.25">
      <c r="A66" s="139"/>
      <c r="B66" s="139"/>
      <c r="C66" s="139"/>
      <c r="D66" s="234" t="s">
        <v>304</v>
      </c>
      <c r="E66" s="234"/>
      <c r="F66" s="234"/>
      <c r="G66" s="234"/>
      <c r="H66" s="234"/>
      <c r="R66"/>
    </row>
    <row r="67" spans="1:19" ht="15.75" hidden="1" customHeight="1" x14ac:dyDescent="0.25">
      <c r="A67" s="139"/>
      <c r="B67" s="139"/>
      <c r="C67" s="139"/>
      <c r="D67" s="234" t="s">
        <v>171</v>
      </c>
      <c r="E67" s="234"/>
      <c r="F67" s="234"/>
      <c r="G67" s="234"/>
      <c r="H67" s="234"/>
      <c r="S67"/>
    </row>
    <row r="68" spans="1:19" ht="15.75" customHeight="1" x14ac:dyDescent="0.25">
      <c r="A68" s="119" t="s">
        <v>43</v>
      </c>
      <c r="B68" s="119"/>
      <c r="C68" s="119"/>
      <c r="D68" s="181" t="s">
        <v>342</v>
      </c>
      <c r="E68" s="181"/>
      <c r="F68" s="181"/>
      <c r="G68" s="181"/>
      <c r="H68" s="181"/>
      <c r="J68" s="25"/>
      <c r="K68" s="24"/>
      <c r="N68" s="24"/>
      <c r="S68"/>
    </row>
    <row r="69" spans="1:19" ht="15.75" customHeight="1" x14ac:dyDescent="0.25">
      <c r="A69" s="119" t="s">
        <v>84</v>
      </c>
      <c r="B69" s="119"/>
      <c r="C69" s="119"/>
      <c r="D69" s="189" t="str">
        <f>(IF(G60="NA","60 Years After Completion",IF(G60&lt;&gt;"NA",""&amp;60-ROUNDDOWN((E3-G60)/360,0)&amp;" Years"," ")))</f>
        <v>60 Years After Completion</v>
      </c>
      <c r="E69" s="189"/>
      <c r="F69" s="189"/>
      <c r="G69" s="189"/>
      <c r="H69" s="189"/>
      <c r="N69" s="24"/>
      <c r="S69"/>
    </row>
    <row r="70" spans="1:19" ht="15.75" customHeight="1" x14ac:dyDescent="0.25">
      <c r="A70" s="119" t="s">
        <v>85</v>
      </c>
      <c r="B70" s="119"/>
      <c r="C70" s="119"/>
      <c r="D70" s="181" t="s">
        <v>23</v>
      </c>
      <c r="E70" s="181"/>
      <c r="F70" s="181"/>
      <c r="G70" s="181"/>
      <c r="H70" s="181"/>
      <c r="J70" s="26"/>
      <c r="K70" s="26"/>
      <c r="S70"/>
    </row>
    <row r="71" spans="1:19" ht="35.450000000000003" customHeight="1" x14ac:dyDescent="0.25">
      <c r="A71" s="170" t="s">
        <v>390</v>
      </c>
      <c r="B71" s="170"/>
      <c r="C71" s="170"/>
      <c r="D71" s="139" t="s">
        <v>389</v>
      </c>
      <c r="E71" s="181"/>
      <c r="F71" s="181"/>
      <c r="G71" s="181"/>
      <c r="H71" s="181"/>
      <c r="S71"/>
    </row>
    <row r="72" spans="1:19" x14ac:dyDescent="0.25">
      <c r="A72" s="181" t="s">
        <v>149</v>
      </c>
      <c r="B72" s="181"/>
      <c r="C72" s="181"/>
      <c r="D72" s="181" t="s">
        <v>28</v>
      </c>
      <c r="E72" s="181"/>
      <c r="F72" s="181"/>
      <c r="G72" s="181"/>
      <c r="H72" s="181"/>
      <c r="I72" s="27"/>
      <c r="J72" s="27"/>
      <c r="K72" s="27"/>
      <c r="L72" s="27"/>
      <c r="M72" s="27"/>
      <c r="N72" s="27"/>
    </row>
    <row r="73" spans="1:19" ht="15.75" customHeight="1" x14ac:dyDescent="0.25">
      <c r="A73" s="267" t="s">
        <v>83</v>
      </c>
      <c r="B73" s="267"/>
      <c r="C73" s="267"/>
      <c r="D73" s="208" t="str">
        <f ca="1">(IF(G79&gt;95%,"Nothing",IF(G79&gt;0%,"Cement, Aggregate, Steel, etc",IF(G79=0%,"Work not yet Started"))))</f>
        <v>Cement, Aggregate, Steel, etc</v>
      </c>
      <c r="E73" s="208"/>
      <c r="F73" s="208"/>
      <c r="G73" s="208"/>
      <c r="H73" s="208"/>
      <c r="J73" s="26"/>
      <c r="S73"/>
    </row>
    <row r="74" spans="1:19" ht="33.75" customHeight="1" thickBot="1" x14ac:dyDescent="0.3">
      <c r="A74" s="207" t="s">
        <v>116</v>
      </c>
      <c r="B74" s="207"/>
      <c r="C74" s="207"/>
      <c r="D74" s="208" t="str">
        <f ca="1">(IF(D73="Nothing","Yes",IF(D73="Cement, Aggregate, Steel, etc","Under Construction",IF(D73="Work not yet Started","Work not yet Started"))))</f>
        <v>Under Construction</v>
      </c>
      <c r="E74" s="208"/>
      <c r="F74" s="208" t="str">
        <f ca="1">(IF(D73="Nothing","Yes",IF(D73="Cement, Aggregate, Steel, etc","Under Construction",IF(D73="Work not yet Started","Work not yet Started"))))</f>
        <v>Under Construction</v>
      </c>
      <c r="G74" s="208"/>
      <c r="H74" s="208"/>
      <c r="S74"/>
    </row>
    <row r="75" spans="1:19" ht="15.75" customHeight="1" x14ac:dyDescent="0.25">
      <c r="A75" s="202" t="s">
        <v>139</v>
      </c>
      <c r="B75" s="203"/>
      <c r="C75" s="204" t="s">
        <v>388</v>
      </c>
      <c r="D75" s="205"/>
      <c r="E75" s="205"/>
      <c r="F75" s="205"/>
      <c r="G75" s="205"/>
      <c r="H75" s="206"/>
      <c r="I75" s="49" t="str">
        <f ca="1">IF(D88=100%,"All work Completed. Possession granted to the Building.",IF(D87=100%,"All work Completed, Waiting for OC",I76&amp;""&amp;I77&amp;""&amp;J76&amp;""&amp;J75&amp;" "&amp;J77))</f>
        <v xml:space="preserve">Excavation, Plinth Completed </v>
      </c>
      <c r="J75" s="50"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c>
      <c r="S75"/>
    </row>
    <row r="76" spans="1:19" x14ac:dyDescent="0.25">
      <c r="A76" s="16" t="s">
        <v>141</v>
      </c>
      <c r="B76" s="53">
        <f>IF(AND(ISNUMBER(SEARCH("1B",C75))),1,IF(AND(ISNUMBER(SEARCH("2B",C75))),2,IF(AND(ISNUMBER(SEARCH("3B",C75))),3,IF(AND(ISNUMBER(SEARCH("4B",C75))),4,IF(ISNUMBER(SEARCH("5B",C75)),5,0)))))</f>
        <v>1</v>
      </c>
      <c r="C76" s="53" t="s">
        <v>69</v>
      </c>
      <c r="D76" s="53">
        <v>1</v>
      </c>
      <c r="E76" s="53" t="s">
        <v>68</v>
      </c>
      <c r="F76" s="53">
        <v>0</v>
      </c>
      <c r="G76" s="53" t="s">
        <v>77</v>
      </c>
      <c r="H76" s="17">
        <f ca="1">--TRIM(RIGHT(SUBSTITUTE(LEFT(C75,_xlfn.AGGREGATE(16,6,FIND({0,1,2,3,4,5,6,7,8,9},C75,ROW(INDIRECT("1:"&amp;LEN(C75)))),1))," ",REPT(" ",LEN(C75))),LEN(C75)))</f>
        <v>60</v>
      </c>
      <c r="I76" s="51" t="str">
        <f ca="1">IF(D79=100%,"Excavation","")&amp;IF(D80=100%,", Plinth","")&amp;IF(D81=100%,", RCC Slab","")&amp;IF(D82=100%,", Brickwork","")&amp;IF(D83=100%,", Internal Plaster","")&amp;IF(D84=100%,", External Plaster","")&amp;IF(D85=100%,", Flooring","")&amp;IF(D86=100%,", Painting","")&amp;IF(D87=100%,", Building common Amenities","")</f>
        <v>Excavation, Plinth</v>
      </c>
      <c r="J76" s="52"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x14ac:dyDescent="0.25">
      <c r="A77" s="130" t="s">
        <v>87</v>
      </c>
      <c r="B77" s="131"/>
      <c r="C77" s="117" t="str">
        <f ca="1">I75</f>
        <v xml:space="preserve">Excavation, Plinth Completed </v>
      </c>
      <c r="D77" s="117"/>
      <c r="E77" s="117"/>
      <c r="F77" s="117"/>
      <c r="G77" s="117"/>
      <c r="H77" s="118"/>
      <c r="I77" s="51" t="str">
        <f ca="1">IF(I76&lt;&gt;""," Completed","")</f>
        <v xml:space="preserve"> Completed</v>
      </c>
      <c r="J77" s="52" t="str">
        <f ca="1">IF(J75&lt;&gt;"","Completed","")</f>
        <v/>
      </c>
      <c r="S77"/>
    </row>
    <row r="78" spans="1:19" ht="15.75" customHeight="1" x14ac:dyDescent="0.25">
      <c r="A78" s="151" t="s">
        <v>47</v>
      </c>
      <c r="B78" s="152"/>
      <c r="C78" s="90" t="s">
        <v>138</v>
      </c>
      <c r="D78" s="90" t="s">
        <v>80</v>
      </c>
      <c r="E78" s="152" t="s">
        <v>82</v>
      </c>
      <c r="F78" s="152"/>
      <c r="G78" s="152" t="s">
        <v>81</v>
      </c>
      <c r="H78" s="209"/>
      <c r="I78" s="13" t="s">
        <v>140</v>
      </c>
      <c r="J78" s="28">
        <f ca="1">H76*25%</f>
        <v>15</v>
      </c>
      <c r="S78"/>
    </row>
    <row r="79" spans="1:19" x14ac:dyDescent="0.25">
      <c r="A79" s="151" t="s">
        <v>127</v>
      </c>
      <c r="B79" s="152"/>
      <c r="C79" s="90">
        <f ca="1">J80</f>
        <v>60</v>
      </c>
      <c r="D79" s="91">
        <f ca="1">((100/H76)*C79)/100</f>
        <v>1</v>
      </c>
      <c r="E79" s="156">
        <f ca="1">(((C80/H76*10)+(40/(D76+F76+H76)*C81)+(7.5/(H76)*C82)+(7.5/(H76)*C83)+(10/H76*C84)+(10/H76*C85)+(5/H76*C86)+(5/H76*C87)+(5/H76*C88))/100)</f>
        <v>0.1</v>
      </c>
      <c r="F79" s="182"/>
      <c r="G79" s="156">
        <f ca="1">((((C79/H76)*20)+((C80/H76)*25)+(30/(H76+F76+D76)*C81)+(5/H76*C82)+(5/H76*C83)+(5/H76*C84)+(5/H76*C85)+(0/H76*C86)+(0/H76*C87)+(5/H76*C88))/100)</f>
        <v>0.45</v>
      </c>
      <c r="H79" s="157"/>
      <c r="I79" s="13" t="s">
        <v>98</v>
      </c>
      <c r="J79" s="29">
        <f ca="1">H76*50%</f>
        <v>30</v>
      </c>
    </row>
    <row r="80" spans="1:19" x14ac:dyDescent="0.25">
      <c r="A80" s="151" t="s">
        <v>48</v>
      </c>
      <c r="B80" s="152"/>
      <c r="C80" s="95">
        <f ca="1">J88</f>
        <v>60</v>
      </c>
      <c r="D80" s="91">
        <f ca="1">((100/H76)*C80)/100</f>
        <v>1</v>
      </c>
      <c r="E80" s="158"/>
      <c r="F80" s="183"/>
      <c r="G80" s="158"/>
      <c r="H80" s="159"/>
      <c r="I80" s="13" t="s">
        <v>99</v>
      </c>
      <c r="J80" s="29">
        <f ca="1">H76</f>
        <v>60</v>
      </c>
      <c r="S80"/>
    </row>
    <row r="81" spans="1:19" ht="15.75" customHeight="1" x14ac:dyDescent="0.25">
      <c r="A81" s="151" t="s">
        <v>128</v>
      </c>
      <c r="B81" s="152"/>
      <c r="C81" s="90">
        <v>0</v>
      </c>
      <c r="D81" s="91">
        <f ca="1">((100/(D76+F76+H76))*C81)/100</f>
        <v>0</v>
      </c>
      <c r="E81" s="158"/>
      <c r="F81" s="183"/>
      <c r="G81" s="158"/>
      <c r="H81" s="159"/>
      <c r="I81" s="13" t="s">
        <v>100</v>
      </c>
      <c r="J81" s="30">
        <f ca="1">(IF(B76&gt;1,(H76/(B76+2)),H76/4))</f>
        <v>15</v>
      </c>
      <c r="S81"/>
    </row>
    <row r="82" spans="1:19" ht="15.75" customHeight="1" x14ac:dyDescent="0.25">
      <c r="A82" s="151" t="s">
        <v>135</v>
      </c>
      <c r="B82" s="152" t="s">
        <v>129</v>
      </c>
      <c r="C82" s="90">
        <v>0</v>
      </c>
      <c r="D82" s="91">
        <f ca="1">((100/H76)*C82)/100</f>
        <v>0</v>
      </c>
      <c r="E82" s="158"/>
      <c r="F82" s="183"/>
      <c r="G82" s="158"/>
      <c r="H82" s="159"/>
      <c r="I82" s="13" t="s">
        <v>101</v>
      </c>
      <c r="J82" s="30">
        <f ca="1">(IF(B76&gt;1,(H76/(B76+2)+J81),H76/4+J81))</f>
        <v>30</v>
      </c>
    </row>
    <row r="83" spans="1:19" ht="15.75" customHeight="1" x14ac:dyDescent="0.25">
      <c r="A83" s="151" t="s">
        <v>136</v>
      </c>
      <c r="B83" s="152" t="s">
        <v>129</v>
      </c>
      <c r="C83" s="90">
        <v>0</v>
      </c>
      <c r="D83" s="91">
        <f ca="1">((100/H76)*C83)/100</f>
        <v>0</v>
      </c>
      <c r="E83" s="158"/>
      <c r="F83" s="183"/>
      <c r="G83" s="158"/>
      <c r="H83" s="159"/>
      <c r="I83" s="13" t="s">
        <v>147</v>
      </c>
      <c r="J83" s="30">
        <f>(IF(B76&gt;1,(H76/(B76+2)+J82),0))</f>
        <v>0</v>
      </c>
    </row>
    <row r="84" spans="1:19" ht="15" customHeight="1" x14ac:dyDescent="0.25">
      <c r="A84" s="151" t="s">
        <v>134</v>
      </c>
      <c r="B84" s="152" t="s">
        <v>131</v>
      </c>
      <c r="C84" s="90">
        <v>0</v>
      </c>
      <c r="D84" s="91">
        <f ca="1">((100/(H76))*C84)/100</f>
        <v>0</v>
      </c>
      <c r="E84" s="158"/>
      <c r="F84" s="183"/>
      <c r="G84" s="158"/>
      <c r="H84" s="159"/>
      <c r="I84" s="13" t="s">
        <v>142</v>
      </c>
      <c r="J84" s="30">
        <f>(IF(B76&gt;2,(H76/(B76+2)+J83),0))</f>
        <v>0</v>
      </c>
    </row>
    <row r="85" spans="1:19" ht="15.75" customHeight="1" x14ac:dyDescent="0.25">
      <c r="A85" s="151" t="s">
        <v>130</v>
      </c>
      <c r="B85" s="152" t="s">
        <v>130</v>
      </c>
      <c r="C85" s="90">
        <v>0</v>
      </c>
      <c r="D85" s="91">
        <f ca="1">((100/H76)*C85)/100</f>
        <v>0</v>
      </c>
      <c r="E85" s="158"/>
      <c r="F85" s="183"/>
      <c r="G85" s="158"/>
      <c r="H85" s="159"/>
      <c r="I85" s="13" t="s">
        <v>143</v>
      </c>
      <c r="J85" s="31">
        <f>(IF(B76&gt;3,(H76/(B76+2)+J84),0))</f>
        <v>0</v>
      </c>
    </row>
    <row r="86" spans="1:19" ht="15.75" customHeight="1" x14ac:dyDescent="0.25">
      <c r="A86" s="151" t="s">
        <v>137</v>
      </c>
      <c r="B86" s="152"/>
      <c r="C86" s="90">
        <v>0</v>
      </c>
      <c r="D86" s="91">
        <f ca="1">((100/H76)*C86)/100</f>
        <v>0</v>
      </c>
      <c r="E86" s="158"/>
      <c r="F86" s="183"/>
      <c r="G86" s="158"/>
      <c r="H86" s="159"/>
      <c r="I86" s="13" t="s">
        <v>144</v>
      </c>
      <c r="J86" s="30">
        <f>(IF(B76&gt;4,(H76/(B76+2)+J85),0))</f>
        <v>0</v>
      </c>
    </row>
    <row r="87" spans="1:19" ht="15.75" customHeight="1" x14ac:dyDescent="0.25">
      <c r="A87" s="151" t="s">
        <v>132</v>
      </c>
      <c r="B87" s="152" t="s">
        <v>132</v>
      </c>
      <c r="C87" s="90">
        <v>0</v>
      </c>
      <c r="D87" s="91">
        <f ca="1">((100/(H76))*C87)/100</f>
        <v>0</v>
      </c>
      <c r="E87" s="158"/>
      <c r="F87" s="183"/>
      <c r="G87" s="158"/>
      <c r="H87" s="159"/>
      <c r="I87" s="13" t="s">
        <v>148</v>
      </c>
      <c r="J87" s="30">
        <f ca="1">(IF(B76=1,(H76/(B76+3)+J82),IF(B76=0,(H76/4+J82),IF(B76&gt;1,0))))</f>
        <v>45</v>
      </c>
    </row>
    <row r="88" spans="1:19" ht="16.5" thickBot="1" x14ac:dyDescent="0.3">
      <c r="A88" s="187" t="s">
        <v>133</v>
      </c>
      <c r="B88" s="188"/>
      <c r="C88" s="92">
        <v>0</v>
      </c>
      <c r="D88" s="93">
        <f ca="1">((100/(H76))*C88)/100</f>
        <v>0</v>
      </c>
      <c r="E88" s="184"/>
      <c r="F88" s="185"/>
      <c r="G88" s="184"/>
      <c r="H88" s="186"/>
      <c r="I88" s="15" t="s">
        <v>102</v>
      </c>
      <c r="J88" s="32">
        <f ca="1">(IF(B76&gt;1.5,(H76/(B76+2)+J82+MAX(0,J83-J82)+MAX(0,J84-J83)+MAX(0,J85-J84)+MAX(0,J86-J85)+MAX(0,J87-J86)),IF(B76=1,(H76/(B76+3)+J87),IF(B76=0,H76/4+J87))))</f>
        <v>60</v>
      </c>
    </row>
    <row r="89" spans="1:19" ht="15.75" hidden="1" customHeight="1" x14ac:dyDescent="0.25">
      <c r="A89" s="202" t="s">
        <v>139</v>
      </c>
      <c r="B89" s="203"/>
      <c r="C89" s="204" t="s">
        <v>403</v>
      </c>
      <c r="D89" s="205"/>
      <c r="E89" s="205"/>
      <c r="F89" s="205"/>
      <c r="G89" s="205"/>
      <c r="H89" s="206"/>
      <c r="I89" s="49" t="str">
        <f ca="1">IF(D102=100%,"All work Completed. Possession granted to the Building.",IF(D101=100%,"All work Completed, Waiting for OC",I90&amp;""&amp;I91&amp;""&amp;J90&amp;""&amp;J89&amp;" "&amp;J91))</f>
        <v xml:space="preserve">Excavation, Plinth Completed </v>
      </c>
      <c r="J89" s="50"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row>
    <row r="90" spans="1:19" hidden="1" x14ac:dyDescent="0.25">
      <c r="A90" s="16" t="s">
        <v>141</v>
      </c>
      <c r="B90" s="53">
        <f>IF(AND(ISNUMBER(SEARCH("1B",C89))),1,IF(AND(ISNUMBER(SEARCH("2B",C89))),2,IF(AND(ISNUMBER(SEARCH("3B",C89))),3,IF(AND(ISNUMBER(SEARCH("4B",C89))),4,IF(ISNUMBER(SEARCH("5B",C89)),5,0)))))</f>
        <v>1</v>
      </c>
      <c r="C90" s="53" t="s">
        <v>69</v>
      </c>
      <c r="D90" s="53">
        <v>1</v>
      </c>
      <c r="E90" s="53" t="s">
        <v>68</v>
      </c>
      <c r="F90" s="53">
        <v>0</v>
      </c>
      <c r="G90" s="53" t="s">
        <v>77</v>
      </c>
      <c r="H90" s="17">
        <f ca="1">--TRIM(RIGHT(SUBSTITUTE(LEFT(C89,_xlfn.AGGREGATE(16,6,FIND({0,1,2,3,4,5,6,7,8,9},C89,ROW(INDIRECT("1:"&amp;LEN(C89)))),1))," ",REPT(" ",LEN(C89))),LEN(C89)))</f>
        <v>60</v>
      </c>
      <c r="I90" s="51" t="str">
        <f ca="1">IF(D93=100%,"Excavation","")&amp;IF(D94=100%,", Plinth","")&amp;IF(D95=100%,", RCC Slab","")&amp;IF(D96=100%,", Brickwork","")&amp;IF(D97=100%,", Internal Plaster","")&amp;IF(D98=100%,", External Plaster","")&amp;IF(D99=100%,", Flooring","")&amp;IF(D100=100%,", Painting","")&amp;IF(D101=100%,", Building common Amenities","")</f>
        <v>Excavation, Plinth</v>
      </c>
      <c r="J90" s="52"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row>
    <row r="91" spans="1:19" hidden="1" x14ac:dyDescent="0.25">
      <c r="A91" s="130" t="s">
        <v>87</v>
      </c>
      <c r="B91" s="131"/>
      <c r="C91" s="117" t="str">
        <f ca="1">(IF($G$60="NA",I89,"All work Completed. OC Received."))</f>
        <v xml:space="preserve">Excavation, Plinth Completed </v>
      </c>
      <c r="D91" s="117"/>
      <c r="E91" s="117"/>
      <c r="F91" s="117"/>
      <c r="G91" s="117"/>
      <c r="H91" s="118"/>
      <c r="I91" s="51" t="str">
        <f ca="1">IF(I90&lt;&gt;""," Completed","")</f>
        <v xml:space="preserve"> Completed</v>
      </c>
      <c r="J91" s="52" t="str">
        <f ca="1">IF(J89&lt;&gt;"","Completed","")</f>
        <v/>
      </c>
    </row>
    <row r="92" spans="1:19" ht="15.75" hidden="1" customHeight="1" x14ac:dyDescent="0.25">
      <c r="A92" s="151" t="s">
        <v>47</v>
      </c>
      <c r="B92" s="152"/>
      <c r="C92" s="101" t="s">
        <v>138</v>
      </c>
      <c r="D92" s="101" t="s">
        <v>80</v>
      </c>
      <c r="E92" s="152" t="s">
        <v>82</v>
      </c>
      <c r="F92" s="152"/>
      <c r="G92" s="152" t="s">
        <v>81</v>
      </c>
      <c r="H92" s="209"/>
      <c r="I92" s="13" t="s">
        <v>140</v>
      </c>
      <c r="J92" s="28">
        <f ca="1">H90*25%</f>
        <v>15</v>
      </c>
    </row>
    <row r="93" spans="1:19" hidden="1" x14ac:dyDescent="0.25">
      <c r="A93" s="151" t="s">
        <v>127</v>
      </c>
      <c r="B93" s="152"/>
      <c r="C93" s="101">
        <f ca="1">J94</f>
        <v>60</v>
      </c>
      <c r="D93" s="91">
        <f ca="1">((100/H90)*C93)/100</f>
        <v>1</v>
      </c>
      <c r="E93" s="156">
        <f ca="1">(((C94/H90*10)+(40/(D90+F90+H90)*C95)+(7.5/(H90)*C96)+(7.5/(H90)*C97)+(10/H90*C98)+(10/H90*C99)+(5/H90*C100)+(5/H90*C101)+(5/H90*C102))/100)</f>
        <v>0.1</v>
      </c>
      <c r="F93" s="182"/>
      <c r="G93" s="156">
        <f ca="1">((((C93/H90)*20)+((C94/H90)*25)+(30/(H90+F90+D90)*C95)+(5/H90*C96)+(5/H90*C97)+(5/H90*C98)+(5/H90*C99)+(0/H90*C100)+(0/H90*C101)+(5/H90*C102))/100)</f>
        <v>0.45</v>
      </c>
      <c r="H93" s="157"/>
      <c r="I93" s="13" t="s">
        <v>98</v>
      </c>
      <c r="J93" s="29">
        <f ca="1">H90*50%</f>
        <v>30</v>
      </c>
    </row>
    <row r="94" spans="1:19" hidden="1" x14ac:dyDescent="0.25">
      <c r="A94" s="151" t="s">
        <v>48</v>
      </c>
      <c r="B94" s="152"/>
      <c r="C94" s="95">
        <f ca="1">J102</f>
        <v>60</v>
      </c>
      <c r="D94" s="91">
        <f ca="1">((100/H90)*C94)/100</f>
        <v>1</v>
      </c>
      <c r="E94" s="158"/>
      <c r="F94" s="183"/>
      <c r="G94" s="158"/>
      <c r="H94" s="159"/>
      <c r="I94" s="13" t="s">
        <v>99</v>
      </c>
      <c r="J94" s="29">
        <f ca="1">H90</f>
        <v>60</v>
      </c>
    </row>
    <row r="95" spans="1:19" ht="15.75" hidden="1" customHeight="1" x14ac:dyDescent="0.25">
      <c r="A95" s="151" t="s">
        <v>128</v>
      </c>
      <c r="B95" s="152"/>
      <c r="C95" s="101">
        <v>0</v>
      </c>
      <c r="D95" s="91">
        <f ca="1">((100/(D90+F90+H90))*C95)/100</f>
        <v>0</v>
      </c>
      <c r="E95" s="158"/>
      <c r="F95" s="183"/>
      <c r="G95" s="158"/>
      <c r="H95" s="159"/>
      <c r="I95" s="13" t="s">
        <v>100</v>
      </c>
      <c r="J95" s="30">
        <f ca="1">(IF(B90&gt;1,(H90/(B90+2)),H90/4))</f>
        <v>15</v>
      </c>
    </row>
    <row r="96" spans="1:19" ht="15.75" hidden="1" customHeight="1" x14ac:dyDescent="0.25">
      <c r="A96" s="151" t="s">
        <v>135</v>
      </c>
      <c r="B96" s="152" t="s">
        <v>129</v>
      </c>
      <c r="C96" s="101">
        <v>0</v>
      </c>
      <c r="D96" s="91">
        <f ca="1">((100/H90)*C96)/100</f>
        <v>0</v>
      </c>
      <c r="E96" s="158"/>
      <c r="F96" s="183"/>
      <c r="G96" s="158"/>
      <c r="H96" s="159"/>
      <c r="I96" s="13" t="s">
        <v>101</v>
      </c>
      <c r="J96" s="30">
        <f ca="1">(IF(B90&gt;1,(H90/(B90+2)+J95),H90/4+J95))</f>
        <v>30</v>
      </c>
    </row>
    <row r="97" spans="1:10" ht="15.75" hidden="1" customHeight="1" x14ac:dyDescent="0.25">
      <c r="A97" s="151" t="s">
        <v>136</v>
      </c>
      <c r="B97" s="152" t="s">
        <v>129</v>
      </c>
      <c r="C97" s="101">
        <v>0</v>
      </c>
      <c r="D97" s="91">
        <f ca="1">((100/H90)*C97)/100</f>
        <v>0</v>
      </c>
      <c r="E97" s="158"/>
      <c r="F97" s="183"/>
      <c r="G97" s="158"/>
      <c r="H97" s="159"/>
      <c r="I97" s="13" t="s">
        <v>147</v>
      </c>
      <c r="J97" s="30">
        <f>(IF(B90&gt;1,(H90/(B90+2)+J96),0))</f>
        <v>0</v>
      </c>
    </row>
    <row r="98" spans="1:10" ht="15" hidden="1" customHeight="1" x14ac:dyDescent="0.25">
      <c r="A98" s="151" t="s">
        <v>134</v>
      </c>
      <c r="B98" s="152" t="s">
        <v>131</v>
      </c>
      <c r="C98" s="101">
        <v>0</v>
      </c>
      <c r="D98" s="91">
        <f ca="1">((100/(H90))*C98)/100</f>
        <v>0</v>
      </c>
      <c r="E98" s="158"/>
      <c r="F98" s="183"/>
      <c r="G98" s="158"/>
      <c r="H98" s="159"/>
      <c r="I98" s="13" t="s">
        <v>142</v>
      </c>
      <c r="J98" s="30">
        <f>(IF(B90&gt;2,(H90/(B90+2)+J97),0))</f>
        <v>0</v>
      </c>
    </row>
    <row r="99" spans="1:10" ht="15.75" hidden="1" customHeight="1" x14ac:dyDescent="0.25">
      <c r="A99" s="151" t="s">
        <v>130</v>
      </c>
      <c r="B99" s="152" t="s">
        <v>130</v>
      </c>
      <c r="C99" s="101">
        <v>0</v>
      </c>
      <c r="D99" s="91">
        <f ca="1">((100/H90)*C99)/100</f>
        <v>0</v>
      </c>
      <c r="E99" s="158"/>
      <c r="F99" s="183"/>
      <c r="G99" s="158"/>
      <c r="H99" s="159"/>
      <c r="I99" s="13" t="s">
        <v>143</v>
      </c>
      <c r="J99" s="31">
        <f>(IF(B90&gt;3,(H90/(B90+2)+J98),0))</f>
        <v>0</v>
      </c>
    </row>
    <row r="100" spans="1:10" ht="15.75" hidden="1" customHeight="1" x14ac:dyDescent="0.25">
      <c r="A100" s="151" t="s">
        <v>137</v>
      </c>
      <c r="B100" s="152"/>
      <c r="C100" s="101">
        <v>0</v>
      </c>
      <c r="D100" s="91">
        <f ca="1">((100/H90)*C100)/100</f>
        <v>0</v>
      </c>
      <c r="E100" s="158"/>
      <c r="F100" s="183"/>
      <c r="G100" s="158"/>
      <c r="H100" s="159"/>
      <c r="I100" s="13" t="s">
        <v>144</v>
      </c>
      <c r="J100" s="30">
        <f>(IF(B90&gt;4,(H90/(B90+2)+J99),0))</f>
        <v>0</v>
      </c>
    </row>
    <row r="101" spans="1:10" ht="15.75" hidden="1" customHeight="1" x14ac:dyDescent="0.25">
      <c r="A101" s="151" t="s">
        <v>132</v>
      </c>
      <c r="B101" s="152" t="s">
        <v>132</v>
      </c>
      <c r="C101" s="101">
        <v>0</v>
      </c>
      <c r="D101" s="91">
        <f ca="1">((100/(H90))*C101)/100</f>
        <v>0</v>
      </c>
      <c r="E101" s="158"/>
      <c r="F101" s="183"/>
      <c r="G101" s="158"/>
      <c r="H101" s="159"/>
      <c r="I101" s="13" t="s">
        <v>148</v>
      </c>
      <c r="J101" s="30">
        <f ca="1">(IF(B90=1,(H90/(B90+3)+J96),IF(B90=0,(H90/4+J96),IF(B90&gt;1,0))))</f>
        <v>45</v>
      </c>
    </row>
    <row r="102" spans="1:10" ht="16.5" hidden="1" thickBot="1" x14ac:dyDescent="0.3">
      <c r="A102" s="192" t="s">
        <v>133</v>
      </c>
      <c r="B102" s="193"/>
      <c r="C102" s="102">
        <v>0</v>
      </c>
      <c r="D102" s="103">
        <f ca="1">((100/(H90))*C102)/100</f>
        <v>0</v>
      </c>
      <c r="E102" s="158"/>
      <c r="F102" s="183"/>
      <c r="G102" s="158"/>
      <c r="H102" s="159"/>
      <c r="I102" s="15" t="s">
        <v>102</v>
      </c>
      <c r="J102" s="32">
        <f ca="1">(IF(B90&gt;1.5,(H90/(B90+2)+J96+MAX(0,J97-J96)+MAX(0,J98-J97)+MAX(0,J99-J98)+MAX(0,J100-J99)+MAX(0,J101-J100)),IF(B90=1,(H90/(B90+3)+J101),IF(B90=0,H90/4+J101))))</f>
        <v>60</v>
      </c>
    </row>
    <row r="103" spans="1:10" ht="32.1" hidden="1" customHeight="1" thickBot="1" x14ac:dyDescent="0.3">
      <c r="A103" s="104" t="s">
        <v>404</v>
      </c>
      <c r="B103" s="105"/>
      <c r="C103" s="106">
        <f ca="1">AVERAGE(E79,E93)</f>
        <v>0.1</v>
      </c>
      <c r="D103" s="105"/>
      <c r="E103" s="107" t="s">
        <v>405</v>
      </c>
      <c r="F103" s="107"/>
      <c r="G103" s="107">
        <f ca="1">AVERAGE(G79,G93)</f>
        <v>0.45</v>
      </c>
      <c r="H103" s="108"/>
      <c r="I103" s="15"/>
      <c r="J103" s="32"/>
    </row>
    <row r="104" spans="1:10" ht="15.75" hidden="1" customHeight="1" x14ac:dyDescent="0.25">
      <c r="A104" s="162" t="s">
        <v>139</v>
      </c>
      <c r="B104" s="163"/>
      <c r="C104" s="164" t="str">
        <f>D67</f>
        <v>C Wing = 1B + G + 1st to 20th Floor</v>
      </c>
      <c r="D104" s="165"/>
      <c r="E104" s="165"/>
      <c r="F104" s="165"/>
      <c r="G104" s="165"/>
      <c r="H104" s="166"/>
      <c r="I104" s="49" t="str">
        <f ca="1">IF(D117=100%,"All work Completed. Possession granted to the Building.",IF(D116=100%,"All work Completed, Waiting for OC",I105&amp;""&amp;I106&amp;""&amp;J105&amp;""&amp;J104&amp;" "&amp;J106))</f>
        <v xml:space="preserve">Excavation, Plinth, RCC Slab Completed </v>
      </c>
      <c r="J104" s="50" t="str">
        <f ca="1">(IF(C110=(D105+F105+H105),"",IF(C110&gt;0,", RCC upto "&amp;C110&amp;" Slab","")))&amp;(IF(C111=H105,"",IF(C111&gt;0,", Brickwork upto "&amp;C111&amp;" Floor","")))&amp;(IF(C112=H105,"",IF(C112&gt;0,", Internal Plaster upto "&amp;C112&amp;" Floor","")))&amp;(IF(C113=H105,"",IF(C113&gt;0,", External Plaster upto "&amp;C113&amp;" Floor","")))&amp;(IF(C114=H105,"",IF(C114&gt;0,", Flooring upto "&amp;C114&amp;" Floor","")))&amp;(IF(C115=H105,"",IF(C115&gt;0,", Painting upto "&amp;C115&amp;" Floor","")))&amp;(IF(C116=H105,"",IF(C116&gt;0,", Finishing upto "&amp;C116&amp;" Floor","")))&amp;(IF(C117=H105,"",IF(C117&gt;0,", Possession upto "&amp;C117&amp;" Floor","")))</f>
        <v/>
      </c>
    </row>
    <row r="105" spans="1:10" hidden="1" x14ac:dyDescent="0.25">
      <c r="A105" s="16" t="s">
        <v>141</v>
      </c>
      <c r="B105" s="53">
        <f>IF(AND(ISNUMBER(SEARCH("1B",C104))),1,IF(AND(ISNUMBER(SEARCH("2B",C104))),2,IF(AND(ISNUMBER(SEARCH("3B",C104))),3,IF(AND(ISNUMBER(SEARCH("4B",C104))),4,IF(ISNUMBER(SEARCH("5B",C104)),5,0)))))</f>
        <v>1</v>
      </c>
      <c r="C105" s="47" t="s">
        <v>69</v>
      </c>
      <c r="D105" s="47">
        <v>1</v>
      </c>
      <c r="E105" s="47" t="s">
        <v>68</v>
      </c>
      <c r="F105" s="14">
        <v>0</v>
      </c>
      <c r="G105" s="48" t="s">
        <v>77</v>
      </c>
      <c r="H105" s="17">
        <f ca="1">--TRIM(RIGHT(SUBSTITUTE(LEFT(C104,_xlfn.AGGREGATE(16,6,FIND({0,1,2,3,4,5,6,7,8,9},C104,ROW(INDIRECT("1:"&amp;LEN(C104)))),1))," ",REPT(" ",LEN(C104))),LEN(C104)))</f>
        <v>20</v>
      </c>
      <c r="I105" s="51" t="str">
        <f ca="1">IF(D108=100%,"Excavation","")&amp;IF(D109=100%,", Plinth","")&amp;IF(D110=100%,", RCC Slab","")&amp;IF(D111=100%,", Brickwork","")&amp;IF(D112=100%,", Internal Plaster","")&amp;IF(D113=100%,", External Plaster","")&amp;IF(D114=100%,", Flooring","")&amp;IF(D115=100%,", Painting","")&amp;IF(D116=100%,", Building common Amenities","")</f>
        <v>Excavation, Plinth, RCC Slab</v>
      </c>
      <c r="J105" s="52" t="str">
        <f ca="1">(IF(C108=0,"Work not yet Started.",IF(D108=25%,"Piling work in process",IF(D108=50%,"Excavation work in process",IF(D108=100%,"","0")))))&amp;(IF(C109=0%,"",IF(C109=J110,", Footing work is process",IF(C109=J111,", Footing work Completed",IF(C109=J112,", 1st Basement Completed",IF(C109=J113,", 1st &amp; 2nd Basement Completed",IF(C109=J114,", 1st to 3rd Basement Completed",IF(C109=J115,", 1st to 4th Basement Completed",IF(C109=J116,", Plinth work is process",IF(C109=J117,"","0"))))))))))</f>
        <v/>
      </c>
    </row>
    <row r="106" spans="1:10" hidden="1" x14ac:dyDescent="0.25">
      <c r="A106" s="130" t="s">
        <v>87</v>
      </c>
      <c r="B106" s="131"/>
      <c r="C106" s="117" t="str">
        <f ca="1">(IF($G$60="NA",I104,"All work Completed. OC Received."))</f>
        <v xml:space="preserve">Excavation, Plinth, RCC Slab Completed </v>
      </c>
      <c r="D106" s="117"/>
      <c r="E106" s="117"/>
      <c r="F106" s="117"/>
      <c r="G106" s="117"/>
      <c r="H106" s="118"/>
      <c r="I106" s="51" t="str">
        <f ca="1">IF(I105&lt;&gt;""," Completed","")</f>
        <v xml:space="preserve"> Completed</v>
      </c>
      <c r="J106" s="52" t="str">
        <f ca="1">IF(J104&lt;&gt;"","Completed","")</f>
        <v/>
      </c>
    </row>
    <row r="107" spans="1:10" ht="15.75" hidden="1" customHeight="1" x14ac:dyDescent="0.25">
      <c r="A107" s="112" t="s">
        <v>47</v>
      </c>
      <c r="B107" s="113"/>
      <c r="C107" s="43" t="s">
        <v>138</v>
      </c>
      <c r="D107" s="43" t="s">
        <v>80</v>
      </c>
      <c r="E107" s="113" t="s">
        <v>82</v>
      </c>
      <c r="F107" s="113"/>
      <c r="G107" s="113" t="s">
        <v>81</v>
      </c>
      <c r="H107" s="129"/>
      <c r="I107" s="13" t="s">
        <v>140</v>
      </c>
      <c r="J107" s="28">
        <f ca="1">H105*25%</f>
        <v>5</v>
      </c>
    </row>
    <row r="108" spans="1:10" hidden="1" x14ac:dyDescent="0.25">
      <c r="A108" s="112" t="s">
        <v>127</v>
      </c>
      <c r="B108" s="113"/>
      <c r="C108" s="43">
        <f ca="1">J109</f>
        <v>20</v>
      </c>
      <c r="D108" s="19">
        <f ca="1">((100/H105)*C108)/100</f>
        <v>1</v>
      </c>
      <c r="E108" s="174">
        <f ca="1">(((C109/H105*10)+(40/(D105+F105+H105)*C110)+(7.5/(H105)*C111)+(7.5/(H105)*C112)+(10/H105*C113)+(10/H105*C114)+(5/H105*C115)+(5/H105*C116)+(5/H105*C117))/100)</f>
        <v>0.5</v>
      </c>
      <c r="F108" s="214"/>
      <c r="G108" s="174">
        <f ca="1">((((C108/H105)*20)+((C109/H105)*25)+(30/(H105+F105+D105)*C110)+(5/H105*C111)+(5/H105*C112)+(5/H105*C113)+(5/H105*C114)+(0/H105*C115)+(0/H105*C116)+(5/H105*C117))/100)</f>
        <v>0.75</v>
      </c>
      <c r="H108" s="175"/>
      <c r="I108" s="13" t="s">
        <v>98</v>
      </c>
      <c r="J108" s="29">
        <f ca="1">H105*50%</f>
        <v>10</v>
      </c>
    </row>
    <row r="109" spans="1:10" hidden="1" x14ac:dyDescent="0.25">
      <c r="A109" s="112" t="s">
        <v>48</v>
      </c>
      <c r="B109" s="113"/>
      <c r="C109" s="43">
        <f ca="1">J117</f>
        <v>20</v>
      </c>
      <c r="D109" s="19">
        <f ca="1">((100/H105)*C109)/100</f>
        <v>1</v>
      </c>
      <c r="E109" s="176"/>
      <c r="F109" s="215"/>
      <c r="G109" s="176"/>
      <c r="H109" s="177"/>
      <c r="I109" s="13" t="s">
        <v>99</v>
      </c>
      <c r="J109" s="29">
        <f ca="1">H105</f>
        <v>20</v>
      </c>
    </row>
    <row r="110" spans="1:10" ht="15.75" hidden="1" customHeight="1" x14ac:dyDescent="0.25">
      <c r="A110" s="112" t="s">
        <v>128</v>
      </c>
      <c r="B110" s="113"/>
      <c r="C110" s="43">
        <f ca="1">D105+H105</f>
        <v>21</v>
      </c>
      <c r="D110" s="19">
        <f ca="1">((100/(D105+F105+H105))*C110)/100</f>
        <v>1</v>
      </c>
      <c r="E110" s="176"/>
      <c r="F110" s="215"/>
      <c r="G110" s="176"/>
      <c r="H110" s="177"/>
      <c r="I110" s="13" t="s">
        <v>100</v>
      </c>
      <c r="J110" s="30">
        <f ca="1">(IF(B105&gt;1,(H105/(B105+2)),H105/4))</f>
        <v>5</v>
      </c>
    </row>
    <row r="111" spans="1:10" ht="15.75" hidden="1" customHeight="1" x14ac:dyDescent="0.25">
      <c r="A111" s="112" t="s">
        <v>135</v>
      </c>
      <c r="B111" s="113" t="s">
        <v>129</v>
      </c>
      <c r="C111" s="43">
        <v>0</v>
      </c>
      <c r="D111" s="19">
        <f ca="1">((100/H105)*C111)/100</f>
        <v>0</v>
      </c>
      <c r="E111" s="176"/>
      <c r="F111" s="215"/>
      <c r="G111" s="176"/>
      <c r="H111" s="177"/>
      <c r="I111" s="13" t="s">
        <v>101</v>
      </c>
      <c r="J111" s="30">
        <f ca="1">(IF(B105&gt;1,(H105/(B105+2)+J110),H105/4+J110))</f>
        <v>10</v>
      </c>
    </row>
    <row r="112" spans="1:10" ht="15.75" hidden="1" customHeight="1" x14ac:dyDescent="0.25">
      <c r="A112" s="112" t="s">
        <v>136</v>
      </c>
      <c r="B112" s="113" t="s">
        <v>129</v>
      </c>
      <c r="C112" s="43">
        <v>0</v>
      </c>
      <c r="D112" s="19">
        <f ca="1">((100/H105)*C112)/100</f>
        <v>0</v>
      </c>
      <c r="E112" s="176"/>
      <c r="F112" s="215"/>
      <c r="G112" s="176"/>
      <c r="H112" s="177"/>
      <c r="I112" s="13" t="s">
        <v>147</v>
      </c>
      <c r="J112" s="30">
        <f>(IF(B105&gt;1,(H105/(B105+2)+J111),0))</f>
        <v>0</v>
      </c>
    </row>
    <row r="113" spans="1:22" ht="15" hidden="1" customHeight="1" x14ac:dyDescent="0.25">
      <c r="A113" s="112" t="s">
        <v>134</v>
      </c>
      <c r="B113" s="113" t="s">
        <v>131</v>
      </c>
      <c r="C113" s="43">
        <v>0</v>
      </c>
      <c r="D113" s="19">
        <f ca="1">((100/(H105))*C113)/100</f>
        <v>0</v>
      </c>
      <c r="E113" s="176"/>
      <c r="F113" s="215"/>
      <c r="G113" s="176"/>
      <c r="H113" s="177"/>
      <c r="I113" s="13" t="s">
        <v>142</v>
      </c>
      <c r="J113" s="30">
        <f>(IF(B105&gt;2,(H105/(B105+2)+J112),0))</f>
        <v>0</v>
      </c>
    </row>
    <row r="114" spans="1:22" ht="15.75" hidden="1" customHeight="1" x14ac:dyDescent="0.25">
      <c r="A114" s="112" t="s">
        <v>130</v>
      </c>
      <c r="B114" s="113" t="s">
        <v>130</v>
      </c>
      <c r="C114" s="43">
        <v>0</v>
      </c>
      <c r="D114" s="19">
        <f ca="1">((100/H105)*C114)/100</f>
        <v>0</v>
      </c>
      <c r="E114" s="176"/>
      <c r="F114" s="215"/>
      <c r="G114" s="176"/>
      <c r="H114" s="177"/>
      <c r="I114" s="13" t="s">
        <v>143</v>
      </c>
      <c r="J114" s="31">
        <f>(IF(B105&gt;3,(H105/(B105+2)+J113),0))</f>
        <v>0</v>
      </c>
    </row>
    <row r="115" spans="1:22" ht="15.75" hidden="1" customHeight="1" x14ac:dyDescent="0.25">
      <c r="A115" s="112" t="s">
        <v>137</v>
      </c>
      <c r="B115" s="113"/>
      <c r="C115" s="43">
        <v>0</v>
      </c>
      <c r="D115" s="19">
        <f ca="1">((100/H105)*C115)/100</f>
        <v>0</v>
      </c>
      <c r="E115" s="176"/>
      <c r="F115" s="215"/>
      <c r="G115" s="176"/>
      <c r="H115" s="177"/>
      <c r="I115" s="13" t="s">
        <v>144</v>
      </c>
      <c r="J115" s="30">
        <f>(IF(B105&gt;4,(H105/(B105+2)+J114),0))</f>
        <v>0</v>
      </c>
    </row>
    <row r="116" spans="1:22" ht="15.75" hidden="1" customHeight="1" x14ac:dyDescent="0.25">
      <c r="A116" s="112" t="s">
        <v>132</v>
      </c>
      <c r="B116" s="113" t="s">
        <v>132</v>
      </c>
      <c r="C116" s="43">
        <v>0</v>
      </c>
      <c r="D116" s="19">
        <f ca="1">((100/(H105))*C116)/100</f>
        <v>0</v>
      </c>
      <c r="E116" s="176"/>
      <c r="F116" s="215"/>
      <c r="G116" s="176"/>
      <c r="H116" s="177"/>
      <c r="I116" s="13" t="s">
        <v>148</v>
      </c>
      <c r="J116" s="30">
        <f ca="1">(IF(B105=1,(H105/(B105+3)+J111),IF(B105=0,(H105/4+J111),IF(B105&gt;1,0))))</f>
        <v>15</v>
      </c>
    </row>
    <row r="117" spans="1:22" ht="16.5" hidden="1" thickBot="1" x14ac:dyDescent="0.3">
      <c r="A117" s="237" t="s">
        <v>133</v>
      </c>
      <c r="B117" s="238"/>
      <c r="C117" s="44">
        <v>0</v>
      </c>
      <c r="D117" s="20">
        <f ca="1">((100/(H105))*C117)/100</f>
        <v>0</v>
      </c>
      <c r="E117" s="178"/>
      <c r="F117" s="216"/>
      <c r="G117" s="178"/>
      <c r="H117" s="179"/>
      <c r="I117" s="15" t="s">
        <v>102</v>
      </c>
      <c r="J117" s="32">
        <f ca="1">(IF(B105&gt;1.5,(H105/(B105+2)+J111+MAX(0,J112-J111)+MAX(0,J113-J112)+MAX(0,J114-J113)+MAX(0,J115-J114)+MAX(0,J116-J115)),IF(B105=1,(H105/(B105+3)+J116),IF(B105=0,H105/4+J116))))</f>
        <v>20</v>
      </c>
    </row>
    <row r="118" spans="1:22" x14ac:dyDescent="0.25">
      <c r="A118" s="127" t="s">
        <v>158</v>
      </c>
      <c r="B118" s="127"/>
      <c r="C118" s="127"/>
      <c r="D118" s="127"/>
      <c r="E118" s="127"/>
      <c r="F118" s="132" t="s">
        <v>162</v>
      </c>
      <c r="G118" s="132"/>
      <c r="H118" s="132"/>
      <c r="I118" s="96"/>
      <c r="J118" s="96" t="s">
        <v>393</v>
      </c>
      <c r="K118" s="96" t="s">
        <v>394</v>
      </c>
      <c r="L118" s="96" t="s">
        <v>395</v>
      </c>
      <c r="M118" s="96"/>
      <c r="R118" t="s">
        <v>259</v>
      </c>
      <c r="S118" t="s">
        <v>175</v>
      </c>
      <c r="T118" t="s">
        <v>183</v>
      </c>
      <c r="U118" t="s">
        <v>198</v>
      </c>
      <c r="V118" t="s">
        <v>193</v>
      </c>
    </row>
    <row r="119" spans="1:22" x14ac:dyDescent="0.25">
      <c r="A119" s="119" t="s">
        <v>160</v>
      </c>
      <c r="B119" s="119"/>
      <c r="C119" s="119"/>
      <c r="D119" s="119"/>
      <c r="E119" s="119"/>
      <c r="F119" s="128">
        <v>26000</v>
      </c>
      <c r="G119" s="128"/>
      <c r="H119" s="128"/>
      <c r="I119" s="96"/>
      <c r="J119" s="99">
        <f>AVERAGE(J177,J179,J183,J187,J198)</f>
        <v>24528.295776249677</v>
      </c>
      <c r="K119" s="96">
        <v>28000</v>
      </c>
      <c r="L119" s="96"/>
      <c r="M119" s="96"/>
      <c r="R119"/>
      <c r="S119">
        <v>800000</v>
      </c>
      <c r="T119">
        <v>150000</v>
      </c>
      <c r="U119">
        <v>100000</v>
      </c>
      <c r="V119">
        <v>100000</v>
      </c>
    </row>
    <row r="120" spans="1:22" x14ac:dyDescent="0.25">
      <c r="A120" s="119" t="s">
        <v>159</v>
      </c>
      <c r="B120" s="119"/>
      <c r="C120" s="119"/>
      <c r="D120" s="119"/>
      <c r="E120" s="119"/>
      <c r="F120" s="128">
        <v>45000</v>
      </c>
      <c r="G120" s="128"/>
      <c r="H120" s="128"/>
      <c r="I120" s="96"/>
      <c r="J120" s="96"/>
      <c r="K120" s="96"/>
      <c r="L120" s="96"/>
      <c r="M120" s="96"/>
      <c r="R120"/>
      <c r="S120">
        <v>900000</v>
      </c>
      <c r="T120">
        <v>200000</v>
      </c>
      <c r="U120">
        <v>150000</v>
      </c>
      <c r="V120">
        <v>150000</v>
      </c>
    </row>
    <row r="121" spans="1:22" hidden="1" x14ac:dyDescent="0.25">
      <c r="A121" s="119" t="s">
        <v>161</v>
      </c>
      <c r="B121" s="119"/>
      <c r="C121" s="119"/>
      <c r="D121" s="119"/>
      <c r="E121" s="119"/>
      <c r="F121" s="128"/>
      <c r="G121" s="128"/>
      <c r="H121" s="128"/>
      <c r="I121" s="96"/>
      <c r="J121" s="96"/>
      <c r="K121" s="96"/>
      <c r="L121" s="96"/>
      <c r="M121" s="96"/>
      <c r="R121"/>
      <c r="S121">
        <v>1000000</v>
      </c>
      <c r="T121">
        <v>250000</v>
      </c>
      <c r="U121">
        <v>200000</v>
      </c>
      <c r="V121">
        <v>200000</v>
      </c>
    </row>
    <row r="122" spans="1:22" s="33" customFormat="1" hidden="1" x14ac:dyDescent="0.25">
      <c r="A122" s="119" t="s">
        <v>178</v>
      </c>
      <c r="B122" s="119"/>
      <c r="C122" s="119"/>
      <c r="D122" s="119"/>
      <c r="E122" s="119"/>
      <c r="F122" s="128"/>
      <c r="G122" s="128"/>
      <c r="H122" s="128"/>
      <c r="I122" s="97"/>
      <c r="J122" s="97"/>
      <c r="K122" s="97"/>
      <c r="L122" s="97"/>
      <c r="M122" s="97"/>
      <c r="R122"/>
      <c r="S122">
        <v>1100000</v>
      </c>
      <c r="T122">
        <v>300000</v>
      </c>
      <c r="U122">
        <v>250000</v>
      </c>
      <c r="V122" s="23">
        <v>250000</v>
      </c>
    </row>
    <row r="123" spans="1:22" s="33" customFormat="1" hidden="1" x14ac:dyDescent="0.25">
      <c r="A123" s="119" t="s">
        <v>92</v>
      </c>
      <c r="B123" s="119"/>
      <c r="C123" s="119"/>
      <c r="D123" s="119"/>
      <c r="E123" s="119"/>
      <c r="F123" s="128"/>
      <c r="G123" s="128"/>
      <c r="H123" s="128"/>
      <c r="I123" s="97"/>
      <c r="J123" s="97"/>
      <c r="K123" s="97"/>
      <c r="L123" s="97"/>
      <c r="M123" s="97"/>
      <c r="R123"/>
      <c r="S123">
        <v>1200000</v>
      </c>
      <c r="T123">
        <v>350000</v>
      </c>
      <c r="U123">
        <v>300000</v>
      </c>
      <c r="V123">
        <v>300000</v>
      </c>
    </row>
    <row r="124" spans="1:22" s="33" customFormat="1" hidden="1" x14ac:dyDescent="0.25">
      <c r="A124" s="119" t="s">
        <v>93</v>
      </c>
      <c r="B124" s="119"/>
      <c r="C124" s="119"/>
      <c r="D124" s="119"/>
      <c r="E124" s="119"/>
      <c r="F124" s="128"/>
      <c r="G124" s="128"/>
      <c r="H124" s="128"/>
      <c r="I124" s="97"/>
      <c r="J124" s="97"/>
      <c r="K124" s="97"/>
      <c r="L124" s="97"/>
      <c r="M124" s="97"/>
      <c r="R124"/>
      <c r="S124">
        <v>1300000</v>
      </c>
      <c r="T124">
        <v>400000</v>
      </c>
      <c r="U124">
        <v>350000</v>
      </c>
      <c r="V124" s="23">
        <v>400000</v>
      </c>
    </row>
    <row r="125" spans="1:22" s="33" customFormat="1" hidden="1" x14ac:dyDescent="0.25">
      <c r="A125" s="119" t="s">
        <v>94</v>
      </c>
      <c r="B125" s="119"/>
      <c r="C125" s="119"/>
      <c r="D125" s="119"/>
      <c r="E125" s="119"/>
      <c r="F125" s="128"/>
      <c r="G125" s="128"/>
      <c r="H125" s="128"/>
      <c r="I125" s="97"/>
      <c r="J125" s="97"/>
      <c r="K125" s="97"/>
      <c r="L125" s="97"/>
      <c r="M125" s="97"/>
      <c r="R125"/>
      <c r="S125">
        <v>1400000</v>
      </c>
      <c r="T125">
        <v>500000</v>
      </c>
      <c r="U125">
        <v>400000</v>
      </c>
      <c r="V125"/>
    </row>
    <row r="126" spans="1:22" s="33" customFormat="1" hidden="1" x14ac:dyDescent="0.25">
      <c r="A126" s="119" t="s">
        <v>95</v>
      </c>
      <c r="B126" s="119"/>
      <c r="C126" s="119"/>
      <c r="D126" s="119"/>
      <c r="E126" s="119"/>
      <c r="F126" s="128"/>
      <c r="G126" s="128"/>
      <c r="H126" s="128"/>
      <c r="I126" s="97"/>
      <c r="J126" s="97"/>
      <c r="K126" s="97"/>
      <c r="L126" s="97"/>
      <c r="M126" s="97"/>
      <c r="R126"/>
      <c r="S126">
        <v>1500000</v>
      </c>
      <c r="T126">
        <v>600000</v>
      </c>
      <c r="U126">
        <v>500000</v>
      </c>
      <c r="V126" s="23"/>
    </row>
    <row r="127" spans="1:22" s="33" customFormat="1" hidden="1" x14ac:dyDescent="0.25">
      <c r="A127" s="119" t="s">
        <v>96</v>
      </c>
      <c r="B127" s="119"/>
      <c r="C127" s="119"/>
      <c r="D127" s="119"/>
      <c r="E127" s="119"/>
      <c r="F127" s="128"/>
      <c r="G127" s="128"/>
      <c r="H127" s="128"/>
      <c r="I127" s="97"/>
      <c r="J127" s="97"/>
      <c r="K127" s="97"/>
      <c r="L127" s="97"/>
      <c r="M127" s="97"/>
      <c r="R127"/>
      <c r="S127">
        <v>1600000</v>
      </c>
      <c r="T127">
        <v>700000</v>
      </c>
      <c r="U127">
        <v>600000</v>
      </c>
      <c r="V127"/>
    </row>
    <row r="128" spans="1:22" s="33" customFormat="1" hidden="1" x14ac:dyDescent="0.25">
      <c r="A128" s="119" t="s">
        <v>97</v>
      </c>
      <c r="B128" s="119"/>
      <c r="C128" s="119"/>
      <c r="D128" s="119"/>
      <c r="E128" s="119"/>
      <c r="F128" s="128"/>
      <c r="G128" s="128"/>
      <c r="H128" s="128"/>
      <c r="I128" s="97"/>
      <c r="J128" s="97"/>
      <c r="K128" s="97"/>
      <c r="L128" s="97"/>
      <c r="M128" s="97"/>
      <c r="R128"/>
      <c r="S128">
        <v>1700000</v>
      </c>
      <c r="T128">
        <v>800000</v>
      </c>
      <c r="U128"/>
      <c r="V128" s="23"/>
    </row>
    <row r="129" spans="1:22" x14ac:dyDescent="0.25">
      <c r="A129" s="119" t="s">
        <v>49</v>
      </c>
      <c r="B129" s="119"/>
      <c r="C129" s="119"/>
      <c r="D129" s="119"/>
      <c r="E129" s="119"/>
      <c r="F129" s="128">
        <v>1000000</v>
      </c>
      <c r="G129" s="128"/>
      <c r="H129" s="128"/>
      <c r="I129" s="96"/>
      <c r="J129" s="96"/>
      <c r="K129" s="96"/>
      <c r="L129" s="96"/>
      <c r="M129" s="96"/>
      <c r="R129"/>
      <c r="S129">
        <v>1800000</v>
      </c>
      <c r="T129">
        <v>900000</v>
      </c>
      <c r="U129"/>
    </row>
    <row r="130" spans="1:22" s="34" customFormat="1" x14ac:dyDescent="0.25">
      <c r="A130" s="160" t="s">
        <v>50</v>
      </c>
      <c r="B130" s="160"/>
      <c r="C130" s="160"/>
      <c r="D130" s="160"/>
      <c r="E130" s="160"/>
      <c r="F130" s="128">
        <f>F119*0.8</f>
        <v>20800</v>
      </c>
      <c r="G130" s="128"/>
      <c r="H130" s="128"/>
      <c r="I130" s="98"/>
      <c r="J130" s="98"/>
      <c r="K130" s="98"/>
      <c r="L130" s="98"/>
      <c r="M130" s="98"/>
      <c r="R130" s="21"/>
      <c r="S130" s="21"/>
      <c r="T130">
        <v>1000000</v>
      </c>
      <c r="U130"/>
      <c r="V130" s="21"/>
    </row>
    <row r="131" spans="1:22" s="35" customFormat="1" ht="15.75" customHeight="1" x14ac:dyDescent="0.25">
      <c r="A131" s="121" t="s">
        <v>72</v>
      </c>
      <c r="B131" s="121"/>
      <c r="C131" s="121"/>
      <c r="D131" s="121"/>
      <c r="E131" s="121"/>
      <c r="F131" s="121"/>
      <c r="G131" s="121"/>
      <c r="H131" s="121"/>
      <c r="R131"/>
      <c r="S131" s="21"/>
      <c r="T131"/>
      <c r="U131"/>
      <c r="V131" s="21"/>
    </row>
    <row r="132" spans="1:22" s="35" customFormat="1" ht="15.75" customHeight="1" x14ac:dyDescent="0.25">
      <c r="A132" s="126" t="s">
        <v>51</v>
      </c>
      <c r="B132" s="126"/>
      <c r="C132" s="123" t="s">
        <v>75</v>
      </c>
      <c r="D132" s="123"/>
      <c r="E132" s="125" t="s">
        <v>52</v>
      </c>
      <c r="F132" s="125"/>
      <c r="G132" s="126" t="s">
        <v>53</v>
      </c>
      <c r="H132" s="126"/>
      <c r="R132"/>
      <c r="S132" s="21"/>
      <c r="T132"/>
      <c r="U132" s="21"/>
      <c r="V132" s="21"/>
    </row>
    <row r="133" spans="1:22" s="35" customFormat="1" ht="31.5" x14ac:dyDescent="0.25">
      <c r="A133" s="79" t="s">
        <v>350</v>
      </c>
      <c r="B133" s="79" t="s">
        <v>380</v>
      </c>
      <c r="C133" s="142">
        <f>COUNT(F147:F163)</f>
        <v>17</v>
      </c>
      <c r="D133" s="143"/>
      <c r="E133" s="144">
        <f>SUM(F147:F163)</f>
        <v>9896.8521599999985</v>
      </c>
      <c r="F133" s="145"/>
      <c r="G133" s="144">
        <f>SUM(H147:H163)</f>
        <v>15340.120848</v>
      </c>
      <c r="H133" s="145"/>
      <c r="R133"/>
      <c r="S133" s="21"/>
      <c r="T133"/>
      <c r="U133" s="21"/>
      <c r="V133" s="21"/>
    </row>
    <row r="134" spans="1:22" s="35" customFormat="1" x14ac:dyDescent="0.25">
      <c r="A134" s="121" t="s">
        <v>152</v>
      </c>
      <c r="B134" s="121"/>
      <c r="C134" s="122">
        <f>SUM(C133)</f>
        <v>17</v>
      </c>
      <c r="D134" s="123"/>
      <c r="E134" s="124">
        <f>SUM(E133)</f>
        <v>9896.8521599999985</v>
      </c>
      <c r="F134" s="125"/>
      <c r="G134" s="126">
        <f>SUM(G133)</f>
        <v>15340.120848</v>
      </c>
      <c r="H134" s="126"/>
      <c r="R134"/>
      <c r="S134" s="21"/>
      <c r="T134"/>
      <c r="U134" s="21"/>
      <c r="V134" s="21"/>
    </row>
    <row r="135" spans="1:22" s="35" customFormat="1" x14ac:dyDescent="0.25">
      <c r="A135" s="121" t="s">
        <v>67</v>
      </c>
      <c r="B135" s="121"/>
      <c r="C135" s="121"/>
      <c r="D135" s="121"/>
      <c r="E135" s="121"/>
      <c r="F135" s="121"/>
      <c r="G135" s="121"/>
      <c r="H135" s="121"/>
      <c r="T135"/>
    </row>
    <row r="136" spans="1:22" s="35" customFormat="1" ht="15.75" customHeight="1" x14ac:dyDescent="0.25">
      <c r="A136" s="126" t="s">
        <v>51</v>
      </c>
      <c r="B136" s="126"/>
      <c r="C136" s="123" t="s">
        <v>75</v>
      </c>
      <c r="D136" s="123"/>
      <c r="E136" s="125" t="s">
        <v>52</v>
      </c>
      <c r="F136" s="125"/>
      <c r="G136" s="126" t="s">
        <v>53</v>
      </c>
      <c r="H136" s="126"/>
      <c r="T136"/>
    </row>
    <row r="137" spans="1:22" s="35" customFormat="1" ht="31.5" x14ac:dyDescent="0.25">
      <c r="A137" s="79" t="s">
        <v>350</v>
      </c>
      <c r="B137" s="79" t="s">
        <v>381</v>
      </c>
      <c r="C137" s="142">
        <f>COUNT(F177:F185)*25+COUNT(F187,F190:F195)*3+COUNT(F197:F199,F202:F205)+COUNT(F207:F213)*3</f>
        <v>274</v>
      </c>
      <c r="D137" s="142"/>
      <c r="E137" s="144">
        <f>SUM(F177:F185)*25+SUM(F187,F190:F195)*3+SUM(F197:F199,F202:F205)+SUM(F207:F213)*3</f>
        <v>238045.85999999996</v>
      </c>
      <c r="F137" s="144"/>
      <c r="G137" s="144">
        <f>SUM(H177:H185)*25+SUM(H187,H190:H195)*3+SUM(H197:H199,H202:H205)+SUM(H207:H213)*3</f>
        <v>357068.78999999992</v>
      </c>
      <c r="H137" s="144"/>
      <c r="T137"/>
    </row>
    <row r="138" spans="1:22" s="35" customFormat="1" ht="16.5" thickBot="1" x14ac:dyDescent="0.3">
      <c r="A138" s="114" t="s">
        <v>152</v>
      </c>
      <c r="B138" s="114"/>
      <c r="C138" s="239">
        <f>SUM(C137)</f>
        <v>274</v>
      </c>
      <c r="D138" s="240"/>
      <c r="E138" s="115">
        <f>SUM(E137)</f>
        <v>238045.85999999996</v>
      </c>
      <c r="F138" s="116"/>
      <c r="G138" s="120">
        <f>SUM(G137)</f>
        <v>357068.78999999992</v>
      </c>
      <c r="H138" s="120"/>
      <c r="T138"/>
    </row>
    <row r="139" spans="1:22" s="35" customFormat="1" ht="16.5" thickBot="1" x14ac:dyDescent="0.3">
      <c r="A139" s="223" t="s">
        <v>168</v>
      </c>
      <c r="B139" s="224"/>
      <c r="C139" s="225">
        <f>C134+C138</f>
        <v>291</v>
      </c>
      <c r="D139" s="225"/>
      <c r="E139" s="226">
        <f>E134+E138</f>
        <v>247942.71215999997</v>
      </c>
      <c r="F139" s="226"/>
      <c r="G139" s="146">
        <f>G134+G138</f>
        <v>372408.91084799991</v>
      </c>
      <c r="H139" s="147"/>
      <c r="T139"/>
    </row>
    <row r="140" spans="1:22" s="34" customFormat="1" x14ac:dyDescent="0.25">
      <c r="A140" s="220" t="s">
        <v>54</v>
      </c>
      <c r="B140" s="220"/>
      <c r="C140" s="220"/>
      <c r="D140" s="220"/>
      <c r="E140" s="220"/>
      <c r="F140" s="220"/>
      <c r="G140" s="220"/>
      <c r="H140" s="220"/>
      <c r="T140" s="35"/>
    </row>
    <row r="141" spans="1:22" x14ac:dyDescent="0.25">
      <c r="A141" s="196" t="s">
        <v>177</v>
      </c>
      <c r="B141" s="196"/>
      <c r="C141" s="196"/>
      <c r="D141" s="196"/>
      <c r="E141" s="196"/>
      <c r="F141" s="196"/>
      <c r="G141" s="196"/>
      <c r="H141" s="196"/>
      <c r="T141" s="35"/>
    </row>
    <row r="142" spans="1:22" ht="47.25" customHeight="1" x14ac:dyDescent="0.25">
      <c r="A142" s="140" t="s">
        <v>379</v>
      </c>
      <c r="B142" s="140" t="s">
        <v>180</v>
      </c>
      <c r="C142" s="140" t="s">
        <v>55</v>
      </c>
      <c r="D142" s="140" t="s">
        <v>237</v>
      </c>
      <c r="E142" s="133" t="s">
        <v>157</v>
      </c>
      <c r="F142" s="140" t="s">
        <v>56</v>
      </c>
      <c r="G142" s="133" t="s">
        <v>57</v>
      </c>
      <c r="H142" s="85" t="s">
        <v>150</v>
      </c>
      <c r="T142" s="35"/>
    </row>
    <row r="143" spans="1:22" s="37" customFormat="1" x14ac:dyDescent="0.25">
      <c r="A143" s="141"/>
      <c r="B143" s="141"/>
      <c r="C143" s="141"/>
      <c r="D143" s="141"/>
      <c r="E143" s="134"/>
      <c r="F143" s="141"/>
      <c r="G143" s="134"/>
      <c r="H143" s="86">
        <v>0.55000000000000004</v>
      </c>
      <c r="T143" s="35"/>
    </row>
    <row r="144" spans="1:22" s="81" customFormat="1" x14ac:dyDescent="0.25">
      <c r="A144" s="231" t="s">
        <v>350</v>
      </c>
      <c r="B144" s="232"/>
      <c r="C144" s="232"/>
      <c r="D144" s="232"/>
      <c r="E144" s="232"/>
      <c r="F144" s="232"/>
      <c r="G144" s="232"/>
      <c r="H144" s="233"/>
      <c r="J144" s="36"/>
    </row>
    <row r="145" spans="1:20" s="81" customFormat="1" x14ac:dyDescent="0.25">
      <c r="A145" s="231" t="s">
        <v>362</v>
      </c>
      <c r="B145" s="232"/>
      <c r="C145" s="232"/>
      <c r="D145" s="232"/>
      <c r="E145" s="232"/>
      <c r="F145" s="232"/>
      <c r="G145" s="232"/>
      <c r="H145" s="233"/>
      <c r="J145" s="36"/>
    </row>
    <row r="146" spans="1:20" s="81" customFormat="1" x14ac:dyDescent="0.25">
      <c r="A146" s="231" t="s">
        <v>363</v>
      </c>
      <c r="B146" s="232"/>
      <c r="C146" s="232"/>
      <c r="D146" s="232"/>
      <c r="E146" s="232"/>
      <c r="F146" s="232"/>
      <c r="G146" s="232"/>
      <c r="H146" s="233"/>
      <c r="J146" s="36"/>
      <c r="T146" s="35"/>
    </row>
    <row r="147" spans="1:20" s="81" customFormat="1" ht="15.75" customHeight="1" x14ac:dyDescent="0.25">
      <c r="A147" s="217">
        <v>1</v>
      </c>
      <c r="B147" s="219"/>
      <c r="C147" s="87" t="s">
        <v>364</v>
      </c>
      <c r="D147" s="88">
        <f>(16.88)*10.764</f>
        <v>181.69631999999999</v>
      </c>
      <c r="E147" s="87">
        <v>0</v>
      </c>
      <c r="F147" s="87">
        <f>D147+(IF(E147&lt;201,E147,IF(E147&lt;301,E147/2,E147/3)))</f>
        <v>181.69631999999999</v>
      </c>
      <c r="G147" s="89">
        <v>0</v>
      </c>
      <c r="H147" s="87">
        <f>(F147+(IF(G147&lt;101,G147,IF(G147&lt;201,G147/2,IF(G147&lt;=301,G147/3,G147/4)))))*(($H$143)+1)</f>
        <v>281.62929600000001</v>
      </c>
      <c r="I147" s="83">
        <f>2.51*6.73</f>
        <v>16.892299999999999</v>
      </c>
      <c r="L147" s="161"/>
      <c r="M147" s="161"/>
      <c r="N147" s="36"/>
      <c r="T147" s="35"/>
    </row>
    <row r="148" spans="1:20" s="81" customFormat="1" ht="15.75" customHeight="1" x14ac:dyDescent="0.25">
      <c r="A148" s="135">
        <f t="shared" ref="A148:A156" si="0">A147+1</f>
        <v>2</v>
      </c>
      <c r="B148" s="136"/>
      <c r="C148" s="80" t="s">
        <v>364</v>
      </c>
      <c r="D148" s="84">
        <f>(14.35)*10.764</f>
        <v>154.46339999999998</v>
      </c>
      <c r="E148" s="80">
        <v>0</v>
      </c>
      <c r="F148" s="80">
        <f t="shared" ref="F148:F150" si="1">D148+(IF(E148&lt;201,E148,IF(E148&lt;301,E148/2,E148/3)))</f>
        <v>154.46339999999998</v>
      </c>
      <c r="G148" s="80">
        <v>0</v>
      </c>
      <c r="H148" s="80">
        <f t="shared" ref="H148:H150" si="2">(F148+(IF(G148&lt;101,G148,IF(G148&lt;201,G148/2,IF(G148&lt;=301,G148/3,G148/4)))))*(($H$143)+1)</f>
        <v>239.41826999999998</v>
      </c>
      <c r="I148" s="36"/>
      <c r="L148" s="161"/>
      <c r="M148" s="161"/>
      <c r="N148" s="36"/>
      <c r="T148" s="34"/>
    </row>
    <row r="149" spans="1:20" s="81" customFormat="1" ht="15.75" customHeight="1" x14ac:dyDescent="0.25">
      <c r="A149" s="135">
        <f t="shared" si="0"/>
        <v>3</v>
      </c>
      <c r="B149" s="136"/>
      <c r="C149" s="80" t="s">
        <v>364</v>
      </c>
      <c r="D149" s="84">
        <f>(15.95)*10.764</f>
        <v>171.68579999999997</v>
      </c>
      <c r="E149" s="80">
        <v>0</v>
      </c>
      <c r="F149" s="80">
        <f t="shared" si="1"/>
        <v>171.68579999999997</v>
      </c>
      <c r="G149" s="80">
        <v>0</v>
      </c>
      <c r="H149" s="80">
        <f t="shared" si="2"/>
        <v>266.11298999999997</v>
      </c>
      <c r="I149" s="36"/>
      <c r="L149" s="161"/>
      <c r="M149" s="161"/>
      <c r="N149" s="36"/>
      <c r="T149" s="21"/>
    </row>
    <row r="150" spans="1:20" s="81" customFormat="1" ht="15.75" customHeight="1" x14ac:dyDescent="0.25">
      <c r="A150" s="135">
        <f t="shared" si="0"/>
        <v>4</v>
      </c>
      <c r="B150" s="136"/>
      <c r="C150" s="80" t="s">
        <v>364</v>
      </c>
      <c r="D150" s="84">
        <f>(28.78)*10.764</f>
        <v>309.78791999999999</v>
      </c>
      <c r="E150" s="80">
        <v>0</v>
      </c>
      <c r="F150" s="80">
        <f t="shared" si="1"/>
        <v>309.78791999999999</v>
      </c>
      <c r="G150" s="80">
        <v>0</v>
      </c>
      <c r="H150" s="80">
        <f t="shared" si="2"/>
        <v>480.17127599999998</v>
      </c>
      <c r="I150" s="36"/>
      <c r="L150" s="161"/>
      <c r="M150" s="161"/>
      <c r="N150" s="36"/>
      <c r="T150" s="21"/>
    </row>
    <row r="151" spans="1:20" s="81" customFormat="1" ht="15.75" customHeight="1" x14ac:dyDescent="0.25">
      <c r="A151" s="135">
        <f t="shared" si="0"/>
        <v>5</v>
      </c>
      <c r="B151" s="136"/>
      <c r="C151" s="80" t="s">
        <v>364</v>
      </c>
      <c r="D151" s="84">
        <f>(17.18)*10.764</f>
        <v>184.92551999999998</v>
      </c>
      <c r="E151" s="80">
        <v>0</v>
      </c>
      <c r="F151" s="80">
        <f t="shared" ref="F151:F153" si="3">D151+(IF(E151&lt;201,E151,IF(E151&lt;301,E151/2,E151/3)))</f>
        <v>184.92551999999998</v>
      </c>
      <c r="G151" s="80">
        <v>0</v>
      </c>
      <c r="H151" s="80">
        <f t="shared" ref="H151:H153" si="4">(F151+(IF(G151&lt;101,G151,IF(G151&lt;201,G151/2,IF(G151&lt;=301,G151/3,G151/4)))))*(($H$143)+1)</f>
        <v>286.63455599999998</v>
      </c>
      <c r="I151" s="36"/>
      <c r="L151" s="161"/>
      <c r="M151" s="161"/>
      <c r="N151" s="36"/>
      <c r="T151" s="34"/>
    </row>
    <row r="152" spans="1:20" s="81" customFormat="1" ht="15.75" customHeight="1" x14ac:dyDescent="0.25">
      <c r="A152" s="135">
        <f t="shared" si="0"/>
        <v>6</v>
      </c>
      <c r="B152" s="136"/>
      <c r="C152" s="80" t="s">
        <v>364</v>
      </c>
      <c r="D152" s="84">
        <f>(26.99)*10.764</f>
        <v>290.52035999999998</v>
      </c>
      <c r="E152" s="80">
        <v>0</v>
      </c>
      <c r="F152" s="80">
        <f t="shared" si="3"/>
        <v>290.52035999999998</v>
      </c>
      <c r="G152" s="80">
        <v>0</v>
      </c>
      <c r="H152" s="80">
        <f t="shared" si="4"/>
        <v>450.306558</v>
      </c>
      <c r="I152" s="36"/>
      <c r="L152" s="161"/>
      <c r="M152" s="161"/>
      <c r="N152" s="36"/>
      <c r="T152" s="21"/>
    </row>
    <row r="153" spans="1:20" s="81" customFormat="1" ht="15.75" customHeight="1" x14ac:dyDescent="0.25">
      <c r="A153" s="135">
        <f t="shared" si="0"/>
        <v>7</v>
      </c>
      <c r="B153" s="136"/>
      <c r="C153" s="80" t="s">
        <v>364</v>
      </c>
      <c r="D153" s="84">
        <f>(17.36)*10.764</f>
        <v>186.86303999999998</v>
      </c>
      <c r="E153" s="80">
        <v>0</v>
      </c>
      <c r="F153" s="80">
        <f t="shared" si="3"/>
        <v>186.86303999999998</v>
      </c>
      <c r="G153" s="80">
        <v>0</v>
      </c>
      <c r="H153" s="80">
        <f t="shared" si="4"/>
        <v>289.63771199999996</v>
      </c>
      <c r="I153" s="36"/>
      <c r="L153" s="161"/>
      <c r="M153" s="161"/>
      <c r="N153" s="36"/>
      <c r="T153" s="21"/>
    </row>
    <row r="154" spans="1:20" s="81" customFormat="1" ht="15.75" customHeight="1" x14ac:dyDescent="0.25">
      <c r="A154" s="135">
        <f t="shared" si="0"/>
        <v>8</v>
      </c>
      <c r="B154" s="136"/>
      <c r="C154" s="80" t="s">
        <v>364</v>
      </c>
      <c r="D154" s="84">
        <f>(17.19)*10.764</f>
        <v>185.03316000000001</v>
      </c>
      <c r="E154" s="80">
        <v>0</v>
      </c>
      <c r="F154" s="80">
        <f t="shared" ref="F154:F156" si="5">D154+(IF(E154&lt;201,E154,IF(E154&lt;301,E154/2,E154/3)))</f>
        <v>185.03316000000001</v>
      </c>
      <c r="G154" s="80">
        <v>0</v>
      </c>
      <c r="H154" s="80">
        <f t="shared" ref="H154:H156" si="6">(F154+(IF(G154&lt;101,G154,IF(G154&lt;201,G154/2,IF(G154&lt;=301,G154/3,G154/4)))))*(($H$143)+1)</f>
        <v>286.80139800000001</v>
      </c>
      <c r="I154" s="36"/>
      <c r="L154" s="161"/>
      <c r="M154" s="161"/>
      <c r="N154" s="36"/>
      <c r="T154" s="34"/>
    </row>
    <row r="155" spans="1:20" s="81" customFormat="1" ht="15.75" customHeight="1" x14ac:dyDescent="0.25">
      <c r="A155" s="135">
        <f t="shared" si="0"/>
        <v>9</v>
      </c>
      <c r="B155" s="136"/>
      <c r="C155" s="80" t="s">
        <v>364</v>
      </c>
      <c r="D155" s="84">
        <f>(16.98)*10.764</f>
        <v>182.77271999999999</v>
      </c>
      <c r="E155" s="80">
        <v>0</v>
      </c>
      <c r="F155" s="80">
        <f t="shared" si="5"/>
        <v>182.77271999999999</v>
      </c>
      <c r="G155" s="80">
        <v>0</v>
      </c>
      <c r="H155" s="80">
        <f t="shared" si="6"/>
        <v>283.29771599999998</v>
      </c>
      <c r="I155" s="36"/>
      <c r="L155" s="161"/>
      <c r="M155" s="161"/>
      <c r="N155" s="36"/>
      <c r="T155" s="21"/>
    </row>
    <row r="156" spans="1:20" s="81" customFormat="1" ht="15.75" customHeight="1" x14ac:dyDescent="0.25">
      <c r="A156" s="135">
        <f t="shared" si="0"/>
        <v>10</v>
      </c>
      <c r="B156" s="136"/>
      <c r="C156" s="80" t="s">
        <v>364</v>
      </c>
      <c r="D156" s="84">
        <f>(16.9)*10.764</f>
        <v>181.91159999999996</v>
      </c>
      <c r="E156" s="80">
        <v>0</v>
      </c>
      <c r="F156" s="80">
        <f t="shared" si="5"/>
        <v>181.91159999999996</v>
      </c>
      <c r="G156" s="80">
        <v>0</v>
      </c>
      <c r="H156" s="80">
        <f t="shared" si="6"/>
        <v>281.96297999999996</v>
      </c>
      <c r="I156" s="36"/>
      <c r="L156" s="161"/>
      <c r="M156" s="161"/>
      <c r="N156" s="36"/>
      <c r="T156" s="21"/>
    </row>
    <row r="157" spans="1:20" s="81" customFormat="1" ht="78" customHeight="1" x14ac:dyDescent="0.25">
      <c r="A157" s="135">
        <v>20</v>
      </c>
      <c r="B157" s="136"/>
      <c r="C157" s="65" t="s">
        <v>365</v>
      </c>
      <c r="D157" s="84">
        <f>(183.16+68.26)*10.764</f>
        <v>2706.2848800000002</v>
      </c>
      <c r="E157" s="80">
        <v>0</v>
      </c>
      <c r="F157" s="80">
        <f t="shared" ref="F157:F159" si="7">D157+(IF(E157&lt;201,E157,IF(E157&lt;301,E157/2,E157/3)))</f>
        <v>2706.2848800000002</v>
      </c>
      <c r="G157" s="80">
        <v>0</v>
      </c>
      <c r="H157" s="80">
        <f t="shared" ref="H157:H159" si="8">(F157+(IF(G157&lt;101,G157,IF(G157&lt;201,G157/2,IF(G157&lt;=301,G157/3,G157/4)))))*(($H$143)+1)</f>
        <v>4194.7415639999999</v>
      </c>
      <c r="I157" s="36"/>
      <c r="L157" s="161"/>
      <c r="M157" s="161"/>
      <c r="N157" s="36"/>
      <c r="T157" s="34"/>
    </row>
    <row r="158" spans="1:20" s="81" customFormat="1" ht="75" customHeight="1" x14ac:dyDescent="0.25">
      <c r="A158" s="137">
        <f>A157+1</f>
        <v>21</v>
      </c>
      <c r="B158" s="137"/>
      <c r="C158" s="65" t="s">
        <v>365</v>
      </c>
      <c r="D158" s="84">
        <f>(64.19+67.28)*10.764</f>
        <v>1415.1430799999998</v>
      </c>
      <c r="E158" s="100">
        <v>0</v>
      </c>
      <c r="F158" s="100">
        <f t="shared" si="7"/>
        <v>1415.1430799999998</v>
      </c>
      <c r="G158" s="100">
        <v>0</v>
      </c>
      <c r="H158" s="100">
        <f t="shared" si="8"/>
        <v>2193.4717739999996</v>
      </c>
      <c r="I158" s="36"/>
      <c r="L158" s="161"/>
      <c r="M158" s="161"/>
      <c r="N158" s="36"/>
      <c r="T158" s="21"/>
    </row>
    <row r="159" spans="1:20" s="81" customFormat="1" ht="77.099999999999994" customHeight="1" x14ac:dyDescent="0.25">
      <c r="A159" s="137">
        <f>A158+1</f>
        <v>22</v>
      </c>
      <c r="B159" s="137"/>
      <c r="C159" s="65" t="s">
        <v>365</v>
      </c>
      <c r="D159" s="84">
        <f>(79.08+75.67)*10.764</f>
        <v>1665.7289999999998</v>
      </c>
      <c r="E159" s="100">
        <v>0</v>
      </c>
      <c r="F159" s="100">
        <f t="shared" si="7"/>
        <v>1665.7289999999998</v>
      </c>
      <c r="G159" s="100">
        <v>0</v>
      </c>
      <c r="H159" s="100">
        <f t="shared" si="8"/>
        <v>2581.87995</v>
      </c>
      <c r="I159" s="36"/>
      <c r="L159" s="161"/>
      <c r="M159" s="161"/>
      <c r="N159" s="36"/>
      <c r="T159" s="21"/>
    </row>
    <row r="160" spans="1:20" s="81" customFormat="1" ht="77.45" customHeight="1" x14ac:dyDescent="0.25">
      <c r="A160" s="135">
        <f>A159+1</f>
        <v>23</v>
      </c>
      <c r="B160" s="136"/>
      <c r="C160" s="65" t="s">
        <v>365</v>
      </c>
      <c r="D160" s="84">
        <f>(80.7+99.04)*10.764</f>
        <v>1934.72136</v>
      </c>
      <c r="E160" s="80">
        <v>0</v>
      </c>
      <c r="F160" s="80">
        <f t="shared" ref="F160:F162" si="9">D160+(IF(E160&lt;201,E160,IF(E160&lt;301,E160/2,E160/3)))</f>
        <v>1934.72136</v>
      </c>
      <c r="G160" s="80">
        <v>0</v>
      </c>
      <c r="H160" s="80">
        <f t="shared" ref="H160:H162" si="10">(F160+(IF(G160&lt;101,G160,IF(G160&lt;201,G160/2,IF(G160&lt;=301,G160/3,G160/4)))))*(($H$143)+1)</f>
        <v>2998.8181079999999</v>
      </c>
      <c r="I160" s="36"/>
      <c r="L160" s="161"/>
      <c r="M160" s="161"/>
      <c r="N160" s="36"/>
      <c r="T160" s="21"/>
    </row>
    <row r="161" spans="1:20" s="81" customFormat="1" ht="15.75" customHeight="1" x14ac:dyDescent="0.25">
      <c r="A161" s="135">
        <v>33</v>
      </c>
      <c r="B161" s="136"/>
      <c r="C161" s="80" t="s">
        <v>364</v>
      </c>
      <c r="D161" s="84">
        <f>(5)*10.764</f>
        <v>53.819999999999993</v>
      </c>
      <c r="E161" s="80">
        <v>0</v>
      </c>
      <c r="F161" s="80">
        <f t="shared" si="9"/>
        <v>53.819999999999993</v>
      </c>
      <c r="G161" s="80">
        <v>0</v>
      </c>
      <c r="H161" s="80">
        <f t="shared" si="10"/>
        <v>83.420999999999992</v>
      </c>
      <c r="I161" s="36"/>
      <c r="L161" s="161"/>
      <c r="M161" s="161"/>
      <c r="N161" s="36"/>
      <c r="T161" s="21"/>
    </row>
    <row r="162" spans="1:20" s="81" customFormat="1" ht="15.75" customHeight="1" x14ac:dyDescent="0.25">
      <c r="A162" s="135">
        <f>A161+1</f>
        <v>34</v>
      </c>
      <c r="B162" s="136"/>
      <c r="C162" s="80" t="s">
        <v>364</v>
      </c>
      <c r="D162" s="84">
        <f>(4.2)*10.764</f>
        <v>45.208799999999997</v>
      </c>
      <c r="E162" s="80">
        <v>0</v>
      </c>
      <c r="F162" s="80">
        <f t="shared" si="9"/>
        <v>45.208799999999997</v>
      </c>
      <c r="G162" s="80">
        <v>0</v>
      </c>
      <c r="H162" s="80">
        <f t="shared" si="10"/>
        <v>70.073639999999997</v>
      </c>
      <c r="I162" s="36"/>
      <c r="L162" s="161"/>
      <c r="M162" s="161"/>
      <c r="N162" s="36"/>
      <c r="T162" s="21"/>
    </row>
    <row r="163" spans="1:20" s="81" customFormat="1" ht="15.75" customHeight="1" x14ac:dyDescent="0.25">
      <c r="A163" s="135">
        <f>A162+1</f>
        <v>35</v>
      </c>
      <c r="B163" s="136"/>
      <c r="C163" s="80" t="s">
        <v>364</v>
      </c>
      <c r="D163" s="84">
        <f>(4.3)*10.764</f>
        <v>46.285199999999996</v>
      </c>
      <c r="E163" s="80">
        <v>0</v>
      </c>
      <c r="F163" s="80">
        <f t="shared" ref="F163" si="11">D163+(IF(E163&lt;201,E163,IF(E163&lt;301,E163/2,E163/3)))</f>
        <v>46.285199999999996</v>
      </c>
      <c r="G163" s="80">
        <v>0</v>
      </c>
      <c r="H163" s="80">
        <f t="shared" ref="H163" si="12">(F163+(IF(G163&lt;101,G163,IF(G163&lt;201,G163/2,IF(G163&lt;=301,G163/3,G163/4)))))*(($H$143)+1)</f>
        <v>71.742059999999995</v>
      </c>
      <c r="I163" s="36"/>
      <c r="L163" s="161"/>
      <c r="M163" s="161"/>
      <c r="N163" s="36"/>
      <c r="T163" s="21"/>
    </row>
    <row r="164" spans="1:20" s="37" customFormat="1" hidden="1" x14ac:dyDescent="0.25">
      <c r="A164" s="167" t="s">
        <v>117</v>
      </c>
      <c r="B164" s="168"/>
      <c r="C164" s="168"/>
      <c r="D164" s="168"/>
      <c r="E164" s="168"/>
      <c r="F164" s="168"/>
      <c r="G164" s="168"/>
      <c r="H164" s="169"/>
      <c r="J164" s="36"/>
      <c r="T164" s="35"/>
    </row>
    <row r="165" spans="1:20" s="37" customFormat="1" ht="15.75" hidden="1" customHeight="1" x14ac:dyDescent="0.25">
      <c r="A165" s="135">
        <v>1</v>
      </c>
      <c r="B165" s="136"/>
      <c r="C165" s="42"/>
      <c r="D165" s="42">
        <v>0</v>
      </c>
      <c r="E165" s="42">
        <v>0</v>
      </c>
      <c r="F165" s="64">
        <f>D165+(IF(E165&lt;201,E165,IF(E165&lt;301,E165/2,E165/3)))</f>
        <v>0</v>
      </c>
      <c r="G165" s="65">
        <v>0</v>
      </c>
      <c r="H165" s="64">
        <f>(F165+(IF(G165&lt;101,G165,IF(G165&lt;201,G165/2,IF(G165&lt;=301,G165/3,G165/4)))))*(($H$143)+1)</f>
        <v>0</v>
      </c>
      <c r="I165" s="36"/>
      <c r="L165" s="161"/>
      <c r="M165" s="161"/>
      <c r="N165" s="36"/>
      <c r="T165" s="35"/>
    </row>
    <row r="166" spans="1:20" s="37" customFormat="1" ht="15.75" hidden="1" customHeight="1" x14ac:dyDescent="0.25">
      <c r="A166" s="135">
        <f>A165+1</f>
        <v>2</v>
      </c>
      <c r="B166" s="136"/>
      <c r="C166" s="42"/>
      <c r="D166" s="42"/>
      <c r="E166" s="42">
        <v>0</v>
      </c>
      <c r="F166" s="64">
        <f t="shared" ref="F166:F168" si="13">D166+(IF(E166&lt;201,E166,IF(E166&lt;301,E166/2,E166/3)))</f>
        <v>0</v>
      </c>
      <c r="G166" s="57">
        <v>0</v>
      </c>
      <c r="H166" s="64">
        <f t="shared" ref="H166:H168" si="14">(F166+(IF(G166&lt;101,G166,IF(G166&lt;201,G166/2,IF(G166&lt;=301,G166/3,G166/4)))))*(($H$143)+1)</f>
        <v>0</v>
      </c>
      <c r="I166" s="36"/>
      <c r="L166" s="161"/>
      <c r="M166" s="161"/>
      <c r="N166" s="36"/>
      <c r="T166" s="34"/>
    </row>
    <row r="167" spans="1:20" s="37" customFormat="1" ht="15.75" hidden="1" customHeight="1" x14ac:dyDescent="0.25">
      <c r="A167" s="135">
        <f>A166+1</f>
        <v>3</v>
      </c>
      <c r="B167" s="136"/>
      <c r="C167" s="42"/>
      <c r="D167" s="42"/>
      <c r="E167" s="42">
        <v>0</v>
      </c>
      <c r="F167" s="64">
        <f t="shared" si="13"/>
        <v>0</v>
      </c>
      <c r="G167" s="57">
        <v>0</v>
      </c>
      <c r="H167" s="64">
        <f t="shared" si="14"/>
        <v>0</v>
      </c>
      <c r="I167" s="36"/>
      <c r="L167" s="161"/>
      <c r="M167" s="161"/>
      <c r="N167" s="36"/>
      <c r="T167" s="21"/>
    </row>
    <row r="168" spans="1:20" s="37" customFormat="1" ht="15.75" hidden="1" customHeight="1" x14ac:dyDescent="0.25">
      <c r="A168" s="135">
        <f>A167+1</f>
        <v>4</v>
      </c>
      <c r="B168" s="136"/>
      <c r="C168" s="42"/>
      <c r="D168" s="42"/>
      <c r="E168" s="42">
        <v>0</v>
      </c>
      <c r="F168" s="64">
        <f t="shared" si="13"/>
        <v>0</v>
      </c>
      <c r="G168" s="57">
        <v>0</v>
      </c>
      <c r="H168" s="64">
        <f t="shared" si="14"/>
        <v>0</v>
      </c>
      <c r="I168" s="36"/>
      <c r="L168" s="161"/>
      <c r="M168" s="161"/>
      <c r="N168" s="36"/>
      <c r="T168" s="21"/>
    </row>
    <row r="169" spans="1:20" s="37" customFormat="1" x14ac:dyDescent="0.25">
      <c r="A169" s="217"/>
      <c r="B169" s="218"/>
      <c r="C169" s="218"/>
      <c r="D169" s="218"/>
      <c r="E169" s="218"/>
      <c r="F169" s="218"/>
      <c r="G169" s="218"/>
      <c r="H169" s="219"/>
      <c r="I169" s="36"/>
      <c r="N169" s="36"/>
    </row>
    <row r="170" spans="1:20" ht="47.25" customHeight="1" x14ac:dyDescent="0.25">
      <c r="A170" s="221" t="s">
        <v>378</v>
      </c>
      <c r="B170" s="140" t="s">
        <v>181</v>
      </c>
      <c r="C170" s="140" t="s">
        <v>55</v>
      </c>
      <c r="D170" s="140" t="s">
        <v>237</v>
      </c>
      <c r="E170" s="140" t="s">
        <v>236</v>
      </c>
      <c r="F170" s="140" t="s">
        <v>56</v>
      </c>
      <c r="G170" s="133" t="s">
        <v>57</v>
      </c>
      <c r="H170" s="85" t="s">
        <v>150</v>
      </c>
      <c r="I170" s="36"/>
      <c r="T170" s="37"/>
    </row>
    <row r="171" spans="1:20" s="37" customFormat="1" x14ac:dyDescent="0.25">
      <c r="A171" s="222"/>
      <c r="B171" s="141"/>
      <c r="C171" s="141"/>
      <c r="D171" s="141"/>
      <c r="E171" s="141"/>
      <c r="F171" s="141"/>
      <c r="G171" s="134"/>
      <c r="H171" s="86">
        <v>0.5</v>
      </c>
      <c r="I171" s="36"/>
    </row>
    <row r="172" spans="1:20" s="81" customFormat="1" x14ac:dyDescent="0.25">
      <c r="A172" s="231" t="s">
        <v>350</v>
      </c>
      <c r="B172" s="232"/>
      <c r="C172" s="232"/>
      <c r="D172" s="232"/>
      <c r="E172" s="232"/>
      <c r="F172" s="232"/>
      <c r="G172" s="232"/>
      <c r="H172" s="233"/>
      <c r="J172" s="84">
        <v>10.763999999999999</v>
      </c>
    </row>
    <row r="173" spans="1:20" s="81" customFormat="1" x14ac:dyDescent="0.25">
      <c r="A173" s="231" t="s">
        <v>366</v>
      </c>
      <c r="B173" s="232"/>
      <c r="C173" s="232"/>
      <c r="D173" s="232"/>
      <c r="E173" s="232"/>
      <c r="F173" s="232"/>
      <c r="G173" s="232"/>
      <c r="H173" s="233"/>
      <c r="J173" s="36"/>
    </row>
    <row r="174" spans="1:20" s="81" customFormat="1" x14ac:dyDescent="0.25">
      <c r="A174" s="231" t="s">
        <v>367</v>
      </c>
      <c r="B174" s="232"/>
      <c r="C174" s="232"/>
      <c r="D174" s="232"/>
      <c r="E174" s="232"/>
      <c r="F174" s="232"/>
      <c r="G174" s="232"/>
      <c r="H174" s="233"/>
      <c r="J174" s="36"/>
    </row>
    <row r="175" spans="1:20" s="81" customFormat="1" x14ac:dyDescent="0.25">
      <c r="A175" s="231" t="s">
        <v>368</v>
      </c>
      <c r="B175" s="232"/>
      <c r="C175" s="232"/>
      <c r="D175" s="232"/>
      <c r="E175" s="232"/>
      <c r="F175" s="232"/>
      <c r="G175" s="232"/>
      <c r="H175" s="233"/>
      <c r="J175" s="36"/>
    </row>
    <row r="176" spans="1:20" s="81" customFormat="1" x14ac:dyDescent="0.25">
      <c r="A176" s="231" t="s">
        <v>369</v>
      </c>
      <c r="B176" s="232"/>
      <c r="C176" s="232"/>
      <c r="D176" s="232"/>
      <c r="E176" s="232"/>
      <c r="F176" s="232"/>
      <c r="G176" s="232"/>
      <c r="H176" s="233"/>
      <c r="J176" s="36"/>
    </row>
    <row r="177" spans="1:20" s="81" customFormat="1" ht="15.75" customHeight="1" x14ac:dyDescent="0.25">
      <c r="A177" s="135">
        <v>1</v>
      </c>
      <c r="B177" s="136"/>
      <c r="C177" s="80" t="s">
        <v>370</v>
      </c>
      <c r="D177" s="84">
        <f>(95.56)*10.764</f>
        <v>1028.6078399999999</v>
      </c>
      <c r="E177" s="80">
        <v>0</v>
      </c>
      <c r="F177" s="80">
        <f t="shared" ref="F177:F185" si="15">D177+E177</f>
        <v>1028.6078399999999</v>
      </c>
      <c r="G177" s="80">
        <v>0</v>
      </c>
      <c r="H177" s="80">
        <f t="shared" ref="H177:H185" si="16">F177*(($H$171)+1)+(IF(G177&lt;101,G177,IF(G177&lt;201,G177/2,IF(G177&lt;=301,G177/3,G177/4))))</f>
        <v>1542.91176</v>
      </c>
      <c r="I177" s="36"/>
      <c r="J177" s="36">
        <f>36100000/H177</f>
        <v>23397.319883024291</v>
      </c>
      <c r="K177" s="81">
        <f>4.6*3.05+3.05*2.95+2.75*3.8+3*3.95+3.05*4.45+2.25*2.8+1.8*3.2+1.5*2.15+1.25*2.15+1.25*2.45+1.5*2+2.6*1.8+1.2*2.75</f>
        <v>90.914999999999992</v>
      </c>
      <c r="L177" s="161"/>
      <c r="M177" s="161"/>
      <c r="N177" s="36"/>
    </row>
    <row r="178" spans="1:20" s="81" customFormat="1" ht="15.75" customHeight="1" x14ac:dyDescent="0.25">
      <c r="A178" s="135">
        <f t="shared" ref="A178:A185" si="17">A177+1</f>
        <v>2</v>
      </c>
      <c r="B178" s="136"/>
      <c r="C178" s="80" t="s">
        <v>370</v>
      </c>
      <c r="D178" s="84">
        <f>(98.23)*10.764</f>
        <v>1057.34772</v>
      </c>
      <c r="E178" s="80">
        <v>0</v>
      </c>
      <c r="F178" s="80">
        <f t="shared" si="15"/>
        <v>1057.34772</v>
      </c>
      <c r="G178" s="80">
        <v>0</v>
      </c>
      <c r="H178" s="80">
        <f t="shared" si="16"/>
        <v>1586.0215800000001</v>
      </c>
      <c r="I178" s="36"/>
      <c r="L178" s="161"/>
      <c r="M178" s="161"/>
      <c r="N178" s="36"/>
    </row>
    <row r="179" spans="1:20" s="81" customFormat="1" ht="15.75" customHeight="1" x14ac:dyDescent="0.25">
      <c r="A179" s="135">
        <f t="shared" si="17"/>
        <v>3</v>
      </c>
      <c r="B179" s="136"/>
      <c r="C179" s="80" t="s">
        <v>371</v>
      </c>
      <c r="D179" s="84">
        <f>(75.65)*10.764</f>
        <v>814.29660000000001</v>
      </c>
      <c r="E179" s="80">
        <v>0</v>
      </c>
      <c r="F179" s="80">
        <f t="shared" si="15"/>
        <v>814.29660000000001</v>
      </c>
      <c r="G179" s="80">
        <v>0</v>
      </c>
      <c r="H179" s="80">
        <f t="shared" si="16"/>
        <v>1221.4449</v>
      </c>
      <c r="I179" s="36">
        <f>1.5*1.3+3.05*3+3.85*3.3+2.25*2.85+3.05*4.15+3.05*4.25+1.35*2.4+1.25*2.25+1.5*2.15+0.9*1.6+2.6*1.5</f>
        <v>70.454999999999998</v>
      </c>
      <c r="J179" s="36">
        <f>31000000/H179</f>
        <v>25379.777671510194</v>
      </c>
      <c r="L179" s="161"/>
      <c r="M179" s="161"/>
      <c r="N179" s="36"/>
    </row>
    <row r="180" spans="1:20" s="81" customFormat="1" ht="15.75" customHeight="1" x14ac:dyDescent="0.25">
      <c r="A180" s="135">
        <f t="shared" si="17"/>
        <v>4</v>
      </c>
      <c r="B180" s="136"/>
      <c r="C180" s="80" t="s">
        <v>371</v>
      </c>
      <c r="D180" s="84">
        <f>(75.62)*10.764</f>
        <v>813.97367999999994</v>
      </c>
      <c r="E180" s="80">
        <v>0</v>
      </c>
      <c r="F180" s="80">
        <f t="shared" si="15"/>
        <v>813.97367999999994</v>
      </c>
      <c r="G180" s="80">
        <v>0</v>
      </c>
      <c r="H180" s="80">
        <f t="shared" si="16"/>
        <v>1220.9605199999999</v>
      </c>
      <c r="I180" s="36"/>
      <c r="L180" s="161"/>
      <c r="M180" s="161"/>
      <c r="N180" s="36"/>
      <c r="T180" s="21"/>
    </row>
    <row r="181" spans="1:20" s="81" customFormat="1" ht="15.75" customHeight="1" x14ac:dyDescent="0.25">
      <c r="A181" s="135">
        <f t="shared" si="17"/>
        <v>5</v>
      </c>
      <c r="B181" s="136"/>
      <c r="C181" s="80" t="s">
        <v>371</v>
      </c>
      <c r="D181" s="84">
        <f>(77.08)*10.764</f>
        <v>829.68911999999989</v>
      </c>
      <c r="E181" s="80">
        <v>0</v>
      </c>
      <c r="F181" s="80">
        <f t="shared" si="15"/>
        <v>829.68911999999989</v>
      </c>
      <c r="G181" s="80">
        <v>0</v>
      </c>
      <c r="H181" s="80">
        <f t="shared" si="16"/>
        <v>1244.5336799999998</v>
      </c>
      <c r="I181" s="36"/>
      <c r="L181" s="161"/>
      <c r="M181" s="161"/>
      <c r="N181" s="36"/>
    </row>
    <row r="182" spans="1:20" s="81" customFormat="1" ht="15.75" customHeight="1" x14ac:dyDescent="0.25">
      <c r="A182" s="135">
        <f t="shared" si="17"/>
        <v>6</v>
      </c>
      <c r="B182" s="136"/>
      <c r="C182" s="80" t="s">
        <v>371</v>
      </c>
      <c r="D182" s="84">
        <f>(65.19)*10.764</f>
        <v>701.70515999999998</v>
      </c>
      <c r="E182" s="80">
        <v>0</v>
      </c>
      <c r="F182" s="80">
        <f t="shared" si="15"/>
        <v>701.70515999999998</v>
      </c>
      <c r="G182" s="80">
        <v>0</v>
      </c>
      <c r="H182" s="80">
        <f t="shared" si="16"/>
        <v>1052.55774</v>
      </c>
      <c r="I182" s="36"/>
      <c r="J182" s="81">
        <f>27400000/H182</f>
        <v>26031.826054502246</v>
      </c>
      <c r="L182" s="161"/>
      <c r="M182" s="161"/>
      <c r="N182" s="36"/>
    </row>
    <row r="183" spans="1:20" s="81" customFormat="1" ht="15.75" customHeight="1" x14ac:dyDescent="0.25">
      <c r="A183" s="135">
        <f t="shared" si="17"/>
        <v>7</v>
      </c>
      <c r="B183" s="136"/>
      <c r="C183" s="80" t="s">
        <v>371</v>
      </c>
      <c r="D183" s="84">
        <f>(64.95)*10.764</f>
        <v>699.12180000000001</v>
      </c>
      <c r="E183" s="80">
        <v>0</v>
      </c>
      <c r="F183" s="80">
        <f t="shared" si="15"/>
        <v>699.12180000000001</v>
      </c>
      <c r="G183" s="80">
        <v>0</v>
      </c>
      <c r="H183" s="80">
        <f t="shared" si="16"/>
        <v>1048.6827000000001</v>
      </c>
      <c r="I183" s="36"/>
      <c r="J183" s="36">
        <f>23500000/H183</f>
        <v>22409.066155091525</v>
      </c>
      <c r="L183" s="161"/>
      <c r="M183" s="161"/>
      <c r="N183" s="36"/>
      <c r="T183" s="21"/>
    </row>
    <row r="184" spans="1:20" s="81" customFormat="1" ht="15.75" customHeight="1" x14ac:dyDescent="0.25">
      <c r="A184" s="135">
        <f t="shared" si="17"/>
        <v>8</v>
      </c>
      <c r="B184" s="136"/>
      <c r="C184" s="80" t="s">
        <v>370</v>
      </c>
      <c r="D184" s="84">
        <f>(92.56)*10.764</f>
        <v>996.31583999999998</v>
      </c>
      <c r="E184" s="80">
        <v>0</v>
      </c>
      <c r="F184" s="80">
        <f t="shared" si="15"/>
        <v>996.31583999999998</v>
      </c>
      <c r="G184" s="80">
        <v>0</v>
      </c>
      <c r="H184" s="80">
        <f t="shared" si="16"/>
        <v>1494.4737599999999</v>
      </c>
      <c r="I184" s="36"/>
      <c r="L184" s="161"/>
      <c r="M184" s="161"/>
      <c r="N184" s="36"/>
    </row>
    <row r="185" spans="1:20" s="81" customFormat="1" ht="15.75" customHeight="1" x14ac:dyDescent="0.25">
      <c r="A185" s="135">
        <f t="shared" si="17"/>
        <v>9</v>
      </c>
      <c r="B185" s="136"/>
      <c r="C185" s="80" t="s">
        <v>371</v>
      </c>
      <c r="D185" s="84">
        <f>(68.03)*10.764</f>
        <v>732.27491999999995</v>
      </c>
      <c r="E185" s="80">
        <v>0</v>
      </c>
      <c r="F185" s="80">
        <f t="shared" si="15"/>
        <v>732.27491999999995</v>
      </c>
      <c r="G185" s="80">
        <v>0</v>
      </c>
      <c r="H185" s="80">
        <f t="shared" si="16"/>
        <v>1098.41238</v>
      </c>
      <c r="I185" s="36"/>
      <c r="L185" s="161"/>
      <c r="M185" s="161"/>
      <c r="N185" s="36"/>
      <c r="T185" s="21"/>
    </row>
    <row r="186" spans="1:20" s="81" customFormat="1" x14ac:dyDescent="0.25">
      <c r="A186" s="167" t="s">
        <v>372</v>
      </c>
      <c r="B186" s="168"/>
      <c r="C186" s="168"/>
      <c r="D186" s="168"/>
      <c r="E186" s="168"/>
      <c r="F186" s="168"/>
      <c r="G186" s="168"/>
      <c r="H186" s="169"/>
      <c r="J186" s="36"/>
    </row>
    <row r="187" spans="1:20" s="81" customFormat="1" ht="15.75" customHeight="1" x14ac:dyDescent="0.25">
      <c r="A187" s="135">
        <v>1</v>
      </c>
      <c r="B187" s="136"/>
      <c r="C187" s="80" t="s">
        <v>370</v>
      </c>
      <c r="D187" s="84">
        <f>(95.56)*10.764</f>
        <v>1028.6078399999999</v>
      </c>
      <c r="E187" s="80">
        <v>0</v>
      </c>
      <c r="F187" s="80">
        <f>D187+E187</f>
        <v>1028.6078399999999</v>
      </c>
      <c r="G187" s="80">
        <v>0</v>
      </c>
      <c r="H187" s="80">
        <f>F187*(($H$171)+1)+(IF(G187&lt;101,G187,IF(G187&lt;201,G187/2,IF(G187&lt;=301,G187/3,G187/4))))</f>
        <v>1542.91176</v>
      </c>
      <c r="I187" s="36"/>
      <c r="J187" s="36">
        <f>39700000/H187</f>
        <v>25730.57061928156</v>
      </c>
      <c r="L187" s="161"/>
      <c r="M187" s="161"/>
      <c r="N187" s="36"/>
    </row>
    <row r="188" spans="1:20" s="81" customFormat="1" ht="15.75" customHeight="1" x14ac:dyDescent="0.25">
      <c r="A188" s="135">
        <f t="shared" ref="A188:A195" si="18">A187+1</f>
        <v>2</v>
      </c>
      <c r="B188" s="136"/>
      <c r="C188" s="268" t="s">
        <v>373</v>
      </c>
      <c r="D188" s="269"/>
      <c r="E188" s="269"/>
      <c r="F188" s="269"/>
      <c r="G188" s="269"/>
      <c r="H188" s="270"/>
      <c r="I188" s="36"/>
      <c r="L188" s="161"/>
      <c r="M188" s="161"/>
      <c r="N188" s="36"/>
    </row>
    <row r="189" spans="1:20" s="81" customFormat="1" ht="15.75" customHeight="1" x14ac:dyDescent="0.25">
      <c r="A189" s="135">
        <f t="shared" si="18"/>
        <v>3</v>
      </c>
      <c r="B189" s="136"/>
      <c r="C189" s="271"/>
      <c r="D189" s="272"/>
      <c r="E189" s="272"/>
      <c r="F189" s="272"/>
      <c r="G189" s="272"/>
      <c r="H189" s="273"/>
      <c r="I189" s="36"/>
      <c r="L189" s="161"/>
      <c r="M189" s="161"/>
      <c r="N189" s="36"/>
    </row>
    <row r="190" spans="1:20" s="81" customFormat="1" ht="15.75" customHeight="1" x14ac:dyDescent="0.25">
      <c r="A190" s="135">
        <f t="shared" si="18"/>
        <v>4</v>
      </c>
      <c r="B190" s="136"/>
      <c r="C190" s="80" t="s">
        <v>374</v>
      </c>
      <c r="D190" s="84">
        <f>(51.6)*10.764</f>
        <v>555.42239999999993</v>
      </c>
      <c r="E190" s="80">
        <v>0</v>
      </c>
      <c r="F190" s="80">
        <f t="shared" ref="F190:F195" si="19">D190+E190</f>
        <v>555.42239999999993</v>
      </c>
      <c r="G190" s="80">
        <v>0</v>
      </c>
      <c r="H190" s="80">
        <f t="shared" ref="H190:H195" si="20">F190*(($H$171)+1)+(IF(G190&lt;101,G190,IF(G190&lt;201,G190/2,IF(G190&lt;=301,G190/3,G190/4))))</f>
        <v>833.13359999999989</v>
      </c>
      <c r="I190" s="36"/>
      <c r="L190" s="161"/>
      <c r="M190" s="161"/>
      <c r="N190" s="36"/>
      <c r="T190" s="21"/>
    </row>
    <row r="191" spans="1:20" s="81" customFormat="1" ht="15.75" customHeight="1" x14ac:dyDescent="0.25">
      <c r="A191" s="135">
        <f t="shared" si="18"/>
        <v>5</v>
      </c>
      <c r="B191" s="136"/>
      <c r="C191" s="80" t="s">
        <v>371</v>
      </c>
      <c r="D191" s="84">
        <f>(77.08)*10.764</f>
        <v>829.68911999999989</v>
      </c>
      <c r="E191" s="80">
        <v>0</v>
      </c>
      <c r="F191" s="80">
        <f t="shared" si="19"/>
        <v>829.68911999999989</v>
      </c>
      <c r="G191" s="80">
        <v>0</v>
      </c>
      <c r="H191" s="80">
        <f t="shared" si="20"/>
        <v>1244.5336799999998</v>
      </c>
      <c r="I191" s="36"/>
      <c r="L191" s="161"/>
      <c r="M191" s="161"/>
      <c r="N191" s="36"/>
    </row>
    <row r="192" spans="1:20" s="81" customFormat="1" ht="15.75" customHeight="1" x14ac:dyDescent="0.25">
      <c r="A192" s="135">
        <f t="shared" si="18"/>
        <v>6</v>
      </c>
      <c r="B192" s="136"/>
      <c r="C192" s="80" t="s">
        <v>371</v>
      </c>
      <c r="D192" s="84">
        <f>(65.19)*10.764</f>
        <v>701.70515999999998</v>
      </c>
      <c r="E192" s="80">
        <v>0</v>
      </c>
      <c r="F192" s="80">
        <f t="shared" si="19"/>
        <v>701.70515999999998</v>
      </c>
      <c r="G192" s="80">
        <v>0</v>
      </c>
      <c r="H192" s="80">
        <f t="shared" si="20"/>
        <v>1052.55774</v>
      </c>
      <c r="I192" s="36"/>
      <c r="L192" s="161"/>
      <c r="M192" s="161"/>
      <c r="N192" s="36"/>
    </row>
    <row r="193" spans="1:20" s="81" customFormat="1" ht="15.75" customHeight="1" x14ac:dyDescent="0.25">
      <c r="A193" s="135">
        <f t="shared" si="18"/>
        <v>7</v>
      </c>
      <c r="B193" s="136"/>
      <c r="C193" s="80" t="s">
        <v>371</v>
      </c>
      <c r="D193" s="84">
        <f>(64.95)*10.764</f>
        <v>699.12180000000001</v>
      </c>
      <c r="E193" s="80">
        <v>0</v>
      </c>
      <c r="F193" s="80">
        <f t="shared" si="19"/>
        <v>699.12180000000001</v>
      </c>
      <c r="G193" s="80">
        <v>0</v>
      </c>
      <c r="H193" s="80">
        <f t="shared" si="20"/>
        <v>1048.6827000000001</v>
      </c>
      <c r="I193" s="36"/>
      <c r="L193" s="161"/>
      <c r="M193" s="161"/>
      <c r="N193" s="36"/>
      <c r="T193" s="21"/>
    </row>
    <row r="194" spans="1:20" s="81" customFormat="1" ht="15.75" customHeight="1" x14ac:dyDescent="0.25">
      <c r="A194" s="135">
        <f t="shared" si="18"/>
        <v>8</v>
      </c>
      <c r="B194" s="136"/>
      <c r="C194" s="80" t="s">
        <v>370</v>
      </c>
      <c r="D194" s="84">
        <f>(92.56)*10.764</f>
        <v>996.31583999999998</v>
      </c>
      <c r="E194" s="80">
        <v>0</v>
      </c>
      <c r="F194" s="80">
        <f t="shared" si="19"/>
        <v>996.31583999999998</v>
      </c>
      <c r="G194" s="80">
        <v>0</v>
      </c>
      <c r="H194" s="80">
        <f t="shared" si="20"/>
        <v>1494.4737599999999</v>
      </c>
      <c r="I194" s="36"/>
      <c r="L194" s="161"/>
      <c r="M194" s="161"/>
      <c r="N194" s="36"/>
    </row>
    <row r="195" spans="1:20" s="81" customFormat="1" ht="15.75" customHeight="1" x14ac:dyDescent="0.25">
      <c r="A195" s="135">
        <f t="shared" si="18"/>
        <v>9</v>
      </c>
      <c r="B195" s="136"/>
      <c r="C195" s="80" t="s">
        <v>371</v>
      </c>
      <c r="D195" s="84">
        <f>(68.03)*10.764</f>
        <v>732.27491999999995</v>
      </c>
      <c r="E195" s="80">
        <v>0</v>
      </c>
      <c r="F195" s="80">
        <f t="shared" si="19"/>
        <v>732.27491999999995</v>
      </c>
      <c r="G195" s="80">
        <v>0</v>
      </c>
      <c r="H195" s="80">
        <f t="shared" si="20"/>
        <v>1098.41238</v>
      </c>
      <c r="I195" s="36"/>
      <c r="L195" s="161"/>
      <c r="M195" s="161"/>
      <c r="N195" s="36"/>
      <c r="T195" s="21"/>
    </row>
    <row r="196" spans="1:20" s="81" customFormat="1" x14ac:dyDescent="0.25">
      <c r="A196" s="212" t="s">
        <v>375</v>
      </c>
      <c r="B196" s="212"/>
      <c r="C196" s="212"/>
      <c r="D196" s="212"/>
      <c r="E196" s="212"/>
      <c r="F196" s="212"/>
      <c r="G196" s="212"/>
      <c r="H196" s="212"/>
      <c r="J196" s="36"/>
    </row>
    <row r="197" spans="1:20" s="81" customFormat="1" ht="15.75" customHeight="1" x14ac:dyDescent="0.25">
      <c r="A197" s="137">
        <v>1</v>
      </c>
      <c r="B197" s="137"/>
      <c r="C197" s="100" t="s">
        <v>370</v>
      </c>
      <c r="D197" s="84">
        <f>(95.56)*10.764</f>
        <v>1028.6078399999999</v>
      </c>
      <c r="E197" s="100">
        <v>0</v>
      </c>
      <c r="F197" s="100">
        <f>D197+E197</f>
        <v>1028.6078399999999</v>
      </c>
      <c r="G197" s="100">
        <v>0</v>
      </c>
      <c r="H197" s="100">
        <f>F197*(($H$171)+1)+(IF(G197&lt;101,G197,IF(G197&lt;201,G197/2,IF(G197&lt;=301,G197/3,G197/4))))</f>
        <v>1542.91176</v>
      </c>
      <c r="I197" s="36"/>
      <c r="L197" s="161"/>
      <c r="M197" s="161"/>
      <c r="N197" s="36"/>
    </row>
    <row r="198" spans="1:20" s="81" customFormat="1" ht="15.75" customHeight="1" x14ac:dyDescent="0.25">
      <c r="A198" s="137">
        <f t="shared" ref="A198:A205" si="21">A197+1</f>
        <v>2</v>
      </c>
      <c r="B198" s="137"/>
      <c r="C198" s="100" t="s">
        <v>370</v>
      </c>
      <c r="D198" s="84">
        <f>(98.23)*10.764</f>
        <v>1057.34772</v>
      </c>
      <c r="E198" s="100">
        <v>0</v>
      </c>
      <c r="F198" s="100">
        <f>D198+E198</f>
        <v>1057.34772</v>
      </c>
      <c r="G198" s="100">
        <v>0</v>
      </c>
      <c r="H198" s="100">
        <f>F198*(($H$171)+1)+(IF(G198&lt;101,G198,IF(G198&lt;201,G198/2,IF(G198&lt;=301,G198/3,G198/4))))</f>
        <v>1586.0215800000001</v>
      </c>
      <c r="I198" s="36"/>
      <c r="J198" s="36">
        <f>40800000/H198</f>
        <v>25724.744552340831</v>
      </c>
      <c r="L198" s="161"/>
      <c r="M198" s="161"/>
      <c r="N198" s="36"/>
    </row>
    <row r="199" spans="1:20" s="81" customFormat="1" ht="15.75" customHeight="1" x14ac:dyDescent="0.25">
      <c r="A199" s="137">
        <f t="shared" si="21"/>
        <v>3</v>
      </c>
      <c r="B199" s="137"/>
      <c r="C199" s="100" t="s">
        <v>371</v>
      </c>
      <c r="D199" s="84">
        <f>(75.65)*10.764</f>
        <v>814.29660000000001</v>
      </c>
      <c r="E199" s="100">
        <v>0</v>
      </c>
      <c r="F199" s="100">
        <f>D199+E199</f>
        <v>814.29660000000001</v>
      </c>
      <c r="G199" s="100">
        <v>0</v>
      </c>
      <c r="H199" s="100">
        <f>F199*(($H$171)+1)+(IF(G199&lt;101,G199,IF(G199&lt;201,G199/2,IF(G199&lt;=301,G199/3,G199/4))))</f>
        <v>1221.4449</v>
      </c>
      <c r="I199" s="36"/>
      <c r="L199" s="161"/>
      <c r="M199" s="161"/>
      <c r="N199" s="36"/>
    </row>
    <row r="200" spans="1:20" s="81" customFormat="1" ht="15.75" customHeight="1" x14ac:dyDescent="0.25">
      <c r="A200" s="137">
        <f t="shared" si="21"/>
        <v>4</v>
      </c>
      <c r="B200" s="137"/>
      <c r="C200" s="137" t="s">
        <v>373</v>
      </c>
      <c r="D200" s="137"/>
      <c r="E200" s="137"/>
      <c r="F200" s="137"/>
      <c r="G200" s="137"/>
      <c r="H200" s="137"/>
      <c r="I200" s="36"/>
      <c r="L200" s="161"/>
      <c r="M200" s="161"/>
      <c r="N200" s="36"/>
      <c r="T200" s="21"/>
    </row>
    <row r="201" spans="1:20" s="81" customFormat="1" ht="15.75" customHeight="1" x14ac:dyDescent="0.25">
      <c r="A201" s="137">
        <f t="shared" si="21"/>
        <v>5</v>
      </c>
      <c r="B201" s="137"/>
      <c r="C201" s="137"/>
      <c r="D201" s="137"/>
      <c r="E201" s="137"/>
      <c r="F201" s="137"/>
      <c r="G201" s="137"/>
      <c r="H201" s="137"/>
      <c r="I201" s="36"/>
      <c r="L201" s="161"/>
      <c r="M201" s="161"/>
      <c r="N201" s="36"/>
    </row>
    <row r="202" spans="1:20" s="81" customFormat="1" ht="15.75" customHeight="1" x14ac:dyDescent="0.25">
      <c r="A202" s="137">
        <f t="shared" si="21"/>
        <v>6</v>
      </c>
      <c r="B202" s="137"/>
      <c r="C202" s="100" t="s">
        <v>371</v>
      </c>
      <c r="D202" s="84">
        <f>(65.19)*10.764</f>
        <v>701.70515999999998</v>
      </c>
      <c r="E202" s="100">
        <v>0</v>
      </c>
      <c r="F202" s="100">
        <f>D202+E202</f>
        <v>701.70515999999998</v>
      </c>
      <c r="G202" s="100">
        <v>0</v>
      </c>
      <c r="H202" s="100">
        <f>F202*(($H$171)+1)+(IF(G202&lt;101,G202,IF(G202&lt;201,G202/2,IF(G202&lt;=301,G202/3,G202/4))))</f>
        <v>1052.55774</v>
      </c>
      <c r="I202" s="36"/>
      <c r="L202" s="161"/>
      <c r="M202" s="161"/>
      <c r="N202" s="36"/>
    </row>
    <row r="203" spans="1:20" s="81" customFormat="1" ht="15.75" customHeight="1" x14ac:dyDescent="0.25">
      <c r="A203" s="137">
        <f t="shared" si="21"/>
        <v>7</v>
      </c>
      <c r="B203" s="137"/>
      <c r="C203" s="100" t="s">
        <v>371</v>
      </c>
      <c r="D203" s="84">
        <f>(64.95)*10.764</f>
        <v>699.12180000000001</v>
      </c>
      <c r="E203" s="100">
        <v>0</v>
      </c>
      <c r="F203" s="100">
        <f>D203+E203</f>
        <v>699.12180000000001</v>
      </c>
      <c r="G203" s="100">
        <v>0</v>
      </c>
      <c r="H203" s="100">
        <f>F203*(($H$171)+1)+(IF(G203&lt;101,G203,IF(G203&lt;201,G203/2,IF(G203&lt;=301,G203/3,G203/4))))</f>
        <v>1048.6827000000001</v>
      </c>
      <c r="I203" s="36"/>
      <c r="L203" s="161"/>
      <c r="M203" s="161"/>
      <c r="N203" s="36"/>
      <c r="T203" s="21"/>
    </row>
    <row r="204" spans="1:20" s="81" customFormat="1" ht="15.75" customHeight="1" x14ac:dyDescent="0.25">
      <c r="A204" s="135">
        <f t="shared" si="21"/>
        <v>8</v>
      </c>
      <c r="B204" s="136"/>
      <c r="C204" s="80" t="s">
        <v>370</v>
      </c>
      <c r="D204" s="84">
        <f>(92.56)*10.764</f>
        <v>996.31583999999998</v>
      </c>
      <c r="E204" s="80">
        <v>0</v>
      </c>
      <c r="F204" s="80">
        <f>D204+E204</f>
        <v>996.31583999999998</v>
      </c>
      <c r="G204" s="80">
        <v>0</v>
      </c>
      <c r="H204" s="80">
        <f>F204*(($H$171)+1)+(IF(G204&lt;101,G204,IF(G204&lt;201,G204/2,IF(G204&lt;=301,G204/3,G204/4))))</f>
        <v>1494.4737599999999</v>
      </c>
      <c r="I204" s="36"/>
      <c r="L204" s="161"/>
      <c r="M204" s="161"/>
      <c r="N204" s="36"/>
    </row>
    <row r="205" spans="1:20" s="81" customFormat="1" ht="15.75" customHeight="1" x14ac:dyDescent="0.25">
      <c r="A205" s="135">
        <f t="shared" si="21"/>
        <v>9</v>
      </c>
      <c r="B205" s="136"/>
      <c r="C205" s="80" t="s">
        <v>371</v>
      </c>
      <c r="D205" s="84">
        <f>(68.03)*10.764</f>
        <v>732.27491999999995</v>
      </c>
      <c r="E205" s="80">
        <v>0</v>
      </c>
      <c r="F205" s="80">
        <f>D205+E205</f>
        <v>732.27491999999995</v>
      </c>
      <c r="G205" s="80">
        <v>0</v>
      </c>
      <c r="H205" s="80">
        <f>F205*(($H$171)+1)+(IF(G205&lt;101,G205,IF(G205&lt;201,G205/2,IF(G205&lt;=301,G205/3,G205/4))))</f>
        <v>1098.41238</v>
      </c>
      <c r="I205" s="36"/>
      <c r="L205" s="161"/>
      <c r="M205" s="161"/>
      <c r="N205" s="36"/>
      <c r="T205" s="21"/>
    </row>
    <row r="206" spans="1:20" s="81" customFormat="1" x14ac:dyDescent="0.25">
      <c r="A206" s="167" t="s">
        <v>376</v>
      </c>
      <c r="B206" s="168"/>
      <c r="C206" s="168"/>
      <c r="D206" s="168"/>
      <c r="E206" s="168"/>
      <c r="F206" s="168"/>
      <c r="G206" s="168"/>
      <c r="H206" s="169"/>
      <c r="J206" s="36"/>
    </row>
    <row r="207" spans="1:20" s="81" customFormat="1" ht="15.75" customHeight="1" x14ac:dyDescent="0.25">
      <c r="A207" s="135">
        <v>1</v>
      </c>
      <c r="B207" s="136"/>
      <c r="C207" s="80" t="s">
        <v>377</v>
      </c>
      <c r="D207" s="84">
        <f>(173.18)*10.764</f>
        <v>1864.10952</v>
      </c>
      <c r="E207" s="80">
        <v>0</v>
      </c>
      <c r="F207" s="80">
        <f t="shared" ref="F207:F213" si="22">D207+E207</f>
        <v>1864.10952</v>
      </c>
      <c r="G207" s="80">
        <v>0</v>
      </c>
      <c r="H207" s="80">
        <f t="shared" ref="H207:H213" si="23">F207*(($H$171)+1)+(IF(G207&lt;101,G207,IF(G207&lt;201,G207/2,IF(G207&lt;=301,G207/3,G207/4))))</f>
        <v>2796.16428</v>
      </c>
      <c r="I207" s="36"/>
      <c r="L207" s="161"/>
      <c r="M207" s="161"/>
      <c r="N207" s="36"/>
    </row>
    <row r="208" spans="1:20" s="81" customFormat="1" ht="15.75" customHeight="1" x14ac:dyDescent="0.25">
      <c r="A208" s="135">
        <f t="shared" ref="A208:A213" si="24">A207+1</f>
        <v>2</v>
      </c>
      <c r="B208" s="136"/>
      <c r="C208" s="80" t="s">
        <v>370</v>
      </c>
      <c r="D208" s="84">
        <f>(98.23)*10.764</f>
        <v>1057.34772</v>
      </c>
      <c r="E208" s="80">
        <v>0</v>
      </c>
      <c r="F208" s="80">
        <f t="shared" si="22"/>
        <v>1057.34772</v>
      </c>
      <c r="G208" s="80">
        <v>0</v>
      </c>
      <c r="H208" s="80">
        <f t="shared" si="23"/>
        <v>1586.0215800000001</v>
      </c>
      <c r="I208" s="36"/>
      <c r="L208" s="161"/>
      <c r="M208" s="161"/>
      <c r="N208" s="36"/>
    </row>
    <row r="209" spans="1:20" s="81" customFormat="1" ht="15.75" customHeight="1" x14ac:dyDescent="0.25">
      <c r="A209" s="135">
        <f t="shared" si="24"/>
        <v>3</v>
      </c>
      <c r="B209" s="136"/>
      <c r="C209" s="80" t="s">
        <v>377</v>
      </c>
      <c r="D209" s="84">
        <f>(158.2)*10.764</f>
        <v>1702.8647999999998</v>
      </c>
      <c r="E209" s="80">
        <v>0</v>
      </c>
      <c r="F209" s="80">
        <f t="shared" si="22"/>
        <v>1702.8647999999998</v>
      </c>
      <c r="G209" s="80">
        <v>0</v>
      </c>
      <c r="H209" s="80">
        <f t="shared" si="23"/>
        <v>2554.2972</v>
      </c>
      <c r="I209" s="36"/>
      <c r="L209" s="161"/>
      <c r="M209" s="161"/>
      <c r="N209" s="36"/>
    </row>
    <row r="210" spans="1:20" s="81" customFormat="1" ht="15.75" customHeight="1" x14ac:dyDescent="0.25">
      <c r="A210" s="135">
        <f t="shared" si="24"/>
        <v>4</v>
      </c>
      <c r="B210" s="136"/>
      <c r="C210" s="80" t="s">
        <v>371</v>
      </c>
      <c r="D210" s="84">
        <f>(77.08)*10.764</f>
        <v>829.68911999999989</v>
      </c>
      <c r="E210" s="80">
        <v>0</v>
      </c>
      <c r="F210" s="80">
        <f t="shared" si="22"/>
        <v>829.68911999999989</v>
      </c>
      <c r="G210" s="80">
        <v>0</v>
      </c>
      <c r="H210" s="80">
        <f t="shared" si="23"/>
        <v>1244.5336799999998</v>
      </c>
      <c r="I210" s="36"/>
      <c r="L210" s="161"/>
      <c r="M210" s="161"/>
      <c r="N210" s="36"/>
      <c r="T210" s="21"/>
    </row>
    <row r="211" spans="1:20" s="81" customFormat="1" ht="15.75" customHeight="1" x14ac:dyDescent="0.25">
      <c r="A211" s="135">
        <f t="shared" si="24"/>
        <v>5</v>
      </c>
      <c r="B211" s="136"/>
      <c r="C211" s="80" t="s">
        <v>371</v>
      </c>
      <c r="D211" s="84">
        <f>(65.19)*10.764</f>
        <v>701.70515999999998</v>
      </c>
      <c r="E211" s="80">
        <v>0</v>
      </c>
      <c r="F211" s="80">
        <f t="shared" si="22"/>
        <v>701.70515999999998</v>
      </c>
      <c r="G211" s="80">
        <v>0</v>
      </c>
      <c r="H211" s="80">
        <f t="shared" si="23"/>
        <v>1052.55774</v>
      </c>
      <c r="I211" s="36"/>
      <c r="L211" s="161"/>
      <c r="M211" s="161"/>
      <c r="N211" s="36"/>
    </row>
    <row r="212" spans="1:20" s="81" customFormat="1" ht="15.75" customHeight="1" x14ac:dyDescent="0.25">
      <c r="A212" s="135">
        <f t="shared" si="24"/>
        <v>6</v>
      </c>
      <c r="B212" s="136"/>
      <c r="C212" s="80" t="s">
        <v>371</v>
      </c>
      <c r="D212" s="84">
        <f>(64.95)*10.764</f>
        <v>699.12180000000001</v>
      </c>
      <c r="E212" s="80">
        <v>0</v>
      </c>
      <c r="F212" s="80">
        <f t="shared" si="22"/>
        <v>699.12180000000001</v>
      </c>
      <c r="G212" s="80">
        <v>0</v>
      </c>
      <c r="H212" s="80">
        <f t="shared" si="23"/>
        <v>1048.6827000000001</v>
      </c>
      <c r="I212" s="36"/>
      <c r="L212" s="161"/>
      <c r="M212" s="161"/>
      <c r="N212" s="36"/>
    </row>
    <row r="213" spans="1:20" s="81" customFormat="1" ht="15.75" customHeight="1" x14ac:dyDescent="0.25">
      <c r="A213" s="135">
        <f t="shared" si="24"/>
        <v>7</v>
      </c>
      <c r="B213" s="136"/>
      <c r="C213" s="80" t="s">
        <v>370</v>
      </c>
      <c r="D213" s="84">
        <f>(92.56)*10.764</f>
        <v>996.31583999999998</v>
      </c>
      <c r="E213" s="80">
        <v>0</v>
      </c>
      <c r="F213" s="80">
        <f t="shared" si="22"/>
        <v>996.31583999999998</v>
      </c>
      <c r="G213" s="80">
        <v>0</v>
      </c>
      <c r="H213" s="80">
        <f t="shared" si="23"/>
        <v>1494.4737599999999</v>
      </c>
      <c r="I213" s="36"/>
      <c r="L213" s="161"/>
      <c r="M213" s="161"/>
      <c r="N213" s="36"/>
      <c r="T213" s="21"/>
    </row>
    <row r="214" spans="1:20" s="37" customFormat="1" hidden="1" x14ac:dyDescent="0.25">
      <c r="A214" s="167" t="s">
        <v>117</v>
      </c>
      <c r="B214" s="168"/>
      <c r="C214" s="168"/>
      <c r="D214" s="168"/>
      <c r="E214" s="168"/>
      <c r="F214" s="168"/>
      <c r="G214" s="168"/>
      <c r="H214" s="169"/>
      <c r="J214" s="36"/>
    </row>
    <row r="215" spans="1:20" s="37" customFormat="1" ht="15.75" hidden="1" customHeight="1" x14ac:dyDescent="0.25">
      <c r="A215" s="135">
        <v>1</v>
      </c>
      <c r="B215" s="136"/>
      <c r="C215" s="42"/>
      <c r="D215" s="42"/>
      <c r="E215" s="42">
        <v>0</v>
      </c>
      <c r="F215" s="42">
        <f>D215+E215</f>
        <v>0</v>
      </c>
      <c r="G215" s="57">
        <v>0</v>
      </c>
      <c r="H215" s="57">
        <f>F215*(($H$171)+1)+(IF(G215&lt;101,G215,IF(G215&lt;201,G215/2,IF(G215&lt;=301,G215/3,G215/4))))</f>
        <v>0</v>
      </c>
      <c r="I215" s="36"/>
      <c r="L215" s="161"/>
      <c r="M215" s="161"/>
      <c r="N215" s="36"/>
    </row>
    <row r="216" spans="1:20" s="37" customFormat="1" ht="15.75" hidden="1" customHeight="1" x14ac:dyDescent="0.25">
      <c r="A216" s="135">
        <f>A215+1</f>
        <v>2</v>
      </c>
      <c r="B216" s="136"/>
      <c r="C216" s="42"/>
      <c r="D216" s="42"/>
      <c r="E216" s="42">
        <v>0</v>
      </c>
      <c r="F216" s="57">
        <f>D216+E216</f>
        <v>0</v>
      </c>
      <c r="G216" s="57">
        <v>0</v>
      </c>
      <c r="H216" s="57">
        <f>F216*(($H$171)+1)+(IF(G216&lt;101,G216,IF(G216&lt;201,G216/2,IF(G216&lt;=301,G216/3,G216/4))))</f>
        <v>0</v>
      </c>
      <c r="I216" s="36"/>
      <c r="L216" s="161"/>
      <c r="M216" s="161"/>
      <c r="N216" s="36"/>
    </row>
    <row r="217" spans="1:20" s="37" customFormat="1" ht="15.75" hidden="1" customHeight="1" x14ac:dyDescent="0.25">
      <c r="A217" s="135">
        <f>A216+1</f>
        <v>3</v>
      </c>
      <c r="B217" s="136"/>
      <c r="C217" s="42"/>
      <c r="D217" s="42"/>
      <c r="E217" s="42">
        <v>0</v>
      </c>
      <c r="F217" s="57">
        <f>D217+E217</f>
        <v>0</v>
      </c>
      <c r="G217" s="57">
        <v>0</v>
      </c>
      <c r="H217" s="57">
        <f>F217*(($H$171)+1)+(IF(G217&lt;101,G217,IF(G217&lt;201,G217/2,IF(G217&lt;=301,G217/3,G217/4))))</f>
        <v>0</v>
      </c>
      <c r="I217" s="36"/>
      <c r="L217" s="161"/>
      <c r="M217" s="161"/>
      <c r="N217" s="36"/>
    </row>
    <row r="218" spans="1:20" s="37" customFormat="1" ht="15.75" hidden="1" customHeight="1" x14ac:dyDescent="0.25">
      <c r="A218" s="135">
        <f>A217+1</f>
        <v>4</v>
      </c>
      <c r="B218" s="136"/>
      <c r="C218" s="42"/>
      <c r="D218" s="42"/>
      <c r="E218" s="42">
        <v>0</v>
      </c>
      <c r="F218" s="57">
        <f>D218+E218</f>
        <v>0</v>
      </c>
      <c r="G218" s="57">
        <v>0</v>
      </c>
      <c r="H218" s="57">
        <f>F218*(($H$171)+1)+(IF(G218&lt;101,G218,IF(G218&lt;201,G218/2,IF(G218&lt;=301,G218/3,G218/4))))</f>
        <v>0</v>
      </c>
      <c r="I218" s="36"/>
      <c r="L218" s="161"/>
      <c r="M218" s="161"/>
      <c r="N218" s="36"/>
      <c r="T218" s="21"/>
    </row>
    <row r="219" spans="1:20" s="37" customFormat="1" hidden="1" x14ac:dyDescent="0.25">
      <c r="A219" s="212" t="s">
        <v>118</v>
      </c>
      <c r="B219" s="212"/>
      <c r="C219" s="212"/>
      <c r="D219" s="212"/>
      <c r="E219" s="212"/>
      <c r="F219" s="212"/>
      <c r="G219" s="212"/>
      <c r="H219" s="212"/>
      <c r="I219" s="36"/>
      <c r="L219" s="161"/>
      <c r="M219" s="161"/>
    </row>
    <row r="220" spans="1:20" s="37" customFormat="1" hidden="1" x14ac:dyDescent="0.25">
      <c r="A220" s="137">
        <f>LEFT(A219,SUM(LEN(A219)-LEN(SUBSTITUTE(A219,{"0","1","2","3","4","5","6","7","8","9"},""))))*100+1</f>
        <v>201</v>
      </c>
      <c r="B220" s="137"/>
      <c r="C220" s="42"/>
      <c r="D220" s="42"/>
      <c r="E220" s="57">
        <v>0</v>
      </c>
      <c r="F220" s="57">
        <f>D220+E220</f>
        <v>0</v>
      </c>
      <c r="G220" s="57">
        <v>0</v>
      </c>
      <c r="H220" s="57">
        <f>F220*(($H$171)+1)+(IF(G220&lt;101,G220,IF(G220&lt;201,G220/2,IF(G220&lt;=301,G220/3,G220/4))))</f>
        <v>0</v>
      </c>
      <c r="I220" s="36"/>
      <c r="N220" s="36"/>
    </row>
    <row r="221" spans="1:20" s="37" customFormat="1" hidden="1" x14ac:dyDescent="0.25">
      <c r="A221" s="137">
        <f>A220+1</f>
        <v>202</v>
      </c>
      <c r="B221" s="137"/>
      <c r="C221" s="42"/>
      <c r="D221" s="42"/>
      <c r="E221" s="57">
        <v>0</v>
      </c>
      <c r="F221" s="57">
        <f>D221+E221</f>
        <v>0</v>
      </c>
      <c r="G221" s="57">
        <v>0</v>
      </c>
      <c r="H221" s="57">
        <f>F221*(($H$171)+1)+(IF(G221&lt;101,G221,IF(G221&lt;201,G221/2,IF(G221&lt;=301,G221/3,G221/4))))</f>
        <v>0</v>
      </c>
      <c r="I221" s="36"/>
      <c r="N221" s="36"/>
    </row>
    <row r="222" spans="1:20" s="37" customFormat="1" hidden="1" x14ac:dyDescent="0.25">
      <c r="A222" s="137">
        <f>A221+1</f>
        <v>203</v>
      </c>
      <c r="B222" s="137"/>
      <c r="C222" s="42"/>
      <c r="D222" s="42"/>
      <c r="E222" s="57">
        <v>0</v>
      </c>
      <c r="F222" s="57">
        <f>D222+E222</f>
        <v>0</v>
      </c>
      <c r="G222" s="57">
        <v>0</v>
      </c>
      <c r="H222" s="57">
        <f>F222*(($H$171)+1)+(IF(G222&lt;101,G222,IF(G222&lt;201,G222/2,IF(G222&lt;=301,G222/3,G222/4))))</f>
        <v>0</v>
      </c>
      <c r="I222" s="36"/>
      <c r="N222" s="36"/>
    </row>
    <row r="223" spans="1:20" s="37" customFormat="1" hidden="1" x14ac:dyDescent="0.25">
      <c r="A223" s="137">
        <f>A222+1</f>
        <v>204</v>
      </c>
      <c r="B223" s="137"/>
      <c r="C223" s="42"/>
      <c r="D223" s="42"/>
      <c r="E223" s="57">
        <v>0</v>
      </c>
      <c r="F223" s="57">
        <f>D223+E223</f>
        <v>0</v>
      </c>
      <c r="G223" s="57">
        <v>0</v>
      </c>
      <c r="H223" s="57">
        <f>F223*(($H$171)+1)+(IF(G223&lt;101,G223,IF(G223&lt;201,G223/2,IF(G223&lt;=301,G223/3,G223/4))))</f>
        <v>0</v>
      </c>
      <c r="I223" s="36"/>
      <c r="N223" s="36"/>
    </row>
    <row r="224" spans="1:20" s="37" customFormat="1" hidden="1" x14ac:dyDescent="0.25">
      <c r="A224" s="137">
        <f>A223+1</f>
        <v>205</v>
      </c>
      <c r="B224" s="137"/>
      <c r="C224" s="42"/>
      <c r="D224" s="42"/>
      <c r="E224" s="57">
        <v>0</v>
      </c>
      <c r="F224" s="57">
        <f>D224+E224</f>
        <v>0</v>
      </c>
      <c r="G224" s="57">
        <v>0</v>
      </c>
      <c r="H224" s="57">
        <f>F224*(($H$171)+1)+(IF(G224&lt;101,G224,IF(G224&lt;201,G224/2,IF(G224&lt;=301,G224/3,G224/4))))</f>
        <v>0</v>
      </c>
      <c r="I224" s="36"/>
      <c r="N224" s="36"/>
    </row>
    <row r="225" spans="1:9" s="37" customFormat="1" ht="15.75" hidden="1" customHeight="1" x14ac:dyDescent="0.25">
      <c r="A225" s="167" t="s">
        <v>151</v>
      </c>
      <c r="B225" s="168"/>
      <c r="C225" s="168"/>
      <c r="D225" s="168"/>
      <c r="E225" s="168"/>
      <c r="F225" s="168"/>
      <c r="G225" s="168"/>
      <c r="H225" s="169"/>
      <c r="I225" s="36"/>
    </row>
    <row r="226" spans="1:9" s="37" customFormat="1" ht="15.75" hidden="1" customHeight="1" x14ac:dyDescent="0.25">
      <c r="A226" s="135" t="str">
        <f ca="1">(SUMPRODUCT(MID(0&amp;(LEFT(A225,SUM(LEN(A225)-LEN(SUBSTITUTE(A225,{"0","1","2"},""))))), LARGE(INDEX(ISNUMBER(--MID((LEFT(A225,SUM(LEN(A225)-LEN(SUBSTITUTE(A225,{"0","1","2"},""))))), ROW(INDIRECT("1:"&amp;LEN((LEFT(A225,SUM(LEN(A225)-LEN(SUBSTITUTE(A225,{"0","1","2"},"")))))))), 1)) * ROW(INDIRECT("1:"&amp;LEN((LEFT(A225,SUM(LEN(A225)-LEN(SUBSTITUTE(A225,{"0","1","2"},"")))))))), 0), ROW(INDIRECT("1:"&amp;LEN((LEFT(A225,SUM(LEN(A225)-LEN(SUBSTITUTE(A225,{"0","1","2"},"")))))))))+1, 1) * 10^ROW(INDIRECT("1:"&amp;LEN((LEFT(A225,SUM(LEN(A225)-LEN(SUBSTITUTE(A225,{"0","1","2"},""))))))))/10))*100+1&amp;""&amp;" ,.., "&amp;""&amp;(SUMPRODUCT(MID(0&amp;(--TRIM(RIGHT(SUBSTITUTE(LEFT(A225,_xlfn.AGGREGATE(16,6,FIND({0,1,2,3,4,5,6,7,8,9},A225,ROW(INDIRECT("1:"&amp;LEN(A225)))),1))," ",REPT(" ",LEN(A225))),LEN(A225)))), LARGE(INDEX(ISNUMBER(--MID((--TRIM(RIGHT(SUBSTITUTE(LEFT(A225,_xlfn.AGGREGATE(16,6,FIND({0,1,2,3,4,5,6,7,8,9},A225,ROW(INDIRECT("1:"&amp;LEN(A225)))),1))," ",REPT(" ",LEN(A225))),LEN(A225)))), ROW(INDIRECT("1:"&amp;LEN((--TRIM(RIGHT(SUBSTITUTE(LEFT(A225,_xlfn.AGGREGATE(16,6,FIND({0,1,2,3,4,5,6,7,8,9},A225,ROW(INDIRECT("1:"&amp;LEN(A225)))),1))," ",REPT(" ",LEN(A225))),LEN(A225))))))), 1)) * ROW(INDIRECT("1:"&amp;LEN((--TRIM(RIGHT(SUBSTITUTE(LEFT(A225,_xlfn.AGGREGATE(16,6,FIND({0,1,2,3,4,5,6,7,8,9},A225,ROW(INDIRECT("1:"&amp;LEN(A225)))),1))," ",REPT(" ",LEN(A225))),LEN(A225))))))), 0), ROW(INDIRECT("1:"&amp;LEN((--TRIM(RIGHT(SUBSTITUTE(LEFT(A225,_xlfn.AGGREGATE(16,6,FIND({0,1,2,3,4,5,6,7,8,9},A225,ROW(INDIRECT("1:"&amp;LEN(A225)))),1))," ",REPT(" ",LEN(A225))),LEN(A225))))))))+1, 1) * 10^ROW(INDIRECT("1:"&amp;LEN((--TRIM(RIGHT(SUBSTITUTE(LEFT(A225,_xlfn.AGGREGATE(16,6,FIND({0,1,2,3,4,5,6,7,8,9},A225,ROW(INDIRECT("1:"&amp;LEN(A225)))),1))," ",REPT(" ",LEN(A225))),LEN(A225)))))))/10))*100+1</f>
        <v>301 ,.., 1501</v>
      </c>
      <c r="B226" s="136"/>
      <c r="C226" s="42"/>
      <c r="D226" s="42"/>
      <c r="E226" s="57">
        <v>0</v>
      </c>
      <c r="F226" s="57">
        <f>D226+E226</f>
        <v>0</v>
      </c>
      <c r="G226" s="57">
        <v>0</v>
      </c>
      <c r="H226" s="57">
        <f>F226*(($H$171)+1)+(IF(G226&lt;101,G226,IF(G226&lt;201,G226/2,IF(G226&lt;=301,G226/3,G226/4))))</f>
        <v>0</v>
      </c>
      <c r="I226" s="36"/>
    </row>
    <row r="227" spans="1:9" s="37" customFormat="1" ht="15.75" hidden="1" customHeight="1" x14ac:dyDescent="0.25">
      <c r="A227" s="135" t="str">
        <f ca="1">(SUMPRODUCT(MID(0&amp;(LEFT(A226,SUM(LEN(A226)-LEN(SUBSTITUTE(A226,{"0","1","2"},""))))), LARGE(INDEX(ISNUMBER(--MID((LEFT(A226,SUM(LEN(A226)-LEN(SUBSTITUTE(A226,{"0","1","2"},""))))), ROW(INDIRECT("1:"&amp;LEN((LEFT(A226,SUM(LEN(A226)-LEN(SUBSTITUTE(A226,{"0","1","2"},"")))))))), 1)) * ROW(INDIRECT("1:"&amp;LEN((LEFT(A226,SUM(LEN(A226)-LEN(SUBSTITUTE(A226,{"0","1","2"},"")))))))), 0), ROW(INDIRECT("1:"&amp;LEN((LEFT(A226,SUM(LEN(A226)-LEN(SUBSTITUTE(A226,{"0","1","2"},"")))))))))+1, 1) * 10^ROW(INDIRECT("1:"&amp;LEN((LEFT(A226,SUM(LEN(A226)-LEN(SUBSTITUTE(A226,{"0","1","2"},""))))))))/10))*1+1&amp;""&amp;" ,.., "&amp;""&amp;(SUMPRODUCT(MID(0&amp;(--TRIM(RIGHT(SUBSTITUTE(LEFT(A226,_xlfn.AGGREGATE(16,6,FIND({0,1,2,3,4,5,6,7,8,9},A226,ROW(INDIRECT("1:"&amp;LEN(A226)))),1))," ",REPT(" ",LEN(A226))),LEN(A226)))), LARGE(INDEX(ISNUMBER(--MID((--TRIM(RIGHT(SUBSTITUTE(LEFT(A226,_xlfn.AGGREGATE(16,6,FIND({0,1,2,3,4,5,6,7,8,9},A226,ROW(INDIRECT("1:"&amp;LEN(A226)))),1))," ",REPT(" ",LEN(A226))),LEN(A226)))), ROW(INDIRECT("1:"&amp;LEN((--TRIM(RIGHT(SUBSTITUTE(LEFT(A226,_xlfn.AGGREGATE(16,6,FIND({0,1,2,3,4,5,6,7,8,9},A226,ROW(INDIRECT("1:"&amp;LEN(A226)))),1))," ",REPT(" ",LEN(A226))),LEN(A226))))))), 1)) * ROW(INDIRECT("1:"&amp;LEN((--TRIM(RIGHT(SUBSTITUTE(LEFT(A226,_xlfn.AGGREGATE(16,6,FIND({0,1,2,3,4,5,6,7,8,9},A226,ROW(INDIRECT("1:"&amp;LEN(A226)))),1))," ",REPT(" ",LEN(A226))),LEN(A226))))))), 0), ROW(INDIRECT("1:"&amp;LEN((--TRIM(RIGHT(SUBSTITUTE(LEFT(A226,_xlfn.AGGREGATE(16,6,FIND({0,1,2,3,4,5,6,7,8,9},A226,ROW(INDIRECT("1:"&amp;LEN(A226)))),1))," ",REPT(" ",LEN(A226))),LEN(A226))))))))+1, 1) * 10^ROW(INDIRECT("1:"&amp;LEN((--TRIM(RIGHT(SUBSTITUTE(LEFT(A226,_xlfn.AGGREGATE(16,6,FIND({0,1,2,3,4,5,6,7,8,9},A226,ROW(INDIRECT("1:"&amp;LEN(A226)))),1))," ",REPT(" ",LEN(A226))),LEN(A226)))))))/10))*1+1</f>
        <v>302 ,.., 1502</v>
      </c>
      <c r="B227" s="136"/>
      <c r="C227" s="42"/>
      <c r="D227" s="42"/>
      <c r="E227" s="57">
        <v>0</v>
      </c>
      <c r="F227" s="57">
        <f>D227+E227</f>
        <v>0</v>
      </c>
      <c r="G227" s="57">
        <v>0</v>
      </c>
      <c r="H227" s="57">
        <f>F227*(($H$171)+1)+(IF(G227&lt;101,G227,IF(G227&lt;201,G227/2,IF(G227&lt;=301,G227/3,G227/4))))</f>
        <v>0</v>
      </c>
      <c r="I227" s="36"/>
    </row>
    <row r="228" spans="1:9" s="37" customFormat="1" ht="15.75" hidden="1" customHeight="1" x14ac:dyDescent="0.25">
      <c r="A228" s="135" t="str">
        <f ca="1">(SUMPRODUCT(MID(0&amp;(LEFT(A227,SUM(LEN(A227)-LEN(SUBSTITUTE(A227,{"0","1","2"},""))))), LARGE(INDEX(ISNUMBER(--MID((LEFT(A227,SUM(LEN(A227)-LEN(SUBSTITUTE(A227,{"0","1","2"},""))))), ROW(INDIRECT("1:"&amp;LEN((LEFT(A227,SUM(LEN(A227)-LEN(SUBSTITUTE(A227,{"0","1","2"},"")))))))), 1)) * ROW(INDIRECT("1:"&amp;LEN((LEFT(A227,SUM(LEN(A227)-LEN(SUBSTITUTE(A227,{"0","1","2"},"")))))))), 0), ROW(INDIRECT("1:"&amp;LEN((LEFT(A227,SUM(LEN(A227)-LEN(SUBSTITUTE(A227,{"0","1","2"},"")))))))))+1, 1) * 10^ROW(INDIRECT("1:"&amp;LEN((LEFT(A227,SUM(LEN(A227)-LEN(SUBSTITUTE(A227,{"0","1","2"},""))))))))/10))*1+1&amp;""&amp;" ,.., "&amp;""&amp;(SUMPRODUCT(MID(0&amp;(--TRIM(RIGHT(SUBSTITUTE(LEFT(A227,_xlfn.AGGREGATE(16,6,FIND({0,1,2,3,4,5,6,7,8,9},A227,ROW(INDIRECT("1:"&amp;LEN(A227)))),1))," ",REPT(" ",LEN(A227))),LEN(A227)))), LARGE(INDEX(ISNUMBER(--MID((--TRIM(RIGHT(SUBSTITUTE(LEFT(A227,_xlfn.AGGREGATE(16,6,FIND({0,1,2,3,4,5,6,7,8,9},A227,ROW(INDIRECT("1:"&amp;LEN(A227)))),1))," ",REPT(" ",LEN(A227))),LEN(A227)))), ROW(INDIRECT("1:"&amp;LEN((--TRIM(RIGHT(SUBSTITUTE(LEFT(A227,_xlfn.AGGREGATE(16,6,FIND({0,1,2,3,4,5,6,7,8,9},A227,ROW(INDIRECT("1:"&amp;LEN(A227)))),1))," ",REPT(" ",LEN(A227))),LEN(A227))))))), 1)) * ROW(INDIRECT("1:"&amp;LEN((--TRIM(RIGHT(SUBSTITUTE(LEFT(A227,_xlfn.AGGREGATE(16,6,FIND({0,1,2,3,4,5,6,7,8,9},A227,ROW(INDIRECT("1:"&amp;LEN(A227)))),1))," ",REPT(" ",LEN(A227))),LEN(A227))))))), 0), ROW(INDIRECT("1:"&amp;LEN((--TRIM(RIGHT(SUBSTITUTE(LEFT(A227,_xlfn.AGGREGATE(16,6,FIND({0,1,2,3,4,5,6,7,8,9},A227,ROW(INDIRECT("1:"&amp;LEN(A227)))),1))," ",REPT(" ",LEN(A227))),LEN(A227))))))))+1, 1) * 10^ROW(INDIRECT("1:"&amp;LEN((--TRIM(RIGHT(SUBSTITUTE(LEFT(A227,_xlfn.AGGREGATE(16,6,FIND({0,1,2,3,4,5,6,7,8,9},A227,ROW(INDIRECT("1:"&amp;LEN(A227)))),1))," ",REPT(" ",LEN(A227))),LEN(A227)))))))/10))*1+1</f>
        <v>303 ,.., 1503</v>
      </c>
      <c r="B228" s="136"/>
      <c r="C228" s="42"/>
      <c r="D228" s="42"/>
      <c r="E228" s="57">
        <v>0</v>
      </c>
      <c r="F228" s="57">
        <f>D228+E228</f>
        <v>0</v>
      </c>
      <c r="G228" s="57">
        <v>0</v>
      </c>
      <c r="H228" s="57">
        <f>F228*(($H$171)+1)+(IF(G228&lt;101,G228,IF(G228&lt;201,G228/2,IF(G228&lt;=301,G228/3,G228/4))))</f>
        <v>0</v>
      </c>
      <c r="I228" s="36"/>
    </row>
    <row r="229" spans="1:9" s="37" customFormat="1" ht="15.75" hidden="1" customHeight="1" x14ac:dyDescent="0.25">
      <c r="A229" s="135" t="str">
        <f ca="1">(SUMPRODUCT(MID(0&amp;(LEFT(A228,SUM(LEN(A228)-LEN(SUBSTITUTE(A228,{"0","1","2"},""))))), LARGE(INDEX(ISNUMBER(--MID((LEFT(A228,SUM(LEN(A228)-LEN(SUBSTITUTE(A228,{"0","1","2"},""))))), ROW(INDIRECT("1:"&amp;LEN((LEFT(A228,SUM(LEN(A228)-LEN(SUBSTITUTE(A228,{"0","1","2"},"")))))))), 1)) * ROW(INDIRECT("1:"&amp;LEN((LEFT(A228,SUM(LEN(A228)-LEN(SUBSTITUTE(A228,{"0","1","2"},"")))))))), 0), ROW(INDIRECT("1:"&amp;LEN((LEFT(A228,SUM(LEN(A228)-LEN(SUBSTITUTE(A228,{"0","1","2"},"")))))))))+1, 1) * 10^ROW(INDIRECT("1:"&amp;LEN((LEFT(A228,SUM(LEN(A228)-LEN(SUBSTITUTE(A228,{"0","1","2"},""))))))))/10))*1+1&amp;""&amp;" ,.., "&amp;""&amp;(SUMPRODUCT(MID(0&amp;(--TRIM(RIGHT(SUBSTITUTE(LEFT(A228,_xlfn.AGGREGATE(16,6,FIND({0,1,2,3,4,5,6,7,8,9},A228,ROW(INDIRECT("1:"&amp;LEN(A228)))),1))," ",REPT(" ",LEN(A228))),LEN(A228)))), LARGE(INDEX(ISNUMBER(--MID((--TRIM(RIGHT(SUBSTITUTE(LEFT(A228,_xlfn.AGGREGATE(16,6,FIND({0,1,2,3,4,5,6,7,8,9},A228,ROW(INDIRECT("1:"&amp;LEN(A228)))),1))," ",REPT(" ",LEN(A228))),LEN(A228)))), ROW(INDIRECT("1:"&amp;LEN((--TRIM(RIGHT(SUBSTITUTE(LEFT(A228,_xlfn.AGGREGATE(16,6,FIND({0,1,2,3,4,5,6,7,8,9},A228,ROW(INDIRECT("1:"&amp;LEN(A228)))),1))," ",REPT(" ",LEN(A228))),LEN(A228))))))), 1)) * ROW(INDIRECT("1:"&amp;LEN((--TRIM(RIGHT(SUBSTITUTE(LEFT(A228,_xlfn.AGGREGATE(16,6,FIND({0,1,2,3,4,5,6,7,8,9},A228,ROW(INDIRECT("1:"&amp;LEN(A228)))),1))," ",REPT(" ",LEN(A228))),LEN(A228))))))), 0), ROW(INDIRECT("1:"&amp;LEN((--TRIM(RIGHT(SUBSTITUTE(LEFT(A228,_xlfn.AGGREGATE(16,6,FIND({0,1,2,3,4,5,6,7,8,9},A228,ROW(INDIRECT("1:"&amp;LEN(A228)))),1))," ",REPT(" ",LEN(A228))),LEN(A228))))))))+1, 1) * 10^ROW(INDIRECT("1:"&amp;LEN((--TRIM(RIGHT(SUBSTITUTE(LEFT(A228,_xlfn.AGGREGATE(16,6,FIND({0,1,2,3,4,5,6,7,8,9},A228,ROW(INDIRECT("1:"&amp;LEN(A228)))),1))," ",REPT(" ",LEN(A228))),LEN(A228)))))))/10))*1+1</f>
        <v>304 ,.., 1504</v>
      </c>
      <c r="B229" s="136"/>
      <c r="C229" s="42"/>
      <c r="D229" s="42"/>
      <c r="E229" s="57">
        <v>0</v>
      </c>
      <c r="F229" s="57">
        <f>D229+E229</f>
        <v>0</v>
      </c>
      <c r="G229" s="57">
        <v>0</v>
      </c>
      <c r="H229" s="57">
        <f>F229*(($H$171)+1)+(IF(G229&lt;101,G229,IF(G229&lt;201,G229/2,IF(G229&lt;=301,G229/3,G229/4))))</f>
        <v>0</v>
      </c>
      <c r="I229" s="36"/>
    </row>
    <row r="230" spans="1:9" s="37" customFormat="1" ht="15.75" hidden="1" customHeight="1" x14ac:dyDescent="0.25">
      <c r="A230" s="135" t="str">
        <f ca="1">(SUMPRODUCT(MID(0&amp;(LEFT(A229,SUM(LEN(A229)-LEN(SUBSTITUTE(A229,{"0","1","2"},""))))), LARGE(INDEX(ISNUMBER(--MID((LEFT(A229,SUM(LEN(A229)-LEN(SUBSTITUTE(A229,{"0","1","2"},""))))), ROW(INDIRECT("1:"&amp;LEN((LEFT(A229,SUM(LEN(A229)-LEN(SUBSTITUTE(A229,{"0","1","2"},"")))))))), 1)) * ROW(INDIRECT("1:"&amp;LEN((LEFT(A229,SUM(LEN(A229)-LEN(SUBSTITUTE(A229,{"0","1","2"},"")))))))), 0), ROW(INDIRECT("1:"&amp;LEN((LEFT(A229,SUM(LEN(A229)-LEN(SUBSTITUTE(A229,{"0","1","2"},"")))))))))+1, 1) * 10^ROW(INDIRECT("1:"&amp;LEN((LEFT(A229,SUM(LEN(A229)-LEN(SUBSTITUTE(A229,{"0","1","2"},""))))))))/10))*1+1&amp;""&amp;" ,.., "&amp;""&amp;(SUMPRODUCT(MID(0&amp;(--TRIM(RIGHT(SUBSTITUTE(LEFT(A229,_xlfn.AGGREGATE(16,6,FIND({0,1,2,3,4,5,6,7,8,9},A229,ROW(INDIRECT("1:"&amp;LEN(A229)))),1))," ",REPT(" ",LEN(A229))),LEN(A229)))), LARGE(INDEX(ISNUMBER(--MID((--TRIM(RIGHT(SUBSTITUTE(LEFT(A229,_xlfn.AGGREGATE(16,6,FIND({0,1,2,3,4,5,6,7,8,9},A229,ROW(INDIRECT("1:"&amp;LEN(A229)))),1))," ",REPT(" ",LEN(A229))),LEN(A229)))), ROW(INDIRECT("1:"&amp;LEN((--TRIM(RIGHT(SUBSTITUTE(LEFT(A229,_xlfn.AGGREGATE(16,6,FIND({0,1,2,3,4,5,6,7,8,9},A229,ROW(INDIRECT("1:"&amp;LEN(A229)))),1))," ",REPT(" ",LEN(A229))),LEN(A229))))))), 1)) * ROW(INDIRECT("1:"&amp;LEN((--TRIM(RIGHT(SUBSTITUTE(LEFT(A229,_xlfn.AGGREGATE(16,6,FIND({0,1,2,3,4,5,6,7,8,9},A229,ROW(INDIRECT("1:"&amp;LEN(A229)))),1))," ",REPT(" ",LEN(A229))),LEN(A229))))))), 0), ROW(INDIRECT("1:"&amp;LEN((--TRIM(RIGHT(SUBSTITUTE(LEFT(A229,_xlfn.AGGREGATE(16,6,FIND({0,1,2,3,4,5,6,7,8,9},A229,ROW(INDIRECT("1:"&amp;LEN(A229)))),1))," ",REPT(" ",LEN(A229))),LEN(A229))))))))+1, 1) * 10^ROW(INDIRECT("1:"&amp;LEN((--TRIM(RIGHT(SUBSTITUTE(LEFT(A229,_xlfn.AGGREGATE(16,6,FIND({0,1,2,3,4,5,6,7,8,9},A229,ROW(INDIRECT("1:"&amp;LEN(A229)))),1))," ",REPT(" ",LEN(A229))),LEN(A229)))))))/10))*1+1</f>
        <v>305 ,.., 1505</v>
      </c>
      <c r="B230" s="136"/>
      <c r="C230" s="42"/>
      <c r="D230" s="42"/>
      <c r="E230" s="57">
        <v>0</v>
      </c>
      <c r="F230" s="57">
        <f>D230+E230</f>
        <v>0</v>
      </c>
      <c r="G230" s="57">
        <v>0</v>
      </c>
      <c r="H230" s="57">
        <f>F230*(($H$171)+1)+(IF(G230&lt;101,G230,IF(G230&lt;201,G230/2,IF(G230&lt;=301,G230/3,G230/4))))</f>
        <v>0</v>
      </c>
      <c r="I230" s="36"/>
    </row>
    <row r="231" spans="1:9" s="37" customFormat="1" hidden="1" x14ac:dyDescent="0.25">
      <c r="A231" s="167" t="s">
        <v>145</v>
      </c>
      <c r="B231" s="168"/>
      <c r="C231" s="168"/>
      <c r="D231" s="168"/>
      <c r="E231" s="168"/>
      <c r="F231" s="168"/>
      <c r="G231" s="168"/>
      <c r="H231" s="169"/>
      <c r="I231" s="36"/>
    </row>
    <row r="232" spans="1:9" s="37" customFormat="1" ht="15.75" hidden="1" customHeight="1" x14ac:dyDescent="0.25">
      <c r="A232" s="135" t="str">
        <f ca="1">(SUMPRODUCT(MID(0&amp;(LEFT(A231,SUM(LEN(A231)-LEN(SUBSTITUTE(A231,{"0","1","2"},""))))), LARGE(INDEX(ISNUMBER(--MID((LEFT(A231,SUM(LEN(A231)-LEN(SUBSTITUTE(A231,{"0","1","2"},""))))), ROW(INDIRECT("1:"&amp;LEN((LEFT(A231,SUM(LEN(A231)-LEN(SUBSTITUTE(A231,{"0","1","2"},"")))))))), 1)) * ROW(INDIRECT("1:"&amp;LEN((LEFT(A231,SUM(LEN(A231)-LEN(SUBSTITUTE(A231,{"0","1","2"},"")))))))), 0), ROW(INDIRECT("1:"&amp;LEN((LEFT(A231,SUM(LEN(A231)-LEN(SUBSTITUTE(A231,{"0","1","2"},"")))))))))+1, 1) * 10^ROW(INDIRECT("1:"&amp;LEN((LEFT(A231,SUM(LEN(A231)-LEN(SUBSTITUTE(A231,{"0","1","2"},""))))))))/10))*100+1&amp;""&amp;" to "&amp;""&amp;(SUMPRODUCT(MID(0&amp;(--TRIM(RIGHT(SUBSTITUTE(LEFT(A231,_xlfn.AGGREGATE(16,6,FIND({0,1,2,3,4,5,6,7,8,9},A231,ROW(INDIRECT("1:"&amp;LEN(A231)))),1))," ",REPT(" ",LEN(A231))),LEN(A231)))), LARGE(INDEX(ISNUMBER(--MID((--TRIM(RIGHT(SUBSTITUTE(LEFT(A231,_xlfn.AGGREGATE(16,6,FIND({0,1,2,3,4,5,6,7,8,9},A231,ROW(INDIRECT("1:"&amp;LEN(A231)))),1))," ",REPT(" ",LEN(A231))),LEN(A231)))), ROW(INDIRECT("1:"&amp;LEN((--TRIM(RIGHT(SUBSTITUTE(LEFT(A231,_xlfn.AGGREGATE(16,6,FIND({0,1,2,3,4,5,6,7,8,9},A231,ROW(INDIRECT("1:"&amp;LEN(A231)))),1))," ",REPT(" ",LEN(A231))),LEN(A231))))))), 1)) * ROW(INDIRECT("1:"&amp;LEN((--TRIM(RIGHT(SUBSTITUTE(LEFT(A231,_xlfn.AGGREGATE(16,6,FIND({0,1,2,3,4,5,6,7,8,9},A231,ROW(INDIRECT("1:"&amp;LEN(A231)))),1))," ",REPT(" ",LEN(A231))),LEN(A231))))))), 0), ROW(INDIRECT("1:"&amp;LEN((--TRIM(RIGHT(SUBSTITUTE(LEFT(A231,_xlfn.AGGREGATE(16,6,FIND({0,1,2,3,4,5,6,7,8,9},A231,ROW(INDIRECT("1:"&amp;LEN(A231)))),1))," ",REPT(" ",LEN(A231))),LEN(A231))))))))+1, 1) * 10^ROW(INDIRECT("1:"&amp;LEN((--TRIM(RIGHT(SUBSTITUTE(LEFT(A231,_xlfn.AGGREGATE(16,6,FIND({0,1,2,3,4,5,6,7,8,9},A231,ROW(INDIRECT("1:"&amp;LEN(A231)))),1))," ",REPT(" ",LEN(A231))),LEN(A231)))))))/10))*100+1</f>
        <v>201 to 501</v>
      </c>
      <c r="B232" s="136"/>
      <c r="C232" s="42"/>
      <c r="D232" s="42"/>
      <c r="E232" s="57">
        <v>0</v>
      </c>
      <c r="F232" s="57">
        <f>D232+E232</f>
        <v>0</v>
      </c>
      <c r="G232" s="57">
        <v>0</v>
      </c>
      <c r="H232" s="57">
        <f>F232*(($H$171)+1)+(IF(G232&lt;101,G232,IF(G232&lt;201,G232/2,IF(G232&lt;=301,G232/3,G232/4))))</f>
        <v>0</v>
      </c>
      <c r="I232" s="36"/>
    </row>
    <row r="233" spans="1:9" s="37" customFormat="1" ht="15.75" hidden="1" customHeight="1" x14ac:dyDescent="0.25">
      <c r="A233" s="135" t="str">
        <f ca="1">(SUMPRODUCT(MID(0&amp;(LEFT(A232,SUM(LEN(A232)-LEN(SUBSTITUTE(A232,{"0","1","2"},""))))), LARGE(INDEX(ISNUMBER(--MID((LEFT(A232,SUM(LEN(A232)-LEN(SUBSTITUTE(A232,{"0","1","2"},""))))), ROW(INDIRECT("1:"&amp;LEN((LEFT(A232,SUM(LEN(A232)-LEN(SUBSTITUTE(A232,{"0","1","2"},"")))))))), 1)) * ROW(INDIRECT("1:"&amp;LEN((LEFT(A232,SUM(LEN(A232)-LEN(SUBSTITUTE(A232,{"0","1","2"},"")))))))), 0), ROW(INDIRECT("1:"&amp;LEN((LEFT(A232,SUM(LEN(A232)-LEN(SUBSTITUTE(A232,{"0","1","2"},"")))))))))+1, 1) * 10^ROW(INDIRECT("1:"&amp;LEN((LEFT(A232,SUM(LEN(A232)-LEN(SUBSTITUTE(A232,{"0","1","2"},""))))))))/10))*1+1&amp;""&amp;" to "&amp;""&amp;(SUMPRODUCT(MID(0&amp;(--TRIM(RIGHT(SUBSTITUTE(LEFT(A232,_xlfn.AGGREGATE(16,6,FIND({0,1,2,3,4,5,6,7,8,9},A232,ROW(INDIRECT("1:"&amp;LEN(A232)))),1))," ",REPT(" ",LEN(A232))),LEN(A232)))), LARGE(INDEX(ISNUMBER(--MID((--TRIM(RIGHT(SUBSTITUTE(LEFT(A232,_xlfn.AGGREGATE(16,6,FIND({0,1,2,3,4,5,6,7,8,9},A232,ROW(INDIRECT("1:"&amp;LEN(A232)))),1))," ",REPT(" ",LEN(A232))),LEN(A232)))), ROW(INDIRECT("1:"&amp;LEN((--TRIM(RIGHT(SUBSTITUTE(LEFT(A232,_xlfn.AGGREGATE(16,6,FIND({0,1,2,3,4,5,6,7,8,9},A232,ROW(INDIRECT("1:"&amp;LEN(A232)))),1))," ",REPT(" ",LEN(A232))),LEN(A232))))))), 1)) * ROW(INDIRECT("1:"&amp;LEN((--TRIM(RIGHT(SUBSTITUTE(LEFT(A232,_xlfn.AGGREGATE(16,6,FIND({0,1,2,3,4,5,6,7,8,9},A232,ROW(INDIRECT("1:"&amp;LEN(A232)))),1))," ",REPT(" ",LEN(A232))),LEN(A232))))))), 0), ROW(INDIRECT("1:"&amp;LEN((--TRIM(RIGHT(SUBSTITUTE(LEFT(A232,_xlfn.AGGREGATE(16,6,FIND({0,1,2,3,4,5,6,7,8,9},A232,ROW(INDIRECT("1:"&amp;LEN(A232)))),1))," ",REPT(" ",LEN(A232))),LEN(A232))))))))+1, 1) * 10^ROW(INDIRECT("1:"&amp;LEN((--TRIM(RIGHT(SUBSTITUTE(LEFT(A232,_xlfn.AGGREGATE(16,6,FIND({0,1,2,3,4,5,6,7,8,9},A232,ROW(INDIRECT("1:"&amp;LEN(A232)))),1))," ",REPT(" ",LEN(A232))),LEN(A232)))))))/10))*1+1</f>
        <v>202 to 502</v>
      </c>
      <c r="B233" s="136"/>
      <c r="C233" s="42"/>
      <c r="D233" s="42"/>
      <c r="E233" s="57">
        <v>0</v>
      </c>
      <c r="F233" s="57">
        <f>D233+E233</f>
        <v>0</v>
      </c>
      <c r="G233" s="57">
        <v>0</v>
      </c>
      <c r="H233" s="57">
        <f>F233*(($H$171)+1)+(IF(G233&lt;101,G233,IF(G233&lt;201,G233/2,IF(G233&lt;=301,G233/3,G233/4))))</f>
        <v>0</v>
      </c>
      <c r="I233" s="36"/>
    </row>
    <row r="234" spans="1:9" s="37" customFormat="1" ht="15.75" hidden="1" customHeight="1" x14ac:dyDescent="0.25">
      <c r="A234" s="135" t="str">
        <f ca="1">(SUMPRODUCT(MID(0&amp;(LEFT(A233,SUM(LEN(A233)-LEN(SUBSTITUTE(A233,{"0","1","2"},""))))), LARGE(INDEX(ISNUMBER(--MID((LEFT(A233,SUM(LEN(A233)-LEN(SUBSTITUTE(A233,{"0","1","2"},""))))), ROW(INDIRECT("1:"&amp;LEN((LEFT(A233,SUM(LEN(A233)-LEN(SUBSTITUTE(A233,{"0","1","2"},"")))))))), 1)) * ROW(INDIRECT("1:"&amp;LEN((LEFT(A233,SUM(LEN(A233)-LEN(SUBSTITUTE(A233,{"0","1","2"},"")))))))), 0), ROW(INDIRECT("1:"&amp;LEN((LEFT(A233,SUM(LEN(A233)-LEN(SUBSTITUTE(A233,{"0","1","2"},"")))))))))+1, 1) * 10^ROW(INDIRECT("1:"&amp;LEN((LEFT(A233,SUM(LEN(A233)-LEN(SUBSTITUTE(A233,{"0","1","2"},""))))))))/10))*1+1&amp;""&amp;" to "&amp;""&amp;(SUMPRODUCT(MID(0&amp;(--TRIM(RIGHT(SUBSTITUTE(LEFT(A233,_xlfn.AGGREGATE(16,6,FIND({0,1,2,3,4,5,6,7,8,9},A233,ROW(INDIRECT("1:"&amp;LEN(A233)))),1))," ",REPT(" ",LEN(A233))),LEN(A233)))), LARGE(INDEX(ISNUMBER(--MID((--TRIM(RIGHT(SUBSTITUTE(LEFT(A233,_xlfn.AGGREGATE(16,6,FIND({0,1,2,3,4,5,6,7,8,9},A233,ROW(INDIRECT("1:"&amp;LEN(A233)))),1))," ",REPT(" ",LEN(A233))),LEN(A233)))), ROW(INDIRECT("1:"&amp;LEN((--TRIM(RIGHT(SUBSTITUTE(LEFT(A233,_xlfn.AGGREGATE(16,6,FIND({0,1,2,3,4,5,6,7,8,9},A233,ROW(INDIRECT("1:"&amp;LEN(A233)))),1))," ",REPT(" ",LEN(A233))),LEN(A233))))))), 1)) * ROW(INDIRECT("1:"&amp;LEN((--TRIM(RIGHT(SUBSTITUTE(LEFT(A233,_xlfn.AGGREGATE(16,6,FIND({0,1,2,3,4,5,6,7,8,9},A233,ROW(INDIRECT("1:"&amp;LEN(A233)))),1))," ",REPT(" ",LEN(A233))),LEN(A233))))))), 0), ROW(INDIRECT("1:"&amp;LEN((--TRIM(RIGHT(SUBSTITUTE(LEFT(A233,_xlfn.AGGREGATE(16,6,FIND({0,1,2,3,4,5,6,7,8,9},A233,ROW(INDIRECT("1:"&amp;LEN(A233)))),1))," ",REPT(" ",LEN(A233))),LEN(A233))))))))+1, 1) * 10^ROW(INDIRECT("1:"&amp;LEN((--TRIM(RIGHT(SUBSTITUTE(LEFT(A233,_xlfn.AGGREGATE(16,6,FIND({0,1,2,3,4,5,6,7,8,9},A233,ROW(INDIRECT("1:"&amp;LEN(A233)))),1))," ",REPT(" ",LEN(A233))),LEN(A233)))))))/10))*1+1</f>
        <v>203 to 503</v>
      </c>
      <c r="B234" s="136"/>
      <c r="C234" s="42"/>
      <c r="D234" s="42"/>
      <c r="E234" s="57">
        <v>0</v>
      </c>
      <c r="F234" s="57">
        <f>D234+E234</f>
        <v>0</v>
      </c>
      <c r="G234" s="57">
        <v>0</v>
      </c>
      <c r="H234" s="57">
        <f>F234*(($H$171)+1)+(IF(G234&lt;101,G234,IF(G234&lt;201,G234/2,IF(G234&lt;=301,G234/3,G234/4))))</f>
        <v>0</v>
      </c>
      <c r="I234" s="36"/>
    </row>
    <row r="235" spans="1:9" s="37" customFormat="1" ht="15.75" hidden="1" customHeight="1" x14ac:dyDescent="0.25">
      <c r="A235" s="135" t="str">
        <f ca="1">(SUMPRODUCT(MID(0&amp;(LEFT(A234,SUM(LEN(A234)-LEN(SUBSTITUTE(A234,{"0","1","2"},""))))), LARGE(INDEX(ISNUMBER(--MID((LEFT(A234,SUM(LEN(A234)-LEN(SUBSTITUTE(A234,{"0","1","2"},""))))), ROW(INDIRECT("1:"&amp;LEN((LEFT(A234,SUM(LEN(A234)-LEN(SUBSTITUTE(A234,{"0","1","2"},"")))))))), 1)) * ROW(INDIRECT("1:"&amp;LEN((LEFT(A234,SUM(LEN(A234)-LEN(SUBSTITUTE(A234,{"0","1","2"},"")))))))), 0), ROW(INDIRECT("1:"&amp;LEN((LEFT(A234,SUM(LEN(A234)-LEN(SUBSTITUTE(A234,{"0","1","2"},"")))))))))+1, 1) * 10^ROW(INDIRECT("1:"&amp;LEN((LEFT(A234,SUM(LEN(A234)-LEN(SUBSTITUTE(A234,{"0","1","2"},""))))))))/10))*1+1&amp;""&amp;" to "&amp;""&amp;(SUMPRODUCT(MID(0&amp;(--TRIM(RIGHT(SUBSTITUTE(LEFT(A234,_xlfn.AGGREGATE(16,6,FIND({0,1,2,3,4,5,6,7,8,9},A234,ROW(INDIRECT("1:"&amp;LEN(A234)))),1))," ",REPT(" ",LEN(A234))),LEN(A234)))), LARGE(INDEX(ISNUMBER(--MID((--TRIM(RIGHT(SUBSTITUTE(LEFT(A234,_xlfn.AGGREGATE(16,6,FIND({0,1,2,3,4,5,6,7,8,9},A234,ROW(INDIRECT("1:"&amp;LEN(A234)))),1))," ",REPT(" ",LEN(A234))),LEN(A234)))), ROW(INDIRECT("1:"&amp;LEN((--TRIM(RIGHT(SUBSTITUTE(LEFT(A234,_xlfn.AGGREGATE(16,6,FIND({0,1,2,3,4,5,6,7,8,9},A234,ROW(INDIRECT("1:"&amp;LEN(A234)))),1))," ",REPT(" ",LEN(A234))),LEN(A234))))))), 1)) * ROW(INDIRECT("1:"&amp;LEN((--TRIM(RIGHT(SUBSTITUTE(LEFT(A234,_xlfn.AGGREGATE(16,6,FIND({0,1,2,3,4,5,6,7,8,9},A234,ROW(INDIRECT("1:"&amp;LEN(A234)))),1))," ",REPT(" ",LEN(A234))),LEN(A234))))))), 0), ROW(INDIRECT("1:"&amp;LEN((--TRIM(RIGHT(SUBSTITUTE(LEFT(A234,_xlfn.AGGREGATE(16,6,FIND({0,1,2,3,4,5,6,7,8,9},A234,ROW(INDIRECT("1:"&amp;LEN(A234)))),1))," ",REPT(" ",LEN(A234))),LEN(A234))))))))+1, 1) * 10^ROW(INDIRECT("1:"&amp;LEN((--TRIM(RIGHT(SUBSTITUTE(LEFT(A234,_xlfn.AGGREGATE(16,6,FIND({0,1,2,3,4,5,6,7,8,9},A234,ROW(INDIRECT("1:"&amp;LEN(A234)))),1))," ",REPT(" ",LEN(A234))),LEN(A234)))))))/10))*1+1</f>
        <v>204 to 504</v>
      </c>
      <c r="B235" s="136"/>
      <c r="C235" s="42"/>
      <c r="D235" s="42"/>
      <c r="E235" s="57">
        <v>0</v>
      </c>
      <c r="F235" s="57">
        <f>D235+E235</f>
        <v>0</v>
      </c>
      <c r="G235" s="57">
        <v>0</v>
      </c>
      <c r="H235" s="57">
        <f>F235*(($H$171)+1)+(IF(G235&lt;101,G235,IF(G235&lt;201,G235/2,IF(G235&lt;=301,G235/3,G235/4))))</f>
        <v>0</v>
      </c>
      <c r="I235" s="36"/>
    </row>
    <row r="236" spans="1:9" s="37" customFormat="1" ht="15.75" hidden="1" customHeight="1" x14ac:dyDescent="0.25">
      <c r="A236" s="135" t="str">
        <f ca="1">(SUMPRODUCT(MID(0&amp;(LEFT(A235,SUM(LEN(A235)-LEN(SUBSTITUTE(A235,{"0","1","2"},""))))), LARGE(INDEX(ISNUMBER(--MID((LEFT(A235,SUM(LEN(A235)-LEN(SUBSTITUTE(A235,{"0","1","2"},""))))), ROW(INDIRECT("1:"&amp;LEN((LEFT(A235,SUM(LEN(A235)-LEN(SUBSTITUTE(A235,{"0","1","2"},"")))))))), 1)) * ROW(INDIRECT("1:"&amp;LEN((LEFT(A235,SUM(LEN(A235)-LEN(SUBSTITUTE(A235,{"0","1","2"},"")))))))), 0), ROW(INDIRECT("1:"&amp;LEN((LEFT(A235,SUM(LEN(A235)-LEN(SUBSTITUTE(A235,{"0","1","2"},"")))))))))+1, 1) * 10^ROW(INDIRECT("1:"&amp;LEN((LEFT(A235,SUM(LEN(A235)-LEN(SUBSTITUTE(A235,{"0","1","2"},""))))))))/10))*1+1&amp;""&amp;" to "&amp;""&amp;(SUMPRODUCT(MID(0&amp;(--TRIM(RIGHT(SUBSTITUTE(LEFT(A235,_xlfn.AGGREGATE(16,6,FIND({0,1,2,3,4,5,6,7,8,9},A235,ROW(INDIRECT("1:"&amp;LEN(A235)))),1))," ",REPT(" ",LEN(A235))),LEN(A235)))), LARGE(INDEX(ISNUMBER(--MID((--TRIM(RIGHT(SUBSTITUTE(LEFT(A235,_xlfn.AGGREGATE(16,6,FIND({0,1,2,3,4,5,6,7,8,9},A235,ROW(INDIRECT("1:"&amp;LEN(A235)))),1))," ",REPT(" ",LEN(A235))),LEN(A235)))), ROW(INDIRECT("1:"&amp;LEN((--TRIM(RIGHT(SUBSTITUTE(LEFT(A235,_xlfn.AGGREGATE(16,6,FIND({0,1,2,3,4,5,6,7,8,9},A235,ROW(INDIRECT("1:"&amp;LEN(A235)))),1))," ",REPT(" ",LEN(A235))),LEN(A235))))))), 1)) * ROW(INDIRECT("1:"&amp;LEN((--TRIM(RIGHT(SUBSTITUTE(LEFT(A235,_xlfn.AGGREGATE(16,6,FIND({0,1,2,3,4,5,6,7,8,9},A235,ROW(INDIRECT("1:"&amp;LEN(A235)))),1))," ",REPT(" ",LEN(A235))),LEN(A235))))))), 0), ROW(INDIRECT("1:"&amp;LEN((--TRIM(RIGHT(SUBSTITUTE(LEFT(A235,_xlfn.AGGREGATE(16,6,FIND({0,1,2,3,4,5,6,7,8,9},A235,ROW(INDIRECT("1:"&amp;LEN(A235)))),1))," ",REPT(" ",LEN(A235))),LEN(A235))))))))+1, 1) * 10^ROW(INDIRECT("1:"&amp;LEN((--TRIM(RIGHT(SUBSTITUTE(LEFT(A235,_xlfn.AGGREGATE(16,6,FIND({0,1,2,3,4,5,6,7,8,9},A235,ROW(INDIRECT("1:"&amp;LEN(A235)))),1))," ",REPT(" ",LEN(A235))),LEN(A235)))))))/10))*1+1</f>
        <v>205 to 505</v>
      </c>
      <c r="B236" s="136"/>
      <c r="C236" s="42"/>
      <c r="D236" s="42"/>
      <c r="E236" s="57">
        <v>0</v>
      </c>
      <c r="F236" s="57">
        <f>D236+E236</f>
        <v>0</v>
      </c>
      <c r="G236" s="57">
        <v>0</v>
      </c>
      <c r="H236" s="57">
        <f>F236*(($H$171)+1)+(IF(G236&lt;101,G236,IF(G236&lt;201,G236/2,IF(G236&lt;=301,G236/3,G236/4))))</f>
        <v>0</v>
      </c>
      <c r="I236" s="36"/>
    </row>
    <row r="237" spans="1:9" s="37" customFormat="1" hidden="1" x14ac:dyDescent="0.25">
      <c r="A237" s="167" t="s">
        <v>146</v>
      </c>
      <c r="B237" s="168"/>
      <c r="C237" s="168"/>
      <c r="D237" s="168"/>
      <c r="E237" s="168"/>
      <c r="F237" s="168"/>
      <c r="G237" s="168"/>
      <c r="H237" s="169"/>
      <c r="I237" s="36"/>
    </row>
    <row r="238" spans="1:9" s="37" customFormat="1" ht="15.75" hidden="1" customHeight="1" x14ac:dyDescent="0.25">
      <c r="A238" s="135" t="str">
        <f ca="1">(SUMPRODUCT(MID(0&amp;(LEFT(A237,SUM(LEN(A237)-LEN(SUBSTITUTE(A237,{"0","1","2"},""))))), LARGE(INDEX(ISNUMBER(--MID((LEFT(A237,SUM(LEN(A237)-LEN(SUBSTITUTE(A237,{"0","1","2"},""))))), ROW(INDIRECT("1:"&amp;LEN((LEFT(A237,SUM(LEN(A237)-LEN(SUBSTITUTE(A237,{"0","1","2"},"")))))))), 1)) * ROW(INDIRECT("1:"&amp;LEN((LEFT(A237,SUM(LEN(A237)-LEN(SUBSTITUTE(A237,{"0","1","2"},"")))))))), 0), ROW(INDIRECT("1:"&amp;LEN((LEFT(A237,SUM(LEN(A237)-LEN(SUBSTITUTE(A237,{"0","1","2"},"")))))))))+1, 1) * 10^ROW(INDIRECT("1:"&amp;LEN((LEFT(A237,SUM(LEN(A237)-LEN(SUBSTITUTE(A237,{"0","1","2"},""))))))))/10))*100+1&amp;""&amp;" &amp; "&amp;""&amp;(SUMPRODUCT(MID(0&amp;(--TRIM(RIGHT(SUBSTITUTE(LEFT(A237,_xlfn.AGGREGATE(16,6,FIND({0,1,2,3,4,5,6,7,8,9},A237,ROW(INDIRECT("1:"&amp;LEN(A237)))),1))," ",REPT(" ",LEN(A237))),LEN(A237)))), LARGE(INDEX(ISNUMBER(--MID((--TRIM(RIGHT(SUBSTITUTE(LEFT(A237,_xlfn.AGGREGATE(16,6,FIND({0,1,2,3,4,5,6,7,8,9},A237,ROW(INDIRECT("1:"&amp;LEN(A237)))),1))," ",REPT(" ",LEN(A237))),LEN(A237)))), ROW(INDIRECT("1:"&amp;LEN((--TRIM(RIGHT(SUBSTITUTE(LEFT(A237,_xlfn.AGGREGATE(16,6,FIND({0,1,2,3,4,5,6,7,8,9},A237,ROW(INDIRECT("1:"&amp;LEN(A237)))),1))," ",REPT(" ",LEN(A237))),LEN(A237))))))), 1)) * ROW(INDIRECT("1:"&amp;LEN((--TRIM(RIGHT(SUBSTITUTE(LEFT(A237,_xlfn.AGGREGATE(16,6,FIND({0,1,2,3,4,5,6,7,8,9},A237,ROW(INDIRECT("1:"&amp;LEN(A237)))),1))," ",REPT(" ",LEN(A237))),LEN(A237))))))), 0), ROW(INDIRECT("1:"&amp;LEN((--TRIM(RIGHT(SUBSTITUTE(LEFT(A237,_xlfn.AGGREGATE(16,6,FIND({0,1,2,3,4,5,6,7,8,9},A237,ROW(INDIRECT("1:"&amp;LEN(A237)))),1))," ",REPT(" ",LEN(A237))),LEN(A237))))))))+1, 1) * 10^ROW(INDIRECT("1:"&amp;LEN((--TRIM(RIGHT(SUBSTITUTE(LEFT(A237,_xlfn.AGGREGATE(16,6,FIND({0,1,2,3,4,5,6,7,8,9},A237,ROW(INDIRECT("1:"&amp;LEN(A237)))),1))," ",REPT(" ",LEN(A237))),LEN(A237)))))))/10))*100+1</f>
        <v>201 &amp; 501</v>
      </c>
      <c r="B238" s="136"/>
      <c r="C238" s="42"/>
      <c r="D238" s="42"/>
      <c r="E238" s="57">
        <v>0</v>
      </c>
      <c r="F238" s="57">
        <f>D238+E238</f>
        <v>0</v>
      </c>
      <c r="G238" s="57">
        <v>0</v>
      </c>
      <c r="H238" s="57">
        <f>F238*(($H$171)+1)+(IF(G238&lt;101,G238,IF(G238&lt;201,G238/2,IF(G238&lt;=301,G238/3,G238/4))))</f>
        <v>0</v>
      </c>
      <c r="I238" s="36"/>
    </row>
    <row r="239" spans="1:9" s="37" customFormat="1" ht="15.75" hidden="1" customHeight="1" x14ac:dyDescent="0.25">
      <c r="A239" s="135" t="str">
        <f ca="1">(SUMPRODUCT(MID(0&amp;(LEFT(A238,SUM(LEN(A238)-LEN(SUBSTITUTE(A238,{"0","1","2"},""))))), LARGE(INDEX(ISNUMBER(--MID((LEFT(A238,SUM(LEN(A238)-LEN(SUBSTITUTE(A238,{"0","1","2"},""))))), ROW(INDIRECT("1:"&amp;LEN((LEFT(A238,SUM(LEN(A238)-LEN(SUBSTITUTE(A238,{"0","1","2"},"")))))))), 1)) * ROW(INDIRECT("1:"&amp;LEN((LEFT(A238,SUM(LEN(A238)-LEN(SUBSTITUTE(A238,{"0","1","2"},"")))))))), 0), ROW(INDIRECT("1:"&amp;LEN((LEFT(A238,SUM(LEN(A238)-LEN(SUBSTITUTE(A238,{"0","1","2"},"")))))))))+1, 1) * 10^ROW(INDIRECT("1:"&amp;LEN((LEFT(A238,SUM(LEN(A238)-LEN(SUBSTITUTE(A238,{"0","1","2"},""))))))))/10))*1+1&amp;""&amp;" &amp; "&amp;""&amp;(SUMPRODUCT(MID(0&amp;(--TRIM(RIGHT(SUBSTITUTE(LEFT(A238,_xlfn.AGGREGATE(16,6,FIND({0,1,2,3,4,5,6,7,8,9},A238,ROW(INDIRECT("1:"&amp;LEN(A238)))),1))," ",REPT(" ",LEN(A238))),LEN(A238)))), LARGE(INDEX(ISNUMBER(--MID((--TRIM(RIGHT(SUBSTITUTE(LEFT(A238,_xlfn.AGGREGATE(16,6,FIND({0,1,2,3,4,5,6,7,8,9},A238,ROW(INDIRECT("1:"&amp;LEN(A238)))),1))," ",REPT(" ",LEN(A238))),LEN(A238)))), ROW(INDIRECT("1:"&amp;LEN((--TRIM(RIGHT(SUBSTITUTE(LEFT(A238,_xlfn.AGGREGATE(16,6,FIND({0,1,2,3,4,5,6,7,8,9},A238,ROW(INDIRECT("1:"&amp;LEN(A238)))),1))," ",REPT(" ",LEN(A238))),LEN(A238))))))), 1)) * ROW(INDIRECT("1:"&amp;LEN((--TRIM(RIGHT(SUBSTITUTE(LEFT(A238,_xlfn.AGGREGATE(16,6,FIND({0,1,2,3,4,5,6,7,8,9},A238,ROW(INDIRECT("1:"&amp;LEN(A238)))),1))," ",REPT(" ",LEN(A238))),LEN(A238))))))), 0), ROW(INDIRECT("1:"&amp;LEN((--TRIM(RIGHT(SUBSTITUTE(LEFT(A238,_xlfn.AGGREGATE(16,6,FIND({0,1,2,3,4,5,6,7,8,9},A238,ROW(INDIRECT("1:"&amp;LEN(A238)))),1))," ",REPT(" ",LEN(A238))),LEN(A238))))))))+1, 1) * 10^ROW(INDIRECT("1:"&amp;LEN((--TRIM(RIGHT(SUBSTITUTE(LEFT(A238,_xlfn.AGGREGATE(16,6,FIND({0,1,2,3,4,5,6,7,8,9},A238,ROW(INDIRECT("1:"&amp;LEN(A238)))),1))," ",REPT(" ",LEN(A238))),LEN(A238)))))))/10))*1+1</f>
        <v>202 &amp; 502</v>
      </c>
      <c r="B239" s="136"/>
      <c r="C239" s="42"/>
      <c r="D239" s="42"/>
      <c r="E239" s="57">
        <v>0</v>
      </c>
      <c r="F239" s="57">
        <f>D239+E239</f>
        <v>0</v>
      </c>
      <c r="G239" s="57">
        <v>0</v>
      </c>
      <c r="H239" s="57">
        <f>F239*(($H$171)+1)+(IF(G239&lt;101,G239,IF(G239&lt;201,G239/2,IF(G239&lt;=301,G239/3,G239/4))))</f>
        <v>0</v>
      </c>
      <c r="I239" s="36"/>
    </row>
    <row r="240" spans="1:9" s="37" customFormat="1" ht="15.75" hidden="1" customHeight="1" x14ac:dyDescent="0.25">
      <c r="A240" s="135" t="str">
        <f ca="1">(SUMPRODUCT(MID(0&amp;(LEFT(A239,SUM(LEN(A239)-LEN(SUBSTITUTE(A239,{"0","1","2"},""))))), LARGE(INDEX(ISNUMBER(--MID((LEFT(A239,SUM(LEN(A239)-LEN(SUBSTITUTE(A239,{"0","1","2"},""))))), ROW(INDIRECT("1:"&amp;LEN((LEFT(A239,SUM(LEN(A239)-LEN(SUBSTITUTE(A239,{"0","1","2"},"")))))))), 1)) * ROW(INDIRECT("1:"&amp;LEN((LEFT(A239,SUM(LEN(A239)-LEN(SUBSTITUTE(A239,{"0","1","2"},"")))))))), 0), ROW(INDIRECT("1:"&amp;LEN((LEFT(A239,SUM(LEN(A239)-LEN(SUBSTITUTE(A239,{"0","1","2"},"")))))))))+1, 1) * 10^ROW(INDIRECT("1:"&amp;LEN((LEFT(A239,SUM(LEN(A239)-LEN(SUBSTITUTE(A239,{"0","1","2"},""))))))))/10))*1+1&amp;""&amp;" &amp; "&amp;""&amp;(SUMPRODUCT(MID(0&amp;(--TRIM(RIGHT(SUBSTITUTE(LEFT(A239,_xlfn.AGGREGATE(16,6,FIND({0,1,2,3,4,5,6,7,8,9},A239,ROW(INDIRECT("1:"&amp;LEN(A239)))),1))," ",REPT(" ",LEN(A239))),LEN(A239)))), LARGE(INDEX(ISNUMBER(--MID((--TRIM(RIGHT(SUBSTITUTE(LEFT(A239,_xlfn.AGGREGATE(16,6,FIND({0,1,2,3,4,5,6,7,8,9},A239,ROW(INDIRECT("1:"&amp;LEN(A239)))),1))," ",REPT(" ",LEN(A239))),LEN(A239)))), ROW(INDIRECT("1:"&amp;LEN((--TRIM(RIGHT(SUBSTITUTE(LEFT(A239,_xlfn.AGGREGATE(16,6,FIND({0,1,2,3,4,5,6,7,8,9},A239,ROW(INDIRECT("1:"&amp;LEN(A239)))),1))," ",REPT(" ",LEN(A239))),LEN(A239))))))), 1)) * ROW(INDIRECT("1:"&amp;LEN((--TRIM(RIGHT(SUBSTITUTE(LEFT(A239,_xlfn.AGGREGATE(16,6,FIND({0,1,2,3,4,5,6,7,8,9},A239,ROW(INDIRECT("1:"&amp;LEN(A239)))),1))," ",REPT(" ",LEN(A239))),LEN(A239))))))), 0), ROW(INDIRECT("1:"&amp;LEN((--TRIM(RIGHT(SUBSTITUTE(LEFT(A239,_xlfn.AGGREGATE(16,6,FIND({0,1,2,3,4,5,6,7,8,9},A239,ROW(INDIRECT("1:"&amp;LEN(A239)))),1))," ",REPT(" ",LEN(A239))),LEN(A239))))))))+1, 1) * 10^ROW(INDIRECT("1:"&amp;LEN((--TRIM(RIGHT(SUBSTITUTE(LEFT(A239,_xlfn.AGGREGATE(16,6,FIND({0,1,2,3,4,5,6,7,8,9},A239,ROW(INDIRECT("1:"&amp;LEN(A239)))),1))," ",REPT(" ",LEN(A239))),LEN(A239)))))))/10))*1+1</f>
        <v>203 &amp; 503</v>
      </c>
      <c r="B240" s="136"/>
      <c r="C240" s="42"/>
      <c r="D240" s="42"/>
      <c r="E240" s="57">
        <v>0</v>
      </c>
      <c r="F240" s="57">
        <f>D240+E240</f>
        <v>0</v>
      </c>
      <c r="G240" s="57">
        <v>0</v>
      </c>
      <c r="H240" s="57">
        <f>F240*(($H$171)+1)+(IF(G240&lt;101,G240,IF(G240&lt;201,G240/2,IF(G240&lt;=301,G240/3,G240/4))))</f>
        <v>0</v>
      </c>
      <c r="I240" s="36"/>
    </row>
    <row r="241" spans="1:20" s="37" customFormat="1" ht="15.75" hidden="1" customHeight="1" x14ac:dyDescent="0.25">
      <c r="A241" s="135" t="str">
        <f ca="1">(SUMPRODUCT(MID(0&amp;(LEFT(A240,SUM(LEN(A240)-LEN(SUBSTITUTE(A240,{"0","1","2"},""))))), LARGE(INDEX(ISNUMBER(--MID((LEFT(A240,SUM(LEN(A240)-LEN(SUBSTITUTE(A240,{"0","1","2"},""))))), ROW(INDIRECT("1:"&amp;LEN((LEFT(A240,SUM(LEN(A240)-LEN(SUBSTITUTE(A240,{"0","1","2"},"")))))))), 1)) * ROW(INDIRECT("1:"&amp;LEN((LEFT(A240,SUM(LEN(A240)-LEN(SUBSTITUTE(A240,{"0","1","2"},"")))))))), 0), ROW(INDIRECT("1:"&amp;LEN((LEFT(A240,SUM(LEN(A240)-LEN(SUBSTITUTE(A240,{"0","1","2"},"")))))))))+1, 1) * 10^ROW(INDIRECT("1:"&amp;LEN((LEFT(A240,SUM(LEN(A240)-LEN(SUBSTITUTE(A240,{"0","1","2"},""))))))))/10))*1+1&amp;""&amp;" &amp; "&amp;""&amp;(SUMPRODUCT(MID(0&amp;(--TRIM(RIGHT(SUBSTITUTE(LEFT(A240,_xlfn.AGGREGATE(16,6,FIND({0,1,2,3,4,5,6,7,8,9},A240,ROW(INDIRECT("1:"&amp;LEN(A240)))),1))," ",REPT(" ",LEN(A240))),LEN(A240)))), LARGE(INDEX(ISNUMBER(--MID((--TRIM(RIGHT(SUBSTITUTE(LEFT(A240,_xlfn.AGGREGATE(16,6,FIND({0,1,2,3,4,5,6,7,8,9},A240,ROW(INDIRECT("1:"&amp;LEN(A240)))),1))," ",REPT(" ",LEN(A240))),LEN(A240)))), ROW(INDIRECT("1:"&amp;LEN((--TRIM(RIGHT(SUBSTITUTE(LEFT(A240,_xlfn.AGGREGATE(16,6,FIND({0,1,2,3,4,5,6,7,8,9},A240,ROW(INDIRECT("1:"&amp;LEN(A240)))),1))," ",REPT(" ",LEN(A240))),LEN(A240))))))), 1)) * ROW(INDIRECT("1:"&amp;LEN((--TRIM(RIGHT(SUBSTITUTE(LEFT(A240,_xlfn.AGGREGATE(16,6,FIND({0,1,2,3,4,5,6,7,8,9},A240,ROW(INDIRECT("1:"&amp;LEN(A240)))),1))," ",REPT(" ",LEN(A240))),LEN(A240))))))), 0), ROW(INDIRECT("1:"&amp;LEN((--TRIM(RIGHT(SUBSTITUTE(LEFT(A240,_xlfn.AGGREGATE(16,6,FIND({0,1,2,3,4,5,6,7,8,9},A240,ROW(INDIRECT("1:"&amp;LEN(A240)))),1))," ",REPT(" ",LEN(A240))),LEN(A240))))))))+1, 1) * 10^ROW(INDIRECT("1:"&amp;LEN((--TRIM(RIGHT(SUBSTITUTE(LEFT(A240,_xlfn.AGGREGATE(16,6,FIND({0,1,2,3,4,5,6,7,8,9},A240,ROW(INDIRECT("1:"&amp;LEN(A240)))),1))," ",REPT(" ",LEN(A240))),LEN(A240)))))))/10))*1+1</f>
        <v>204 &amp; 504</v>
      </c>
      <c r="B241" s="136"/>
      <c r="C241" s="42"/>
      <c r="D241" s="42"/>
      <c r="E241" s="57">
        <v>0</v>
      </c>
      <c r="F241" s="57">
        <f>D241+E241</f>
        <v>0</v>
      </c>
      <c r="G241" s="57">
        <v>0</v>
      </c>
      <c r="H241" s="57">
        <f>F241*(($H$171)+1)+(IF(G241&lt;101,G241,IF(G241&lt;201,G241/2,IF(G241&lt;=301,G241/3,G241/4))))</f>
        <v>0</v>
      </c>
      <c r="I241" s="36"/>
    </row>
    <row r="242" spans="1:20" s="37" customFormat="1" ht="15.75" hidden="1" customHeight="1" x14ac:dyDescent="0.25">
      <c r="A242" s="135" t="str">
        <f ca="1">(SUMPRODUCT(MID(0&amp;(LEFT(A241,SUM(LEN(A241)-LEN(SUBSTITUTE(A241,{"0","1","2"},""))))), LARGE(INDEX(ISNUMBER(--MID((LEFT(A241,SUM(LEN(A241)-LEN(SUBSTITUTE(A241,{"0","1","2"},""))))), ROW(INDIRECT("1:"&amp;LEN((LEFT(A241,SUM(LEN(A241)-LEN(SUBSTITUTE(A241,{"0","1","2"},"")))))))), 1)) * ROW(INDIRECT("1:"&amp;LEN((LEFT(A241,SUM(LEN(A241)-LEN(SUBSTITUTE(A241,{"0","1","2"},"")))))))), 0), ROW(INDIRECT("1:"&amp;LEN((LEFT(A241,SUM(LEN(A241)-LEN(SUBSTITUTE(A241,{"0","1","2"},"")))))))))+1, 1) * 10^ROW(INDIRECT("1:"&amp;LEN((LEFT(A241,SUM(LEN(A241)-LEN(SUBSTITUTE(A241,{"0","1","2"},""))))))))/10))*1+1&amp;""&amp;" &amp; "&amp;""&amp;(SUMPRODUCT(MID(0&amp;(--TRIM(RIGHT(SUBSTITUTE(LEFT(A241,_xlfn.AGGREGATE(16,6,FIND({0,1,2,3,4,5,6,7,8,9},A241,ROW(INDIRECT("1:"&amp;LEN(A241)))),1))," ",REPT(" ",LEN(A241))),LEN(A241)))), LARGE(INDEX(ISNUMBER(--MID((--TRIM(RIGHT(SUBSTITUTE(LEFT(A241,_xlfn.AGGREGATE(16,6,FIND({0,1,2,3,4,5,6,7,8,9},A241,ROW(INDIRECT("1:"&amp;LEN(A241)))),1))," ",REPT(" ",LEN(A241))),LEN(A241)))), ROW(INDIRECT("1:"&amp;LEN((--TRIM(RIGHT(SUBSTITUTE(LEFT(A241,_xlfn.AGGREGATE(16,6,FIND({0,1,2,3,4,5,6,7,8,9},A241,ROW(INDIRECT("1:"&amp;LEN(A241)))),1))," ",REPT(" ",LEN(A241))),LEN(A241))))))), 1)) * ROW(INDIRECT("1:"&amp;LEN((--TRIM(RIGHT(SUBSTITUTE(LEFT(A241,_xlfn.AGGREGATE(16,6,FIND({0,1,2,3,4,5,6,7,8,9},A241,ROW(INDIRECT("1:"&amp;LEN(A241)))),1))," ",REPT(" ",LEN(A241))),LEN(A241))))))), 0), ROW(INDIRECT("1:"&amp;LEN((--TRIM(RIGHT(SUBSTITUTE(LEFT(A241,_xlfn.AGGREGATE(16,6,FIND({0,1,2,3,4,5,6,7,8,9},A241,ROW(INDIRECT("1:"&amp;LEN(A241)))),1))," ",REPT(" ",LEN(A241))),LEN(A241))))))))+1, 1) * 10^ROW(INDIRECT("1:"&amp;LEN((--TRIM(RIGHT(SUBSTITUTE(LEFT(A241,_xlfn.AGGREGATE(16,6,FIND({0,1,2,3,4,5,6,7,8,9},A241,ROW(INDIRECT("1:"&amp;LEN(A241)))),1))," ",REPT(" ",LEN(A241))),LEN(A241)))))))/10))*1+1</f>
        <v>205 &amp; 505</v>
      </c>
      <c r="B242" s="136"/>
      <c r="C242" s="42"/>
      <c r="D242" s="42"/>
      <c r="E242" s="57">
        <v>0</v>
      </c>
      <c r="F242" s="57">
        <f>D242+E242</f>
        <v>0</v>
      </c>
      <c r="G242" s="57">
        <v>0</v>
      </c>
      <c r="H242" s="57">
        <f>F242*(($H$171)+1)+(IF(G242&lt;101,G242,IF(G242&lt;201,G242/2,IF(G242&lt;=301,G242/3,G242/4))))</f>
        <v>0</v>
      </c>
      <c r="I242" s="36"/>
    </row>
    <row r="243" spans="1:20" s="94" customFormat="1" x14ac:dyDescent="0.25">
      <c r="A243" s="167" t="s">
        <v>397</v>
      </c>
      <c r="B243" s="168"/>
      <c r="C243" s="168"/>
      <c r="D243" s="168"/>
      <c r="E243" s="168"/>
      <c r="F243" s="168"/>
      <c r="G243" s="168"/>
      <c r="H243" s="169"/>
      <c r="J243" s="36"/>
    </row>
    <row r="244" spans="1:20" s="35" customFormat="1" x14ac:dyDescent="0.25">
      <c r="A244" s="230" t="s">
        <v>65</v>
      </c>
      <c r="B244" s="230"/>
      <c r="C244" s="230"/>
      <c r="D244" s="230"/>
      <c r="E244" s="230"/>
      <c r="F244" s="230"/>
      <c r="G244" s="230"/>
      <c r="H244" s="230"/>
      <c r="T244" s="37"/>
    </row>
    <row r="245" spans="1:20" s="35" customFormat="1" x14ac:dyDescent="0.25">
      <c r="A245" s="46" t="s">
        <v>155</v>
      </c>
      <c r="B245" s="227" t="s">
        <v>406</v>
      </c>
      <c r="C245" s="228"/>
      <c r="D245" s="228"/>
      <c r="E245" s="228"/>
      <c r="F245" s="228"/>
      <c r="G245" s="228"/>
      <c r="H245" s="229"/>
      <c r="T245" s="37"/>
    </row>
    <row r="246" spans="1:20" s="35" customFormat="1" x14ac:dyDescent="0.25">
      <c r="A246" s="46" t="s">
        <v>155</v>
      </c>
      <c r="B246" s="227" t="str">
        <f>(IF(H170="Saleable area Loading :","We have considered Saleable area of Flats as per our Calculation.","We considered Saleable area of Flat as per Builder area Sheet."))</f>
        <v>We have considered Saleable area of Flats as per our Calculation.</v>
      </c>
      <c r="C246" s="228"/>
      <c r="D246" s="228"/>
      <c r="E246" s="228"/>
      <c r="F246" s="228"/>
      <c r="G246" s="228"/>
      <c r="H246" s="229"/>
      <c r="T246" s="37"/>
    </row>
    <row r="247" spans="1:20" s="35" customFormat="1" x14ac:dyDescent="0.25">
      <c r="A247" s="46" t="s">
        <v>155</v>
      </c>
      <c r="B247" s="227" t="str">
        <f>(IF(H142="Saleable area Loading :","We have considered Saleable area of Commercial as per our Calculation.","We considered Saleable area of Commercial as per Builder area Sheet."))</f>
        <v>We have considered Saleable area of Commercial as per our Calculation.</v>
      </c>
      <c r="C247" s="228"/>
      <c r="D247" s="228"/>
      <c r="E247" s="228"/>
      <c r="F247" s="228"/>
      <c r="G247" s="228"/>
      <c r="H247" s="229"/>
      <c r="T247" s="37"/>
    </row>
    <row r="248" spans="1:20" s="35" customFormat="1" x14ac:dyDescent="0.25">
      <c r="A248" s="46" t="s">
        <v>155</v>
      </c>
      <c r="B248" s="109" t="s">
        <v>122</v>
      </c>
      <c r="C248" s="110"/>
      <c r="D248" s="110"/>
      <c r="E248" s="110"/>
      <c r="F248" s="110"/>
      <c r="G248" s="110"/>
      <c r="H248" s="111"/>
      <c r="T248" s="37"/>
    </row>
    <row r="249" spans="1:20" s="35" customFormat="1" x14ac:dyDescent="0.25">
      <c r="A249" s="46" t="s">
        <v>155</v>
      </c>
      <c r="B249" s="109" t="s">
        <v>384</v>
      </c>
      <c r="C249" s="110"/>
      <c r="D249" s="110"/>
      <c r="E249" s="110"/>
      <c r="F249" s="110"/>
      <c r="G249" s="110"/>
      <c r="H249" s="111"/>
      <c r="T249" s="37"/>
    </row>
    <row r="250" spans="1:20" s="35" customFormat="1" x14ac:dyDescent="0.25">
      <c r="A250" s="46" t="s">
        <v>155</v>
      </c>
      <c r="B250" s="109" t="s">
        <v>154</v>
      </c>
      <c r="C250" s="110"/>
      <c r="D250" s="110"/>
      <c r="E250" s="110"/>
      <c r="F250" s="110"/>
      <c r="G250" s="110"/>
      <c r="H250" s="111"/>
    </row>
    <row r="251" spans="1:20" s="35" customFormat="1" x14ac:dyDescent="0.25">
      <c r="A251" s="46" t="s">
        <v>155</v>
      </c>
      <c r="B251" s="109" t="s">
        <v>123</v>
      </c>
      <c r="C251" s="110"/>
      <c r="D251" s="110"/>
      <c r="E251" s="110"/>
      <c r="F251" s="110"/>
      <c r="G251" s="110"/>
      <c r="H251" s="111"/>
    </row>
    <row r="252" spans="1:20" s="35" customFormat="1" ht="34.5" customHeight="1" x14ac:dyDescent="0.25">
      <c r="A252" s="46" t="s">
        <v>155</v>
      </c>
      <c r="B252" s="109" t="s">
        <v>156</v>
      </c>
      <c r="C252" s="110"/>
      <c r="D252" s="110"/>
      <c r="E252" s="110"/>
      <c r="F252" s="110"/>
      <c r="G252" s="110"/>
      <c r="H252" s="111"/>
    </row>
    <row r="253" spans="1:20" s="35" customFormat="1" x14ac:dyDescent="0.25">
      <c r="A253" s="46" t="s">
        <v>155</v>
      </c>
      <c r="B253" s="109" t="s">
        <v>124</v>
      </c>
      <c r="C253" s="110"/>
      <c r="D253" s="110"/>
      <c r="E253" s="110"/>
      <c r="F253" s="110"/>
      <c r="G253" s="110"/>
      <c r="H253" s="111"/>
    </row>
    <row r="254" spans="1:20" s="35" customFormat="1" ht="32.25" customHeight="1" x14ac:dyDescent="0.25">
      <c r="A254" s="54" t="s">
        <v>155</v>
      </c>
      <c r="B254" s="227" t="s">
        <v>182</v>
      </c>
      <c r="C254" s="228"/>
      <c r="D254" s="228"/>
      <c r="E254" s="228"/>
      <c r="F254" s="228"/>
      <c r="G254" s="228"/>
      <c r="H254" s="229"/>
    </row>
    <row r="255" spans="1:20" s="35" customFormat="1" hidden="1" x14ac:dyDescent="0.25">
      <c r="A255" s="58" t="s">
        <v>155</v>
      </c>
      <c r="B255" s="274" t="s">
        <v>238</v>
      </c>
      <c r="C255" s="275"/>
      <c r="D255" s="275"/>
      <c r="E255" s="275"/>
      <c r="F255" s="275"/>
      <c r="G255" s="275"/>
      <c r="H255" s="276"/>
    </row>
    <row r="256" spans="1:20" s="35" customFormat="1" ht="31.5" customHeight="1" x14ac:dyDescent="0.25">
      <c r="A256" s="79" t="s">
        <v>155</v>
      </c>
      <c r="B256" s="109" t="s">
        <v>385</v>
      </c>
      <c r="C256" s="110"/>
      <c r="D256" s="110"/>
      <c r="E256" s="110"/>
      <c r="F256" s="110"/>
      <c r="G256" s="110"/>
      <c r="H256" s="111"/>
    </row>
    <row r="257" spans="1:20" s="35" customFormat="1" ht="31.5" customHeight="1" x14ac:dyDescent="0.25">
      <c r="A257" s="79" t="s">
        <v>155</v>
      </c>
      <c r="B257" s="109" t="s">
        <v>386</v>
      </c>
      <c r="C257" s="110"/>
      <c r="D257" s="110"/>
      <c r="E257" s="110"/>
      <c r="F257" s="110"/>
      <c r="G257" s="110"/>
      <c r="H257" s="111"/>
    </row>
    <row r="258" spans="1:20" s="35" customFormat="1" x14ac:dyDescent="0.25">
      <c r="A258" s="79" t="s">
        <v>155</v>
      </c>
      <c r="B258" s="109" t="s">
        <v>401</v>
      </c>
      <c r="C258" s="110"/>
      <c r="D258" s="110"/>
      <c r="E258" s="110"/>
      <c r="F258" s="110"/>
      <c r="G258" s="110"/>
      <c r="H258" s="111"/>
    </row>
    <row r="259" spans="1:20" x14ac:dyDescent="0.25">
      <c r="A259" s="213" t="s">
        <v>58</v>
      </c>
      <c r="B259" s="213"/>
      <c r="C259" s="213"/>
      <c r="D259" s="213"/>
      <c r="E259" s="213"/>
      <c r="F259" s="213"/>
      <c r="G259" s="213"/>
      <c r="H259" s="213"/>
      <c r="T259" s="35"/>
    </row>
    <row r="260" spans="1:20" x14ac:dyDescent="0.25">
      <c r="A260" s="119" t="s">
        <v>59</v>
      </c>
      <c r="B260" s="119"/>
      <c r="C260" s="119"/>
      <c r="D260" s="119"/>
      <c r="E260" s="119"/>
      <c r="F260" s="119"/>
      <c r="G260" s="119"/>
      <c r="H260" s="119"/>
      <c r="T260" s="35"/>
    </row>
    <row r="261" spans="1:20" ht="15.75" customHeight="1" x14ac:dyDescent="0.25">
      <c r="A261" s="236" t="s">
        <v>60</v>
      </c>
      <c r="B261" s="236"/>
      <c r="C261" s="236"/>
      <c r="D261" s="236"/>
      <c r="E261" s="236"/>
      <c r="F261" s="236"/>
      <c r="G261" s="236"/>
      <c r="H261" s="236"/>
      <c r="T261" s="35"/>
    </row>
    <row r="262" spans="1:20" x14ac:dyDescent="0.25">
      <c r="A262" s="119" t="s">
        <v>61</v>
      </c>
      <c r="B262" s="119"/>
      <c r="C262" s="119"/>
      <c r="D262" s="119"/>
      <c r="E262" s="119"/>
      <c r="F262" s="119"/>
      <c r="G262" s="119"/>
      <c r="H262" s="119"/>
      <c r="T262" s="35"/>
    </row>
    <row r="263" spans="1:20" x14ac:dyDescent="0.25">
      <c r="A263" s="119" t="s">
        <v>62</v>
      </c>
      <c r="B263" s="119"/>
      <c r="C263" s="119"/>
      <c r="D263" s="119"/>
      <c r="E263" s="119"/>
      <c r="F263" s="119"/>
      <c r="G263" s="119"/>
      <c r="H263" s="119"/>
      <c r="T263" s="35"/>
    </row>
    <row r="264" spans="1:20" x14ac:dyDescent="0.25">
      <c r="A264" s="119" t="s">
        <v>125</v>
      </c>
      <c r="B264" s="119"/>
      <c r="C264" s="119"/>
      <c r="D264" s="119"/>
      <c r="E264" s="119"/>
      <c r="F264" s="119"/>
      <c r="G264" s="119"/>
      <c r="H264" s="119"/>
      <c r="T264" s="35"/>
    </row>
    <row r="265" spans="1:20" ht="33.950000000000003" customHeight="1" x14ac:dyDescent="0.25">
      <c r="A265" s="181" t="s">
        <v>126</v>
      </c>
      <c r="B265" s="181"/>
      <c r="C265" s="181"/>
      <c r="D265" s="181"/>
      <c r="E265" s="181"/>
      <c r="F265" s="181"/>
      <c r="G265" s="181"/>
      <c r="H265" s="181"/>
    </row>
    <row r="266" spans="1:20" x14ac:dyDescent="0.25">
      <c r="A266" s="211" t="s">
        <v>74</v>
      </c>
      <c r="B266" s="211"/>
      <c r="C266" s="211" t="s">
        <v>398</v>
      </c>
      <c r="D266" s="211"/>
      <c r="E266" s="211" t="s">
        <v>104</v>
      </c>
      <c r="F266" s="211"/>
      <c r="G266" s="211" t="s">
        <v>407</v>
      </c>
      <c r="H266" s="211"/>
    </row>
    <row r="267" spans="1:20" x14ac:dyDescent="0.25">
      <c r="A267" s="210" t="s">
        <v>76</v>
      </c>
      <c r="B267" s="210"/>
      <c r="C267" s="210"/>
      <c r="D267" s="210"/>
      <c r="E267" s="210"/>
      <c r="F267" s="210"/>
      <c r="G267" s="210"/>
      <c r="H267" s="210"/>
    </row>
    <row r="268" spans="1:20" x14ac:dyDescent="0.25">
      <c r="A268" s="210"/>
      <c r="B268" s="210"/>
      <c r="C268" s="210"/>
      <c r="D268" s="210"/>
      <c r="E268" s="210"/>
      <c r="F268" s="210"/>
      <c r="G268" s="210"/>
      <c r="H268" s="210"/>
    </row>
    <row r="269" spans="1:20" x14ac:dyDescent="0.25">
      <c r="A269" s="210"/>
      <c r="B269" s="210"/>
      <c r="C269" s="210"/>
      <c r="D269" s="210"/>
      <c r="E269" s="210"/>
      <c r="F269" s="210"/>
      <c r="G269" s="210"/>
      <c r="H269" s="210"/>
    </row>
    <row r="270" spans="1:20" x14ac:dyDescent="0.25">
      <c r="A270" s="210"/>
      <c r="B270" s="210"/>
      <c r="C270" s="210"/>
      <c r="D270" s="210"/>
      <c r="E270" s="210"/>
      <c r="F270" s="210"/>
      <c r="G270" s="210"/>
      <c r="H270" s="210"/>
    </row>
    <row r="271" spans="1:20" x14ac:dyDescent="0.25">
      <c r="A271" s="38" t="s">
        <v>63</v>
      </c>
      <c r="B271" s="39"/>
      <c r="C271" s="39"/>
      <c r="D271" s="38" t="str">
        <f>E9</f>
        <v>Promesa Fremont</v>
      </c>
      <c r="F271" s="39"/>
      <c r="G271" s="39"/>
      <c r="H271" s="39"/>
    </row>
    <row r="272" spans="1:20" x14ac:dyDescent="0.25">
      <c r="A272" s="39"/>
      <c r="B272" s="39"/>
      <c r="C272" s="39"/>
      <c r="D272" s="39"/>
      <c r="E272" s="39"/>
      <c r="F272" s="39"/>
      <c r="G272" s="39"/>
      <c r="H272" s="39"/>
    </row>
    <row r="273" spans="1:8" x14ac:dyDescent="0.25">
      <c r="A273" s="39"/>
      <c r="B273" s="39"/>
      <c r="C273" s="39"/>
      <c r="D273" s="39"/>
      <c r="E273" s="39"/>
      <c r="F273" s="39"/>
      <c r="G273" s="39"/>
      <c r="H273" s="39"/>
    </row>
    <row r="274" spans="1:8" ht="15" customHeight="1" x14ac:dyDescent="0.25"/>
    <row r="314" spans="1:1" x14ac:dyDescent="0.25">
      <c r="A314" s="41" t="s">
        <v>165</v>
      </c>
    </row>
    <row r="357" spans="1:1" x14ac:dyDescent="0.25">
      <c r="A357" s="41" t="s">
        <v>64</v>
      </c>
    </row>
  </sheetData>
  <mergeCells count="475">
    <mergeCell ref="B256:H256"/>
    <mergeCell ref="B257:H257"/>
    <mergeCell ref="A210:B210"/>
    <mergeCell ref="L210:M210"/>
    <mergeCell ref="A211:B211"/>
    <mergeCell ref="L211:M211"/>
    <mergeCell ref="A212:B212"/>
    <mergeCell ref="L212:M212"/>
    <mergeCell ref="A213:B213"/>
    <mergeCell ref="L213:M213"/>
    <mergeCell ref="A226:B226"/>
    <mergeCell ref="B254:H254"/>
    <mergeCell ref="L219:M219"/>
    <mergeCell ref="L218:M218"/>
    <mergeCell ref="L215:M215"/>
    <mergeCell ref="L216:M216"/>
    <mergeCell ref="A217:B217"/>
    <mergeCell ref="L217:M217"/>
    <mergeCell ref="A218:B218"/>
    <mergeCell ref="B250:H250"/>
    <mergeCell ref="B255:H255"/>
    <mergeCell ref="B252:H252"/>
    <mergeCell ref="A234:B234"/>
    <mergeCell ref="A243:H243"/>
    <mergeCell ref="L195:M195"/>
    <mergeCell ref="C188:H189"/>
    <mergeCell ref="A196:H196"/>
    <mergeCell ref="A197:B197"/>
    <mergeCell ref="L197:M197"/>
    <mergeCell ref="A198:B198"/>
    <mergeCell ref="L198:M198"/>
    <mergeCell ref="A199:B199"/>
    <mergeCell ref="L199:M199"/>
    <mergeCell ref="A190:B190"/>
    <mergeCell ref="L190:M190"/>
    <mergeCell ref="A191:B191"/>
    <mergeCell ref="L191:M191"/>
    <mergeCell ref="A192:B192"/>
    <mergeCell ref="A193:B193"/>
    <mergeCell ref="L193:M193"/>
    <mergeCell ref="A194:B194"/>
    <mergeCell ref="L194:M194"/>
    <mergeCell ref="L209:M209"/>
    <mergeCell ref="A200:B200"/>
    <mergeCell ref="L200:M200"/>
    <mergeCell ref="A201:B201"/>
    <mergeCell ref="L201:M201"/>
    <mergeCell ref="A202:B202"/>
    <mergeCell ref="L202:M202"/>
    <mergeCell ref="A203:B203"/>
    <mergeCell ref="L203:M203"/>
    <mergeCell ref="A204:B204"/>
    <mergeCell ref="L204:M204"/>
    <mergeCell ref="A205:B205"/>
    <mergeCell ref="L205:M205"/>
    <mergeCell ref="C200:H201"/>
    <mergeCell ref="A206:H206"/>
    <mergeCell ref="A207:B207"/>
    <mergeCell ref="L207:M207"/>
    <mergeCell ref="A208:B208"/>
    <mergeCell ref="L208:M208"/>
    <mergeCell ref="L182:M182"/>
    <mergeCell ref="A183:B183"/>
    <mergeCell ref="L183:M183"/>
    <mergeCell ref="A184:B184"/>
    <mergeCell ref="L184:M184"/>
    <mergeCell ref="L192:M192"/>
    <mergeCell ref="A185:B185"/>
    <mergeCell ref="L185:M185"/>
    <mergeCell ref="A186:H186"/>
    <mergeCell ref="A187:B187"/>
    <mergeCell ref="L187:M187"/>
    <mergeCell ref="A188:B188"/>
    <mergeCell ref="L188:M188"/>
    <mergeCell ref="A189:B189"/>
    <mergeCell ref="L189:M189"/>
    <mergeCell ref="L177:M177"/>
    <mergeCell ref="A178:B178"/>
    <mergeCell ref="L178:M178"/>
    <mergeCell ref="A179:B179"/>
    <mergeCell ref="L179:M179"/>
    <mergeCell ref="A180:B180"/>
    <mergeCell ref="L180:M180"/>
    <mergeCell ref="A181:B181"/>
    <mergeCell ref="L181:M181"/>
    <mergeCell ref="L162:M162"/>
    <mergeCell ref="A163:B163"/>
    <mergeCell ref="L163:M163"/>
    <mergeCell ref="A173:H173"/>
    <mergeCell ref="A165:B165"/>
    <mergeCell ref="A174:H174"/>
    <mergeCell ref="A172:H172"/>
    <mergeCell ref="A175:H175"/>
    <mergeCell ref="A176:H176"/>
    <mergeCell ref="L157:M157"/>
    <mergeCell ref="A158:B158"/>
    <mergeCell ref="L158:M158"/>
    <mergeCell ref="A159:B159"/>
    <mergeCell ref="L159:M159"/>
    <mergeCell ref="A160:B160"/>
    <mergeCell ref="L160:M160"/>
    <mergeCell ref="A161:B161"/>
    <mergeCell ref="L161:M161"/>
    <mergeCell ref="L152:M152"/>
    <mergeCell ref="A153:B153"/>
    <mergeCell ref="L153:M153"/>
    <mergeCell ref="A154:B154"/>
    <mergeCell ref="L154:M154"/>
    <mergeCell ref="A155:B155"/>
    <mergeCell ref="L155:M155"/>
    <mergeCell ref="A156:B156"/>
    <mergeCell ref="L156:M156"/>
    <mergeCell ref="L147:M147"/>
    <mergeCell ref="A148:B148"/>
    <mergeCell ref="L148:M148"/>
    <mergeCell ref="A149:B149"/>
    <mergeCell ref="L149:M149"/>
    <mergeCell ref="A150:B150"/>
    <mergeCell ref="L150:M150"/>
    <mergeCell ref="A151:B151"/>
    <mergeCell ref="L151:M151"/>
    <mergeCell ref="I15:P15"/>
    <mergeCell ref="F128:H128"/>
    <mergeCell ref="F126:H126"/>
    <mergeCell ref="A227:B227"/>
    <mergeCell ref="A141:H141"/>
    <mergeCell ref="G132:H132"/>
    <mergeCell ref="A127:E127"/>
    <mergeCell ref="A166:B166"/>
    <mergeCell ref="A60:B60"/>
    <mergeCell ref="C60:E60"/>
    <mergeCell ref="D62:H62"/>
    <mergeCell ref="F127:H127"/>
    <mergeCell ref="E132:F132"/>
    <mergeCell ref="A132:B132"/>
    <mergeCell ref="C136:D136"/>
    <mergeCell ref="D72:H72"/>
    <mergeCell ref="A73:C73"/>
    <mergeCell ref="E43:H43"/>
    <mergeCell ref="A43:D43"/>
    <mergeCell ref="A89:B89"/>
    <mergeCell ref="C89:H89"/>
    <mergeCell ref="A84:B84"/>
    <mergeCell ref="A50:B50"/>
    <mergeCell ref="C50:E50"/>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9:E59"/>
    <mergeCell ref="G59:H59"/>
    <mergeCell ref="C57:H57"/>
    <mergeCell ref="C51:E51"/>
    <mergeCell ref="A264:H264"/>
    <mergeCell ref="A261:H261"/>
    <mergeCell ref="A220:B220"/>
    <mergeCell ref="A136:B136"/>
    <mergeCell ref="D170:D171"/>
    <mergeCell ref="E170:E171"/>
    <mergeCell ref="A97:B97"/>
    <mergeCell ref="A98:B98"/>
    <mergeCell ref="A99:B99"/>
    <mergeCell ref="A114:B114"/>
    <mergeCell ref="F119:H119"/>
    <mergeCell ref="G133:H133"/>
    <mergeCell ref="A117:B117"/>
    <mergeCell ref="F125:H125"/>
    <mergeCell ref="C132:D132"/>
    <mergeCell ref="C138:D138"/>
    <mergeCell ref="A214:H214"/>
    <mergeCell ref="A229:B229"/>
    <mergeCell ref="C53:E53"/>
    <mergeCell ref="G53:H53"/>
    <mergeCell ref="A146:H146"/>
    <mergeCell ref="A147:B147"/>
    <mergeCell ref="A152:B152"/>
    <mergeCell ref="A232:B232"/>
    <mergeCell ref="A216:B216"/>
    <mergeCell ref="A145:H145"/>
    <mergeCell ref="A144:H144"/>
    <mergeCell ref="D67:H67"/>
    <mergeCell ref="C52:E52"/>
    <mergeCell ref="A65:C67"/>
    <mergeCell ref="D65:H65"/>
    <mergeCell ref="D66:H66"/>
    <mergeCell ref="A157:B157"/>
    <mergeCell ref="A162:B162"/>
    <mergeCell ref="A177:B177"/>
    <mergeCell ref="A182:B182"/>
    <mergeCell ref="A209:B209"/>
    <mergeCell ref="A195:B195"/>
    <mergeCell ref="A170:A171"/>
    <mergeCell ref="F170:F171"/>
    <mergeCell ref="A139:B139"/>
    <mergeCell ref="C139:D139"/>
    <mergeCell ref="E139:F139"/>
    <mergeCell ref="B253:H253"/>
    <mergeCell ref="B251:H251"/>
    <mergeCell ref="B247:H247"/>
    <mergeCell ref="A240:B240"/>
    <mergeCell ref="A237:H237"/>
    <mergeCell ref="A238:B238"/>
    <mergeCell ref="A239:B239"/>
    <mergeCell ref="A242:B242"/>
    <mergeCell ref="A241:B241"/>
    <mergeCell ref="B245:H245"/>
    <mergeCell ref="B246:H246"/>
    <mergeCell ref="B248:H248"/>
    <mergeCell ref="B249:H249"/>
    <mergeCell ref="A244:H244"/>
    <mergeCell ref="A235:B235"/>
    <mergeCell ref="A236:B236"/>
    <mergeCell ref="A231:H231"/>
    <mergeCell ref="A225:H225"/>
    <mergeCell ref="A222:B222"/>
    <mergeCell ref="B170:B171"/>
    <mergeCell ref="A260:H260"/>
    <mergeCell ref="A224:B224"/>
    <mergeCell ref="A221:B221"/>
    <mergeCell ref="A215:B215"/>
    <mergeCell ref="A168:B168"/>
    <mergeCell ref="A167:B167"/>
    <mergeCell ref="E92:F92"/>
    <mergeCell ref="G92:H92"/>
    <mergeCell ref="A124:E124"/>
    <mergeCell ref="F124:H124"/>
    <mergeCell ref="A126:E126"/>
    <mergeCell ref="F121:H121"/>
    <mergeCell ref="A125:E125"/>
    <mergeCell ref="A111:B111"/>
    <mergeCell ref="A112:B112"/>
    <mergeCell ref="E93:F102"/>
    <mergeCell ref="A100:B100"/>
    <mergeCell ref="A101:B101"/>
    <mergeCell ref="E107:F107"/>
    <mergeCell ref="E108:F117"/>
    <mergeCell ref="A169:H169"/>
    <mergeCell ref="E136:F136"/>
    <mergeCell ref="A140:H140"/>
    <mergeCell ref="A79:B79"/>
    <mergeCell ref="G78:H78"/>
    <mergeCell ref="A81:B81"/>
    <mergeCell ref="A77:B77"/>
    <mergeCell ref="A267:H270"/>
    <mergeCell ref="A266:B266"/>
    <mergeCell ref="E266:F266"/>
    <mergeCell ref="C266:D266"/>
    <mergeCell ref="G266:H266"/>
    <mergeCell ref="A131:H131"/>
    <mergeCell ref="A129:E129"/>
    <mergeCell ref="F129:H129"/>
    <mergeCell ref="A130:E130"/>
    <mergeCell ref="F130:H130"/>
    <mergeCell ref="A219:H219"/>
    <mergeCell ref="A228:B228"/>
    <mergeCell ref="A262:H262"/>
    <mergeCell ref="A135:H135"/>
    <mergeCell ref="A265:H265"/>
    <mergeCell ref="A263:H263"/>
    <mergeCell ref="A259:H259"/>
    <mergeCell ref="G136:H136"/>
    <mergeCell ref="A230:B230"/>
    <mergeCell ref="C142:C143"/>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22:B22"/>
    <mergeCell ref="C22:D22"/>
    <mergeCell ref="E22:F22"/>
    <mergeCell ref="G22:H22"/>
    <mergeCell ref="F34:H3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34:B34"/>
    <mergeCell ref="F35:H35"/>
    <mergeCell ref="C91:H91"/>
    <mergeCell ref="A33:B33"/>
    <mergeCell ref="C34:E34"/>
    <mergeCell ref="A35:B35"/>
    <mergeCell ref="C35:E35"/>
    <mergeCell ref="A25:D25"/>
    <mergeCell ref="E25:H25"/>
    <mergeCell ref="A75:B75"/>
    <mergeCell ref="C75:H75"/>
    <mergeCell ref="A83:B83"/>
    <mergeCell ref="A70:C70"/>
    <mergeCell ref="D70:H70"/>
    <mergeCell ref="C77:H77"/>
    <mergeCell ref="A80:B80"/>
    <mergeCell ref="A82:B82"/>
    <mergeCell ref="E78:F78"/>
    <mergeCell ref="A71:C71"/>
    <mergeCell ref="D71:H71"/>
    <mergeCell ref="A74:C74"/>
    <mergeCell ref="D74:H74"/>
    <mergeCell ref="A72:C72"/>
    <mergeCell ref="D73:H73"/>
    <mergeCell ref="E47:H47"/>
    <mergeCell ref="A102:B102"/>
    <mergeCell ref="A91:B91"/>
    <mergeCell ref="A39:B39"/>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64:C64"/>
    <mergeCell ref="A85:B85"/>
    <mergeCell ref="A45:D45"/>
    <mergeCell ref="A49:B49"/>
    <mergeCell ref="A38:H38"/>
    <mergeCell ref="A37:B37"/>
    <mergeCell ref="C37:E37"/>
    <mergeCell ref="G108:H117"/>
    <mergeCell ref="A42:D42"/>
    <mergeCell ref="E42:H42"/>
    <mergeCell ref="A41:H41"/>
    <mergeCell ref="A68:C68"/>
    <mergeCell ref="A69:C69"/>
    <mergeCell ref="D68:H68"/>
    <mergeCell ref="E79:F88"/>
    <mergeCell ref="G79:H88"/>
    <mergeCell ref="A87:B87"/>
    <mergeCell ref="A88:B88"/>
    <mergeCell ref="D69:H69"/>
    <mergeCell ref="A44:D44"/>
    <mergeCell ref="E44:H44"/>
    <mergeCell ref="E45:H45"/>
    <mergeCell ref="E46:H46"/>
    <mergeCell ref="A92:B92"/>
    <mergeCell ref="A96:B96"/>
    <mergeCell ref="F120:H120"/>
    <mergeCell ref="D142:D143"/>
    <mergeCell ref="A122:E122"/>
    <mergeCell ref="A113:B113"/>
    <mergeCell ref="C39:H39"/>
    <mergeCell ref="A46:D46"/>
    <mergeCell ref="L168:M168"/>
    <mergeCell ref="L167:M167"/>
    <mergeCell ref="L166:M166"/>
    <mergeCell ref="L165:M165"/>
    <mergeCell ref="A86:B86"/>
    <mergeCell ref="C137:D137"/>
    <mergeCell ref="E137:F137"/>
    <mergeCell ref="G137:H137"/>
    <mergeCell ref="A119:E119"/>
    <mergeCell ref="A104:B104"/>
    <mergeCell ref="C104:H104"/>
    <mergeCell ref="A164:H164"/>
    <mergeCell ref="E142:E143"/>
    <mergeCell ref="A93:B93"/>
    <mergeCell ref="A47:D47"/>
    <mergeCell ref="A48:H48"/>
    <mergeCell ref="D64:H64"/>
    <mergeCell ref="F118:H118"/>
    <mergeCell ref="F123:H123"/>
    <mergeCell ref="G142:G143"/>
    <mergeCell ref="A233:B233"/>
    <mergeCell ref="A123:E123"/>
    <mergeCell ref="A223:B223"/>
    <mergeCell ref="A40:B40"/>
    <mergeCell ref="C40:H40"/>
    <mergeCell ref="F142:F143"/>
    <mergeCell ref="C133:D133"/>
    <mergeCell ref="E133:F133"/>
    <mergeCell ref="B142:B143"/>
    <mergeCell ref="A142:A143"/>
    <mergeCell ref="C170:C171"/>
    <mergeCell ref="G170:G171"/>
    <mergeCell ref="G139:H139"/>
    <mergeCell ref="C55:H55"/>
    <mergeCell ref="A78:B78"/>
    <mergeCell ref="C49:H49"/>
    <mergeCell ref="A109:B109"/>
    <mergeCell ref="A110:B110"/>
    <mergeCell ref="G93:H102"/>
    <mergeCell ref="A94:B94"/>
    <mergeCell ref="A95:B95"/>
    <mergeCell ref="A103:B103"/>
    <mergeCell ref="C103:D103"/>
    <mergeCell ref="E103:F103"/>
    <mergeCell ref="G103:H103"/>
    <mergeCell ref="B258:H258"/>
    <mergeCell ref="A108:B108"/>
    <mergeCell ref="A138:B138"/>
    <mergeCell ref="E138:F138"/>
    <mergeCell ref="C106:H106"/>
    <mergeCell ref="A107:B107"/>
    <mergeCell ref="A128:E128"/>
    <mergeCell ref="G138:H138"/>
    <mergeCell ref="A134:B134"/>
    <mergeCell ref="C134:D134"/>
    <mergeCell ref="E134:F134"/>
    <mergeCell ref="G134:H134"/>
    <mergeCell ref="A115:B115"/>
    <mergeCell ref="A116:B116"/>
    <mergeCell ref="A121:E121"/>
    <mergeCell ref="A118:E118"/>
    <mergeCell ref="F122:H122"/>
    <mergeCell ref="G107:H107"/>
    <mergeCell ref="A106:B106"/>
    <mergeCell ref="A120:E120"/>
  </mergeCells>
  <dataValidations count="18">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42:E143" xr:uid="{00000000-0002-0000-0000-000003000000}">
      <formula1>"Attached Loft area,Attached Otla area,Attached Mezzanine area"</formula1>
    </dataValidation>
    <dataValidation type="list" allowBlank="1" showInputMessage="1" showErrorMessage="1" sqref="G266:H266" xr:uid="{00000000-0002-0000-0000-000004000000}">
      <formula1>"Gaurav Panchal, Kunal Kadam,Pranita Mhatre,Shruti Fule,Pooja Kawale,Neha Dhokale,Shruti Tathare, Hitakshi Mhatre, Sachin Sawant"</formula1>
    </dataValidation>
    <dataValidation type="list" allowBlank="1" showInputMessage="1" showErrorMessage="1" sqref="F118:H118" xr:uid="{00000000-0002-0000-0000-000005000000}">
      <formula1>"On Saleable Area,On Builtup Area,On Carpet Area,On Plot Area"</formula1>
    </dataValidation>
    <dataValidation type="list" allowBlank="1" showInputMessage="1" showErrorMessage="1" sqref="F129:H129" xr:uid="{00000000-0002-0000-0000-000006000000}">
      <formula1>OFFSET($S$118,1,MATCH($G20,$S$118:$W$118,0)-1,15,1)</formula1>
    </dataValidation>
    <dataValidation type="list" allowBlank="1" showInputMessage="1" showErrorMessage="1" sqref="B142:B143" xr:uid="{00000000-0002-0000-0000-000007000000}">
      <formula1>"Shop No. (Sale Plan),Sale / Rehab,Sale / Mhada"</formula1>
    </dataValidation>
    <dataValidation type="list" allowBlank="1" showInputMessage="1" showErrorMessage="1" sqref="B170:B171"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170:E171" xr:uid="{00000000-0002-0000-0000-00000B000000}">
      <formula1>"Fungible area,Balcony Area,Chajja Area,Cornice Area,AP Area,WS Area"</formula1>
    </dataValidation>
    <dataValidation type="list" allowBlank="1" showInputMessage="1" showErrorMessage="1" sqref="H143 H171"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 type="whole" allowBlank="1" showInputMessage="1" showErrorMessage="1" sqref="C84" xr:uid="{00000000-0002-0000-0000-00000F000000}">
      <formula1>0</formula1>
      <formula2>H76</formula2>
    </dataValidation>
    <dataValidation type="list" allowBlank="1" showInputMessage="1" showErrorMessage="1" sqref="H142 H170" xr:uid="{00000000-0002-0000-0000-000010000000}">
      <formula1>"Saleable area Loading :,Builder Saleable Area"</formula1>
    </dataValidation>
    <dataValidation type="list" allowBlank="1" showInputMessage="1" showErrorMessage="1" sqref="D142:D143 D170:D171" xr:uid="{00000000-0002-0000-0000-000011000000}">
      <formula1>"Carpet area,RERA Carpet area"</formula1>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5" manualBreakCount="5">
    <brk id="32" max="16383" man="1"/>
    <brk id="130" max="16383" man="1"/>
    <brk id="270" max="16383" man="1"/>
    <brk id="313" max="16383" man="1"/>
    <brk id="356"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70" zoomScaleNormal="70" workbookViewId="0">
      <selection activeCell="P17" sqref="P17"/>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77" t="s">
        <v>105</v>
      </c>
      <c r="C3" s="277"/>
      <c r="D3" s="277"/>
      <c r="E3" s="277"/>
      <c r="F3" s="277"/>
      <c r="G3" s="277"/>
      <c r="H3" s="277"/>
    </row>
    <row r="4" spans="1:9" x14ac:dyDescent="0.25">
      <c r="A4" s="2"/>
      <c r="B4" s="3" t="s">
        <v>106</v>
      </c>
      <c r="C4" s="3" t="s">
        <v>107</v>
      </c>
      <c r="D4" s="3" t="s">
        <v>66</v>
      </c>
      <c r="E4" s="3" t="s">
        <v>108</v>
      </c>
      <c r="F4" s="3" t="s">
        <v>114</v>
      </c>
      <c r="G4" s="3" t="s">
        <v>115</v>
      </c>
      <c r="H4" s="3" t="s">
        <v>109</v>
      </c>
    </row>
    <row r="5" spans="1:9" ht="15" customHeight="1" x14ac:dyDescent="0.25">
      <c r="A5" s="2"/>
      <c r="B5" s="5" t="s">
        <v>110</v>
      </c>
      <c r="C5" s="6"/>
      <c r="D5" s="5"/>
      <c r="E5" s="5"/>
      <c r="F5" s="7">
        <f>E5*1.6</f>
        <v>0</v>
      </c>
      <c r="G5" s="7" t="e">
        <f>H5/F5</f>
        <v>#DIV/0!</v>
      </c>
      <c r="H5" s="8"/>
    </row>
    <row r="6" spans="1:9" x14ac:dyDescent="0.25">
      <c r="A6" s="2"/>
      <c r="B6" s="5" t="s">
        <v>110</v>
      </c>
      <c r="C6" s="9"/>
      <c r="D6" s="5"/>
      <c r="E6" s="5"/>
      <c r="F6" s="7">
        <f t="shared" ref="F6:F11" si="0">E6*1.6</f>
        <v>0</v>
      </c>
      <c r="G6" s="7" t="e">
        <f t="shared" ref="G6:G11" si="1">H6/F6</f>
        <v>#DIV/0!</v>
      </c>
      <c r="H6" s="8"/>
    </row>
    <row r="7" spans="1:9" ht="15" customHeight="1" x14ac:dyDescent="0.25">
      <c r="A7" s="2"/>
      <c r="B7" s="5" t="s">
        <v>110</v>
      </c>
      <c r="C7" s="6"/>
      <c r="D7" s="5"/>
      <c r="E7" s="5"/>
      <c r="F7" s="7">
        <f t="shared" si="0"/>
        <v>0</v>
      </c>
      <c r="G7" s="7" t="e">
        <f t="shared" si="1"/>
        <v>#DIV/0!</v>
      </c>
      <c r="H7" s="8"/>
    </row>
    <row r="8" spans="1:9" x14ac:dyDescent="0.25">
      <c r="A8" s="2"/>
      <c r="B8" s="5" t="s">
        <v>110</v>
      </c>
      <c r="C8" s="9"/>
      <c r="D8" s="5"/>
      <c r="E8" s="5"/>
      <c r="F8" s="7">
        <f t="shared" si="0"/>
        <v>0</v>
      </c>
      <c r="G8" s="7" t="e">
        <f t="shared" si="1"/>
        <v>#DIV/0!</v>
      </c>
      <c r="H8" s="8"/>
    </row>
    <row r="9" spans="1:9" ht="15" customHeight="1" x14ac:dyDescent="0.25">
      <c r="A9" s="2"/>
      <c r="B9" s="5" t="s">
        <v>110</v>
      </c>
      <c r="C9" s="9"/>
      <c r="D9" s="5"/>
      <c r="E9" s="5"/>
      <c r="F9" s="7">
        <f t="shared" si="0"/>
        <v>0</v>
      </c>
      <c r="G9" s="7" t="e">
        <f t="shared" si="1"/>
        <v>#DIV/0!</v>
      </c>
      <c r="H9" s="8"/>
    </row>
    <row r="10" spans="1:9" ht="15" customHeight="1" x14ac:dyDescent="0.25">
      <c r="A10" s="2"/>
      <c r="B10" s="5" t="s">
        <v>111</v>
      </c>
      <c r="C10" s="6"/>
      <c r="D10" s="5"/>
      <c r="E10" s="5"/>
      <c r="F10" s="7">
        <f t="shared" si="0"/>
        <v>0</v>
      </c>
      <c r="G10" s="7" t="e">
        <f t="shared" si="1"/>
        <v>#DIV/0!</v>
      </c>
      <c r="H10" s="8"/>
    </row>
    <row r="11" spans="1:9" ht="15" customHeight="1" x14ac:dyDescent="0.25">
      <c r="A11" s="2"/>
      <c r="B11" s="5" t="s">
        <v>111</v>
      </c>
      <c r="C11" s="6"/>
      <c r="D11" s="5"/>
      <c r="E11" s="5"/>
      <c r="F11" s="7">
        <f t="shared" si="0"/>
        <v>0</v>
      </c>
      <c r="G11" s="7" t="e">
        <f t="shared" si="1"/>
        <v>#DIV/0!</v>
      </c>
      <c r="H11" s="8"/>
    </row>
    <row r="12" spans="1:9" ht="15" customHeight="1" x14ac:dyDescent="0.25">
      <c r="A12" s="2"/>
      <c r="B12" s="10" t="s">
        <v>112</v>
      </c>
      <c r="C12" s="5"/>
      <c r="D12" s="5"/>
      <c r="E12" s="5"/>
      <c r="F12" s="5"/>
      <c r="G12" s="11" t="e">
        <f>AVERAGE(G5:G11)</f>
        <v>#DIV/0!</v>
      </c>
      <c r="H12" s="5"/>
    </row>
    <row r="13" spans="1:9" ht="15" customHeight="1" x14ac:dyDescent="0.25">
      <c r="B13" s="10" t="s">
        <v>113</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5"/>
      <c r="C4" s="55" t="s">
        <v>11</v>
      </c>
      <c r="D4" s="56" t="s">
        <v>183</v>
      </c>
      <c r="E4" s="56" t="s">
        <v>193</v>
      </c>
      <c r="F4" s="56" t="s">
        <v>175</v>
      </c>
      <c r="G4" s="56" t="s">
        <v>198</v>
      </c>
      <c r="H4" s="56" t="s">
        <v>216</v>
      </c>
      <c r="J4" t="s">
        <v>198</v>
      </c>
      <c r="K4" t="s">
        <v>214</v>
      </c>
    </row>
    <row r="5" spans="2:11" x14ac:dyDescent="0.25">
      <c r="B5" s="55"/>
      <c r="C5" s="55"/>
      <c r="D5" s="56" t="s">
        <v>184</v>
      </c>
      <c r="E5" s="56" t="s">
        <v>191</v>
      </c>
      <c r="F5" s="56" t="s">
        <v>213</v>
      </c>
      <c r="G5" s="56" t="s">
        <v>199</v>
      </c>
      <c r="H5" s="56" t="s">
        <v>217</v>
      </c>
    </row>
    <row r="6" spans="2:11" x14ac:dyDescent="0.25">
      <c r="B6" s="55"/>
      <c r="C6" s="55"/>
      <c r="D6" s="56" t="s">
        <v>185</v>
      </c>
      <c r="E6" s="56" t="s">
        <v>192</v>
      </c>
      <c r="F6" s="56" t="s">
        <v>214</v>
      </c>
      <c r="G6" s="56" t="s">
        <v>200</v>
      </c>
      <c r="H6" s="56" t="s">
        <v>230</v>
      </c>
    </row>
    <row r="7" spans="2:11" x14ac:dyDescent="0.25">
      <c r="B7" s="55"/>
      <c r="C7" s="55"/>
      <c r="D7" s="56" t="s">
        <v>186</v>
      </c>
      <c r="E7" s="56" t="s">
        <v>194</v>
      </c>
      <c r="F7" s="56" t="s">
        <v>215</v>
      </c>
      <c r="G7" s="56" t="s">
        <v>201</v>
      </c>
      <c r="H7" s="56" t="s">
        <v>218</v>
      </c>
    </row>
    <row r="8" spans="2:11" x14ac:dyDescent="0.25">
      <c r="B8" s="55"/>
      <c r="C8" s="55"/>
      <c r="D8" s="56" t="s">
        <v>187</v>
      </c>
      <c r="E8" s="56" t="s">
        <v>195</v>
      </c>
      <c r="F8" s="56"/>
      <c r="G8" s="56" t="s">
        <v>202</v>
      </c>
      <c r="H8" s="56" t="s">
        <v>219</v>
      </c>
    </row>
    <row r="9" spans="2:11" x14ac:dyDescent="0.25">
      <c r="B9" s="55"/>
      <c r="C9" s="55"/>
      <c r="D9" s="56" t="s">
        <v>188</v>
      </c>
      <c r="E9" s="56" t="s">
        <v>193</v>
      </c>
      <c r="F9" s="56"/>
      <c r="G9" s="56" t="s">
        <v>203</v>
      </c>
      <c r="H9" s="56" t="s">
        <v>220</v>
      </c>
    </row>
    <row r="10" spans="2:11" x14ac:dyDescent="0.25">
      <c r="B10" s="55"/>
      <c r="C10" s="55"/>
      <c r="D10" s="56" t="s">
        <v>189</v>
      </c>
      <c r="E10" s="56" t="s">
        <v>196</v>
      </c>
      <c r="F10" s="56"/>
      <c r="G10" s="56" t="s">
        <v>204</v>
      </c>
      <c r="H10" s="56" t="s">
        <v>221</v>
      </c>
    </row>
    <row r="11" spans="2:11" x14ac:dyDescent="0.25">
      <c r="B11" s="55"/>
      <c r="C11" s="55"/>
      <c r="D11" s="56" t="s">
        <v>190</v>
      </c>
      <c r="E11" s="56" t="s">
        <v>197</v>
      </c>
      <c r="F11" s="56"/>
      <c r="G11" s="56" t="s">
        <v>205</v>
      </c>
      <c r="H11" s="56" t="s">
        <v>222</v>
      </c>
    </row>
    <row r="12" spans="2:11" x14ac:dyDescent="0.25">
      <c r="B12" s="55"/>
      <c r="C12" s="55"/>
      <c r="D12" s="56"/>
      <c r="E12" s="56"/>
      <c r="F12" s="56"/>
      <c r="G12" s="56" t="s">
        <v>206</v>
      </c>
      <c r="H12" s="56" t="s">
        <v>223</v>
      </c>
    </row>
    <row r="13" spans="2:11" x14ac:dyDescent="0.25">
      <c r="B13" s="55"/>
      <c r="C13" s="55"/>
      <c r="D13" s="56"/>
      <c r="E13" s="56"/>
      <c r="F13" s="56"/>
      <c r="G13" s="56" t="s">
        <v>207</v>
      </c>
      <c r="H13" s="56" t="s">
        <v>224</v>
      </c>
    </row>
    <row r="14" spans="2:11" x14ac:dyDescent="0.25">
      <c r="B14" s="55"/>
      <c r="C14" s="55"/>
      <c r="D14" s="56"/>
      <c r="E14" s="56"/>
      <c r="F14" s="56"/>
      <c r="G14" s="56" t="s">
        <v>208</v>
      </c>
      <c r="H14" s="56" t="s">
        <v>225</v>
      </c>
    </row>
    <row r="15" spans="2:11" x14ac:dyDescent="0.25">
      <c r="B15" s="55"/>
      <c r="C15" s="55"/>
      <c r="D15" s="56"/>
      <c r="E15" s="56"/>
      <c r="F15" s="56"/>
      <c r="G15" s="56" t="s">
        <v>209</v>
      </c>
      <c r="H15" s="56" t="s">
        <v>226</v>
      </c>
    </row>
    <row r="16" spans="2:11" x14ac:dyDescent="0.25">
      <c r="B16" s="55"/>
      <c r="C16" s="55"/>
      <c r="D16" s="56"/>
      <c r="E16" s="56"/>
      <c r="F16" s="56"/>
      <c r="G16" s="56" t="s">
        <v>210</v>
      </c>
      <c r="H16" s="56" t="s">
        <v>227</v>
      </c>
    </row>
    <row r="17" spans="2:8" x14ac:dyDescent="0.25">
      <c r="B17" s="55"/>
      <c r="C17" s="55"/>
      <c r="D17" s="56"/>
      <c r="E17" s="56"/>
      <c r="F17" s="56"/>
      <c r="G17" s="56" t="s">
        <v>211</v>
      </c>
      <c r="H17" s="56" t="s">
        <v>228</v>
      </c>
    </row>
    <row r="18" spans="2:8" x14ac:dyDescent="0.25">
      <c r="B18" s="55"/>
      <c r="C18" s="55"/>
      <c r="D18" s="56"/>
      <c r="E18" s="56"/>
      <c r="F18" s="56"/>
      <c r="G18" s="56" t="s">
        <v>212</v>
      </c>
      <c r="H18" s="56" t="s">
        <v>229</v>
      </c>
    </row>
    <row r="24" spans="2:8" x14ac:dyDescent="0.25">
      <c r="C24" t="s">
        <v>172</v>
      </c>
    </row>
    <row r="25" spans="2:8" x14ac:dyDescent="0.25">
      <c r="C25" t="s">
        <v>231</v>
      </c>
    </row>
    <row r="26" spans="2:8" x14ac:dyDescent="0.25">
      <c r="C26" t="s">
        <v>232</v>
      </c>
    </row>
    <row r="27" spans="2:8" x14ac:dyDescent="0.25">
      <c r="C27" t="s">
        <v>233</v>
      </c>
    </row>
    <row r="28" spans="2:8" x14ac:dyDescent="0.25">
      <c r="C28" t="s">
        <v>234</v>
      </c>
    </row>
    <row r="29" spans="2:8" x14ac:dyDescent="0.25">
      <c r="C29" t="s">
        <v>235</v>
      </c>
    </row>
    <row r="30" spans="2:8" x14ac:dyDescent="0.25">
      <c r="C30" t="s">
        <v>172</v>
      </c>
    </row>
    <row r="33" spans="3:11" x14ac:dyDescent="0.25">
      <c r="J33">
        <v>1</v>
      </c>
      <c r="K33">
        <v>2</v>
      </c>
    </row>
    <row r="34" spans="3:11" x14ac:dyDescent="0.25">
      <c r="C34" s="59" t="s">
        <v>242</v>
      </c>
      <c r="D34" s="56" t="s">
        <v>240</v>
      </c>
      <c r="E34" s="56" t="s">
        <v>245</v>
      </c>
      <c r="F34" s="56" t="s">
        <v>243</v>
      </c>
      <c r="G34" s="56" t="s">
        <v>244</v>
      </c>
      <c r="H34" s="56" t="s">
        <v>246</v>
      </c>
      <c r="J34" t="s">
        <v>198</v>
      </c>
      <c r="K34" t="s">
        <v>214</v>
      </c>
    </row>
    <row r="35" spans="3:11" x14ac:dyDescent="0.25">
      <c r="C35" s="55" t="s">
        <v>241</v>
      </c>
      <c r="D35" s="56" t="s">
        <v>173</v>
      </c>
      <c r="E35" s="56" t="s">
        <v>250</v>
      </c>
      <c r="F35" s="56" t="s">
        <v>252</v>
      </c>
      <c r="G35" s="56" t="s">
        <v>254</v>
      </c>
      <c r="H35" s="56"/>
    </row>
    <row r="36" spans="3:11" x14ac:dyDescent="0.25">
      <c r="C36" s="55"/>
      <c r="D36" s="56" t="s">
        <v>247</v>
      </c>
      <c r="E36" s="56" t="s">
        <v>251</v>
      </c>
      <c r="F36" s="56" t="s">
        <v>253</v>
      </c>
      <c r="G36" s="56" t="s">
        <v>255</v>
      </c>
      <c r="H36" s="56"/>
    </row>
    <row r="37" spans="3:11" x14ac:dyDescent="0.25">
      <c r="C37" s="55"/>
      <c r="D37" s="56" t="s">
        <v>248</v>
      </c>
      <c r="E37" s="56"/>
      <c r="F37" s="56"/>
      <c r="G37" s="56" t="s">
        <v>256</v>
      </c>
      <c r="H37" s="56"/>
    </row>
    <row r="38" spans="3:11" x14ac:dyDescent="0.25">
      <c r="C38" s="55"/>
      <c r="D38" s="56" t="s">
        <v>249</v>
      </c>
      <c r="E38" s="56"/>
      <c r="F38" s="56"/>
      <c r="G38" s="56" t="s">
        <v>256</v>
      </c>
      <c r="H38" s="56"/>
    </row>
    <row r="39" spans="3:11" x14ac:dyDescent="0.25">
      <c r="C39" s="55"/>
      <c r="D39" s="56"/>
      <c r="E39" s="56"/>
      <c r="F39" s="56"/>
      <c r="G39" s="56" t="s">
        <v>257</v>
      </c>
      <c r="H39" s="56"/>
    </row>
    <row r="40" spans="3:11" x14ac:dyDescent="0.25">
      <c r="C40" s="55"/>
      <c r="D40" s="56"/>
      <c r="E40" s="56"/>
      <c r="F40" s="56"/>
      <c r="G40" s="56" t="s">
        <v>258</v>
      </c>
      <c r="H40" s="56"/>
    </row>
    <row r="41" spans="3:11" x14ac:dyDescent="0.25">
      <c r="C41" s="55"/>
      <c r="D41" s="56"/>
      <c r="E41" s="56"/>
      <c r="F41" s="56"/>
      <c r="G41" s="56"/>
      <c r="H41" s="56"/>
    </row>
    <row r="43" spans="3:11" x14ac:dyDescent="0.25">
      <c r="C43" t="s">
        <v>259</v>
      </c>
    </row>
    <row r="44" spans="3:11" x14ac:dyDescent="0.25">
      <c r="C44" t="s">
        <v>175</v>
      </c>
      <c r="D44" t="s">
        <v>260</v>
      </c>
    </row>
    <row r="45" spans="3:11" x14ac:dyDescent="0.25">
      <c r="D45" t="s">
        <v>261</v>
      </c>
    </row>
    <row r="46" spans="3:11" x14ac:dyDescent="0.25">
      <c r="D46" t="s">
        <v>262</v>
      </c>
    </row>
    <row r="47" spans="3:11" x14ac:dyDescent="0.25">
      <c r="D47" t="s">
        <v>263</v>
      </c>
    </row>
    <row r="48" spans="3:11" x14ac:dyDescent="0.25">
      <c r="D48" t="s">
        <v>264</v>
      </c>
    </row>
    <row r="49" spans="3:4" x14ac:dyDescent="0.25">
      <c r="C49" t="s">
        <v>183</v>
      </c>
      <c r="D49" t="s">
        <v>265</v>
      </c>
    </row>
    <row r="50" spans="3:4" x14ac:dyDescent="0.25">
      <c r="D50" t="s">
        <v>266</v>
      </c>
    </row>
    <row r="51" spans="3:4" x14ac:dyDescent="0.25">
      <c r="D51" t="s">
        <v>267</v>
      </c>
    </row>
    <row r="52" spans="3:4" x14ac:dyDescent="0.25">
      <c r="D52" t="s">
        <v>270</v>
      </c>
    </row>
    <row r="53" spans="3:4" x14ac:dyDescent="0.25">
      <c r="D53" t="s">
        <v>268</v>
      </c>
    </row>
    <row r="54" spans="3:4" x14ac:dyDescent="0.25">
      <c r="D54" t="s">
        <v>269</v>
      </c>
    </row>
    <row r="55" spans="3:4" x14ac:dyDescent="0.25">
      <c r="D55" t="s">
        <v>271</v>
      </c>
    </row>
    <row r="56" spans="3:4" x14ac:dyDescent="0.25">
      <c r="D56" t="s">
        <v>272</v>
      </c>
    </row>
    <row r="57" spans="3:4" x14ac:dyDescent="0.25">
      <c r="D57" t="s">
        <v>273</v>
      </c>
    </row>
    <row r="58" spans="3:4" x14ac:dyDescent="0.25">
      <c r="D58" t="s">
        <v>275</v>
      </c>
    </row>
    <row r="59" spans="3:4" x14ac:dyDescent="0.25">
      <c r="D59" t="s">
        <v>284</v>
      </c>
    </row>
    <row r="60" spans="3:4" x14ac:dyDescent="0.25">
      <c r="C60" t="s">
        <v>198</v>
      </c>
      <c r="D60" t="s">
        <v>276</v>
      </c>
    </row>
    <row r="61" spans="3:4" x14ac:dyDescent="0.25">
      <c r="D61" t="s">
        <v>274</v>
      </c>
    </row>
    <row r="62" spans="3:4" x14ac:dyDescent="0.25">
      <c r="D62" t="s">
        <v>264</v>
      </c>
    </row>
    <row r="63" spans="3:4" x14ac:dyDescent="0.25">
      <c r="D63" t="s">
        <v>277</v>
      </c>
    </row>
    <row r="64" spans="3:4" x14ac:dyDescent="0.25">
      <c r="D64" t="s">
        <v>278</v>
      </c>
    </row>
    <row r="65" spans="3:4" x14ac:dyDescent="0.25">
      <c r="D65" t="s">
        <v>279</v>
      </c>
    </row>
    <row r="66" spans="3:4" x14ac:dyDescent="0.25">
      <c r="D66" t="s">
        <v>280</v>
      </c>
    </row>
    <row r="67" spans="3:4" x14ac:dyDescent="0.25">
      <c r="C67" t="s">
        <v>193</v>
      </c>
      <c r="D67" t="s">
        <v>281</v>
      </c>
    </row>
    <row r="68" spans="3:4" x14ac:dyDescent="0.25">
      <c r="D68" t="s">
        <v>282</v>
      </c>
    </row>
    <row r="69" spans="3:4" x14ac:dyDescent="0.25">
      <c r="D69" t="s">
        <v>283</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26"/>
  <sheetViews>
    <sheetView topLeftCell="A19" workbookViewId="0">
      <selection activeCell="E24" sqref="E24"/>
    </sheetView>
  </sheetViews>
  <sheetFormatPr defaultRowHeight="15" x14ac:dyDescent="0.25"/>
  <cols>
    <col min="2" max="2" width="3" bestFit="1" customWidth="1"/>
    <col min="3" max="3" width="130" customWidth="1"/>
  </cols>
  <sheetData>
    <row r="2" spans="2:3" ht="15" customHeight="1" x14ac:dyDescent="0.25">
      <c r="B2" s="60">
        <v>1</v>
      </c>
      <c r="C2" s="63" t="s">
        <v>290</v>
      </c>
    </row>
    <row r="3" spans="2:3" x14ac:dyDescent="0.25">
      <c r="B3" s="60">
        <v>2</v>
      </c>
      <c r="C3" s="61" t="s">
        <v>291</v>
      </c>
    </row>
    <row r="4" spans="2:3" x14ac:dyDescent="0.25">
      <c r="B4" s="60">
        <v>3</v>
      </c>
      <c r="C4" s="62" t="s">
        <v>292</v>
      </c>
    </row>
    <row r="5" spans="2:3" ht="30" x14ac:dyDescent="0.25">
      <c r="B5" s="60">
        <v>4</v>
      </c>
      <c r="C5" s="61" t="s">
        <v>293</v>
      </c>
    </row>
    <row r="6" spans="2:3" x14ac:dyDescent="0.25">
      <c r="B6" s="60">
        <v>5</v>
      </c>
      <c r="C6" s="62" t="s">
        <v>294</v>
      </c>
    </row>
    <row r="7" spans="2:3" ht="30" x14ac:dyDescent="0.25">
      <c r="B7" s="60">
        <v>6</v>
      </c>
      <c r="C7" s="61" t="s">
        <v>295</v>
      </c>
    </row>
    <row r="8" spans="2:3" ht="90" x14ac:dyDescent="0.25">
      <c r="B8" s="60">
        <v>7</v>
      </c>
      <c r="C8" s="61" t="s">
        <v>296</v>
      </c>
    </row>
    <row r="9" spans="2:3" x14ac:dyDescent="0.25">
      <c r="B9" s="60">
        <v>8</v>
      </c>
      <c r="C9" s="62" t="s">
        <v>297</v>
      </c>
    </row>
    <row r="10" spans="2:3" x14ac:dyDescent="0.25">
      <c r="B10" s="60">
        <v>9</v>
      </c>
      <c r="C10" s="62" t="s">
        <v>298</v>
      </c>
    </row>
    <row r="11" spans="2:3" x14ac:dyDescent="0.25">
      <c r="B11" s="60">
        <v>10</v>
      </c>
      <c r="C11" s="62" t="s">
        <v>299</v>
      </c>
    </row>
    <row r="12" spans="2:3" x14ac:dyDescent="0.25">
      <c r="B12" s="60">
        <v>11</v>
      </c>
      <c r="C12" s="62" t="s">
        <v>300</v>
      </c>
    </row>
    <row r="13" spans="2:3" x14ac:dyDescent="0.25">
      <c r="B13" s="60">
        <v>12</v>
      </c>
      <c r="C13" s="62" t="s">
        <v>301</v>
      </c>
    </row>
    <row r="14" spans="2:3" x14ac:dyDescent="0.25">
      <c r="B14" s="60">
        <v>13</v>
      </c>
      <c r="C14" s="62" t="s">
        <v>302</v>
      </c>
    </row>
    <row r="15" spans="2:3" x14ac:dyDescent="0.25">
      <c r="B15" s="60">
        <v>14</v>
      </c>
      <c r="C15" s="62" t="s">
        <v>292</v>
      </c>
    </row>
    <row r="16" spans="2:3" x14ac:dyDescent="0.25">
      <c r="B16" s="60">
        <v>15</v>
      </c>
      <c r="C16" s="62" t="s">
        <v>305</v>
      </c>
    </row>
    <row r="17" spans="2:3" ht="31.5" customHeight="1" x14ac:dyDescent="0.25">
      <c r="B17" s="66">
        <v>16</v>
      </c>
      <c r="C17" s="68" t="s">
        <v>306</v>
      </c>
    </row>
    <row r="18" spans="2:3" x14ac:dyDescent="0.25">
      <c r="B18" s="67">
        <v>17</v>
      </c>
      <c r="C18" s="68" t="s">
        <v>307</v>
      </c>
    </row>
    <row r="19" spans="2:3" x14ac:dyDescent="0.25">
      <c r="B19" s="66">
        <v>18</v>
      </c>
      <c r="C19" s="60" t="s">
        <v>308</v>
      </c>
    </row>
    <row r="20" spans="2:3" x14ac:dyDescent="0.25">
      <c r="B20" s="67">
        <v>19</v>
      </c>
      <c r="C20" s="60" t="s">
        <v>309</v>
      </c>
    </row>
    <row r="21" spans="2:3" x14ac:dyDescent="0.25">
      <c r="B21" s="69">
        <v>20</v>
      </c>
      <c r="C21" s="60" t="s">
        <v>310</v>
      </c>
    </row>
    <row r="22" spans="2:3" x14ac:dyDescent="0.25">
      <c r="B22" s="67">
        <v>21</v>
      </c>
      <c r="C22" s="60" t="s">
        <v>308</v>
      </c>
    </row>
    <row r="23" spans="2:3" s="77" customFormat="1" ht="29.25" customHeight="1" x14ac:dyDescent="0.25">
      <c r="B23" s="76">
        <v>22</v>
      </c>
      <c r="C23" s="63" t="s">
        <v>337</v>
      </c>
    </row>
    <row r="24" spans="2:3" s="77" customFormat="1" ht="30.75" customHeight="1" x14ac:dyDescent="0.25">
      <c r="B24" s="78">
        <v>23</v>
      </c>
      <c r="C24" s="63" t="s">
        <v>338</v>
      </c>
    </row>
    <row r="25" spans="2:3" x14ac:dyDescent="0.25">
      <c r="B25" s="69">
        <v>24</v>
      </c>
      <c r="C25" s="60"/>
    </row>
    <row r="26" spans="2:3" x14ac:dyDescent="0.25">
      <c r="B26" s="67">
        <v>25</v>
      </c>
      <c r="C26" s="60"/>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activeCell="G36" sqref="G36"/>
    </sheetView>
  </sheetViews>
  <sheetFormatPr defaultColWidth="9.140625" defaultRowHeight="15" x14ac:dyDescent="0.25"/>
  <cols>
    <col min="1" max="1" width="9.140625" style="55"/>
    <col min="2" max="2" width="12.28515625" style="55" customWidth="1"/>
    <col min="3" max="16384" width="9.140625" style="55"/>
  </cols>
  <sheetData>
    <row r="2" spans="1:12" x14ac:dyDescent="0.25">
      <c r="B2" s="70" t="s">
        <v>311</v>
      </c>
      <c r="C2" s="278"/>
      <c r="D2" s="278"/>
    </row>
    <row r="3" spans="1:12" x14ac:dyDescent="0.25">
      <c r="D3" s="71"/>
      <c r="E3" s="71"/>
      <c r="F3" s="71"/>
      <c r="G3" s="71"/>
      <c r="H3" s="71"/>
      <c r="I3" s="71"/>
    </row>
    <row r="4" spans="1:12" x14ac:dyDescent="0.25">
      <c r="A4" s="70" t="s">
        <v>66</v>
      </c>
      <c r="B4" s="72" t="s">
        <v>312</v>
      </c>
      <c r="C4" s="279" t="s">
        <v>313</v>
      </c>
      <c r="D4" s="279"/>
      <c r="E4" s="279"/>
      <c r="F4" s="72"/>
      <c r="G4" s="280" t="s">
        <v>314</v>
      </c>
      <c r="H4" s="280"/>
      <c r="I4" s="280"/>
      <c r="J4" s="281" t="s">
        <v>315</v>
      </c>
      <c r="K4" s="281"/>
      <c r="L4" s="281"/>
    </row>
    <row r="5" spans="1:12" x14ac:dyDescent="0.25">
      <c r="A5" s="70"/>
      <c r="B5" s="72"/>
      <c r="C5" s="72" t="s">
        <v>316</v>
      </c>
      <c r="D5" s="72" t="s">
        <v>317</v>
      </c>
      <c r="E5" s="72" t="s">
        <v>318</v>
      </c>
      <c r="F5" s="72"/>
      <c r="G5" s="72" t="s">
        <v>316</v>
      </c>
      <c r="H5" s="72" t="s">
        <v>317</v>
      </c>
      <c r="I5" s="72" t="s">
        <v>318</v>
      </c>
      <c r="J5" s="72" t="s">
        <v>316</v>
      </c>
      <c r="K5" s="72" t="s">
        <v>317</v>
      </c>
      <c r="L5" s="72" t="s">
        <v>318</v>
      </c>
    </row>
    <row r="6" spans="1:12" x14ac:dyDescent="0.25">
      <c r="B6" s="56" t="s">
        <v>319</v>
      </c>
      <c r="C6" s="56"/>
      <c r="D6" s="56"/>
      <c r="E6" s="56">
        <f>C6*D6</f>
        <v>0</v>
      </c>
      <c r="F6" s="56" t="s">
        <v>336</v>
      </c>
      <c r="G6" s="56"/>
      <c r="H6" s="56"/>
      <c r="I6" s="56">
        <f>G6*H6</f>
        <v>0</v>
      </c>
      <c r="J6" s="56"/>
      <c r="K6" s="56"/>
      <c r="L6" s="56">
        <f>J6*K6</f>
        <v>0</v>
      </c>
    </row>
    <row r="7" spans="1:12" x14ac:dyDescent="0.25">
      <c r="B7" s="56"/>
      <c r="C7" s="56"/>
      <c r="D7" s="56"/>
      <c r="E7" s="56">
        <f t="shared" ref="E7:E41" si="0">C7*D7</f>
        <v>0</v>
      </c>
      <c r="F7" s="56" t="s">
        <v>336</v>
      </c>
      <c r="G7" s="56"/>
      <c r="H7" s="56"/>
      <c r="I7" s="56">
        <f t="shared" ref="I7:I35" si="1">G7*H7</f>
        <v>0</v>
      </c>
      <c r="J7" s="56"/>
      <c r="K7" s="56"/>
      <c r="L7" s="56">
        <f t="shared" ref="L7:L35" si="2">J7*K7</f>
        <v>0</v>
      </c>
    </row>
    <row r="8" spans="1:12" x14ac:dyDescent="0.25">
      <c r="B8" s="56"/>
      <c r="C8" s="56"/>
      <c r="D8" s="56"/>
      <c r="E8" s="56">
        <f t="shared" si="0"/>
        <v>0</v>
      </c>
      <c r="F8" s="56"/>
      <c r="G8" s="56"/>
      <c r="H8" s="56"/>
      <c r="I8" s="56">
        <f t="shared" si="1"/>
        <v>0</v>
      </c>
      <c r="J8" s="56"/>
      <c r="K8" s="56"/>
      <c r="L8" s="56">
        <f t="shared" si="2"/>
        <v>0</v>
      </c>
    </row>
    <row r="9" spans="1:12" x14ac:dyDescent="0.25">
      <c r="B9" s="56"/>
      <c r="C9" s="56"/>
      <c r="D9" s="56"/>
      <c r="E9" s="56">
        <f t="shared" si="0"/>
        <v>0</v>
      </c>
      <c r="F9" s="56" t="s">
        <v>320</v>
      </c>
      <c r="G9" s="56"/>
      <c r="H9" s="56"/>
      <c r="I9" s="56">
        <f t="shared" si="1"/>
        <v>0</v>
      </c>
      <c r="J9" s="56"/>
      <c r="K9" s="56"/>
      <c r="L9" s="56">
        <f t="shared" si="2"/>
        <v>0</v>
      </c>
    </row>
    <row r="10" spans="1:12" x14ac:dyDescent="0.25">
      <c r="B10" s="56" t="s">
        <v>321</v>
      </c>
      <c r="C10" s="56"/>
      <c r="D10" s="56"/>
      <c r="E10" s="56">
        <f t="shared" si="0"/>
        <v>0</v>
      </c>
      <c r="F10" s="56" t="s">
        <v>320</v>
      </c>
      <c r="G10" s="56"/>
      <c r="H10" s="56"/>
      <c r="I10" s="56">
        <f t="shared" si="1"/>
        <v>0</v>
      </c>
      <c r="J10" s="56"/>
      <c r="K10" s="56"/>
      <c r="L10" s="56">
        <f t="shared" si="2"/>
        <v>0</v>
      </c>
    </row>
    <row r="11" spans="1:12" x14ac:dyDescent="0.25">
      <c r="B11" s="56"/>
      <c r="C11" s="56"/>
      <c r="D11" s="56"/>
      <c r="E11" s="56">
        <f t="shared" si="0"/>
        <v>0</v>
      </c>
      <c r="F11" s="56" t="s">
        <v>322</v>
      </c>
      <c r="G11" s="56"/>
      <c r="H11" s="56"/>
      <c r="I11" s="56">
        <f t="shared" si="1"/>
        <v>0</v>
      </c>
      <c r="J11" s="56"/>
      <c r="K11" s="56"/>
      <c r="L11" s="56">
        <f t="shared" si="2"/>
        <v>0</v>
      </c>
    </row>
    <row r="12" spans="1:12" x14ac:dyDescent="0.25">
      <c r="B12" s="56"/>
      <c r="C12" s="56"/>
      <c r="D12" s="56"/>
      <c r="E12" s="56">
        <f t="shared" si="0"/>
        <v>0</v>
      </c>
      <c r="F12" s="56"/>
      <c r="G12" s="56"/>
      <c r="H12" s="56"/>
      <c r="I12" s="56">
        <f t="shared" si="1"/>
        <v>0</v>
      </c>
      <c r="J12" s="56"/>
      <c r="K12" s="56"/>
      <c r="L12" s="56">
        <f t="shared" si="2"/>
        <v>0</v>
      </c>
    </row>
    <row r="13" spans="1:12" x14ac:dyDescent="0.25">
      <c r="B13" s="56"/>
      <c r="C13" s="56"/>
      <c r="D13" s="56"/>
      <c r="E13" s="56">
        <f t="shared" si="0"/>
        <v>0</v>
      </c>
      <c r="F13" s="56"/>
      <c r="G13" s="56"/>
      <c r="H13" s="56"/>
      <c r="I13" s="56">
        <f t="shared" si="1"/>
        <v>0</v>
      </c>
      <c r="J13" s="56"/>
      <c r="K13" s="56"/>
      <c r="L13" s="56">
        <f t="shared" si="2"/>
        <v>0</v>
      </c>
    </row>
    <row r="14" spans="1:12" x14ac:dyDescent="0.25">
      <c r="B14" s="56" t="s">
        <v>323</v>
      </c>
      <c r="C14" s="56"/>
      <c r="D14" s="56"/>
      <c r="E14" s="56">
        <f t="shared" si="0"/>
        <v>0</v>
      </c>
      <c r="F14" s="56" t="s">
        <v>320</v>
      </c>
      <c r="G14" s="56"/>
      <c r="H14" s="56"/>
      <c r="I14" s="56">
        <f t="shared" si="1"/>
        <v>0</v>
      </c>
      <c r="J14" s="56"/>
      <c r="K14" s="56"/>
      <c r="L14" s="56">
        <f t="shared" si="2"/>
        <v>0</v>
      </c>
    </row>
    <row r="15" spans="1:12" x14ac:dyDescent="0.25">
      <c r="B15" s="56"/>
      <c r="C15" s="56"/>
      <c r="D15" s="56"/>
      <c r="E15" s="56">
        <f t="shared" si="0"/>
        <v>0</v>
      </c>
      <c r="F15" s="56" t="s">
        <v>322</v>
      </c>
      <c r="G15" s="56"/>
      <c r="H15" s="56"/>
      <c r="I15" s="56">
        <f t="shared" si="1"/>
        <v>0</v>
      </c>
      <c r="J15" s="56"/>
      <c r="K15" s="56"/>
      <c r="L15" s="56">
        <f t="shared" si="2"/>
        <v>0</v>
      </c>
    </row>
    <row r="16" spans="1:12" x14ac:dyDescent="0.25">
      <c r="B16" s="56"/>
      <c r="C16" s="56"/>
      <c r="D16" s="56"/>
      <c r="E16" s="56">
        <f t="shared" si="0"/>
        <v>0</v>
      </c>
      <c r="F16" s="56"/>
      <c r="G16" s="56"/>
      <c r="H16" s="56"/>
      <c r="I16" s="56">
        <f t="shared" si="1"/>
        <v>0</v>
      </c>
      <c r="J16" s="56"/>
      <c r="K16" s="56"/>
      <c r="L16" s="56">
        <f t="shared" si="2"/>
        <v>0</v>
      </c>
    </row>
    <row r="17" spans="2:12" x14ac:dyDescent="0.25">
      <c r="B17" s="56"/>
      <c r="C17" s="56"/>
      <c r="D17" s="56"/>
      <c r="E17" s="56">
        <f t="shared" si="0"/>
        <v>0</v>
      </c>
      <c r="F17" s="56"/>
      <c r="G17" s="56"/>
      <c r="H17" s="56"/>
      <c r="I17" s="56">
        <f t="shared" si="1"/>
        <v>0</v>
      </c>
      <c r="J17" s="56"/>
      <c r="K17" s="56"/>
      <c r="L17" s="56">
        <f t="shared" si="2"/>
        <v>0</v>
      </c>
    </row>
    <row r="18" spans="2:12" x14ac:dyDescent="0.25">
      <c r="B18" s="56" t="s">
        <v>324</v>
      </c>
      <c r="C18" s="56"/>
      <c r="D18" s="56"/>
      <c r="E18" s="56">
        <f t="shared" si="0"/>
        <v>0</v>
      </c>
      <c r="F18" s="56" t="s">
        <v>320</v>
      </c>
      <c r="G18" s="56"/>
      <c r="H18" s="56"/>
      <c r="I18" s="56">
        <f t="shared" si="1"/>
        <v>0</v>
      </c>
      <c r="J18" s="56"/>
      <c r="K18" s="56"/>
      <c r="L18" s="56">
        <f t="shared" si="2"/>
        <v>0</v>
      </c>
    </row>
    <row r="19" spans="2:12" x14ac:dyDescent="0.25">
      <c r="B19" s="56"/>
      <c r="C19" s="56"/>
      <c r="D19" s="56"/>
      <c r="E19" s="56">
        <f t="shared" si="0"/>
        <v>0</v>
      </c>
      <c r="F19" s="56" t="s">
        <v>322</v>
      </c>
      <c r="G19" s="56"/>
      <c r="H19" s="56"/>
      <c r="I19" s="56">
        <f t="shared" si="1"/>
        <v>0</v>
      </c>
      <c r="J19" s="56"/>
      <c r="K19" s="56"/>
      <c r="L19" s="56">
        <f t="shared" si="2"/>
        <v>0</v>
      </c>
    </row>
    <row r="20" spans="2:12" x14ac:dyDescent="0.25">
      <c r="B20" s="56"/>
      <c r="C20" s="56"/>
      <c r="D20" s="56"/>
      <c r="E20" s="56">
        <f t="shared" si="0"/>
        <v>0</v>
      </c>
      <c r="F20" s="56"/>
      <c r="G20" s="56"/>
      <c r="H20" s="56"/>
      <c r="I20" s="56">
        <f t="shared" si="1"/>
        <v>0</v>
      </c>
      <c r="J20" s="56"/>
      <c r="K20" s="56"/>
      <c r="L20" s="56">
        <f t="shared" si="2"/>
        <v>0</v>
      </c>
    </row>
    <row r="21" spans="2:12" x14ac:dyDescent="0.25">
      <c r="B21" s="56" t="s">
        <v>325</v>
      </c>
      <c r="C21" s="56"/>
      <c r="D21" s="56"/>
      <c r="E21" s="56">
        <f t="shared" si="0"/>
        <v>0</v>
      </c>
      <c r="F21" s="56" t="s">
        <v>320</v>
      </c>
      <c r="G21" s="56"/>
      <c r="H21" s="56"/>
      <c r="I21" s="56">
        <f t="shared" si="1"/>
        <v>0</v>
      </c>
      <c r="J21" s="56"/>
      <c r="K21" s="56"/>
      <c r="L21" s="56">
        <f t="shared" si="2"/>
        <v>0</v>
      </c>
    </row>
    <row r="22" spans="2:12" x14ac:dyDescent="0.25">
      <c r="B22" s="56"/>
      <c r="C22" s="56"/>
      <c r="D22" s="56"/>
      <c r="E22" s="56">
        <f t="shared" si="0"/>
        <v>0</v>
      </c>
      <c r="F22" s="56" t="s">
        <v>322</v>
      </c>
      <c r="G22" s="56"/>
      <c r="H22" s="56"/>
      <c r="I22" s="56">
        <f t="shared" si="1"/>
        <v>0</v>
      </c>
      <c r="J22" s="56"/>
      <c r="K22" s="56"/>
      <c r="L22" s="56">
        <f t="shared" si="2"/>
        <v>0</v>
      </c>
    </row>
    <row r="23" spans="2:12" x14ac:dyDescent="0.25">
      <c r="B23" s="56"/>
      <c r="C23" s="56"/>
      <c r="D23" s="56"/>
      <c r="E23" s="56">
        <f t="shared" si="0"/>
        <v>0</v>
      </c>
      <c r="F23" s="56"/>
      <c r="G23" s="56"/>
      <c r="H23" s="56"/>
      <c r="I23" s="56">
        <f t="shared" si="1"/>
        <v>0</v>
      </c>
      <c r="J23" s="56"/>
      <c r="K23" s="56"/>
      <c r="L23" s="56">
        <f t="shared" si="2"/>
        <v>0</v>
      </c>
    </row>
    <row r="24" spans="2:12" x14ac:dyDescent="0.25">
      <c r="B24" s="56" t="s">
        <v>326</v>
      </c>
      <c r="C24" s="56"/>
      <c r="D24" s="56"/>
      <c r="E24" s="56">
        <f t="shared" si="0"/>
        <v>0</v>
      </c>
      <c r="F24" s="56" t="s">
        <v>327</v>
      </c>
      <c r="G24" s="56"/>
      <c r="H24" s="56"/>
      <c r="I24" s="56">
        <f t="shared" si="1"/>
        <v>0</v>
      </c>
      <c r="J24" s="56"/>
      <c r="K24" s="56"/>
      <c r="L24" s="56">
        <f t="shared" si="2"/>
        <v>0</v>
      </c>
    </row>
    <row r="25" spans="2:12" x14ac:dyDescent="0.25">
      <c r="B25" s="56"/>
      <c r="C25" s="56"/>
      <c r="D25" s="56"/>
      <c r="E25" s="56">
        <f t="shared" ref="E25:E27" si="3">C25*D25</f>
        <v>0</v>
      </c>
      <c r="F25" s="56" t="s">
        <v>327</v>
      </c>
      <c r="G25" s="56"/>
      <c r="H25" s="56"/>
      <c r="I25" s="56">
        <f t="shared" ref="I25:I27" si="4">G25*H25</f>
        <v>0</v>
      </c>
      <c r="J25" s="56"/>
      <c r="K25" s="56"/>
      <c r="L25" s="56">
        <f t="shared" ref="L25:L27" si="5">J25*K25</f>
        <v>0</v>
      </c>
    </row>
    <row r="26" spans="2:12" x14ac:dyDescent="0.25">
      <c r="B26" s="56"/>
      <c r="C26" s="56"/>
      <c r="D26" s="56"/>
      <c r="E26" s="56">
        <f t="shared" si="3"/>
        <v>0</v>
      </c>
      <c r="F26" s="56" t="s">
        <v>327</v>
      </c>
      <c r="G26" s="56"/>
      <c r="H26" s="56"/>
      <c r="I26" s="56">
        <f t="shared" si="4"/>
        <v>0</v>
      </c>
      <c r="J26" s="56"/>
      <c r="K26" s="56"/>
      <c r="L26" s="56">
        <f t="shared" si="5"/>
        <v>0</v>
      </c>
    </row>
    <row r="27" spans="2:12" x14ac:dyDescent="0.25">
      <c r="B27" s="56"/>
      <c r="C27" s="56"/>
      <c r="D27" s="56"/>
      <c r="E27" s="56">
        <f t="shared" si="3"/>
        <v>0</v>
      </c>
      <c r="F27" s="56" t="s">
        <v>327</v>
      </c>
      <c r="G27" s="56"/>
      <c r="H27" s="56"/>
      <c r="I27" s="56">
        <f t="shared" si="4"/>
        <v>0</v>
      </c>
      <c r="J27" s="56"/>
      <c r="K27" s="56"/>
      <c r="L27" s="56">
        <f t="shared" si="5"/>
        <v>0</v>
      </c>
    </row>
    <row r="28" spans="2:12" x14ac:dyDescent="0.25">
      <c r="B28" s="56" t="s">
        <v>328</v>
      </c>
      <c r="C28" s="56"/>
      <c r="D28" s="56"/>
      <c r="E28" s="56">
        <f t="shared" si="0"/>
        <v>0</v>
      </c>
      <c r="F28" s="56" t="s">
        <v>327</v>
      </c>
      <c r="G28" s="56"/>
      <c r="H28" s="56"/>
      <c r="I28" s="56">
        <f t="shared" si="1"/>
        <v>0</v>
      </c>
      <c r="J28" s="56"/>
      <c r="K28" s="56"/>
      <c r="L28" s="56">
        <f t="shared" si="2"/>
        <v>0</v>
      </c>
    </row>
    <row r="29" spans="2:12" x14ac:dyDescent="0.25">
      <c r="B29" s="56" t="s">
        <v>329</v>
      </c>
      <c r="C29" s="56"/>
      <c r="D29" s="56"/>
      <c r="E29" s="56">
        <f t="shared" si="0"/>
        <v>0</v>
      </c>
      <c r="F29" s="56" t="s">
        <v>327</v>
      </c>
      <c r="G29" s="56"/>
      <c r="H29" s="56"/>
      <c r="I29" s="56">
        <f t="shared" si="1"/>
        <v>0</v>
      </c>
      <c r="J29" s="56"/>
      <c r="K29" s="56"/>
      <c r="L29" s="56">
        <f t="shared" si="2"/>
        <v>0</v>
      </c>
    </row>
    <row r="30" spans="2:12" x14ac:dyDescent="0.25">
      <c r="B30" s="56" t="s">
        <v>333</v>
      </c>
      <c r="C30" s="56"/>
      <c r="D30" s="56"/>
      <c r="E30" s="56">
        <f t="shared" si="0"/>
        <v>0</v>
      </c>
      <c r="F30" s="56"/>
      <c r="G30" s="56"/>
      <c r="H30" s="56"/>
      <c r="I30" s="56">
        <f t="shared" si="1"/>
        <v>0</v>
      </c>
      <c r="J30" s="56"/>
      <c r="K30" s="56"/>
      <c r="L30" s="56">
        <f t="shared" si="2"/>
        <v>0</v>
      </c>
    </row>
    <row r="31" spans="2:12" x14ac:dyDescent="0.25">
      <c r="B31" s="56"/>
      <c r="C31" s="56"/>
      <c r="D31" s="56"/>
      <c r="E31" s="56">
        <f t="shared" ref="E31:E32" si="6">C31*D31</f>
        <v>0</v>
      </c>
      <c r="F31" s="56"/>
      <c r="G31" s="56"/>
      <c r="H31" s="56"/>
      <c r="I31" s="56">
        <f t="shared" ref="I31:I32" si="7">G31*H31</f>
        <v>0</v>
      </c>
      <c r="J31" s="56"/>
      <c r="K31" s="56"/>
      <c r="L31" s="56">
        <f t="shared" ref="L31:L32" si="8">J31*K31</f>
        <v>0</v>
      </c>
    </row>
    <row r="32" spans="2:12" x14ac:dyDescent="0.25">
      <c r="B32" s="56"/>
      <c r="C32" s="56"/>
      <c r="D32" s="56"/>
      <c r="E32" s="56">
        <f t="shared" si="6"/>
        <v>0</v>
      </c>
      <c r="F32" s="56"/>
      <c r="G32" s="56"/>
      <c r="H32" s="56"/>
      <c r="I32" s="56">
        <f t="shared" si="7"/>
        <v>0</v>
      </c>
      <c r="J32" s="56"/>
      <c r="K32" s="56"/>
      <c r="L32" s="56">
        <f t="shared" si="8"/>
        <v>0</v>
      </c>
    </row>
    <row r="33" spans="2:12" x14ac:dyDescent="0.25">
      <c r="B33" s="56" t="s">
        <v>330</v>
      </c>
      <c r="C33" s="56"/>
      <c r="D33" s="56"/>
      <c r="E33" s="56">
        <f t="shared" si="0"/>
        <v>0</v>
      </c>
      <c r="F33" s="56"/>
      <c r="G33" s="56"/>
      <c r="H33" s="56"/>
      <c r="I33" s="56">
        <f t="shared" si="1"/>
        <v>0</v>
      </c>
      <c r="J33" s="56"/>
      <c r="K33" s="56"/>
      <c r="L33" s="56">
        <f t="shared" si="2"/>
        <v>0</v>
      </c>
    </row>
    <row r="34" spans="2:12" x14ac:dyDescent="0.25">
      <c r="B34" s="56" t="s">
        <v>334</v>
      </c>
      <c r="C34" s="56"/>
      <c r="D34" s="56"/>
      <c r="E34" s="56">
        <f t="shared" si="0"/>
        <v>0</v>
      </c>
      <c r="F34" s="56"/>
      <c r="G34" s="56"/>
      <c r="H34" s="56"/>
      <c r="I34" s="56">
        <f t="shared" si="1"/>
        <v>0</v>
      </c>
      <c r="J34" s="56"/>
      <c r="K34" s="56"/>
      <c r="L34" s="56">
        <f t="shared" si="2"/>
        <v>0</v>
      </c>
    </row>
    <row r="35" spans="2:12" x14ac:dyDescent="0.25">
      <c r="B35" s="56" t="s">
        <v>331</v>
      </c>
      <c r="C35" s="56"/>
      <c r="D35" s="56"/>
      <c r="E35" s="56">
        <f t="shared" si="0"/>
        <v>0</v>
      </c>
      <c r="F35" s="56"/>
      <c r="G35" s="56"/>
      <c r="H35" s="56"/>
      <c r="I35" s="56">
        <f t="shared" si="1"/>
        <v>0</v>
      </c>
      <c r="J35" s="56"/>
      <c r="K35" s="56"/>
      <c r="L35" s="56">
        <f t="shared" si="2"/>
        <v>0</v>
      </c>
    </row>
    <row r="36" spans="2:12" x14ac:dyDescent="0.25">
      <c r="B36" s="56" t="s">
        <v>332</v>
      </c>
      <c r="C36" s="56"/>
      <c r="D36" s="56"/>
      <c r="E36" s="56">
        <f t="shared" si="0"/>
        <v>0</v>
      </c>
      <c r="F36" s="56"/>
      <c r="G36" s="56"/>
      <c r="H36" s="56"/>
      <c r="I36" s="56">
        <f>G36*H36</f>
        <v>0</v>
      </c>
      <c r="J36" s="56"/>
      <c r="K36" s="56"/>
      <c r="L36" s="56">
        <f>J36*K36</f>
        <v>0</v>
      </c>
    </row>
    <row r="37" spans="2:12" x14ac:dyDescent="0.25">
      <c r="B37" s="56"/>
      <c r="C37" s="56"/>
      <c r="D37" s="56"/>
      <c r="E37" s="56">
        <f t="shared" ref="E37:E38" si="9">C37*D37</f>
        <v>0</v>
      </c>
      <c r="F37" s="56"/>
      <c r="G37" s="56"/>
      <c r="H37" s="56"/>
      <c r="I37" s="56">
        <f t="shared" ref="I37:I38" si="10">G37*H37</f>
        <v>0</v>
      </c>
      <c r="J37" s="56"/>
      <c r="K37" s="56"/>
      <c r="L37" s="56">
        <f t="shared" ref="L37:L38" si="11">J37*K37</f>
        <v>0</v>
      </c>
    </row>
    <row r="38" spans="2:12" x14ac:dyDescent="0.25">
      <c r="B38" s="56" t="s">
        <v>335</v>
      </c>
      <c r="C38" s="56"/>
      <c r="D38" s="56"/>
      <c r="E38" s="56">
        <f t="shared" si="9"/>
        <v>0</v>
      </c>
      <c r="F38" s="56"/>
      <c r="G38" s="56"/>
      <c r="H38" s="56"/>
      <c r="I38" s="56">
        <f t="shared" si="10"/>
        <v>0</v>
      </c>
      <c r="J38" s="56"/>
      <c r="K38" s="56"/>
      <c r="L38" s="56">
        <f t="shared" si="11"/>
        <v>0</v>
      </c>
    </row>
    <row r="39" spans="2:12" x14ac:dyDescent="0.25">
      <c r="B39" s="56"/>
      <c r="C39" s="56"/>
      <c r="D39" s="56"/>
      <c r="E39" s="56">
        <f t="shared" si="0"/>
        <v>0</v>
      </c>
      <c r="F39" s="56"/>
      <c r="G39" s="56"/>
      <c r="H39" s="56"/>
      <c r="I39" s="56">
        <f>G39*H39</f>
        <v>0</v>
      </c>
      <c r="J39" s="56"/>
      <c r="K39" s="56"/>
      <c r="L39" s="56">
        <f>J39*K39</f>
        <v>0</v>
      </c>
    </row>
    <row r="40" spans="2:12" x14ac:dyDescent="0.25">
      <c r="B40" s="56"/>
      <c r="C40" s="56"/>
      <c r="D40" s="56"/>
      <c r="E40" s="56">
        <f t="shared" si="0"/>
        <v>0</v>
      </c>
      <c r="F40" s="56"/>
      <c r="G40" s="56"/>
      <c r="H40" s="56"/>
      <c r="I40" s="56">
        <f>G40*H40</f>
        <v>0</v>
      </c>
      <c r="J40" s="56"/>
      <c r="K40" s="56"/>
      <c r="L40" s="56">
        <f>J40*K40</f>
        <v>0</v>
      </c>
    </row>
    <row r="41" spans="2:12" x14ac:dyDescent="0.25">
      <c r="B41" s="56"/>
      <c r="C41" s="56"/>
      <c r="D41" s="56"/>
      <c r="E41" s="56">
        <f t="shared" si="0"/>
        <v>0</v>
      </c>
      <c r="F41" s="56"/>
      <c r="G41" s="56"/>
      <c r="H41" s="56"/>
      <c r="I41" s="56">
        <f>G41*H41</f>
        <v>0</v>
      </c>
      <c r="J41" s="56"/>
      <c r="K41" s="56"/>
      <c r="L41" s="56">
        <f>J41*K41</f>
        <v>0</v>
      </c>
    </row>
    <row r="42" spans="2:12" x14ac:dyDescent="0.25">
      <c r="B42" s="56" t="s">
        <v>152</v>
      </c>
      <c r="C42" s="56"/>
      <c r="D42" s="56">
        <f>E42*10.764</f>
        <v>0</v>
      </c>
      <c r="E42" s="75">
        <f>SUM(E6:E41)</f>
        <v>0</v>
      </c>
      <c r="F42" s="56"/>
      <c r="G42" s="56"/>
      <c r="H42" s="56">
        <f>I42*10.764</f>
        <v>0</v>
      </c>
      <c r="I42" s="74">
        <f>SUM(I6:I41)</f>
        <v>0</v>
      </c>
      <c r="J42" s="56"/>
      <c r="K42" s="56">
        <f>L42*10.764</f>
        <v>0</v>
      </c>
      <c r="L42" s="73">
        <f>SUM(L6:L41)</f>
        <v>0</v>
      </c>
    </row>
    <row r="44" spans="2:12" x14ac:dyDescent="0.25">
      <c r="D44" s="55">
        <f>D42+H42</f>
        <v>0</v>
      </c>
      <c r="E44" s="55">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madhurapanchal77@gmail.com</cp:lastModifiedBy>
  <cp:lastPrinted>2025-08-19T13:17:49Z</cp:lastPrinted>
  <dcterms:created xsi:type="dcterms:W3CDTF">2019-07-16T09:29:46Z</dcterms:created>
  <dcterms:modified xsi:type="dcterms:W3CDTF">2025-08-19T13:19:37Z</dcterms:modified>
</cp:coreProperties>
</file>