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95F00672-40E9-43CF-9769-C3D5E57B28A7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76" i="1" s="1"/>
  <c r="C77" i="1" l="1"/>
  <c r="L73" i="1"/>
  <c r="D135" i="1" l="1"/>
  <c r="D134" i="1"/>
  <c r="D128" i="1"/>
  <c r="F130" i="1"/>
  <c r="D130" i="1"/>
  <c r="A128" i="1"/>
  <c r="A129" i="1" s="1"/>
  <c r="A130" i="1" s="1"/>
  <c r="F128" i="1"/>
  <c r="L83" i="1" l="1"/>
  <c r="K18" i="1"/>
  <c r="K19" i="1" s="1"/>
  <c r="M83" i="1" l="1"/>
  <c r="A143" i="1" l="1"/>
  <c r="A144" i="1" s="1"/>
  <c r="A145" i="1" s="1"/>
  <c r="A138" i="1"/>
  <c r="A139" i="1" s="1"/>
  <c r="A140" i="1" s="1"/>
  <c r="D161" i="1"/>
  <c r="F161" i="1" s="1"/>
  <c r="D160" i="1"/>
  <c r="F160" i="1" s="1"/>
  <c r="D158" i="1"/>
  <c r="F158" i="1" s="1"/>
  <c r="D157" i="1"/>
  <c r="F157" i="1" s="1"/>
  <c r="D155" i="1"/>
  <c r="F155" i="1" s="1"/>
  <c r="D154" i="1"/>
  <c r="D152" i="1"/>
  <c r="D143" i="1"/>
  <c r="F143" i="1" s="1"/>
  <c r="J143" i="1" s="1"/>
  <c r="D142" i="1"/>
  <c r="F142" i="1" s="1"/>
  <c r="J142" i="1" s="1"/>
  <c r="D138" i="1"/>
  <c r="F138" i="1" s="1"/>
  <c r="J138" i="1" s="1"/>
  <c r="D137" i="1"/>
  <c r="F137" i="1" s="1"/>
  <c r="J137" i="1" s="1"/>
  <c r="F135" i="1"/>
  <c r="F134" i="1"/>
  <c r="D133" i="1"/>
  <c r="F133" i="1" s="1"/>
  <c r="D132" i="1"/>
  <c r="A161" i="1"/>
  <c r="G160" i="1"/>
  <c r="G142" i="1"/>
  <c r="A158" i="1"/>
  <c r="G157" i="1"/>
  <c r="G137" i="1"/>
  <c r="G154" i="1"/>
  <c r="A155" i="1"/>
  <c r="A133" i="1"/>
  <c r="A134" i="1" s="1"/>
  <c r="A135" i="1" s="1"/>
  <c r="G132" i="1"/>
  <c r="I127" i="1"/>
  <c r="F154" i="1" l="1"/>
  <c r="G106" i="1" s="1"/>
  <c r="C106" i="1"/>
  <c r="E106" i="1"/>
  <c r="F132" i="1"/>
  <c r="G104" i="1" s="1"/>
  <c r="C104" i="1"/>
  <c r="E104" i="1"/>
  <c r="C105" i="1"/>
  <c r="E105" i="1"/>
  <c r="K83" i="1"/>
  <c r="I83" i="1" s="1"/>
  <c r="G151" i="1"/>
  <c r="F152" i="1"/>
  <c r="G105" i="1" s="1"/>
  <c r="E107" i="1" l="1"/>
  <c r="C107" i="1"/>
  <c r="F114" i="1"/>
  <c r="E108" i="1" l="1"/>
  <c r="C108" i="1"/>
  <c r="E43" i="1" l="1"/>
  <c r="E44" i="1" s="1"/>
  <c r="C15" i="1" l="1"/>
  <c r="E30" i="1" l="1"/>
  <c r="G107" i="1" l="1"/>
  <c r="G108" i="1" s="1"/>
  <c r="G127" i="1"/>
  <c r="F96" i="1" l="1"/>
  <c r="F115" i="1" l="1"/>
  <c r="F116" i="1"/>
  <c r="F117" i="1"/>
  <c r="B188" i="1" l="1"/>
  <c r="A175" i="1"/>
  <c r="A169" i="1"/>
  <c r="A181" i="1"/>
  <c r="F185" i="1" l="1"/>
  <c r="F184" i="1"/>
  <c r="F183" i="1"/>
  <c r="F182" i="1"/>
  <c r="F181" i="1"/>
  <c r="F179" i="1"/>
  <c r="F178" i="1"/>
  <c r="F177" i="1"/>
  <c r="F176" i="1"/>
  <c r="F175" i="1"/>
  <c r="F173" i="1"/>
  <c r="F172" i="1"/>
  <c r="F171" i="1"/>
  <c r="F170" i="1"/>
  <c r="F169" i="1"/>
  <c r="F167" i="1"/>
  <c r="F166" i="1"/>
  <c r="F164" i="1"/>
  <c r="F163" i="1"/>
  <c r="F165" i="1"/>
  <c r="A176" i="1"/>
  <c r="A170" i="1"/>
  <c r="A182" i="1"/>
  <c r="B189" i="1" l="1"/>
  <c r="A177" i="1"/>
  <c r="A171" i="1"/>
  <c r="A18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2" i="1"/>
  <c r="G181" i="1"/>
  <c r="G182" i="1" s="1"/>
  <c r="G183" i="1" s="1"/>
  <c r="G184" i="1" s="1"/>
  <c r="G185" i="1" s="1"/>
  <c r="G175" i="1"/>
  <c r="G176" i="1" s="1"/>
  <c r="G177" i="1" s="1"/>
  <c r="G178" i="1" s="1"/>
  <c r="G179" i="1" s="1"/>
  <c r="G169" i="1"/>
  <c r="G170" i="1" s="1"/>
  <c r="G171" i="1" s="1"/>
  <c r="G172" i="1" s="1"/>
  <c r="G173" i="1" s="1"/>
  <c r="G163" i="1"/>
  <c r="G164" i="1" s="1"/>
  <c r="G165" i="1" s="1"/>
  <c r="G166" i="1" s="1"/>
  <c r="G167" i="1" s="1"/>
  <c r="A163" i="1"/>
  <c r="A164" i="1" s="1"/>
  <c r="A165" i="1" s="1"/>
  <c r="A166" i="1" s="1"/>
  <c r="A167" i="1" s="1"/>
  <c r="A115" i="1"/>
  <c r="A116" i="1" s="1"/>
  <c r="A117" i="1" s="1"/>
  <c r="G114" i="1"/>
  <c r="G115" i="1" s="1"/>
  <c r="G116" i="1" s="1"/>
  <c r="G117" i="1" s="1"/>
  <c r="C68" i="1"/>
  <c r="B69" i="1" s="1"/>
  <c r="D57" i="1"/>
  <c r="G50" i="1"/>
  <c r="C50" i="1"/>
  <c r="E27" i="1"/>
  <c r="E25" i="1"/>
  <c r="E7" i="1"/>
  <c r="E3" i="1"/>
  <c r="A178" i="1"/>
  <c r="A184" i="1"/>
  <c r="A172" i="1"/>
  <c r="D62" i="1" l="1"/>
  <c r="A179" i="1"/>
  <c r="A185" i="1"/>
  <c r="A173" i="1"/>
  <c r="H69" i="1"/>
  <c r="D81" i="1" l="1"/>
  <c r="D79" i="1"/>
  <c r="D78" i="1"/>
  <c r="D75" i="1"/>
  <c r="D77" i="1"/>
  <c r="J74" i="1"/>
  <c r="D80" i="1"/>
  <c r="J68" i="1"/>
  <c r="J70" i="1" s="1"/>
  <c r="D76" i="1"/>
  <c r="J72" i="1"/>
  <c r="J73" i="1"/>
  <c r="C72" i="1" s="1"/>
  <c r="J71" i="1"/>
  <c r="J76" i="1"/>
  <c r="J77" i="1" s="1"/>
  <c r="J78" i="1" s="1"/>
  <c r="J79" i="1" s="1"/>
  <c r="D74" i="1"/>
  <c r="J75" i="1" l="1"/>
  <c r="J80" i="1" s="1"/>
  <c r="J81" i="1" s="1"/>
  <c r="C73" i="1" s="1"/>
  <c r="D72" i="1"/>
  <c r="G72" i="1" l="1"/>
  <c r="D66" i="1" s="1"/>
  <c r="J69" i="1"/>
  <c r="D73" i="1"/>
  <c r="I69" i="1" s="1"/>
  <c r="I70" i="1" s="1"/>
  <c r="D67" i="1" l="1"/>
  <c r="F67" i="1"/>
  <c r="E72" i="1"/>
  <c r="I68" i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<sst xmlns="http://schemas.openxmlformats.org/spreadsheetml/2006/main" count="345" uniqueCount="256">
  <si>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</si>
  <si>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</si>
  <si>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</si>
  <si>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</si>
  <si>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</si>
  <si>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</si>
  <si>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</si>
  <si>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</si>
  <si>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</si>
  <si>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</si>
  <si>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</si>
  <si>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</si>
  <si>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</si>
  <si>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</si>
  <si>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</si>
  <si>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</si>
  <si>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</si>
  <si>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</si>
  <si>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</si>
  <si>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</si>
  <si>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</si>
  <si>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</si>
  <si>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</si>
  <si>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</si>
  <si>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</si>
  <si>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</si>
  <si>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</si>
  <si>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</si>
  <si>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</si>
  <si>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</si>
  <si>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</si>
  <si>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</si>
  <si>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</si>
  <si>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</si>
  <si>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</si>
  <si>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</si>
  <si>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</si>
  <si>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</si>
  <si>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</si>
  <si>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</si>
  <si>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</si>
  <si>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</si>
  <si>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</si>
  <si>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</si>
  <si>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</si>
  <si>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</si>
  <si>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</si>
  <si>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</si>
  <si>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</si>
  <si>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</si>
  <si>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</si>
  <si>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</si>
  <si>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</si>
  <si>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</si>
  <si>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</si>
  <si>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</si>
  <si>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</si>
  <si>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</si>
  <si>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</si>
  <si>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</si>
  <si>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</si>
  <si>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</si>
  <si>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</si>
  <si>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</si>
  <si>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</si>
  <si>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</si>
  <si>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</si>
  <si>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</si>
  <si>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</si>
  <si>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</si>
  <si>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</si>
  <si>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</si>
  <si>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</si>
  <si>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</si>
  <si>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</si>
  <si>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</si>
  <si>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</si>
  <si>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</si>
  <si>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</si>
  <si>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</si>
  <si>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</si>
  <si>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</si>
  <si>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</si>
  <si>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</si>
  <si>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</si>
  <si>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</si>
  <si>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</si>
  <si>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</si>
  <si>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</si>
  <si>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</si>
  <si>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</si>
  <si>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</si>
  <si>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</si>
  <si>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</si>
  <si>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</si>
  <si>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</si>
  <si>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</si>
  <si>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</si>
  <si>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</si>
  <si>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</si>
  <si>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</si>
  <si>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</si>
  <si>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</si>
  <si>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</si>
  <si>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</si>
  <si>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</si>
  <si>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</si>
  <si>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</si>
  <si>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</si>
  <si>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</si>
  <si>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</si>
  <si>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</si>
  <si>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</si>
  <si>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</si>
  <si>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</si>
  <si>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</si>
  <si>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</si>
  <si>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</si>
  <si>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</si>
  <si>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</si>
  <si>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</si>
  <si>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</si>
  <si>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</si>
  <si>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</si>
  <si>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</si>
  <si>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</si>
  <si>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</si>
  <si>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</si>
  <si>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</si>
  <si>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</si>
  <si>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</si>
  <si>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</si>
  <si>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</si>
  <si>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</si>
  <si>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</si>
  <si>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</si>
  <si>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</si>
  <si>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</si>
  <si>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</si>
  <si>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</si>
  <si>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</si>
  <si>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</si>
  <si>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</si>
  <si>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</si>
  <si>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</si>
  <si>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</si>
  <si>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</si>
  <si>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</si>
  <si>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</si>
  <si>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</si>
  <si>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</si>
  <si>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</si>
  <si>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</si>
  <si>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</si>
  <si>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</si>
  <si>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</si>
  <si>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</si>
  <si>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</si>
  <si>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</si>
  <si>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</si>
  <si>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</si>
  <si>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</si>
  <si>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</si>
  <si>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</si>
  <si>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</si>
  <si>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</si>
  <si>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</si>
  <si>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</si>
  <si>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</si>
  <si>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</si>
  <si>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</si>
  <si>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</si>
  <si>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</si>
  <si>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</si>
  <si>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</si>
  <si>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</si>
  <si>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</si>
  <si>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</si>
  <si>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</si>
  <si>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</si>
  <si>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</si>
  <si>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Survey No</t>
  </si>
  <si>
    <t>Rustomjee Cleon</t>
  </si>
  <si>
    <t>Gandhinagar Ganesh Krupa CHS, Bldg No. 64</t>
  </si>
  <si>
    <t>341 (Pt) &amp; CTS No. 635 (Pt) &amp; Redevelopment of "Gandhinagar Ganesh Krupa CHS, Bldg No. 64"</t>
  </si>
  <si>
    <t>Gandhi Nagar</t>
  </si>
  <si>
    <t>P51800050269</t>
  </si>
  <si>
    <t>Andheri</t>
  </si>
  <si>
    <t>Bandra</t>
  </si>
  <si>
    <t>1.4 KM from Bandra Railway Station</t>
  </si>
  <si>
    <t>https://goo.gl/maps/knd8FWKUuqpbdFDc9</t>
  </si>
  <si>
    <t>19.0591574,72.8484457</t>
  </si>
  <si>
    <t>Mandva Garden</t>
  </si>
  <si>
    <t>Internal Road</t>
  </si>
  <si>
    <t>Elite CHS</t>
  </si>
  <si>
    <t>Other Plot</t>
  </si>
  <si>
    <t>6.10M Wide Road</t>
  </si>
  <si>
    <t>Samaj Mandir</t>
  </si>
  <si>
    <t>Wing A &amp; B</t>
  </si>
  <si>
    <t>02 Wings</t>
  </si>
  <si>
    <t>Maharashtra Housing and Area Development Authority</t>
  </si>
  <si>
    <t>As per RERA - 25/06/2027</t>
  </si>
  <si>
    <t>1st Floor for Fitness Center &amp; Parking</t>
  </si>
  <si>
    <t>Wing A</t>
  </si>
  <si>
    <t>1BHK</t>
  </si>
  <si>
    <t>Wing B</t>
  </si>
  <si>
    <t>2BHK</t>
  </si>
  <si>
    <t>Rehab</t>
  </si>
  <si>
    <t>8th Floor (Part Refuge Area)</t>
  </si>
  <si>
    <t>Society Office</t>
  </si>
  <si>
    <t>Refuge Area</t>
  </si>
  <si>
    <t>Sale</t>
  </si>
  <si>
    <t>15th Floor (Part Refuge Area)</t>
  </si>
  <si>
    <t>We considered Gross carpet area = Net carpet.</t>
  </si>
  <si>
    <t xml:space="preserve">Airport Authority of India
NOC No.
Valid Up to: </t>
  </si>
  <si>
    <t>SNCR/WEST/B/020122/651902</t>
  </si>
  <si>
    <t>57.13 M AMSL (Restricted)</t>
  </si>
  <si>
    <t>Share Money</t>
  </si>
  <si>
    <t>Electric Water connections &amp; piped Gas Connection Charges</t>
  </si>
  <si>
    <t>MIS</t>
  </si>
  <si>
    <t>Online</t>
  </si>
  <si>
    <t>Inspection</t>
  </si>
  <si>
    <t>Builder</t>
  </si>
  <si>
    <t>Approved Plans, CC, Cost Sheet, Airport Noc</t>
  </si>
  <si>
    <t xml:space="preserve">Keystone Realtors Limited </t>
  </si>
  <si>
    <t>Bandra East</t>
  </si>
  <si>
    <t>Building No. 64</t>
  </si>
  <si>
    <t>Ground floor for Parking &amp; Meter Room</t>
  </si>
  <si>
    <t>Basement floor for Parking, Pump Room &amp; Tanks</t>
  </si>
  <si>
    <t>1.5BHK</t>
  </si>
  <si>
    <t>Leo Eminence</t>
  </si>
  <si>
    <t>Fifty One East</t>
  </si>
  <si>
    <t>Gymnasium, Walking &amp; Cycling Tracks, Children’s Play Area, Garden</t>
  </si>
  <si>
    <t>Pre Possesion Charges</t>
  </si>
  <si>
    <t>Society formation Charges</t>
  </si>
  <si>
    <t>-</t>
  </si>
  <si>
    <t>Parking Area</t>
  </si>
  <si>
    <t>2nd &amp; 3rd Floor for Residential &amp; Parking</t>
  </si>
  <si>
    <t>4th to 7th, 9th to 14th, 16th to 21st Floor</t>
  </si>
  <si>
    <t>Sale Flats - 74, Rehab Flats - 36</t>
  </si>
  <si>
    <t>We have updated latest Approved floor plans (On 20/02/2024).</t>
  </si>
  <si>
    <t>Mhada-94/1226/2024</t>
  </si>
  <si>
    <t>Building No. 64 (Wing A &amp; B) = 1B + Gr/St + 1st to 21st Floor</t>
  </si>
  <si>
    <t>Floor Rise Rate from 2nd Floor</t>
  </si>
  <si>
    <t>Rate 25500 
FR 100/- from 2nd floor
by sanjay</t>
  </si>
  <si>
    <t>We have updated latest CC from Mhada site (On 12/08/2024).</t>
  </si>
  <si>
    <t>Construction work is in process at the time of Visit. Internal photographs not allowed.</t>
  </si>
  <si>
    <t>Tushar Bhuvad</t>
  </si>
  <si>
    <t>Miss. Prerna Dokwal 9167708076</t>
  </si>
  <si>
    <t>Mr. Nilesh Kadam 9594097952</t>
  </si>
  <si>
    <t>MH/EE/(BP)/GM/MHADA-94/1226/2025/FCC/3/Amend</t>
  </si>
  <si>
    <t>This CC is Re-endorsed {i. e. building comprising of two wings ‘A &amp; B comprising of Basement for building services + Stilt for parking + 1st to 21st upper residential floors with total height of 67.00 mt. + OHT from AGL as per approved IOA plans u/no. MH/EE/ (BP)/GM/MHADA - 94/1226/2025 dt. 07.03.2025}.</t>
  </si>
  <si>
    <t>We have updated latest CC from Mhada site (On 20/05/2025).</t>
  </si>
  <si>
    <t>Please provide revised approved plans.</t>
  </si>
  <si>
    <t>Office No. 1031, Wing J, Akshar Business Park, Plot No. 03 Sector 25, Near APMC Market,
Vashi, Navi Mumbai, Maharashtra 400703 TEL: 022-46090378/79/80
Email : vsjcapf@gmail.com. Web site : www.vsjadon.com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</si>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</sst>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/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0" xfId="1" applyFont="1"/>
    <xf numFmtId="1" fontId="15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502225</xdr:colOff>
      <xdr:row>315</xdr:row>
      <xdr:rowOff>163752</xdr:rowOff>
    </xdr:from>
    <xdr:to>
      <xdr:col>7</xdr:col>
      <xdr:colOff>198387</xdr:colOff>
      <xdr:row>336</xdr:row>
      <xdr:rowOff>147011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225" y="66397138"/>
          <a:ext cx="5367867" cy="4165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569959</xdr:colOff>
      <xdr:row>296</xdr:row>
      <xdr:rowOff>103908</xdr:rowOff>
    </xdr:from>
    <xdr:to>
      <xdr:col>7</xdr:col>
      <xdr:colOff>130655</xdr:colOff>
      <xdr:row>314</xdr:row>
      <xdr:rowOff>159711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9959" y="62553272"/>
          <a:ext cx="5232401" cy="3640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528205</xdr:colOff>
      <xdr:row>325</xdr:row>
      <xdr:rowOff>181840</xdr:rowOff>
    </xdr:from>
    <xdr:to>
      <xdr:col>4</xdr:col>
      <xdr:colOff>450273</xdr:colOff>
      <xdr:row>328</xdr:row>
      <xdr:rowOff>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35432" y="60189340"/>
          <a:ext cx="865909" cy="415637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60227</xdr:colOff>
      <xdr:row>275</xdr:row>
      <xdr:rowOff>143355</xdr:rowOff>
    </xdr:from>
    <xdr:to>
      <xdr:col>5</xdr:col>
      <xdr:colOff>621144</xdr:colOff>
      <xdr:row>292</xdr:row>
      <xdr:rowOff>161250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8863" y="58211219"/>
          <a:ext cx="3132667" cy="3403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77931</xdr:colOff>
      <xdr:row>253</xdr:row>
      <xdr:rowOff>164521</xdr:rowOff>
    </xdr:from>
    <xdr:to>
      <xdr:col>7</xdr:col>
      <xdr:colOff>620759</xdr:colOff>
      <xdr:row>274</xdr:row>
      <xdr:rowOff>12313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931" y="53850885"/>
          <a:ext cx="6214533" cy="40301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527818</xdr:colOff>
      <xdr:row>280</xdr:row>
      <xdr:rowOff>1</xdr:rowOff>
    </xdr:from>
    <xdr:to>
      <xdr:col>4</xdr:col>
      <xdr:colOff>311727</xdr:colOff>
      <xdr:row>283</xdr:row>
      <xdr:rowOff>60614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86454" y="59063660"/>
          <a:ext cx="1576341" cy="65809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761999</xdr:colOff>
      <xdr:row>258</xdr:row>
      <xdr:rowOff>190499</xdr:rowOff>
    </xdr:from>
    <xdr:to>
      <xdr:col>5</xdr:col>
      <xdr:colOff>615181</xdr:colOff>
      <xdr:row>262</xdr:row>
      <xdr:rowOff>51953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69226" y="54872658"/>
          <a:ext cx="1576341" cy="65809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95251</xdr:colOff>
      <xdr:row>256</xdr:row>
      <xdr:rowOff>129887</xdr:rowOff>
    </xdr:from>
    <xdr:ext cx="607089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02478" y="45789273"/>
          <a:ext cx="607089" cy="26456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5</xdr:col>
      <xdr:colOff>585356</xdr:colOff>
      <xdr:row>256</xdr:row>
      <xdr:rowOff>48492</xdr:rowOff>
    </xdr:from>
    <xdr:ext cx="600677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715742" y="45707878"/>
          <a:ext cx="600677" cy="26456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twoCellAnchor>
    <xdr:from>
      <xdr:col>3</xdr:col>
      <xdr:colOff>398796</xdr:colOff>
      <xdr:row>257</xdr:row>
      <xdr:rowOff>195288</xdr:rowOff>
    </xdr:from>
    <xdr:to>
      <xdr:col>4</xdr:col>
      <xdr:colOff>43296</xdr:colOff>
      <xdr:row>260</xdr:row>
      <xdr:rowOff>69272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stCxn id="13" idx="2"/>
        </xdr:cNvCxnSpPr>
      </xdr:nvCxnSpPr>
      <xdr:spPr>
        <a:xfrm>
          <a:off x="2806023" y="46053833"/>
          <a:ext cx="588341" cy="4714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337705</xdr:colOff>
      <xdr:row>257</xdr:row>
      <xdr:rowOff>113893</xdr:rowOff>
    </xdr:from>
    <xdr:to>
      <xdr:col>6</xdr:col>
      <xdr:colOff>106376</xdr:colOff>
      <xdr:row>260</xdr:row>
      <xdr:rowOff>25977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16" idx="2"/>
        </xdr:cNvCxnSpPr>
      </xdr:nvCxnSpPr>
      <xdr:spPr>
        <a:xfrm flipH="1">
          <a:off x="4468091" y="45972438"/>
          <a:ext cx="547990" cy="5095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876858</xdr:colOff>
      <xdr:row>212</xdr:row>
      <xdr:rowOff>104775</xdr:rowOff>
    </xdr:from>
    <xdr:to>
      <xdr:col>15</xdr:col>
      <xdr:colOff>539003</xdr:colOff>
      <xdr:row>251</xdr:row>
      <xdr:rowOff>114300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201458" y="38700075"/>
          <a:ext cx="5281895" cy="7800975"/>
          <a:chOff x="543483" y="38176200"/>
          <a:chExt cx="5281895" cy="7800975"/>
        </a:xfrm>
      </xdr:grpSpPr>
      <xdr:pic>
        <xdr:nvPicPr>
          <xdr:cNvPr id="28" name="Picture 27" descr="https://vsjcllp.vsjadon.com/upload/insp-216742-15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269230" y="43970876"/>
            <a:ext cx="1502708" cy="20062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16742-843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698687" y="41722861"/>
            <a:ext cx="1617750" cy="21588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16742-851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7379" y="38187406"/>
            <a:ext cx="2587999" cy="345593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16742-862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80365" y="43967427"/>
            <a:ext cx="1498385" cy="20069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16742-860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29368" y="4171950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16742-871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01981" y="4171950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16742-874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43483" y="38176200"/>
            <a:ext cx="2590013" cy="34559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13</xdr:col>
      <xdr:colOff>390526</xdr:colOff>
      <xdr:row>242</xdr:row>
      <xdr:rowOff>123825</xdr:rowOff>
    </xdr:from>
    <xdr:to>
      <xdr:col>15</xdr:col>
      <xdr:colOff>327371</xdr:colOff>
      <xdr:row>252</xdr:row>
      <xdr:rowOff>35924</xdr:rowOff>
    </xdr:to>
    <xdr:pic>
      <xdr:nvPicPr>
        <xdr:cNvPr id="26" name="Picture 25" descr="https://vsjcllp.vsjadon.com/upload/insp-234015-1525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9451" y="44729400"/>
          <a:ext cx="1432270" cy="191234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523875</xdr:colOff>
      <xdr:row>231</xdr:row>
      <xdr:rowOff>28575</xdr:rowOff>
    </xdr:from>
    <xdr:to>
      <xdr:col>12</xdr:col>
      <xdr:colOff>731925</xdr:colOff>
      <xdr:row>241</xdr:row>
      <xdr:rowOff>188325</xdr:rowOff>
    </xdr:to>
    <xdr:pic>
      <xdr:nvPicPr>
        <xdr:cNvPr id="27" name="Picture 26" descr="https://vsjcllp.vsjadon.com/upload/insp-234015-845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42433875"/>
          <a:ext cx="161775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752475</xdr:colOff>
      <xdr:row>231</xdr:row>
      <xdr:rowOff>28575</xdr:rowOff>
    </xdr:from>
    <xdr:to>
      <xdr:col>10</xdr:col>
      <xdr:colOff>446175</xdr:colOff>
      <xdr:row>241</xdr:row>
      <xdr:rowOff>188325</xdr:rowOff>
    </xdr:to>
    <xdr:pic>
      <xdr:nvPicPr>
        <xdr:cNvPr id="35" name="Picture 34" descr="https://vsjcllp.vsjadon.com/upload/insp-234015-849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7075" y="42433875"/>
          <a:ext cx="161775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473778</xdr:colOff>
      <xdr:row>212</xdr:row>
      <xdr:rowOff>114300</xdr:rowOff>
    </xdr:from>
    <xdr:to>
      <xdr:col>11</xdr:col>
      <xdr:colOff>570000</xdr:colOff>
      <xdr:row>230</xdr:row>
      <xdr:rowOff>161925</xdr:rowOff>
    </xdr:to>
    <xdr:pic>
      <xdr:nvPicPr>
        <xdr:cNvPr id="36" name="Picture 35" descr="https://vsjcllp.vsjadon.com/upload/insp-234015-85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98378" y="38728650"/>
          <a:ext cx="2725122" cy="36385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645228</xdr:colOff>
      <xdr:row>212</xdr:row>
      <xdr:rowOff>114300</xdr:rowOff>
    </xdr:from>
    <xdr:to>
      <xdr:col>15</xdr:col>
      <xdr:colOff>379500</xdr:colOff>
      <xdr:row>230</xdr:row>
      <xdr:rowOff>161925</xdr:rowOff>
    </xdr:to>
    <xdr:pic>
      <xdr:nvPicPr>
        <xdr:cNvPr id="37" name="Picture 36" descr="https://vsjcllp.vsjadon.com/upload/insp-234015-860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8728" y="38728650"/>
          <a:ext cx="2725122" cy="36385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381001</xdr:colOff>
      <xdr:row>242</xdr:row>
      <xdr:rowOff>123825</xdr:rowOff>
    </xdr:from>
    <xdr:to>
      <xdr:col>13</xdr:col>
      <xdr:colOff>310712</xdr:colOff>
      <xdr:row>252</xdr:row>
      <xdr:rowOff>26399</xdr:rowOff>
    </xdr:to>
    <xdr:pic>
      <xdr:nvPicPr>
        <xdr:cNvPr id="38" name="Picture 37" descr="https://vsjcllp.vsjadon.com/upload/insp-234015-874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1" y="44729400"/>
          <a:ext cx="1425136" cy="1902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231</xdr:row>
      <xdr:rowOff>38100</xdr:rowOff>
    </xdr:from>
    <xdr:to>
      <xdr:col>15</xdr:col>
      <xdr:colOff>141375</xdr:colOff>
      <xdr:row>241</xdr:row>
      <xdr:rowOff>197850</xdr:rowOff>
    </xdr:to>
    <xdr:pic>
      <xdr:nvPicPr>
        <xdr:cNvPr id="39" name="Picture 38" descr="https://vsjcllp.vsjadon.com/upload/insp-234015-880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67975" y="42443400"/>
          <a:ext cx="161775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390525</xdr:colOff>
      <xdr:row>242</xdr:row>
      <xdr:rowOff>115850</xdr:rowOff>
    </xdr:from>
    <xdr:to>
      <xdr:col>11</xdr:col>
      <xdr:colOff>304801</xdr:colOff>
      <xdr:row>252</xdr:row>
      <xdr:rowOff>25636</xdr:rowOff>
    </xdr:to>
    <xdr:pic>
      <xdr:nvPicPr>
        <xdr:cNvPr id="40" name="Picture 39" descr="https://vsjcllp.vsjadon.com/upload/insp-234015-151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15125" y="44721425"/>
          <a:ext cx="2543176" cy="191003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212</xdr:row>
      <xdr:rowOff>161925</xdr:rowOff>
    </xdr:from>
    <xdr:to>
      <xdr:col>7</xdr:col>
      <xdr:colOff>133164</xdr:colOff>
      <xdr:row>246</xdr:row>
      <xdr:rowOff>65330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5287C38D-8DCE-4554-8594-343CFB7A9F91}"/>
            </a:ext>
          </a:extLst>
        </xdr:cNvPr>
        <xdr:cNvGrpSpPr/>
      </xdr:nvGrpSpPr>
      <xdr:grpSpPr>
        <a:xfrm>
          <a:off x="419100" y="38757225"/>
          <a:ext cx="5390964" cy="6694730"/>
          <a:chOff x="412377" y="489177"/>
          <a:chExt cx="5390964" cy="6694730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115EE5C8-3BB2-4D22-9928-E36CF29D0A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377" y="489177"/>
            <a:ext cx="3600000" cy="45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2C532483-1DBA-414E-9572-4108306E5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3341" y="288917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60F049B0-29E7-4CDB-A6FE-E80B7ECF7D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3341" y="48917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9D02AD24-7E2C-466E-9796-2496FF3FC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9129" y="5203907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3F3F24D3-41D8-4CA2-9EA6-7A98FA338C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69877" y="5203907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801441</xdr:colOff>
      <xdr:row>35</xdr:row>
      <xdr:rowOff>47523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6</xdr:col>
      <xdr:colOff>801441</xdr:colOff>
      <xdr:row>58</xdr:row>
      <xdr:rowOff>47523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0597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1035173</xdr:colOff>
      <xdr:row>37</xdr:row>
      <xdr:rowOff>0</xdr:rowOff>
    </xdr:from>
    <xdr:to>
      <xdr:col>17</xdr:col>
      <xdr:colOff>559144</xdr:colOff>
      <xdr:row>58</xdr:row>
      <xdr:rowOff>47523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6438" y="70597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59</xdr:row>
      <xdr:rowOff>143933</xdr:rowOff>
    </xdr:from>
    <xdr:to>
      <xdr:col>6</xdr:col>
      <xdr:colOff>801441</xdr:colOff>
      <xdr:row>81</xdr:row>
      <xdr:rowOff>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11394639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1035173</xdr:colOff>
      <xdr:row>59</xdr:row>
      <xdr:rowOff>143933</xdr:rowOff>
    </xdr:from>
    <xdr:to>
      <xdr:col>17</xdr:col>
      <xdr:colOff>559144</xdr:colOff>
      <xdr:row>81</xdr:row>
      <xdr:rowOff>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6438" y="11394639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nd8FWKUuqpbdFDc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6"/>
  <sheetViews>
    <sheetView tabSelected="1" view="pageBreakPreview" topLeftCell="A68" zoomScaleNormal="100" zoomScaleSheetLayoutView="100" workbookViewId="0">
      <selection activeCell="M70" sqref="M70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6" width="11.7109375" style="38" customWidth="1"/>
    <col min="7" max="7" width="11.42578125" style="38" customWidth="1"/>
    <col min="8" max="8" width="9.710937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64" t="s">
        <v>254</v>
      </c>
      <c r="B1" s="164"/>
      <c r="C1" s="164"/>
      <c r="D1" s="164"/>
      <c r="E1" s="164"/>
      <c r="F1" s="164"/>
      <c r="G1" s="164"/>
      <c r="H1" s="164"/>
    </row>
    <row r="2" spans="1:8" ht="16.5" customHeight="1" x14ac:dyDescent="0.25">
      <c r="A2" s="165" t="s">
        <v>0</v>
      </c>
      <c r="B2" s="165"/>
      <c r="C2" s="165"/>
      <c r="D2" s="165"/>
      <c r="E2" s="165"/>
      <c r="F2" s="165"/>
      <c r="G2" s="165"/>
      <c r="H2" s="165"/>
    </row>
    <row r="3" spans="1:8" x14ac:dyDescent="0.25">
      <c r="A3" s="129" t="s">
        <v>1</v>
      </c>
      <c r="B3" s="129"/>
      <c r="C3" s="129"/>
      <c r="D3" s="129"/>
      <c r="E3" s="129" t="str">
        <f ca="1">TEXT(TODAY(),"DD/MM/YYYY")</f>
        <v>20/08/2025</v>
      </c>
      <c r="F3" s="129"/>
      <c r="G3" s="129"/>
      <c r="H3" s="129"/>
    </row>
    <row r="4" spans="1:8" ht="15" customHeight="1" x14ac:dyDescent="0.25">
      <c r="A4" s="129" t="s">
        <v>2</v>
      </c>
      <c r="B4" s="129"/>
      <c r="C4" s="129"/>
      <c r="D4" s="129"/>
      <c r="E4" s="129" t="s">
        <v>176</v>
      </c>
      <c r="F4" s="129"/>
      <c r="G4" s="129"/>
      <c r="H4" s="129"/>
    </row>
    <row r="5" spans="1:8" x14ac:dyDescent="0.25">
      <c r="A5" s="129" t="s">
        <v>3</v>
      </c>
      <c r="B5" s="129"/>
      <c r="C5" s="129"/>
      <c r="D5" s="129"/>
      <c r="E5" s="166">
        <v>45881</v>
      </c>
      <c r="F5" s="129"/>
      <c r="G5" s="129"/>
      <c r="H5" s="129"/>
    </row>
    <row r="6" spans="1:8" ht="16.5" customHeight="1" x14ac:dyDescent="0.25">
      <c r="A6" s="129" t="s">
        <v>4</v>
      </c>
      <c r="B6" s="129"/>
      <c r="C6" s="129"/>
      <c r="D6" s="129"/>
      <c r="E6" s="129" t="s">
        <v>224</v>
      </c>
      <c r="F6" s="129"/>
      <c r="G6" s="129"/>
      <c r="H6" s="129"/>
    </row>
    <row r="7" spans="1:8" ht="15" customHeight="1" x14ac:dyDescent="0.25">
      <c r="A7" s="129" t="s">
        <v>5</v>
      </c>
      <c r="B7" s="129"/>
      <c r="C7" s="129"/>
      <c r="D7" s="129"/>
      <c r="E7" s="129" t="str">
        <f>E6</f>
        <v xml:space="preserve">Keystone Realtors Limited </v>
      </c>
      <c r="F7" s="129"/>
      <c r="G7" s="129"/>
      <c r="H7" s="129"/>
    </row>
    <row r="8" spans="1:8" x14ac:dyDescent="0.25">
      <c r="A8" s="129" t="s">
        <v>6</v>
      </c>
      <c r="B8" s="129"/>
      <c r="C8" s="129"/>
      <c r="D8" s="129"/>
      <c r="E8" s="120" t="s">
        <v>182</v>
      </c>
      <c r="F8" s="120"/>
      <c r="G8" s="120"/>
      <c r="H8" s="120"/>
    </row>
    <row r="9" spans="1:8" x14ac:dyDescent="0.25">
      <c r="A9" s="129" t="s">
        <v>174</v>
      </c>
      <c r="B9" s="129"/>
      <c r="C9" s="129"/>
      <c r="D9" s="129"/>
      <c r="E9" s="129" t="s">
        <v>248</v>
      </c>
      <c r="F9" s="129"/>
      <c r="G9" s="129"/>
      <c r="H9" s="129"/>
    </row>
    <row r="10" spans="1:8" x14ac:dyDescent="0.25">
      <c r="A10" s="129" t="s">
        <v>175</v>
      </c>
      <c r="B10" s="129"/>
      <c r="C10" s="129"/>
      <c r="D10" s="129"/>
      <c r="E10" s="129" t="s">
        <v>249</v>
      </c>
      <c r="F10" s="129"/>
      <c r="G10" s="129"/>
      <c r="H10" s="129"/>
    </row>
    <row r="11" spans="1:8" x14ac:dyDescent="0.25">
      <c r="A11" s="129" t="s">
        <v>7</v>
      </c>
      <c r="B11" s="129"/>
      <c r="C11" s="129"/>
      <c r="D11" s="129"/>
      <c r="E11" s="129" t="s">
        <v>198</v>
      </c>
      <c r="F11" s="129"/>
      <c r="G11" s="129"/>
      <c r="H11" s="129"/>
    </row>
    <row r="12" spans="1:8" x14ac:dyDescent="0.25">
      <c r="A12" s="129" t="s">
        <v>177</v>
      </c>
      <c r="B12" s="129"/>
      <c r="C12" s="129"/>
      <c r="D12" s="129"/>
      <c r="E12" s="129" t="s">
        <v>183</v>
      </c>
      <c r="F12" s="129"/>
      <c r="G12" s="129"/>
      <c r="H12" s="129"/>
    </row>
    <row r="13" spans="1:8" s="21" customFormat="1" x14ac:dyDescent="0.25">
      <c r="A13" s="129" t="s">
        <v>8</v>
      </c>
      <c r="B13" s="129"/>
      <c r="C13" s="129"/>
      <c r="D13" s="129"/>
      <c r="E13" s="150" t="s">
        <v>223</v>
      </c>
      <c r="F13" s="150"/>
      <c r="G13" s="150"/>
      <c r="H13" s="150"/>
    </row>
    <row r="14" spans="1:8" x14ac:dyDescent="0.25">
      <c r="A14" s="90" t="s">
        <v>9</v>
      </c>
      <c r="B14" s="90"/>
      <c r="C14" s="90"/>
      <c r="D14" s="90"/>
      <c r="E14" s="150" t="s">
        <v>186</v>
      </c>
      <c r="F14" s="129"/>
      <c r="G14" s="129"/>
      <c r="H14" s="129"/>
    </row>
    <row r="15" spans="1:8" ht="47.1" customHeight="1" x14ac:dyDescent="0.25">
      <c r="A15" s="150" t="s">
        <v>10</v>
      </c>
      <c r="B15" s="150"/>
      <c r="C15" s="15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Rustomjee Cleon, Survey No.341 (Pt) &amp; CTS No. 635 (Pt) &amp; Redevelopment of "Gandhinagar Ganesh Krupa CHS, Bldg No. 64", near Elite CHS, Internal Road, Gandhi Nagar, Bandra, Bandra East, Andheri, Mumbai - 400051.</v>
      </c>
      <c r="D15" s="150"/>
      <c r="E15" s="150"/>
      <c r="F15" s="150"/>
      <c r="G15" s="150"/>
      <c r="H15" s="150"/>
    </row>
    <row r="16" spans="1:8" ht="31.5" customHeight="1" x14ac:dyDescent="0.25">
      <c r="A16" s="150" t="s">
        <v>181</v>
      </c>
      <c r="B16" s="150"/>
      <c r="C16" s="150" t="s">
        <v>184</v>
      </c>
      <c r="D16" s="150"/>
      <c r="E16" s="150"/>
      <c r="F16" s="150"/>
      <c r="G16" s="150"/>
      <c r="H16" s="150"/>
    </row>
    <row r="17" spans="1:11" ht="15.75" customHeight="1" x14ac:dyDescent="0.25">
      <c r="A17" s="150" t="s">
        <v>170</v>
      </c>
      <c r="B17" s="150"/>
      <c r="C17" s="150" t="s">
        <v>185</v>
      </c>
      <c r="D17" s="150"/>
      <c r="E17" s="150"/>
      <c r="F17" s="150"/>
      <c r="G17" s="150"/>
      <c r="H17" s="150"/>
    </row>
    <row r="18" spans="1:11" ht="15.75" customHeight="1" x14ac:dyDescent="0.25">
      <c r="A18" s="150" t="s">
        <v>11</v>
      </c>
      <c r="B18" s="150"/>
      <c r="C18" s="129" t="s">
        <v>193</v>
      </c>
      <c r="D18" s="129"/>
      <c r="E18" s="150" t="s">
        <v>73</v>
      </c>
      <c r="F18" s="150"/>
      <c r="G18" s="150" t="s">
        <v>188</v>
      </c>
      <c r="H18" s="150"/>
      <c r="K18" s="19">
        <f>24000/1.55</f>
        <v>15483.870967741936</v>
      </c>
    </row>
    <row r="19" spans="1:11" x14ac:dyDescent="0.25">
      <c r="A19" s="129" t="s">
        <v>13</v>
      </c>
      <c r="B19" s="129"/>
      <c r="C19" s="150" t="s">
        <v>225</v>
      </c>
      <c r="D19" s="150"/>
      <c r="E19" s="150" t="s">
        <v>12</v>
      </c>
      <c r="F19" s="150"/>
      <c r="G19" s="163" t="s">
        <v>178</v>
      </c>
      <c r="H19" s="163"/>
      <c r="K19" s="19">
        <f>K18*1.5</f>
        <v>23225.806451612902</v>
      </c>
    </row>
    <row r="20" spans="1:11" x14ac:dyDescent="0.25">
      <c r="A20" s="129" t="s">
        <v>74</v>
      </c>
      <c r="B20" s="129"/>
      <c r="C20" s="150" t="s">
        <v>187</v>
      </c>
      <c r="D20" s="150"/>
      <c r="E20" s="150" t="s">
        <v>14</v>
      </c>
      <c r="F20" s="150"/>
      <c r="G20" s="150">
        <v>400051</v>
      </c>
      <c r="H20" s="150"/>
    </row>
    <row r="21" spans="1:11" ht="32.25" customHeight="1" x14ac:dyDescent="0.25">
      <c r="A21" s="90" t="s">
        <v>126</v>
      </c>
      <c r="B21" s="90"/>
      <c r="C21" s="150" t="s">
        <v>194</v>
      </c>
      <c r="D21" s="150"/>
      <c r="E21" s="126" t="s">
        <v>15</v>
      </c>
      <c r="F21" s="126"/>
      <c r="G21" s="150" t="s">
        <v>189</v>
      </c>
      <c r="H21" s="150"/>
    </row>
    <row r="22" spans="1:11" ht="15" customHeight="1" x14ac:dyDescent="0.25">
      <c r="A22" s="126" t="s">
        <v>77</v>
      </c>
      <c r="B22" s="126"/>
      <c r="C22" s="126"/>
      <c r="D22" s="126"/>
      <c r="E22" s="129" t="s">
        <v>16</v>
      </c>
      <c r="F22" s="129"/>
      <c r="G22" s="129"/>
      <c r="H22" s="129"/>
    </row>
    <row r="23" spans="1:11" ht="18.75" customHeight="1" x14ac:dyDescent="0.25">
      <c r="A23" s="126"/>
      <c r="B23" s="126"/>
      <c r="C23" s="126"/>
      <c r="D23" s="126"/>
      <c r="E23" s="129"/>
      <c r="F23" s="129"/>
      <c r="G23" s="129"/>
      <c r="H23" s="129"/>
    </row>
    <row r="24" spans="1:11" ht="15" customHeight="1" x14ac:dyDescent="0.25">
      <c r="A24" s="126" t="s">
        <v>17</v>
      </c>
      <c r="B24" s="126"/>
      <c r="C24" s="126"/>
      <c r="D24" s="126"/>
      <c r="E24" s="150" t="s">
        <v>18</v>
      </c>
      <c r="F24" s="150"/>
      <c r="G24" s="150"/>
      <c r="H24" s="150"/>
    </row>
    <row r="25" spans="1:11" ht="15" customHeight="1" x14ac:dyDescent="0.25">
      <c r="A25" s="90" t="s">
        <v>19</v>
      </c>
      <c r="B25" s="90"/>
      <c r="C25" s="90"/>
      <c r="D25" s="90"/>
      <c r="E25" s="150" t="str">
        <f>IF(AND(G19="Mumbai"),"Upper Class","Middle Class")</f>
        <v>Upper Class</v>
      </c>
      <c r="F25" s="150"/>
      <c r="G25" s="150"/>
      <c r="H25" s="150"/>
    </row>
    <row r="26" spans="1:11" x14ac:dyDescent="0.25">
      <c r="A26" s="90" t="s">
        <v>20</v>
      </c>
      <c r="B26" s="90"/>
      <c r="C26" s="90"/>
      <c r="D26" s="90"/>
      <c r="E26" s="150" t="s">
        <v>21</v>
      </c>
      <c r="F26" s="150"/>
      <c r="G26" s="150"/>
      <c r="H26" s="150"/>
    </row>
    <row r="27" spans="1:11" ht="15.75" customHeight="1" x14ac:dyDescent="0.25">
      <c r="A27" s="90" t="s">
        <v>22</v>
      </c>
      <c r="B27" s="90"/>
      <c r="C27" s="90"/>
      <c r="D27" s="90"/>
      <c r="E27" s="150" t="str">
        <f>IF(AND(G19="Mumbai"),"Developed","Developing")</f>
        <v>Developed</v>
      </c>
      <c r="F27" s="150"/>
      <c r="G27" s="150"/>
      <c r="H27" s="150"/>
    </row>
    <row r="28" spans="1:11" x14ac:dyDescent="0.25">
      <c r="A28" s="90" t="s">
        <v>23</v>
      </c>
      <c r="B28" s="90"/>
      <c r="C28" s="90"/>
      <c r="D28" s="90"/>
      <c r="E28" s="150" t="s">
        <v>24</v>
      </c>
      <c r="F28" s="150"/>
      <c r="G28" s="150"/>
      <c r="H28" s="150"/>
    </row>
    <row r="29" spans="1:11" ht="15.75" customHeight="1" x14ac:dyDescent="0.25">
      <c r="A29" s="90" t="s">
        <v>82</v>
      </c>
      <c r="B29" s="90"/>
      <c r="C29" s="90"/>
      <c r="D29" s="90"/>
      <c r="E29" s="150" t="s">
        <v>83</v>
      </c>
      <c r="F29" s="150"/>
      <c r="G29" s="150"/>
      <c r="H29" s="150"/>
    </row>
    <row r="30" spans="1:11" ht="15" customHeight="1" x14ac:dyDescent="0.25">
      <c r="A30" s="90" t="s">
        <v>32</v>
      </c>
      <c r="B30" s="90"/>
      <c r="C30" s="90"/>
      <c r="D30" s="90"/>
      <c r="E30" s="150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150"/>
      <c r="G30" s="150"/>
      <c r="H30" s="150"/>
    </row>
    <row r="31" spans="1:11" ht="15.75" customHeight="1" x14ac:dyDescent="0.25">
      <c r="A31" s="90" t="s">
        <v>94</v>
      </c>
      <c r="B31" s="90"/>
      <c r="C31" s="90"/>
      <c r="D31" s="90"/>
      <c r="E31" s="150" t="s">
        <v>33</v>
      </c>
      <c r="F31" s="150"/>
      <c r="G31" s="150"/>
      <c r="H31" s="150"/>
    </row>
    <row r="32" spans="1:11" s="20" customFormat="1" x14ac:dyDescent="0.25">
      <c r="A32" s="162" t="s">
        <v>95</v>
      </c>
      <c r="B32" s="162"/>
      <c r="C32" s="159" t="s">
        <v>179</v>
      </c>
      <c r="D32" s="160"/>
      <c r="E32" s="161"/>
      <c r="F32" s="159" t="s">
        <v>30</v>
      </c>
      <c r="G32" s="160"/>
      <c r="H32" s="161"/>
    </row>
    <row r="33" spans="1:9" s="20" customFormat="1" x14ac:dyDescent="0.25">
      <c r="A33" s="155" t="s">
        <v>25</v>
      </c>
      <c r="B33" s="155" t="s">
        <v>29</v>
      </c>
      <c r="C33" s="152" t="s">
        <v>195</v>
      </c>
      <c r="D33" s="153"/>
      <c r="E33" s="154"/>
      <c r="F33" s="152" t="s">
        <v>231</v>
      </c>
      <c r="G33" s="153"/>
      <c r="H33" s="154"/>
    </row>
    <row r="34" spans="1:9" x14ac:dyDescent="0.25">
      <c r="A34" s="155" t="s">
        <v>26</v>
      </c>
      <c r="B34" s="155" t="s">
        <v>29</v>
      </c>
      <c r="C34" s="152" t="s">
        <v>196</v>
      </c>
      <c r="D34" s="153"/>
      <c r="E34" s="154"/>
      <c r="F34" s="152" t="s">
        <v>192</v>
      </c>
      <c r="G34" s="153"/>
      <c r="H34" s="154"/>
    </row>
    <row r="35" spans="1:9" s="20" customFormat="1" x14ac:dyDescent="0.25">
      <c r="A35" s="155" t="s">
        <v>28</v>
      </c>
      <c r="B35" s="155" t="s">
        <v>29</v>
      </c>
      <c r="C35" s="152" t="s">
        <v>195</v>
      </c>
      <c r="D35" s="153"/>
      <c r="E35" s="154"/>
      <c r="F35" s="152" t="s">
        <v>230</v>
      </c>
      <c r="G35" s="153"/>
      <c r="H35" s="154"/>
    </row>
    <row r="36" spans="1:9" x14ac:dyDescent="0.25">
      <c r="A36" s="155" t="s">
        <v>27</v>
      </c>
      <c r="B36" s="155" t="s">
        <v>29</v>
      </c>
      <c r="C36" s="152" t="s">
        <v>197</v>
      </c>
      <c r="D36" s="153"/>
      <c r="E36" s="154"/>
      <c r="F36" s="152" t="s">
        <v>194</v>
      </c>
      <c r="G36" s="153"/>
      <c r="H36" s="154"/>
    </row>
    <row r="37" spans="1:9" x14ac:dyDescent="0.25">
      <c r="A37" s="90" t="s">
        <v>31</v>
      </c>
      <c r="B37" s="90"/>
      <c r="C37" s="90"/>
      <c r="D37" s="90"/>
      <c r="E37" s="90"/>
      <c r="F37" s="90"/>
      <c r="G37" s="90"/>
      <c r="H37" s="90"/>
    </row>
    <row r="38" spans="1:9" ht="15.75" customHeight="1" x14ac:dyDescent="0.25">
      <c r="A38" s="130" t="s">
        <v>172</v>
      </c>
      <c r="B38" s="130"/>
      <c r="C38" s="90" t="s">
        <v>191</v>
      </c>
      <c r="D38" s="90"/>
      <c r="E38" s="90"/>
      <c r="F38" s="90"/>
      <c r="G38" s="90"/>
      <c r="H38" s="90"/>
    </row>
    <row r="39" spans="1:9" x14ac:dyDescent="0.25">
      <c r="A39" s="130" t="s">
        <v>169</v>
      </c>
      <c r="B39" s="130"/>
      <c r="C39" s="151" t="s">
        <v>190</v>
      </c>
      <c r="D39" s="150"/>
      <c r="E39" s="150"/>
      <c r="F39" s="150"/>
      <c r="G39" s="150"/>
      <c r="H39" s="150"/>
    </row>
    <row r="40" spans="1:9" x14ac:dyDescent="0.25">
      <c r="A40" s="130" t="s">
        <v>34</v>
      </c>
      <c r="B40" s="130"/>
      <c r="C40" s="130"/>
      <c r="D40" s="130"/>
      <c r="E40" s="130"/>
      <c r="F40" s="130"/>
      <c r="G40" s="130"/>
      <c r="H40" s="130"/>
    </row>
    <row r="41" spans="1:9" x14ac:dyDescent="0.25">
      <c r="A41" s="90" t="s">
        <v>35</v>
      </c>
      <c r="B41" s="90"/>
      <c r="C41" s="90"/>
      <c r="D41" s="90"/>
      <c r="E41" s="149">
        <v>816</v>
      </c>
      <c r="F41" s="149"/>
      <c r="G41" s="149"/>
      <c r="H41" s="149"/>
    </row>
    <row r="42" spans="1:9" x14ac:dyDescent="0.25">
      <c r="A42" s="90" t="s">
        <v>36</v>
      </c>
      <c r="B42" s="90"/>
      <c r="C42" s="90"/>
      <c r="D42" s="90"/>
      <c r="E42" s="147">
        <v>3</v>
      </c>
      <c r="F42" s="147"/>
      <c r="G42" s="147"/>
      <c r="H42" s="147"/>
    </row>
    <row r="43" spans="1:9" x14ac:dyDescent="0.25">
      <c r="A43" s="90" t="s">
        <v>37</v>
      </c>
      <c r="B43" s="90"/>
      <c r="C43" s="90"/>
      <c r="D43" s="90"/>
      <c r="E43" s="147">
        <f>E45/E41-E42</f>
        <v>4.4483578431372548</v>
      </c>
      <c r="F43" s="147"/>
      <c r="G43" s="147"/>
      <c r="H43" s="147"/>
    </row>
    <row r="44" spans="1:9" x14ac:dyDescent="0.25">
      <c r="A44" s="90" t="s">
        <v>38</v>
      </c>
      <c r="B44" s="90"/>
      <c r="C44" s="90"/>
      <c r="D44" s="90"/>
      <c r="E44" s="147">
        <f>E42+E43</f>
        <v>7.4483578431372548</v>
      </c>
      <c r="F44" s="147"/>
      <c r="G44" s="147"/>
      <c r="H44" s="147"/>
    </row>
    <row r="45" spans="1:9" x14ac:dyDescent="0.25">
      <c r="A45" s="90" t="s">
        <v>93</v>
      </c>
      <c r="B45" s="90"/>
      <c r="C45" s="90"/>
      <c r="D45" s="90"/>
      <c r="E45" s="148">
        <v>6077.86</v>
      </c>
      <c r="F45" s="148"/>
      <c r="G45" s="148"/>
      <c r="H45" s="148"/>
      <c r="I45" s="19">
        <v>5017.59</v>
      </c>
    </row>
    <row r="46" spans="1:9" x14ac:dyDescent="0.25">
      <c r="A46" s="129" t="s">
        <v>39</v>
      </c>
      <c r="B46" s="129"/>
      <c r="C46" s="129"/>
      <c r="D46" s="129"/>
      <c r="E46" s="129" t="s">
        <v>199</v>
      </c>
      <c r="F46" s="129"/>
      <c r="G46" s="129"/>
      <c r="H46" s="129"/>
    </row>
    <row r="47" spans="1:9" x14ac:dyDescent="0.25">
      <c r="A47" s="130" t="s">
        <v>40</v>
      </c>
      <c r="B47" s="130"/>
      <c r="C47" s="130"/>
      <c r="D47" s="130"/>
      <c r="E47" s="130"/>
      <c r="F47" s="130"/>
      <c r="G47" s="130"/>
      <c r="H47" s="130"/>
    </row>
    <row r="48" spans="1:9" ht="33.75" customHeight="1" x14ac:dyDescent="0.25">
      <c r="A48" s="141" t="s">
        <v>158</v>
      </c>
      <c r="B48" s="143"/>
      <c r="C48" s="156" t="s">
        <v>200</v>
      </c>
      <c r="D48" s="157"/>
      <c r="E48" s="157"/>
      <c r="F48" s="157"/>
      <c r="G48" s="157"/>
      <c r="H48" s="158"/>
    </row>
    <row r="49" spans="1:14" ht="15.75" customHeight="1" x14ac:dyDescent="0.25">
      <c r="A49" s="141" t="s">
        <v>41</v>
      </c>
      <c r="B49" s="143"/>
      <c r="C49" s="141" t="s">
        <v>241</v>
      </c>
      <c r="D49" s="142"/>
      <c r="E49" s="143"/>
      <c r="F49" s="18" t="s">
        <v>42</v>
      </c>
      <c r="G49" s="135">
        <v>45308</v>
      </c>
      <c r="H49" s="136"/>
    </row>
    <row r="50" spans="1:14" x14ac:dyDescent="0.25">
      <c r="A50" s="141" t="s">
        <v>43</v>
      </c>
      <c r="B50" s="143"/>
      <c r="C50" s="141" t="str">
        <f>C49</f>
        <v>Mhada-94/1226/2024</v>
      </c>
      <c r="D50" s="142"/>
      <c r="E50" s="143"/>
      <c r="F50" s="18" t="s">
        <v>42</v>
      </c>
      <c r="G50" s="135">
        <f>G49</f>
        <v>45308</v>
      </c>
      <c r="H50" s="136"/>
    </row>
    <row r="51" spans="1:14" s="21" customFormat="1" ht="31.5" customHeight="1" x14ac:dyDescent="0.25">
      <c r="A51" s="137" t="s">
        <v>162</v>
      </c>
      <c r="B51" s="138"/>
      <c r="C51" s="141" t="s">
        <v>250</v>
      </c>
      <c r="D51" s="142"/>
      <c r="E51" s="143"/>
      <c r="F51" s="18" t="s">
        <v>42</v>
      </c>
      <c r="G51" s="135">
        <v>45769</v>
      </c>
      <c r="H51" s="136"/>
    </row>
    <row r="52" spans="1:14" s="21" customFormat="1" ht="132" customHeight="1" x14ac:dyDescent="0.25">
      <c r="A52" s="139"/>
      <c r="B52" s="140"/>
      <c r="C52" s="141" t="s">
        <v>251</v>
      </c>
      <c r="D52" s="142"/>
      <c r="E52" s="143"/>
      <c r="F52" s="18" t="s">
        <v>125</v>
      </c>
      <c r="G52" s="135">
        <v>46096</v>
      </c>
      <c r="H52" s="136"/>
    </row>
    <row r="53" spans="1:14" s="21" customFormat="1" ht="32.25" customHeight="1" x14ac:dyDescent="0.25">
      <c r="A53" s="137" t="s">
        <v>214</v>
      </c>
      <c r="B53" s="138"/>
      <c r="C53" s="141" t="s">
        <v>215</v>
      </c>
      <c r="D53" s="142"/>
      <c r="E53" s="143"/>
      <c r="F53" s="18" t="s">
        <v>42</v>
      </c>
      <c r="G53" s="135">
        <v>44707</v>
      </c>
      <c r="H53" s="136"/>
    </row>
    <row r="54" spans="1:14" s="21" customFormat="1" ht="31.5" x14ac:dyDescent="0.25">
      <c r="A54" s="139"/>
      <c r="B54" s="140"/>
      <c r="C54" s="141" t="s">
        <v>216</v>
      </c>
      <c r="D54" s="142"/>
      <c r="E54" s="143"/>
      <c r="F54" s="18" t="s">
        <v>125</v>
      </c>
      <c r="G54" s="135">
        <v>47628</v>
      </c>
      <c r="H54" s="136"/>
    </row>
    <row r="55" spans="1:14" x14ac:dyDescent="0.25">
      <c r="A55" s="144" t="s">
        <v>44</v>
      </c>
      <c r="B55" s="145"/>
      <c r="C55" s="144" t="s">
        <v>105</v>
      </c>
      <c r="D55" s="146"/>
      <c r="E55" s="145"/>
      <c r="F55" s="42" t="s">
        <v>42</v>
      </c>
      <c r="G55" s="193" t="s">
        <v>29</v>
      </c>
      <c r="H55" s="194"/>
    </row>
    <row r="56" spans="1:14" x14ac:dyDescent="0.25">
      <c r="A56" s="202" t="s">
        <v>46</v>
      </c>
      <c r="B56" s="202"/>
      <c r="C56" s="202"/>
      <c r="D56" s="202"/>
      <c r="E56" s="202"/>
      <c r="F56" s="202"/>
      <c r="G56" s="202"/>
      <c r="H56" s="202"/>
    </row>
    <row r="57" spans="1:14" x14ac:dyDescent="0.25">
      <c r="A57" s="126" t="s">
        <v>92</v>
      </c>
      <c r="B57" s="126"/>
      <c r="C57" s="126"/>
      <c r="D57" s="90">
        <f>E45</f>
        <v>6077.86</v>
      </c>
      <c r="E57" s="90"/>
      <c r="F57" s="90"/>
      <c r="G57" s="90"/>
      <c r="H57" s="90"/>
    </row>
    <row r="58" spans="1:14" x14ac:dyDescent="0.25">
      <c r="A58" s="150" t="s">
        <v>47</v>
      </c>
      <c r="B58" s="129"/>
      <c r="C58" s="129"/>
      <c r="D58" s="129" t="s">
        <v>239</v>
      </c>
      <c r="E58" s="129"/>
      <c r="F58" s="129"/>
      <c r="G58" s="129"/>
      <c r="H58" s="129"/>
      <c r="I58" s="22"/>
    </row>
    <row r="59" spans="1:14" s="21" customFormat="1" x14ac:dyDescent="0.25">
      <c r="A59" s="132" t="s">
        <v>48</v>
      </c>
      <c r="B59" s="133"/>
      <c r="C59" s="134"/>
      <c r="D59" s="131" t="s">
        <v>242</v>
      </c>
      <c r="E59" s="131"/>
      <c r="F59" s="131"/>
      <c r="G59" s="131"/>
      <c r="H59" s="131"/>
    </row>
    <row r="60" spans="1:14" x14ac:dyDescent="0.25">
      <c r="A60" s="132" t="s">
        <v>90</v>
      </c>
      <c r="B60" s="133"/>
      <c r="C60" s="133"/>
      <c r="D60" s="181" t="s">
        <v>242</v>
      </c>
      <c r="E60" s="182"/>
      <c r="F60" s="182"/>
      <c r="G60" s="182"/>
      <c r="H60" s="183"/>
    </row>
    <row r="61" spans="1:14" ht="15.75" customHeight="1" x14ac:dyDescent="0.25">
      <c r="A61" s="90" t="s">
        <v>45</v>
      </c>
      <c r="B61" s="90"/>
      <c r="C61" s="90"/>
      <c r="D61" s="180" t="s">
        <v>201</v>
      </c>
      <c r="E61" s="180"/>
      <c r="F61" s="180"/>
      <c r="G61" s="180"/>
      <c r="H61" s="180"/>
      <c r="J61" s="23"/>
      <c r="K61" s="22"/>
      <c r="N61" s="22"/>
    </row>
    <row r="62" spans="1:14" ht="15.75" customHeight="1" x14ac:dyDescent="0.25">
      <c r="A62" s="90" t="s">
        <v>88</v>
      </c>
      <c r="B62" s="90"/>
      <c r="C62" s="90"/>
      <c r="D62" s="197" t="str">
        <f>(IF(G55="NA","60 Years After Completion",IF(G55&lt;&gt;"NA",""&amp;60-ROUNDDOWN((E3-G55)/360,0)&amp;" Years"," ")))</f>
        <v>60 Years After Completion</v>
      </c>
      <c r="E62" s="197"/>
      <c r="F62" s="197"/>
      <c r="G62" s="197"/>
      <c r="H62" s="197"/>
      <c r="N62" s="22"/>
    </row>
    <row r="63" spans="1:14" ht="15.75" customHeight="1" x14ac:dyDescent="0.25">
      <c r="A63" s="90" t="s">
        <v>89</v>
      </c>
      <c r="B63" s="90"/>
      <c r="C63" s="90"/>
      <c r="D63" s="126" t="s">
        <v>24</v>
      </c>
      <c r="E63" s="126"/>
      <c r="F63" s="126"/>
      <c r="G63" s="126"/>
      <c r="H63" s="126"/>
      <c r="J63" s="24"/>
      <c r="K63" s="24"/>
    </row>
    <row r="64" spans="1:14" ht="32.25" customHeight="1" x14ac:dyDescent="0.25">
      <c r="A64" s="90" t="s">
        <v>75</v>
      </c>
      <c r="B64" s="90"/>
      <c r="C64" s="90"/>
      <c r="D64" s="150" t="s">
        <v>232</v>
      </c>
      <c r="E64" s="126"/>
      <c r="F64" s="126"/>
      <c r="G64" s="126"/>
      <c r="H64" s="126"/>
    </row>
    <row r="65" spans="1:14" x14ac:dyDescent="0.25">
      <c r="A65" s="126" t="s">
        <v>154</v>
      </c>
      <c r="B65" s="126"/>
      <c r="C65" s="126"/>
      <c r="D65" s="126" t="s">
        <v>29</v>
      </c>
      <c r="E65" s="126"/>
      <c r="F65" s="126"/>
      <c r="G65" s="126"/>
      <c r="H65" s="126"/>
      <c r="I65" s="25"/>
      <c r="J65" s="25"/>
      <c r="K65" s="25"/>
      <c r="L65" s="25"/>
      <c r="M65" s="25"/>
      <c r="N65" s="25"/>
    </row>
    <row r="66" spans="1:14" ht="15.75" customHeight="1" x14ac:dyDescent="0.25">
      <c r="A66" s="195" t="s">
        <v>87</v>
      </c>
      <c r="B66" s="195"/>
      <c r="C66" s="195"/>
      <c r="D66" s="131" t="str">
        <f ca="1">(IF(G72&gt;95%,"Nothing",IF(G72&gt;0%,"Cement, Aggregate, Steel, etc",IF(G72=0%,"Work not yet Started"))))</f>
        <v>Cement, Aggregate, Steel, etc</v>
      </c>
      <c r="E66" s="131"/>
      <c r="F66" s="131"/>
      <c r="G66" s="131"/>
      <c r="H66" s="131"/>
      <c r="J66" s="24"/>
    </row>
    <row r="67" spans="1:14" ht="33.75" customHeight="1" thickBot="1" x14ac:dyDescent="0.3">
      <c r="A67" s="201" t="s">
        <v>118</v>
      </c>
      <c r="B67" s="201"/>
      <c r="C67" s="201"/>
      <c r="D67" s="131" t="str">
        <f ca="1">(IF(D66="Nothing","Yes",IF(D66="Cement, Aggregate, Steel, etc","Under Construction",IF(D66="Work not yet Started","Work not yet Started"))))</f>
        <v>Under Construction</v>
      </c>
      <c r="E67" s="131"/>
      <c r="F67" s="131" t="str">
        <f ca="1">(IF(D66="Nothing","Yes",IF(D66="Cement, Aggregate, Steel, etc","Under Construction",IF(D66="Work not yet Started","Work not yet Started"))))</f>
        <v>Under Construction</v>
      </c>
      <c r="G67" s="131"/>
      <c r="H67" s="131"/>
    </row>
    <row r="68" spans="1:14" ht="15.75" customHeight="1" x14ac:dyDescent="0.25">
      <c r="A68" s="121" t="s">
        <v>144</v>
      </c>
      <c r="B68" s="122"/>
      <c r="C68" s="123" t="str">
        <f>D60</f>
        <v>Building No. 64 (Wing A &amp; B) = 1B + Gr/St + 1st to 21st Floor</v>
      </c>
      <c r="D68" s="124"/>
      <c r="E68" s="124"/>
      <c r="F68" s="124"/>
      <c r="G68" s="124"/>
      <c r="H68" s="125"/>
      <c r="I68" s="44" t="str">
        <f ca="1">IF(D81=100%,"All work Completed. Possession granted to the Building.",IF(D80=100%,"All work Completed, Waiting for OC",I69&amp;""&amp;I70&amp;""&amp;J69&amp;""&amp;J68&amp;" "&amp;J70))</f>
        <v>Excavation, Plinth Completed, RCC upto 21 Slab, Brickwork upto 20 Floor, Internal Plaster upto 15 Floor, External Plaster upto 13 Floor, Flooring upto 6 Floor Completed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21 Slab, Brickwork upto 20 Floor, Internal Plaster upto 15 Floor, External Plaster upto 13 Floor, Flooring upto 6 Floor</v>
      </c>
    </row>
    <row r="69" spans="1:14" x14ac:dyDescent="0.25">
      <c r="A69" s="16" t="s">
        <v>146</v>
      </c>
      <c r="B69" s="48">
        <f>IF(AND(ISNUMBER(SEARCH("1B",C68))),1,IF(AND(ISNUMBER(SEARCH("2B",C68))),2,IF(AND(ISNUMBER(SEARCH("3B",C68))),3,IF(AND(ISNUMBER(SEARCH("4B",C68))),4,IF(ISNUMBER(SEARCH("5B",C68)),5,0)))))</f>
        <v>1</v>
      </c>
      <c r="C69" s="48" t="s">
        <v>72</v>
      </c>
      <c r="D69" s="48">
        <v>1</v>
      </c>
      <c r="E69" s="48" t="s">
        <v>71</v>
      </c>
      <c r="F69" s="48">
        <v>0</v>
      </c>
      <c r="G69" s="48" t="s">
        <v>81</v>
      </c>
      <c r="H69" s="17">
        <f ca="1">--TRIM(RIGHT(SUBSTITUTE(LEFT(C68,_xlfn.AGGREGATE(16,6,FIND({0,1,2,3,4,5,6,7,8,9},C68,ROW(INDIRECT("1:"&amp;LEN(C68)))),1))," ",REPT(" ",LEN(C68))),LEN(C68)))</f>
        <v>21</v>
      </c>
      <c r="I69" s="4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7.25" customHeight="1" x14ac:dyDescent="0.25">
      <c r="A70" s="119" t="s">
        <v>91</v>
      </c>
      <c r="B70" s="120"/>
      <c r="C70" s="127" t="str">
        <f ca="1">I68</f>
        <v>Excavation, Plinth Completed, RCC upto 21 Slab, Brickwork upto 20 Floor, Internal Plaster upto 15 Floor, External Plaster upto 13 Floor, Flooring upto 6 Floor Completed</v>
      </c>
      <c r="D70" s="127"/>
      <c r="E70" s="127"/>
      <c r="F70" s="127"/>
      <c r="G70" s="127"/>
      <c r="H70" s="128"/>
      <c r="I70" s="46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4" ht="15.75" customHeight="1" x14ac:dyDescent="0.25">
      <c r="A71" s="87" t="s">
        <v>49</v>
      </c>
      <c r="B71" s="88"/>
      <c r="C71" s="56" t="s">
        <v>143</v>
      </c>
      <c r="D71" s="56" t="s">
        <v>84</v>
      </c>
      <c r="E71" s="88" t="s">
        <v>86</v>
      </c>
      <c r="F71" s="88"/>
      <c r="G71" s="88" t="s">
        <v>85</v>
      </c>
      <c r="H71" s="196"/>
      <c r="I71" s="14" t="s">
        <v>145</v>
      </c>
      <c r="J71" s="26">
        <f ca="1">H69*25%</f>
        <v>5.25</v>
      </c>
    </row>
    <row r="72" spans="1:14" x14ac:dyDescent="0.25">
      <c r="A72" s="87" t="s">
        <v>132</v>
      </c>
      <c r="B72" s="88"/>
      <c r="C72" s="56">
        <f ca="1">J73</f>
        <v>21</v>
      </c>
      <c r="D72" s="57">
        <f ca="1">((100/H69)*C72)/100</f>
        <v>1</v>
      </c>
      <c r="E72" s="187">
        <f ca="1">(((C73/H69*10)+(40/(D69+F69+H69)*C74)+(7.5/(H69)*C75)+(7.5/(H69)*C76)+(10/H69*C77)+(10/H69*C78)+(5/H69*C79)+(5/H69*C80)+(5/H69*C81))/100)</f>
        <v>0.69729437229437241</v>
      </c>
      <c r="F72" s="198"/>
      <c r="G72" s="187">
        <f ca="1">((((C72/H69)*20)+((C73/H69)*25)+(30/(H69+F69+D69)*C74)+(5/H69*C75)+(5/H69*C76)+(5/H69*C77)+(5/H69*C78)+(0/H69*C79)+(0/H69*C80)+(5/H69*C81))/100)</f>
        <v>0.86493506493506478</v>
      </c>
      <c r="H72" s="188"/>
      <c r="I72" s="14" t="s">
        <v>100</v>
      </c>
      <c r="J72" s="27">
        <f ca="1">H69*50%</f>
        <v>10.5</v>
      </c>
    </row>
    <row r="73" spans="1:14" x14ac:dyDescent="0.25">
      <c r="A73" s="87" t="s">
        <v>50</v>
      </c>
      <c r="B73" s="88"/>
      <c r="C73" s="66">
        <f ca="1">J81</f>
        <v>21</v>
      </c>
      <c r="D73" s="57">
        <f ca="1">((100/H69)*C73)/100</f>
        <v>1</v>
      </c>
      <c r="E73" s="189"/>
      <c r="F73" s="199"/>
      <c r="G73" s="189"/>
      <c r="H73" s="190"/>
      <c r="I73" s="14" t="s">
        <v>101</v>
      </c>
      <c r="J73" s="27">
        <f ca="1">H69</f>
        <v>21</v>
      </c>
      <c r="L73" s="19">
        <f>0.14*21</f>
        <v>2.9400000000000004</v>
      </c>
    </row>
    <row r="74" spans="1:14" ht="15.75" customHeight="1" x14ac:dyDescent="0.25">
      <c r="A74" s="87" t="s">
        <v>133</v>
      </c>
      <c r="B74" s="88"/>
      <c r="C74" s="56">
        <v>21</v>
      </c>
      <c r="D74" s="57">
        <f ca="1">((100/(D69+F69+H69))*C74)/100</f>
        <v>0.9545454545454547</v>
      </c>
      <c r="E74" s="189"/>
      <c r="F74" s="199"/>
      <c r="G74" s="189"/>
      <c r="H74" s="190"/>
      <c r="I74" s="14" t="s">
        <v>102</v>
      </c>
      <c r="J74" s="28">
        <f ca="1">(IF(B69&gt;1,(H69/(B69+2)),H69/4))</f>
        <v>5.25</v>
      </c>
    </row>
    <row r="75" spans="1:14" ht="15.75" customHeight="1" x14ac:dyDescent="0.25">
      <c r="A75" s="87" t="s">
        <v>140</v>
      </c>
      <c r="B75" s="88" t="s">
        <v>134</v>
      </c>
      <c r="C75" s="56">
        <f>C74-D69</f>
        <v>20</v>
      </c>
      <c r="D75" s="57">
        <f ca="1">((100/H69)*C75)/100</f>
        <v>0.95238095238095244</v>
      </c>
      <c r="E75" s="189"/>
      <c r="F75" s="199"/>
      <c r="G75" s="189"/>
      <c r="H75" s="190"/>
      <c r="I75" s="14" t="s">
        <v>103</v>
      </c>
      <c r="J75" s="28">
        <f ca="1">(IF(B69&gt;1,(H69/(B69+2)+J74),H69/4+J74))</f>
        <v>10.5</v>
      </c>
    </row>
    <row r="76" spans="1:14" ht="15.75" customHeight="1" x14ac:dyDescent="0.25">
      <c r="A76" s="87" t="s">
        <v>141</v>
      </c>
      <c r="B76" s="88" t="s">
        <v>134</v>
      </c>
      <c r="C76" s="66">
        <f>C75*0.75</f>
        <v>15</v>
      </c>
      <c r="D76" s="57">
        <f ca="1">((100/H69)*C76)/100</f>
        <v>0.7142857142857143</v>
      </c>
      <c r="E76" s="189"/>
      <c r="F76" s="199"/>
      <c r="G76" s="189"/>
      <c r="H76" s="190"/>
      <c r="I76" s="14" t="s">
        <v>152</v>
      </c>
      <c r="J76" s="28">
        <f>(IF(B69&gt;1,(H69/(B69+2)+J75),0))</f>
        <v>0</v>
      </c>
    </row>
    <row r="77" spans="1:14" ht="15" customHeight="1" x14ac:dyDescent="0.25">
      <c r="A77" s="87" t="s">
        <v>139</v>
      </c>
      <c r="B77" s="88" t="s">
        <v>136</v>
      </c>
      <c r="C77" s="66">
        <f>C75*0.65</f>
        <v>13</v>
      </c>
      <c r="D77" s="57">
        <f ca="1">((100/(H69))*C77)/100</f>
        <v>0.61904761904761907</v>
      </c>
      <c r="E77" s="189"/>
      <c r="F77" s="199"/>
      <c r="G77" s="189"/>
      <c r="H77" s="190"/>
      <c r="I77" s="14" t="s">
        <v>147</v>
      </c>
      <c r="J77" s="28">
        <f>(IF(B69&gt;2,(H69/(B69+2)+J76),0))</f>
        <v>0</v>
      </c>
    </row>
    <row r="78" spans="1:14" ht="15.75" customHeight="1" x14ac:dyDescent="0.25">
      <c r="A78" s="87" t="s">
        <v>135</v>
      </c>
      <c r="B78" s="88" t="s">
        <v>135</v>
      </c>
      <c r="C78" s="56">
        <v>6</v>
      </c>
      <c r="D78" s="57">
        <f ca="1">((100/H69)*C78)/100</f>
        <v>0.2857142857142857</v>
      </c>
      <c r="E78" s="189"/>
      <c r="F78" s="199"/>
      <c r="G78" s="189"/>
      <c r="H78" s="190"/>
      <c r="I78" s="14" t="s">
        <v>148</v>
      </c>
      <c r="J78" s="29">
        <f>(IF(B69&gt;3,(H69/(B69+2)+J77),0))</f>
        <v>0</v>
      </c>
    </row>
    <row r="79" spans="1:14" ht="15.75" customHeight="1" x14ac:dyDescent="0.25">
      <c r="A79" s="87" t="s">
        <v>142</v>
      </c>
      <c r="B79" s="88"/>
      <c r="C79" s="56">
        <v>0</v>
      </c>
      <c r="D79" s="57">
        <f ca="1">((100/H69)*C79)/100</f>
        <v>0</v>
      </c>
      <c r="E79" s="189"/>
      <c r="F79" s="199"/>
      <c r="G79" s="189"/>
      <c r="H79" s="190"/>
      <c r="I79" s="14" t="s">
        <v>149</v>
      </c>
      <c r="J79" s="28">
        <f>(IF(B69&gt;4,(H69/(B69+2)+J78),0))</f>
        <v>0</v>
      </c>
    </row>
    <row r="80" spans="1:14" ht="15.75" customHeight="1" x14ac:dyDescent="0.25">
      <c r="A80" s="87" t="s">
        <v>137</v>
      </c>
      <c r="B80" s="88" t="s">
        <v>137</v>
      </c>
      <c r="C80" s="56">
        <v>0</v>
      </c>
      <c r="D80" s="57">
        <f ca="1">((100/(H69))*C80)/100</f>
        <v>0</v>
      </c>
      <c r="E80" s="189"/>
      <c r="F80" s="199"/>
      <c r="G80" s="189"/>
      <c r="H80" s="190"/>
      <c r="I80" s="14" t="s">
        <v>153</v>
      </c>
      <c r="J80" s="28">
        <f ca="1">(IF(B69=1,(H69/(B69+3)+J75),IF(B69=0,(H69/4+J75),IF(B69&gt;1,0))))</f>
        <v>15.75</v>
      </c>
    </row>
    <row r="81" spans="1:14" ht="16.5" thickBot="1" x14ac:dyDescent="0.3">
      <c r="A81" s="184" t="s">
        <v>138</v>
      </c>
      <c r="B81" s="185"/>
      <c r="C81" s="58">
        <v>0</v>
      </c>
      <c r="D81" s="59">
        <f ca="1">((100/(H69))*C81)/100</f>
        <v>0</v>
      </c>
      <c r="E81" s="191"/>
      <c r="F81" s="200"/>
      <c r="G81" s="191"/>
      <c r="H81" s="192"/>
      <c r="I81" s="15" t="s">
        <v>104</v>
      </c>
      <c r="J81" s="30">
        <f ca="1">(IF(B69&gt;1.5,(H69/(B69+2)+J75+MAX(0,J76-J75)+MAX(0,J77-J76)+MAX(0,J78-J77)+MAX(0,J79-J78)+MAX(0,J80-J79)),IF(B69=1,(H69/(B69+3)+J80),IF(B69=0,H69/4+J80))))</f>
        <v>21</v>
      </c>
    </row>
    <row r="82" spans="1:14" x14ac:dyDescent="0.25">
      <c r="A82" s="186" t="s">
        <v>164</v>
      </c>
      <c r="B82" s="186"/>
      <c r="C82" s="186"/>
      <c r="D82" s="186"/>
      <c r="E82" s="186"/>
      <c r="F82" s="100" t="s">
        <v>168</v>
      </c>
      <c r="G82" s="100"/>
      <c r="H82" s="100"/>
      <c r="I82" s="62"/>
      <c r="J82" s="62" t="s">
        <v>219</v>
      </c>
      <c r="K82" s="62" t="s">
        <v>220</v>
      </c>
      <c r="L82" s="62" t="s">
        <v>221</v>
      </c>
      <c r="M82" s="62" t="s">
        <v>222</v>
      </c>
      <c r="N82" s="20"/>
    </row>
    <row r="83" spans="1:14" x14ac:dyDescent="0.25">
      <c r="A83" s="90" t="s">
        <v>166</v>
      </c>
      <c r="B83" s="90"/>
      <c r="C83" s="90"/>
      <c r="D83" s="90"/>
      <c r="E83" s="90"/>
      <c r="F83" s="89">
        <v>30000</v>
      </c>
      <c r="G83" s="89"/>
      <c r="H83" s="89"/>
      <c r="I83" s="65">
        <f>AVERAGE(J83:M83)</f>
        <v>28891.959584096036</v>
      </c>
      <c r="J83" s="62">
        <v>27500</v>
      </c>
      <c r="K83" s="65">
        <f>AVERAGE(J137:J143)</f>
        <v>28067.838336384146</v>
      </c>
      <c r="L83" s="62">
        <f>45000/1.5</f>
        <v>30000</v>
      </c>
      <c r="M83" s="62">
        <f>45000/1.5</f>
        <v>30000</v>
      </c>
      <c r="N83" s="20"/>
    </row>
    <row r="84" spans="1:14" hidden="1" x14ac:dyDescent="0.25">
      <c r="A84" s="90" t="s">
        <v>165</v>
      </c>
      <c r="B84" s="90"/>
      <c r="C84" s="90"/>
      <c r="D84" s="90"/>
      <c r="E84" s="90"/>
      <c r="F84" s="101"/>
      <c r="G84" s="101"/>
      <c r="H84" s="101"/>
      <c r="I84" s="62"/>
      <c r="J84" s="62"/>
      <c r="K84" s="62"/>
      <c r="L84" s="62"/>
      <c r="M84" s="62"/>
      <c r="N84" s="20"/>
    </row>
    <row r="85" spans="1:14" hidden="1" x14ac:dyDescent="0.25">
      <c r="A85" s="90" t="s">
        <v>167</v>
      </c>
      <c r="B85" s="90"/>
      <c r="C85" s="90"/>
      <c r="D85" s="90"/>
      <c r="E85" s="90"/>
      <c r="F85" s="101"/>
      <c r="G85" s="101"/>
      <c r="H85" s="101"/>
      <c r="I85" s="62"/>
      <c r="J85" s="62"/>
      <c r="K85" s="62"/>
      <c r="L85" s="62"/>
      <c r="M85" s="62"/>
      <c r="N85" s="20"/>
    </row>
    <row r="86" spans="1:14" s="31" customFormat="1" x14ac:dyDescent="0.25">
      <c r="A86" s="90" t="s">
        <v>243</v>
      </c>
      <c r="B86" s="90"/>
      <c r="C86" s="90"/>
      <c r="D86" s="90"/>
      <c r="E86" s="90"/>
      <c r="F86" s="89">
        <v>100</v>
      </c>
      <c r="G86" s="89"/>
      <c r="H86" s="89"/>
      <c r="I86" s="63"/>
      <c r="J86" s="63" t="s">
        <v>244</v>
      </c>
      <c r="K86" s="63"/>
      <c r="L86" s="63"/>
      <c r="M86" s="63"/>
      <c r="N86" s="64"/>
    </row>
    <row r="87" spans="1:14" s="31" customFormat="1" hidden="1" x14ac:dyDescent="0.25">
      <c r="A87" s="90" t="s">
        <v>96</v>
      </c>
      <c r="B87" s="90"/>
      <c r="C87" s="90"/>
      <c r="D87" s="90"/>
      <c r="E87" s="90"/>
      <c r="F87" s="101"/>
      <c r="G87" s="101"/>
      <c r="H87" s="101"/>
      <c r="I87" s="63"/>
      <c r="J87" s="63"/>
      <c r="K87" s="63"/>
      <c r="L87" s="63"/>
      <c r="M87" s="63"/>
      <c r="N87" s="64"/>
    </row>
    <row r="88" spans="1:14" s="31" customFormat="1" x14ac:dyDescent="0.25">
      <c r="A88" s="90" t="s">
        <v>217</v>
      </c>
      <c r="B88" s="90"/>
      <c r="C88" s="90"/>
      <c r="D88" s="90"/>
      <c r="E88" s="90"/>
      <c r="F88" s="89">
        <v>600</v>
      </c>
      <c r="G88" s="89"/>
      <c r="H88" s="89"/>
      <c r="I88" s="63"/>
      <c r="K88" s="63"/>
      <c r="L88" s="63"/>
      <c r="M88" s="63"/>
      <c r="N88" s="64"/>
    </row>
    <row r="89" spans="1:14" s="31" customFormat="1" x14ac:dyDescent="0.25">
      <c r="A89" s="90" t="s">
        <v>233</v>
      </c>
      <c r="B89" s="90"/>
      <c r="C89" s="90"/>
      <c r="D89" s="90"/>
      <c r="E89" s="90"/>
      <c r="F89" s="89">
        <v>110000</v>
      </c>
      <c r="G89" s="89"/>
      <c r="H89" s="89"/>
      <c r="I89" s="63"/>
      <c r="J89" s="63"/>
      <c r="K89" s="63"/>
      <c r="L89" s="63"/>
      <c r="M89" s="63"/>
      <c r="N89" s="64"/>
    </row>
    <row r="90" spans="1:14" s="31" customFormat="1" x14ac:dyDescent="0.25">
      <c r="A90" s="90" t="s">
        <v>234</v>
      </c>
      <c r="B90" s="90"/>
      <c r="C90" s="90"/>
      <c r="D90" s="90"/>
      <c r="E90" s="90"/>
      <c r="F90" s="89">
        <v>50000</v>
      </c>
      <c r="G90" s="89"/>
      <c r="H90" s="89"/>
      <c r="I90" s="63"/>
      <c r="J90" s="63"/>
      <c r="K90" s="63"/>
      <c r="L90" s="63"/>
      <c r="M90" s="63"/>
      <c r="N90" s="64"/>
    </row>
    <row r="91" spans="1:14" s="31" customFormat="1" hidden="1" x14ac:dyDescent="0.25">
      <c r="A91" s="90" t="s">
        <v>218</v>
      </c>
      <c r="B91" s="90"/>
      <c r="C91" s="90"/>
      <c r="D91" s="90"/>
      <c r="E91" s="90"/>
      <c r="F91" s="89"/>
      <c r="G91" s="89"/>
      <c r="H91" s="89"/>
      <c r="I91" s="63"/>
      <c r="J91" s="63"/>
      <c r="K91" s="63"/>
      <c r="L91" s="63"/>
      <c r="M91" s="63"/>
      <c r="N91" s="64"/>
    </row>
    <row r="92" spans="1:14" s="31" customFormat="1" x14ac:dyDescent="0.25">
      <c r="A92" s="90" t="s">
        <v>97</v>
      </c>
      <c r="B92" s="90"/>
      <c r="C92" s="90"/>
      <c r="D92" s="90"/>
      <c r="E92" s="90"/>
      <c r="F92" s="89">
        <v>60000</v>
      </c>
      <c r="G92" s="89"/>
      <c r="H92" s="89"/>
      <c r="I92" s="63"/>
      <c r="J92" s="63"/>
      <c r="K92" s="63"/>
      <c r="L92" s="63"/>
      <c r="M92" s="63"/>
      <c r="N92" s="64"/>
    </row>
    <row r="93" spans="1:14" s="31" customFormat="1" hidden="1" x14ac:dyDescent="0.25">
      <c r="A93" s="90" t="s">
        <v>98</v>
      </c>
      <c r="B93" s="90"/>
      <c r="C93" s="90"/>
      <c r="D93" s="90"/>
      <c r="E93" s="90"/>
      <c r="F93" s="89"/>
      <c r="G93" s="89"/>
      <c r="H93" s="89"/>
    </row>
    <row r="94" spans="1:14" s="31" customFormat="1" hidden="1" x14ac:dyDescent="0.25">
      <c r="A94" s="90" t="s">
        <v>99</v>
      </c>
      <c r="B94" s="90"/>
      <c r="C94" s="90"/>
      <c r="D94" s="90"/>
      <c r="E94" s="90"/>
      <c r="F94" s="89"/>
      <c r="G94" s="89"/>
      <c r="H94" s="89"/>
    </row>
    <row r="95" spans="1:14" x14ac:dyDescent="0.25">
      <c r="A95" s="90" t="s">
        <v>51</v>
      </c>
      <c r="B95" s="90"/>
      <c r="C95" s="90"/>
      <c r="D95" s="90"/>
      <c r="E95" s="90"/>
      <c r="F95" s="89">
        <v>1000000</v>
      </c>
      <c r="G95" s="89"/>
      <c r="H95" s="89"/>
    </row>
    <row r="96" spans="1:14" s="32" customFormat="1" x14ac:dyDescent="0.25">
      <c r="A96" s="130" t="s">
        <v>52</v>
      </c>
      <c r="B96" s="130"/>
      <c r="C96" s="130"/>
      <c r="D96" s="130"/>
      <c r="E96" s="130"/>
      <c r="F96" s="89">
        <f>F83*0.8</f>
        <v>24000</v>
      </c>
      <c r="G96" s="89"/>
      <c r="H96" s="89"/>
    </row>
    <row r="97" spans="1:8" s="33" customFormat="1" ht="15.75" hidden="1" customHeight="1" x14ac:dyDescent="0.25">
      <c r="A97" s="106" t="s">
        <v>76</v>
      </c>
      <c r="B97" s="106"/>
      <c r="C97" s="106"/>
      <c r="D97" s="106"/>
      <c r="E97" s="106"/>
      <c r="F97" s="106"/>
      <c r="G97" s="106"/>
      <c r="H97" s="106"/>
    </row>
    <row r="98" spans="1:8" s="33" customFormat="1" ht="15.75" hidden="1" customHeight="1" x14ac:dyDescent="0.25">
      <c r="A98" s="107" t="s">
        <v>53</v>
      </c>
      <c r="B98" s="107"/>
      <c r="C98" s="179" t="s">
        <v>79</v>
      </c>
      <c r="D98" s="179"/>
      <c r="E98" s="116" t="s">
        <v>54</v>
      </c>
      <c r="F98" s="116"/>
      <c r="G98" s="107" t="s">
        <v>55</v>
      </c>
      <c r="H98" s="107"/>
    </row>
    <row r="99" spans="1:8" s="33" customFormat="1" hidden="1" x14ac:dyDescent="0.25">
      <c r="A99" s="108"/>
      <c r="B99" s="108"/>
      <c r="C99" s="109"/>
      <c r="D99" s="109"/>
      <c r="E99" s="105"/>
      <c r="F99" s="105"/>
      <c r="G99" s="75"/>
      <c r="H99" s="75"/>
    </row>
    <row r="100" spans="1:8" s="33" customFormat="1" hidden="1" x14ac:dyDescent="0.25">
      <c r="A100" s="108"/>
      <c r="B100" s="108"/>
      <c r="C100" s="109"/>
      <c r="D100" s="109"/>
      <c r="E100" s="105"/>
      <c r="F100" s="105"/>
      <c r="G100" s="75"/>
      <c r="H100" s="75"/>
    </row>
    <row r="101" spans="1:8" s="33" customFormat="1" hidden="1" x14ac:dyDescent="0.25">
      <c r="A101" s="106" t="s">
        <v>157</v>
      </c>
      <c r="B101" s="106"/>
      <c r="C101" s="179"/>
      <c r="D101" s="179"/>
      <c r="E101" s="116"/>
      <c r="F101" s="116"/>
      <c r="G101" s="107"/>
      <c r="H101" s="107"/>
    </row>
    <row r="102" spans="1:8" s="33" customFormat="1" x14ac:dyDescent="0.25">
      <c r="A102" s="170" t="s">
        <v>70</v>
      </c>
      <c r="B102" s="170"/>
      <c r="C102" s="170"/>
      <c r="D102" s="170"/>
      <c r="E102" s="170"/>
      <c r="F102" s="170"/>
      <c r="G102" s="170"/>
      <c r="H102" s="170"/>
    </row>
    <row r="103" spans="1:8" s="33" customFormat="1" ht="15.75" customHeight="1" x14ac:dyDescent="0.25">
      <c r="A103" s="107" t="s">
        <v>53</v>
      </c>
      <c r="B103" s="107"/>
      <c r="C103" s="179" t="s">
        <v>79</v>
      </c>
      <c r="D103" s="179"/>
      <c r="E103" s="116" t="s">
        <v>54</v>
      </c>
      <c r="F103" s="116"/>
      <c r="G103" s="107" t="s">
        <v>55</v>
      </c>
      <c r="H103" s="107"/>
    </row>
    <row r="104" spans="1:8" s="33" customFormat="1" x14ac:dyDescent="0.25">
      <c r="A104" s="53" t="s">
        <v>203</v>
      </c>
      <c r="B104" s="53" t="s">
        <v>211</v>
      </c>
      <c r="C104" s="102">
        <f>COUNT(D128,D130)*2+COUNT(D132:D135)*16+COUNT(D137:D138)+COUNT(D142:D143)</f>
        <v>72</v>
      </c>
      <c r="D104" s="102"/>
      <c r="E104" s="102">
        <f>SUM(D128,D130)*2+SUM(D132:D135)*16+SUM(D137:D138)+SUM(D142:D143)</f>
        <v>38836.081439999994</v>
      </c>
      <c r="F104" s="102"/>
      <c r="G104" s="102">
        <f>SUM(F128,F130)*2+SUM(F132:F135)*16+SUM(F137:F138)+SUM(F142:F143)</f>
        <v>60195.926232000013</v>
      </c>
      <c r="H104" s="102"/>
    </row>
    <row r="105" spans="1:8" s="33" customFormat="1" x14ac:dyDescent="0.25">
      <c r="A105" s="117" t="s">
        <v>205</v>
      </c>
      <c r="B105" s="53" t="s">
        <v>211</v>
      </c>
      <c r="C105" s="102">
        <f>COUNT(D152)*2</f>
        <v>2</v>
      </c>
      <c r="D105" s="102"/>
      <c r="E105" s="102">
        <f>SUM(D152)*2</f>
        <v>872.74511999999993</v>
      </c>
      <c r="F105" s="102"/>
      <c r="G105" s="102">
        <f>SUM(F152)*2</f>
        <v>1352.7549359999998</v>
      </c>
      <c r="H105" s="102"/>
    </row>
    <row r="106" spans="1:8" s="33" customFormat="1" x14ac:dyDescent="0.25">
      <c r="A106" s="118"/>
      <c r="B106" s="53" t="s">
        <v>207</v>
      </c>
      <c r="C106" s="102">
        <f>COUNT(D154:D155)*16+COUNT(D157:D158)+COUNT(D160:D161)</f>
        <v>36</v>
      </c>
      <c r="D106" s="102"/>
      <c r="E106" s="102">
        <f>SUM(D154:D155)*16+SUM(D157:D158)+SUM(D160:D161)</f>
        <v>19156.260240000003</v>
      </c>
      <c r="F106" s="102"/>
      <c r="G106" s="102">
        <f>SUM(F154:F155)*16+SUM(F157:F158)+SUM(F160:F161)</f>
        <v>29692.203371999996</v>
      </c>
      <c r="H106" s="102"/>
    </row>
    <row r="107" spans="1:8" s="33" customFormat="1" ht="16.5" thickBot="1" x14ac:dyDescent="0.3">
      <c r="A107" s="113" t="s">
        <v>157</v>
      </c>
      <c r="B107" s="113"/>
      <c r="C107" s="206">
        <f>SUM(C104:C106)</f>
        <v>110</v>
      </c>
      <c r="D107" s="207"/>
      <c r="E107" s="114">
        <f>SUM(E104:E106)</f>
        <v>58865.086799999997</v>
      </c>
      <c r="F107" s="115"/>
      <c r="G107" s="203">
        <f>SUM(G104:G106)</f>
        <v>91240.884539999999</v>
      </c>
      <c r="H107" s="203"/>
    </row>
    <row r="108" spans="1:8" s="33" customFormat="1" ht="16.5" thickBot="1" x14ac:dyDescent="0.3">
      <c r="A108" s="76" t="s">
        <v>173</v>
      </c>
      <c r="B108" s="77"/>
      <c r="C108" s="78">
        <f>C101+C107</f>
        <v>110</v>
      </c>
      <c r="D108" s="78"/>
      <c r="E108" s="79">
        <f>E101+E107</f>
        <v>58865.086799999997</v>
      </c>
      <c r="F108" s="79"/>
      <c r="G108" s="204">
        <f>G101+G107</f>
        <v>91240.884539999999</v>
      </c>
      <c r="H108" s="205"/>
    </row>
    <row r="109" spans="1:8" s="32" customFormat="1" x14ac:dyDescent="0.25">
      <c r="A109" s="100" t="s">
        <v>56</v>
      </c>
      <c r="B109" s="100"/>
      <c r="C109" s="100"/>
      <c r="D109" s="100"/>
      <c r="E109" s="100"/>
      <c r="F109" s="100"/>
      <c r="G109" s="100"/>
      <c r="H109" s="100"/>
    </row>
    <row r="110" spans="1:8" x14ac:dyDescent="0.25">
      <c r="A110" s="165" t="s">
        <v>180</v>
      </c>
      <c r="B110" s="165"/>
      <c r="C110" s="165"/>
      <c r="D110" s="165"/>
      <c r="E110" s="165"/>
      <c r="F110" s="165"/>
      <c r="G110" s="165"/>
      <c r="H110" s="165"/>
    </row>
    <row r="111" spans="1:8" ht="47.25" hidden="1" customHeight="1" x14ac:dyDescent="0.25">
      <c r="A111" s="103" t="s">
        <v>122</v>
      </c>
      <c r="B111" s="103" t="s">
        <v>121</v>
      </c>
      <c r="C111" s="103" t="s">
        <v>57</v>
      </c>
      <c r="D111" s="103" t="s">
        <v>58</v>
      </c>
      <c r="E111" s="94" t="s">
        <v>163</v>
      </c>
      <c r="F111" s="41" t="s">
        <v>155</v>
      </c>
      <c r="G111" s="96" t="s">
        <v>60</v>
      </c>
      <c r="H111" s="97"/>
    </row>
    <row r="112" spans="1:8" s="35" customFormat="1" hidden="1" x14ac:dyDescent="0.25">
      <c r="A112" s="104"/>
      <c r="B112" s="104"/>
      <c r="C112" s="104"/>
      <c r="D112" s="104"/>
      <c r="E112" s="95"/>
      <c r="F112" s="13">
        <v>0.45</v>
      </c>
      <c r="G112" s="98"/>
      <c r="H112" s="99"/>
    </row>
    <row r="113" spans="1:14" s="35" customFormat="1" hidden="1" x14ac:dyDescent="0.25">
      <c r="A113" s="91" t="s">
        <v>119</v>
      </c>
      <c r="B113" s="92"/>
      <c r="C113" s="92"/>
      <c r="D113" s="92"/>
      <c r="E113" s="92"/>
      <c r="F113" s="92"/>
      <c r="G113" s="92"/>
      <c r="H113" s="93"/>
      <c r="J113" s="34"/>
    </row>
    <row r="114" spans="1:14" s="35" customFormat="1" hidden="1" x14ac:dyDescent="0.25">
      <c r="A114" s="81">
        <v>1</v>
      </c>
      <c r="B114" s="82"/>
      <c r="C114" s="40"/>
      <c r="D114" s="40"/>
      <c r="E114" s="40">
        <v>0</v>
      </c>
      <c r="F114" s="40">
        <f>(D114+E114)*(($F$112)+1)</f>
        <v>0</v>
      </c>
      <c r="G114" s="81" t="str">
        <f>A113</f>
        <v>Ground Floor</v>
      </c>
      <c r="H114" s="82"/>
      <c r="I114" s="34"/>
      <c r="L114" s="80"/>
      <c r="M114" s="80"/>
      <c r="N114" s="34"/>
    </row>
    <row r="115" spans="1:14" s="35" customFormat="1" hidden="1" x14ac:dyDescent="0.25">
      <c r="A115" s="81">
        <f t="shared" ref="A115:A117" si="0">A114+1</f>
        <v>2</v>
      </c>
      <c r="B115" s="82"/>
      <c r="C115" s="40"/>
      <c r="D115" s="40"/>
      <c r="E115" s="40">
        <v>0</v>
      </c>
      <c r="F115" s="40">
        <f t="shared" ref="F115:F117" si="1">(D115+E115)*(($F$112)+1)</f>
        <v>0</v>
      </c>
      <c r="G115" s="81" t="str">
        <f t="shared" ref="G115:G117" si="2">G114</f>
        <v>Ground Floor</v>
      </c>
      <c r="H115" s="82"/>
      <c r="I115" s="34"/>
      <c r="L115" s="80"/>
      <c r="M115" s="80"/>
      <c r="N115" s="34"/>
    </row>
    <row r="116" spans="1:14" s="35" customFormat="1" hidden="1" x14ac:dyDescent="0.25">
      <c r="A116" s="81">
        <f t="shared" si="0"/>
        <v>3</v>
      </c>
      <c r="B116" s="82"/>
      <c r="C116" s="40"/>
      <c r="D116" s="40"/>
      <c r="E116" s="40">
        <v>0</v>
      </c>
      <c r="F116" s="40">
        <f t="shared" si="1"/>
        <v>0</v>
      </c>
      <c r="G116" s="81" t="str">
        <f t="shared" si="2"/>
        <v>Ground Floor</v>
      </c>
      <c r="H116" s="82"/>
      <c r="I116" s="34"/>
      <c r="L116" s="80"/>
      <c r="M116" s="80"/>
      <c r="N116" s="34"/>
    </row>
    <row r="117" spans="1:14" s="35" customFormat="1" hidden="1" x14ac:dyDescent="0.25">
      <c r="A117" s="81">
        <f t="shared" si="0"/>
        <v>4</v>
      </c>
      <c r="B117" s="82"/>
      <c r="C117" s="40"/>
      <c r="D117" s="40"/>
      <c r="E117" s="40">
        <v>0</v>
      </c>
      <c r="F117" s="40">
        <f t="shared" si="1"/>
        <v>0</v>
      </c>
      <c r="G117" s="81" t="str">
        <f t="shared" si="2"/>
        <v>Ground Floor</v>
      </c>
      <c r="H117" s="82"/>
      <c r="I117" s="34"/>
      <c r="L117" s="80"/>
      <c r="M117" s="80"/>
      <c r="N117" s="34"/>
    </row>
    <row r="118" spans="1:14" s="35" customFormat="1" hidden="1" x14ac:dyDescent="0.25">
      <c r="A118" s="81"/>
      <c r="B118" s="171"/>
      <c r="C118" s="171"/>
      <c r="D118" s="171"/>
      <c r="E118" s="171"/>
      <c r="F118" s="171"/>
      <c r="G118" s="171"/>
      <c r="H118" s="82"/>
      <c r="I118" s="34"/>
      <c r="N118" s="34"/>
    </row>
    <row r="119" spans="1:14" ht="47.25" customHeight="1" x14ac:dyDescent="0.25">
      <c r="A119" s="96" t="s">
        <v>123</v>
      </c>
      <c r="B119" s="96" t="s">
        <v>124</v>
      </c>
      <c r="C119" s="103" t="s">
        <v>57</v>
      </c>
      <c r="D119" s="103" t="s">
        <v>58</v>
      </c>
      <c r="E119" s="94" t="s">
        <v>59</v>
      </c>
      <c r="F119" s="41" t="s">
        <v>155</v>
      </c>
      <c r="G119" s="96" t="s">
        <v>60</v>
      </c>
      <c r="H119" s="97"/>
      <c r="I119" s="34"/>
      <c r="J119" s="61"/>
    </row>
    <row r="120" spans="1:14" s="35" customFormat="1" x14ac:dyDescent="0.25">
      <c r="A120" s="98"/>
      <c r="B120" s="98"/>
      <c r="C120" s="104"/>
      <c r="D120" s="104"/>
      <c r="E120" s="95"/>
      <c r="F120" s="13">
        <v>0.55000000000000004</v>
      </c>
      <c r="G120" s="98"/>
      <c r="H120" s="99"/>
      <c r="I120" s="34"/>
      <c r="J120" s="61"/>
    </row>
    <row r="121" spans="1:14" s="55" customFormat="1" x14ac:dyDescent="0.25">
      <c r="A121" s="110" t="s">
        <v>226</v>
      </c>
      <c r="B121" s="111"/>
      <c r="C121" s="111"/>
      <c r="D121" s="111"/>
      <c r="E121" s="111"/>
      <c r="F121" s="111"/>
      <c r="G121" s="111"/>
      <c r="H121" s="112"/>
      <c r="J121" s="61"/>
    </row>
    <row r="122" spans="1:14" s="51" customFormat="1" x14ac:dyDescent="0.25">
      <c r="A122" s="110" t="s">
        <v>203</v>
      </c>
      <c r="B122" s="111"/>
      <c r="C122" s="111"/>
      <c r="D122" s="111"/>
      <c r="E122" s="111"/>
      <c r="F122" s="111"/>
      <c r="G122" s="111"/>
      <c r="H122" s="112"/>
      <c r="J122" s="61"/>
    </row>
    <row r="123" spans="1:14" s="51" customFormat="1" x14ac:dyDescent="0.25">
      <c r="A123" s="91" t="s">
        <v>228</v>
      </c>
      <c r="B123" s="92"/>
      <c r="C123" s="92"/>
      <c r="D123" s="92"/>
      <c r="E123" s="92"/>
      <c r="F123" s="92"/>
      <c r="G123" s="92"/>
      <c r="H123" s="93"/>
      <c r="J123" s="61"/>
    </row>
    <row r="124" spans="1:14" s="51" customFormat="1" x14ac:dyDescent="0.25">
      <c r="A124" s="91" t="s">
        <v>227</v>
      </c>
      <c r="B124" s="92"/>
      <c r="C124" s="92"/>
      <c r="D124" s="92"/>
      <c r="E124" s="92"/>
      <c r="F124" s="92"/>
      <c r="G124" s="92"/>
      <c r="H124" s="93"/>
      <c r="J124" s="61"/>
    </row>
    <row r="125" spans="1:14" s="51" customFormat="1" x14ac:dyDescent="0.25">
      <c r="A125" s="91" t="s">
        <v>202</v>
      </c>
      <c r="B125" s="92"/>
      <c r="C125" s="92"/>
      <c r="D125" s="92"/>
      <c r="E125" s="92"/>
      <c r="F125" s="92"/>
      <c r="G125" s="92"/>
      <c r="H125" s="93"/>
      <c r="J125" s="34"/>
    </row>
    <row r="126" spans="1:14" s="35" customFormat="1" x14ac:dyDescent="0.25">
      <c r="A126" s="91" t="s">
        <v>237</v>
      </c>
      <c r="B126" s="92"/>
      <c r="C126" s="92"/>
      <c r="D126" s="92"/>
      <c r="E126" s="92"/>
      <c r="F126" s="92"/>
      <c r="G126" s="92"/>
      <c r="H126" s="93"/>
      <c r="J126" s="34"/>
    </row>
    <row r="127" spans="1:14" s="35" customFormat="1" ht="15.75" customHeight="1" x14ac:dyDescent="0.25">
      <c r="A127" s="52">
        <v>1</v>
      </c>
      <c r="B127" s="52" t="s">
        <v>235</v>
      </c>
      <c r="C127" s="208" t="s">
        <v>236</v>
      </c>
      <c r="D127" s="209"/>
      <c r="E127" s="209"/>
      <c r="F127" s="210"/>
      <c r="G127" s="172" t="str">
        <f>A126</f>
        <v>2nd &amp; 3rd Floor for Residential &amp; Parking</v>
      </c>
      <c r="H127" s="173"/>
      <c r="I127" s="34">
        <f>2.8*0.6+5.3*3.5+1.65*0.6+3.1*4.1+1.35*2.5+1.7*0.9</f>
        <v>38.835000000000001</v>
      </c>
      <c r="L127" s="80"/>
      <c r="M127" s="80"/>
      <c r="N127" s="34"/>
    </row>
    <row r="128" spans="1:14" s="67" customFormat="1" x14ac:dyDescent="0.25">
      <c r="A128" s="68">
        <f>A127+1</f>
        <v>2</v>
      </c>
      <c r="B128" s="70" t="s">
        <v>211</v>
      </c>
      <c r="C128" s="49" t="s">
        <v>204</v>
      </c>
      <c r="D128" s="60">
        <f>(40.65)*10.764</f>
        <v>437.55659999999995</v>
      </c>
      <c r="E128" s="68">
        <v>0</v>
      </c>
      <c r="F128" s="68">
        <f>D128*(($F$120)+1)+(IF(E128&lt;101,E128,IF(E128&lt;201,E128/2,IF(E128&lt;=301,E128/3,E128/4))))</f>
        <v>678.21272999999997</v>
      </c>
      <c r="G128" s="174"/>
      <c r="H128" s="175"/>
      <c r="I128" s="34"/>
      <c r="L128" s="80"/>
      <c r="M128" s="80"/>
      <c r="N128" s="34"/>
    </row>
    <row r="129" spans="1:14" s="35" customFormat="1" x14ac:dyDescent="0.25">
      <c r="A129" s="68">
        <f>A128+1</f>
        <v>3</v>
      </c>
      <c r="B129" s="68" t="s">
        <v>235</v>
      </c>
      <c r="C129" s="208" t="s">
        <v>236</v>
      </c>
      <c r="D129" s="209"/>
      <c r="E129" s="209"/>
      <c r="F129" s="210"/>
      <c r="G129" s="174"/>
      <c r="H129" s="175"/>
      <c r="I129" s="34"/>
      <c r="L129" s="80"/>
      <c r="M129" s="80"/>
      <c r="N129" s="34"/>
    </row>
    <row r="130" spans="1:14" s="67" customFormat="1" x14ac:dyDescent="0.25">
      <c r="A130" s="68">
        <f>A129+1</f>
        <v>4</v>
      </c>
      <c r="B130" s="70" t="s">
        <v>211</v>
      </c>
      <c r="C130" s="49" t="s">
        <v>204</v>
      </c>
      <c r="D130" s="60">
        <f>(40.54)*10.764</f>
        <v>436.37255999999996</v>
      </c>
      <c r="E130" s="68">
        <v>0</v>
      </c>
      <c r="F130" s="68">
        <f>D130*(($F$120)+1)+(IF(E130&lt;101,E130,IF(E130&lt;201,E130/2,IF(E130&lt;=301,E130/3,E130/4))))</f>
        <v>676.37746799999991</v>
      </c>
      <c r="G130" s="176"/>
      <c r="H130" s="177"/>
      <c r="I130" s="34"/>
      <c r="L130" s="80"/>
      <c r="M130" s="80"/>
      <c r="N130" s="34"/>
    </row>
    <row r="131" spans="1:14" s="54" customFormat="1" x14ac:dyDescent="0.25">
      <c r="A131" s="91" t="s">
        <v>238</v>
      </c>
      <c r="B131" s="92"/>
      <c r="C131" s="92"/>
      <c r="D131" s="92"/>
      <c r="E131" s="92"/>
      <c r="F131" s="92"/>
      <c r="G131" s="92"/>
      <c r="H131" s="93"/>
      <c r="J131" s="34"/>
    </row>
    <row r="132" spans="1:14" s="54" customFormat="1" ht="15.75" customHeight="1" x14ac:dyDescent="0.25">
      <c r="A132" s="52">
        <v>1</v>
      </c>
      <c r="B132" s="70" t="s">
        <v>211</v>
      </c>
      <c r="C132" s="49" t="s">
        <v>206</v>
      </c>
      <c r="D132" s="60">
        <f>(61.28)*10.764</f>
        <v>659.61792000000003</v>
      </c>
      <c r="E132" s="52">
        <v>0</v>
      </c>
      <c r="F132" s="52">
        <f>D132*(($F$120)+1)+(IF(E132&lt;101,E132,IF(E132&lt;201,E132/2,IF(E132&lt;=301,E132/3,E132/4))))</f>
        <v>1022.4077760000001</v>
      </c>
      <c r="G132" s="172" t="str">
        <f>A131</f>
        <v>4th to 7th, 9th to 14th, 16th to 21st Floor</v>
      </c>
      <c r="H132" s="173"/>
      <c r="I132" s="34"/>
      <c r="L132" s="80"/>
      <c r="M132" s="80"/>
      <c r="N132" s="34"/>
    </row>
    <row r="133" spans="1:14" s="54" customFormat="1" x14ac:dyDescent="0.25">
      <c r="A133" s="52">
        <f t="shared" ref="A133:A135" si="3">A132+1</f>
        <v>2</v>
      </c>
      <c r="B133" s="70" t="s">
        <v>211</v>
      </c>
      <c r="C133" s="49" t="s">
        <v>204</v>
      </c>
      <c r="D133" s="60">
        <f>(40.79)*10.764</f>
        <v>439.06355999999994</v>
      </c>
      <c r="E133" s="52">
        <v>0</v>
      </c>
      <c r="F133" s="52">
        <f>D133*(($F$120)+1)+(IF(E133&lt;101,E133,IF(E133&lt;201,E133/2,IF(E133&lt;=301,E133/3,E133/4))))</f>
        <v>680.54851799999994</v>
      </c>
      <c r="G133" s="174"/>
      <c r="H133" s="175"/>
      <c r="I133" s="34"/>
      <c r="L133" s="80"/>
      <c r="M133" s="80"/>
      <c r="N133" s="34"/>
    </row>
    <row r="134" spans="1:14" s="54" customFormat="1" ht="15.75" customHeight="1" x14ac:dyDescent="0.25">
      <c r="A134" s="52">
        <f t="shared" si="3"/>
        <v>3</v>
      </c>
      <c r="B134" s="70" t="s">
        <v>211</v>
      </c>
      <c r="C134" s="49" t="s">
        <v>229</v>
      </c>
      <c r="D134" s="60">
        <f>(50.23)*10.764</f>
        <v>540.67571999999996</v>
      </c>
      <c r="E134" s="52">
        <v>0</v>
      </c>
      <c r="F134" s="52">
        <f>D134*(($F$120)+1)+(IF(E134&lt;101,E134,IF(E134&lt;201,E134/2,IF(E134&lt;=301,E134/3,E134/4))))</f>
        <v>838.04736600000001</v>
      </c>
      <c r="G134" s="174"/>
      <c r="H134" s="175"/>
      <c r="I134" s="34"/>
      <c r="L134" s="80"/>
      <c r="M134" s="80"/>
      <c r="N134" s="34"/>
    </row>
    <row r="135" spans="1:14" s="54" customFormat="1" x14ac:dyDescent="0.25">
      <c r="A135" s="52">
        <f t="shared" si="3"/>
        <v>4</v>
      </c>
      <c r="B135" s="70" t="s">
        <v>211</v>
      </c>
      <c r="C135" s="49" t="s">
        <v>229</v>
      </c>
      <c r="D135" s="60">
        <f>(50.29)*10.764</f>
        <v>541.32155999999998</v>
      </c>
      <c r="E135" s="52">
        <v>0</v>
      </c>
      <c r="F135" s="52">
        <f>D135*(($F$120)+1)+(IF(E135&lt;101,E135,IF(E135&lt;201,E135/2,IF(E135&lt;=301,E135/3,E135/4))))</f>
        <v>839.04841799999997</v>
      </c>
      <c r="G135" s="176"/>
      <c r="H135" s="177"/>
      <c r="I135" s="34"/>
      <c r="L135" s="80"/>
      <c r="M135" s="80"/>
      <c r="N135" s="34"/>
    </row>
    <row r="136" spans="1:14" s="54" customFormat="1" x14ac:dyDescent="0.25">
      <c r="A136" s="91" t="s">
        <v>208</v>
      </c>
      <c r="B136" s="92"/>
      <c r="C136" s="92"/>
      <c r="D136" s="92"/>
      <c r="E136" s="92"/>
      <c r="F136" s="92"/>
      <c r="G136" s="92"/>
      <c r="H136" s="93"/>
      <c r="J136" s="34"/>
    </row>
    <row r="137" spans="1:14" s="54" customFormat="1" ht="15.75" customHeight="1" x14ac:dyDescent="0.25">
      <c r="A137" s="52">
        <v>1</v>
      </c>
      <c r="B137" s="70" t="s">
        <v>211</v>
      </c>
      <c r="C137" s="49" t="s">
        <v>206</v>
      </c>
      <c r="D137" s="60">
        <f>(61.28)*10.764</f>
        <v>659.61792000000003</v>
      </c>
      <c r="E137" s="52">
        <v>0</v>
      </c>
      <c r="F137" s="52">
        <f>D137*(($F$120)+1)+(IF(E137&lt;101,E137,IF(E137&lt;201,E137/2,IF(E137&lt;=301,E137/3,E137/4))))</f>
        <v>1022.4077760000001</v>
      </c>
      <c r="G137" s="172" t="str">
        <f>A136</f>
        <v>8th Floor (Part Refuge Area)</v>
      </c>
      <c r="H137" s="173"/>
      <c r="I137" s="34"/>
      <c r="J137" s="34">
        <f>29700000/F137</f>
        <v>29049.074838022356</v>
      </c>
      <c r="L137" s="80"/>
      <c r="M137" s="80"/>
      <c r="N137" s="34"/>
    </row>
    <row r="138" spans="1:14" s="54" customFormat="1" x14ac:dyDescent="0.25">
      <c r="A138" s="52">
        <f t="shared" ref="A138" si="4">A137+1</f>
        <v>2</v>
      </c>
      <c r="B138" s="70" t="s">
        <v>211</v>
      </c>
      <c r="C138" s="49" t="s">
        <v>204</v>
      </c>
      <c r="D138" s="60">
        <f>(40.79)*10.764</f>
        <v>439.06355999999994</v>
      </c>
      <c r="E138" s="52">
        <v>0</v>
      </c>
      <c r="F138" s="52">
        <f>D138*(($F$120)+1)+(IF(E138&lt;101,E138,IF(E138&lt;201,E138/2,IF(E138&lt;=301,E138/3,E138/4))))</f>
        <v>680.54851799999994</v>
      </c>
      <c r="G138" s="174"/>
      <c r="H138" s="175"/>
      <c r="I138" s="34"/>
      <c r="J138" s="34">
        <f>18500000/F138</f>
        <v>27183.954575888154</v>
      </c>
      <c r="L138" s="80"/>
      <c r="M138" s="80"/>
      <c r="N138" s="34"/>
    </row>
    <row r="139" spans="1:14" s="54" customFormat="1" ht="15.75" customHeight="1" x14ac:dyDescent="0.25">
      <c r="A139" s="52">
        <f t="shared" ref="A139:A140" si="5">A138+1</f>
        <v>3</v>
      </c>
      <c r="B139" s="208" t="s">
        <v>209</v>
      </c>
      <c r="C139" s="209"/>
      <c r="D139" s="209"/>
      <c r="E139" s="209"/>
      <c r="F139" s="210"/>
      <c r="G139" s="174"/>
      <c r="H139" s="175"/>
      <c r="I139" s="34"/>
      <c r="J139" s="34"/>
      <c r="L139" s="80"/>
      <c r="M139" s="80"/>
      <c r="N139" s="34"/>
    </row>
    <row r="140" spans="1:14" s="54" customFormat="1" x14ac:dyDescent="0.25">
      <c r="A140" s="52">
        <f t="shared" si="5"/>
        <v>4</v>
      </c>
      <c r="B140" s="208" t="s">
        <v>210</v>
      </c>
      <c r="C140" s="209"/>
      <c r="D140" s="209"/>
      <c r="E140" s="209"/>
      <c r="F140" s="210"/>
      <c r="G140" s="176"/>
      <c r="H140" s="177"/>
      <c r="I140" s="34"/>
      <c r="J140" s="34"/>
      <c r="L140" s="80"/>
      <c r="M140" s="80"/>
      <c r="N140" s="34"/>
    </row>
    <row r="141" spans="1:14" s="54" customFormat="1" x14ac:dyDescent="0.25">
      <c r="A141" s="91" t="s">
        <v>212</v>
      </c>
      <c r="B141" s="92"/>
      <c r="C141" s="92"/>
      <c r="D141" s="92"/>
      <c r="E141" s="92"/>
      <c r="F141" s="92"/>
      <c r="G141" s="92"/>
      <c r="H141" s="93"/>
      <c r="J141" s="34"/>
    </row>
    <row r="142" spans="1:14" s="54" customFormat="1" ht="15.75" customHeight="1" x14ac:dyDescent="0.25">
      <c r="A142" s="52">
        <v>1</v>
      </c>
      <c r="B142" s="70" t="s">
        <v>211</v>
      </c>
      <c r="C142" s="49" t="s">
        <v>206</v>
      </c>
      <c r="D142" s="60">
        <f>(61.28)*10.764</f>
        <v>659.61792000000003</v>
      </c>
      <c r="E142" s="52">
        <v>0</v>
      </c>
      <c r="F142" s="52">
        <f>D142*(($F$120)+1)+(IF(E142&lt;101,E142,IF(E142&lt;201,E142/2,IF(E142&lt;=301,E142/3,E142/4))))</f>
        <v>1022.4077760000001</v>
      </c>
      <c r="G142" s="172" t="str">
        <f>A141</f>
        <v>15th Floor (Part Refuge Area)</v>
      </c>
      <c r="H142" s="173"/>
      <c r="I142" s="34"/>
      <c r="J142" s="34">
        <f>28900000/F142</f>
        <v>28266.608175718724</v>
      </c>
      <c r="L142" s="80"/>
      <c r="M142" s="80"/>
      <c r="N142" s="34"/>
    </row>
    <row r="143" spans="1:14" s="54" customFormat="1" x14ac:dyDescent="0.25">
      <c r="A143" s="52">
        <f t="shared" ref="A143:A145" si="6">A142+1</f>
        <v>2</v>
      </c>
      <c r="B143" s="70" t="s">
        <v>211</v>
      </c>
      <c r="C143" s="49" t="s">
        <v>204</v>
      </c>
      <c r="D143" s="60">
        <f>(40.79)*10.764</f>
        <v>439.06355999999994</v>
      </c>
      <c r="E143" s="52">
        <v>0</v>
      </c>
      <c r="F143" s="52">
        <f>D143*(($F$120)+1)+(IF(E143&lt;101,E143,IF(E143&lt;201,E143/2,IF(E143&lt;=301,E143/3,E143/4))))</f>
        <v>680.54851799999994</v>
      </c>
      <c r="G143" s="174"/>
      <c r="H143" s="175"/>
      <c r="I143" s="34"/>
      <c r="J143" s="34">
        <f>18900000/F143</f>
        <v>27771.715755907357</v>
      </c>
      <c r="L143" s="80"/>
      <c r="M143" s="80"/>
      <c r="N143" s="34"/>
    </row>
    <row r="144" spans="1:14" s="54" customFormat="1" ht="15.75" customHeight="1" x14ac:dyDescent="0.25">
      <c r="A144" s="52">
        <f t="shared" si="6"/>
        <v>3</v>
      </c>
      <c r="B144" s="172" t="s">
        <v>210</v>
      </c>
      <c r="C144" s="212"/>
      <c r="D144" s="212"/>
      <c r="E144" s="212"/>
      <c r="F144" s="173"/>
      <c r="G144" s="174"/>
      <c r="H144" s="175"/>
      <c r="I144" s="34"/>
      <c r="L144" s="80"/>
      <c r="M144" s="80"/>
      <c r="N144" s="34"/>
    </row>
    <row r="145" spans="1:14" s="54" customFormat="1" x14ac:dyDescent="0.25">
      <c r="A145" s="52">
        <f t="shared" si="6"/>
        <v>4</v>
      </c>
      <c r="B145" s="176"/>
      <c r="C145" s="213"/>
      <c r="D145" s="213"/>
      <c r="E145" s="213"/>
      <c r="F145" s="177"/>
      <c r="G145" s="176"/>
      <c r="H145" s="177"/>
      <c r="I145" s="34"/>
      <c r="L145" s="80"/>
      <c r="M145" s="80"/>
      <c r="N145" s="34"/>
    </row>
    <row r="146" spans="1:14" s="51" customFormat="1" x14ac:dyDescent="0.25">
      <c r="A146" s="110" t="s">
        <v>205</v>
      </c>
      <c r="B146" s="111"/>
      <c r="C146" s="111"/>
      <c r="D146" s="111"/>
      <c r="E146" s="111"/>
      <c r="F146" s="111"/>
      <c r="G146" s="111"/>
      <c r="H146" s="112"/>
      <c r="J146" s="34"/>
    </row>
    <row r="147" spans="1:14" s="51" customFormat="1" ht="15.75" customHeight="1" x14ac:dyDescent="0.25">
      <c r="A147" s="91" t="s">
        <v>228</v>
      </c>
      <c r="B147" s="92"/>
      <c r="C147" s="92"/>
      <c r="D147" s="92"/>
      <c r="E147" s="92"/>
      <c r="F147" s="92"/>
      <c r="G147" s="92"/>
      <c r="H147" s="93"/>
      <c r="J147" s="34"/>
    </row>
    <row r="148" spans="1:14" s="51" customFormat="1" ht="15.75" customHeight="1" x14ac:dyDescent="0.25">
      <c r="A148" s="91" t="s">
        <v>227</v>
      </c>
      <c r="B148" s="92"/>
      <c r="C148" s="92"/>
      <c r="D148" s="92"/>
      <c r="E148" s="92"/>
      <c r="F148" s="92"/>
      <c r="G148" s="92"/>
      <c r="H148" s="93"/>
      <c r="J148" s="34"/>
    </row>
    <row r="149" spans="1:14" s="51" customFormat="1" x14ac:dyDescent="0.25">
      <c r="A149" s="91" t="s">
        <v>202</v>
      </c>
      <c r="B149" s="92"/>
      <c r="C149" s="92"/>
      <c r="D149" s="92"/>
      <c r="E149" s="92"/>
      <c r="F149" s="92"/>
      <c r="G149" s="92"/>
      <c r="H149" s="93"/>
      <c r="J149" s="34"/>
    </row>
    <row r="150" spans="1:14" s="51" customFormat="1" x14ac:dyDescent="0.25">
      <c r="A150" s="91" t="s">
        <v>237</v>
      </c>
      <c r="B150" s="92"/>
      <c r="C150" s="92"/>
      <c r="D150" s="92"/>
      <c r="E150" s="92"/>
      <c r="F150" s="92"/>
      <c r="G150" s="92"/>
      <c r="H150" s="93"/>
      <c r="J150" s="34"/>
    </row>
    <row r="151" spans="1:14" s="67" customFormat="1" x14ac:dyDescent="0.25">
      <c r="A151" s="68">
        <v>1</v>
      </c>
      <c r="B151" s="68" t="s">
        <v>235</v>
      </c>
      <c r="C151" s="208" t="s">
        <v>236</v>
      </c>
      <c r="D151" s="209"/>
      <c r="E151" s="209"/>
      <c r="F151" s="210"/>
      <c r="G151" s="172" t="str">
        <f>A150</f>
        <v>2nd &amp; 3rd Floor for Residential &amp; Parking</v>
      </c>
      <c r="H151" s="173"/>
      <c r="I151" s="34"/>
      <c r="L151" s="80"/>
      <c r="M151" s="80"/>
      <c r="N151" s="34"/>
    </row>
    <row r="152" spans="1:14" s="51" customFormat="1" x14ac:dyDescent="0.25">
      <c r="A152" s="52">
        <v>2</v>
      </c>
      <c r="B152" s="70" t="s">
        <v>211</v>
      </c>
      <c r="C152" s="49" t="s">
        <v>204</v>
      </c>
      <c r="D152" s="60">
        <f>(40.54)*10.764</f>
        <v>436.37255999999996</v>
      </c>
      <c r="E152" s="50">
        <v>0</v>
      </c>
      <c r="F152" s="50">
        <f>D152*(($F$120)+1)+(IF(E152&lt;101,E152,IF(E152&lt;201,E152/2,IF(E152&lt;=301,E152/3,E152/4))))</f>
        <v>676.37746799999991</v>
      </c>
      <c r="G152" s="176"/>
      <c r="H152" s="177"/>
      <c r="I152" s="34"/>
      <c r="L152" s="80"/>
      <c r="M152" s="80"/>
      <c r="N152" s="34"/>
    </row>
    <row r="153" spans="1:14" s="54" customFormat="1" ht="15.6" customHeight="1" x14ac:dyDescent="0.25">
      <c r="A153" s="91" t="s">
        <v>238</v>
      </c>
      <c r="B153" s="92"/>
      <c r="C153" s="92"/>
      <c r="D153" s="92"/>
      <c r="E153" s="92"/>
      <c r="F153" s="92"/>
      <c r="G153" s="92"/>
      <c r="H153" s="93"/>
      <c r="J153" s="34"/>
    </row>
    <row r="154" spans="1:14" s="54" customFormat="1" ht="15.75" customHeight="1" x14ac:dyDescent="0.25">
      <c r="A154" s="52">
        <v>1</v>
      </c>
      <c r="B154" s="52" t="s">
        <v>207</v>
      </c>
      <c r="C154" s="49" t="s">
        <v>229</v>
      </c>
      <c r="D154" s="60">
        <f>(49.41)*10.764</f>
        <v>531.8492399999999</v>
      </c>
      <c r="E154" s="52">
        <v>0</v>
      </c>
      <c r="F154" s="52">
        <f>D154*(($F$120)+1)+(IF(E154&lt;101,E154,IF(E154&lt;201,E154/2,IF(E154&lt;=301,E154/3,E154/4))))</f>
        <v>824.36632199999985</v>
      </c>
      <c r="G154" s="172" t="str">
        <f>A153</f>
        <v>4th to 7th, 9th to 14th, 16th to 21st Floor</v>
      </c>
      <c r="H154" s="173"/>
      <c r="I154" s="34"/>
      <c r="L154" s="80"/>
      <c r="M154" s="80"/>
      <c r="N154" s="34"/>
    </row>
    <row r="155" spans="1:14" s="54" customFormat="1" x14ac:dyDescent="0.25">
      <c r="A155" s="52">
        <f t="shared" ref="A155" si="7">A154+1</f>
        <v>2</v>
      </c>
      <c r="B155" s="52" t="s">
        <v>207</v>
      </c>
      <c r="C155" s="49" t="s">
        <v>229</v>
      </c>
      <c r="D155" s="60">
        <f>(49.46)*10.764</f>
        <v>532.38743999999997</v>
      </c>
      <c r="E155" s="52">
        <v>0</v>
      </c>
      <c r="F155" s="52">
        <f>D155*(($F$120)+1)+(IF(E155&lt;101,E155,IF(E155&lt;201,E155/2,IF(E155&lt;=301,E155/3,E155/4))))</f>
        <v>825.20053199999995</v>
      </c>
      <c r="G155" s="176"/>
      <c r="H155" s="177"/>
      <c r="I155" s="34"/>
      <c r="L155" s="80"/>
      <c r="M155" s="80"/>
      <c r="N155" s="34"/>
    </row>
    <row r="156" spans="1:14" s="54" customFormat="1" x14ac:dyDescent="0.25">
      <c r="A156" s="91" t="s">
        <v>208</v>
      </c>
      <c r="B156" s="92"/>
      <c r="C156" s="92"/>
      <c r="D156" s="92"/>
      <c r="E156" s="92"/>
      <c r="F156" s="92"/>
      <c r="G156" s="92"/>
      <c r="H156" s="93"/>
      <c r="J156" s="34"/>
    </row>
    <row r="157" spans="1:14" s="54" customFormat="1" ht="15.75" customHeight="1" x14ac:dyDescent="0.25">
      <c r="A157" s="52">
        <v>1</v>
      </c>
      <c r="B157" s="52" t="s">
        <v>207</v>
      </c>
      <c r="C157" s="49" t="s">
        <v>229</v>
      </c>
      <c r="D157" s="60">
        <f>(49.41)*10.764</f>
        <v>531.8492399999999</v>
      </c>
      <c r="E157" s="52">
        <v>0</v>
      </c>
      <c r="F157" s="52">
        <f>D157*(($F$120)+1)+(IF(E157&lt;101,E157,IF(E157&lt;201,E157/2,IF(E157&lt;=301,E157/3,E157/4))))</f>
        <v>824.36632199999985</v>
      </c>
      <c r="G157" s="172" t="str">
        <f>A156</f>
        <v>8th Floor (Part Refuge Area)</v>
      </c>
      <c r="H157" s="173"/>
      <c r="I157" s="34"/>
      <c r="L157" s="80"/>
      <c r="M157" s="80"/>
      <c r="N157" s="34"/>
    </row>
    <row r="158" spans="1:14" s="54" customFormat="1" x14ac:dyDescent="0.25">
      <c r="A158" s="52">
        <f t="shared" ref="A158" si="8">A157+1</f>
        <v>2</v>
      </c>
      <c r="B158" s="52" t="s">
        <v>207</v>
      </c>
      <c r="C158" s="49" t="s">
        <v>229</v>
      </c>
      <c r="D158" s="60">
        <f>(49.46)*10.764</f>
        <v>532.38743999999997</v>
      </c>
      <c r="E158" s="52">
        <v>0</v>
      </c>
      <c r="F158" s="52">
        <f>D158*(($F$120)+1)+(IF(E158&lt;101,E158,IF(E158&lt;201,E158/2,IF(E158&lt;=301,E158/3,E158/4))))</f>
        <v>825.20053199999995</v>
      </c>
      <c r="G158" s="176"/>
      <c r="H158" s="177"/>
      <c r="I158" s="34"/>
      <c r="L158" s="80"/>
      <c r="M158" s="80"/>
      <c r="N158" s="34"/>
    </row>
    <row r="159" spans="1:14" s="54" customFormat="1" x14ac:dyDescent="0.25">
      <c r="A159" s="91" t="s">
        <v>212</v>
      </c>
      <c r="B159" s="92"/>
      <c r="C159" s="92"/>
      <c r="D159" s="92"/>
      <c r="E159" s="92"/>
      <c r="F159" s="92"/>
      <c r="G159" s="92"/>
      <c r="H159" s="93"/>
      <c r="J159" s="34"/>
    </row>
    <row r="160" spans="1:14" s="54" customFormat="1" ht="15.75" customHeight="1" x14ac:dyDescent="0.25">
      <c r="A160" s="52">
        <v>1</v>
      </c>
      <c r="B160" s="52" t="s">
        <v>207</v>
      </c>
      <c r="C160" s="49" t="s">
        <v>229</v>
      </c>
      <c r="D160" s="60">
        <f>(49.41)*10.764</f>
        <v>531.8492399999999</v>
      </c>
      <c r="E160" s="52">
        <v>0</v>
      </c>
      <c r="F160" s="52">
        <f>D160*(($F$120)+1)+(IF(E160&lt;101,E160,IF(E160&lt;201,E160/2,IF(E160&lt;=301,E160/3,E160/4))))</f>
        <v>824.36632199999985</v>
      </c>
      <c r="G160" s="172" t="str">
        <f>A159</f>
        <v>15th Floor (Part Refuge Area)</v>
      </c>
      <c r="H160" s="173"/>
      <c r="I160" s="34"/>
      <c r="L160" s="80"/>
      <c r="M160" s="80"/>
      <c r="N160" s="34"/>
    </row>
    <row r="161" spans="1:14" s="54" customFormat="1" x14ac:dyDescent="0.25">
      <c r="A161" s="52">
        <f t="shared" ref="A161" si="9">A160+1</f>
        <v>2</v>
      </c>
      <c r="B161" s="52" t="s">
        <v>207</v>
      </c>
      <c r="C161" s="49" t="s">
        <v>229</v>
      </c>
      <c r="D161" s="60">
        <f>(49.46)*10.764</f>
        <v>532.38743999999997</v>
      </c>
      <c r="E161" s="52">
        <v>0</v>
      </c>
      <c r="F161" s="52">
        <f>D161*(($F$120)+1)+(IF(E161&lt;101,E161,IF(E161&lt;201,E161/2,IF(E161&lt;=301,E161/3,E161/4))))</f>
        <v>825.20053199999995</v>
      </c>
      <c r="G161" s="176"/>
      <c r="H161" s="177"/>
      <c r="I161" s="34"/>
      <c r="L161" s="80"/>
      <c r="M161" s="80"/>
      <c r="N161" s="34"/>
    </row>
    <row r="162" spans="1:14" s="35" customFormat="1" hidden="1" x14ac:dyDescent="0.25">
      <c r="A162" s="169" t="s">
        <v>120</v>
      </c>
      <c r="B162" s="169"/>
      <c r="C162" s="169"/>
      <c r="D162" s="169"/>
      <c r="E162" s="169"/>
      <c r="F162" s="169"/>
      <c r="G162" s="169"/>
      <c r="H162" s="169"/>
      <c r="I162" s="34"/>
      <c r="L162" s="80"/>
      <c r="M162" s="80"/>
    </row>
    <row r="163" spans="1:14" s="35" customFormat="1" hidden="1" x14ac:dyDescent="0.25">
      <c r="A163" s="83">
        <f>LEFT(A162,SUM(LEN(A162)-LEN(SUBSTITUTE(A162,{"0","1","2","3","4","5","6","7","8","9"},""))))*100+1</f>
        <v>201</v>
      </c>
      <c r="B163" s="83"/>
      <c r="C163" s="49"/>
      <c r="D163" s="40"/>
      <c r="E163" s="40">
        <v>0</v>
      </c>
      <c r="F163" s="40">
        <f t="shared" ref="F163:F164" si="10">D163*(($F$120)+1)+(IF(E163&lt;101,E163,IF(E163&lt;201,E163/2,IF(E163&lt;=301,E163/3,E163/4))))</f>
        <v>0</v>
      </c>
      <c r="G163" s="83" t="str">
        <f>A162</f>
        <v>2nd Floor</v>
      </c>
      <c r="H163" s="83"/>
      <c r="I163" s="34"/>
      <c r="N163" s="34"/>
    </row>
    <row r="164" spans="1:14" s="35" customFormat="1" hidden="1" x14ac:dyDescent="0.25">
      <c r="A164" s="83">
        <f>A163+1</f>
        <v>202</v>
      </c>
      <c r="B164" s="83"/>
      <c r="C164" s="49"/>
      <c r="D164" s="40"/>
      <c r="E164" s="40">
        <v>0</v>
      </c>
      <c r="F164" s="40">
        <f t="shared" si="10"/>
        <v>0</v>
      </c>
      <c r="G164" s="83" t="str">
        <f>G163</f>
        <v>2nd Floor</v>
      </c>
      <c r="H164" s="83"/>
      <c r="I164" s="34"/>
      <c r="N164" s="34"/>
    </row>
    <row r="165" spans="1:14" s="35" customFormat="1" hidden="1" x14ac:dyDescent="0.25">
      <c r="A165" s="83">
        <f>A164+1</f>
        <v>203</v>
      </c>
      <c r="B165" s="83"/>
      <c r="C165" s="49"/>
      <c r="D165" s="40"/>
      <c r="E165" s="40">
        <v>0</v>
      </c>
      <c r="F165" s="40">
        <f>D165*(($F$120)+1)+(IF(E165&lt;101,E165,IF(E165&lt;201,E165/2,IF(E165&lt;=301,E165/3,E165/4))))</f>
        <v>0</v>
      </c>
      <c r="G165" s="83" t="str">
        <f>G164</f>
        <v>2nd Floor</v>
      </c>
      <c r="H165" s="83"/>
      <c r="I165" s="34"/>
      <c r="N165" s="34"/>
    </row>
    <row r="166" spans="1:14" s="35" customFormat="1" hidden="1" x14ac:dyDescent="0.25">
      <c r="A166" s="83">
        <f>A165+1</f>
        <v>204</v>
      </c>
      <c r="B166" s="83"/>
      <c r="C166" s="49"/>
      <c r="D166" s="40"/>
      <c r="E166" s="40">
        <v>0</v>
      </c>
      <c r="F166" s="40">
        <f>D166*(($F$120)+1)+(IF(E166&lt;101,E166,IF(E166&lt;201,E166/2,IF(E166&lt;=301,E166/3,E166/4))))</f>
        <v>0</v>
      </c>
      <c r="G166" s="83" t="str">
        <f>G165</f>
        <v>2nd Floor</v>
      </c>
      <c r="H166" s="83"/>
      <c r="I166" s="34"/>
      <c r="N166" s="34"/>
    </row>
    <row r="167" spans="1:14" s="35" customFormat="1" hidden="1" x14ac:dyDescent="0.25">
      <c r="A167" s="83">
        <f>A166+1</f>
        <v>205</v>
      </c>
      <c r="B167" s="83"/>
      <c r="C167" s="49"/>
      <c r="D167" s="40"/>
      <c r="E167" s="40">
        <v>0</v>
      </c>
      <c r="F167" s="40">
        <f>D167*(($F$120)+1)+(IF(E167&lt;101,E167,IF(E167&lt;201,E167/2,IF(E167&lt;=301,E167/3,E167/4))))</f>
        <v>0</v>
      </c>
      <c r="G167" s="83" t="str">
        <f>G166</f>
        <v>2nd Floor</v>
      </c>
      <c r="H167" s="83"/>
      <c r="I167" s="34"/>
      <c r="N167" s="34"/>
    </row>
    <row r="168" spans="1:14" s="35" customFormat="1" ht="15.75" hidden="1" customHeight="1" x14ac:dyDescent="0.25">
      <c r="A168" s="91" t="s">
        <v>156</v>
      </c>
      <c r="B168" s="92"/>
      <c r="C168" s="92"/>
      <c r="D168" s="92"/>
      <c r="E168" s="92"/>
      <c r="F168" s="92"/>
      <c r="G168" s="92"/>
      <c r="H168" s="93"/>
      <c r="I168" s="34"/>
    </row>
    <row r="169" spans="1:14" s="35" customFormat="1" hidden="1" x14ac:dyDescent="0.25">
      <c r="A169" s="81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10^ROW(INDIRECT("1:"&amp;LEN((LEFT(A168,SUM(LEN(A168)-LEN(SUBSTITUTE(A168,{"0","1","2"},""))))))))/10))*100+1&amp;""&amp;" ,..,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",LEN(A168))),LEN(A168)))))))/10))*100+1</f>
        <v>301 ,.., 1501</v>
      </c>
      <c r="B169" s="82"/>
      <c r="C169" s="49"/>
      <c r="D169" s="40"/>
      <c r="E169" s="40">
        <v>0</v>
      </c>
      <c r="F169" s="40">
        <f>D169*(($F$120)+1)+(IF(E169&lt;101,E169,IF(E169&lt;201,E169/2,IF(E169&lt;=301,E169/3,E169/4))))</f>
        <v>0</v>
      </c>
      <c r="G169" s="81" t="str">
        <f>A168</f>
        <v>3rd, 5th, 7th, 9th, 11th, 13th, 15th Floor</v>
      </c>
      <c r="H169" s="82"/>
      <c r="I169" s="34"/>
    </row>
    <row r="170" spans="1:14" s="35" customFormat="1" hidden="1" x14ac:dyDescent="0.25">
      <c r="A170" s="81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302 ,.., 1502</v>
      </c>
      <c r="B170" s="82"/>
      <c r="C170" s="49"/>
      <c r="D170" s="40"/>
      <c r="E170" s="40">
        <v>0</v>
      </c>
      <c r="F170" s="40">
        <f>D170*(($F$120)+1)+(IF(E170&lt;101,E170,IF(E170&lt;201,E170/2,IF(E170&lt;=301,E170/3,E170/4))))</f>
        <v>0</v>
      </c>
      <c r="G170" s="81" t="str">
        <f>G169</f>
        <v>3rd, 5th, 7th, 9th, 11th, 13th, 15th Floor</v>
      </c>
      <c r="H170" s="82"/>
      <c r="I170" s="34"/>
    </row>
    <row r="171" spans="1:14" s="35" customFormat="1" ht="15.75" hidden="1" customHeight="1" x14ac:dyDescent="0.25">
      <c r="A171" s="81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303 ,.., 1503</v>
      </c>
      <c r="B171" s="82"/>
      <c r="C171" s="49"/>
      <c r="D171" s="40"/>
      <c r="E171" s="40">
        <v>0</v>
      </c>
      <c r="F171" s="40">
        <f>D171*(($F$120)+1)+(IF(E171&lt;101,E171,IF(E171&lt;201,E171/2,IF(E171&lt;=301,E171/3,E171/4))))</f>
        <v>0</v>
      </c>
      <c r="G171" s="81" t="str">
        <f>G170</f>
        <v>3rd, 5th, 7th, 9th, 11th, 13th, 15th Floor</v>
      </c>
      <c r="H171" s="82"/>
      <c r="I171" s="34"/>
    </row>
    <row r="172" spans="1:14" s="35" customFormat="1" ht="15.75" hidden="1" customHeight="1" x14ac:dyDescent="0.25">
      <c r="A172" s="81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304 ,.., 1504</v>
      </c>
      <c r="B172" s="82"/>
      <c r="C172" s="49"/>
      <c r="D172" s="40"/>
      <c r="E172" s="40">
        <v>0</v>
      </c>
      <c r="F172" s="40">
        <f>D172*(($F$120)+1)+(IF(E172&lt;101,E172,IF(E172&lt;201,E172/2,IF(E172&lt;=301,E172/3,E172/4))))</f>
        <v>0</v>
      </c>
      <c r="G172" s="81" t="str">
        <f>G171</f>
        <v>3rd, 5th, 7th, 9th, 11th, 13th, 15th Floor</v>
      </c>
      <c r="H172" s="82"/>
      <c r="I172" s="34"/>
    </row>
    <row r="173" spans="1:14" s="35" customFormat="1" ht="15.75" hidden="1" customHeight="1" x14ac:dyDescent="0.25">
      <c r="A173" s="81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305 ,.., 1505</v>
      </c>
      <c r="B173" s="82"/>
      <c r="C173" s="49"/>
      <c r="D173" s="40"/>
      <c r="E173" s="40">
        <v>0</v>
      </c>
      <c r="F173" s="40">
        <f>D173*(($F$120)+1)+(IF(E173&lt;101,E173,IF(E173&lt;201,E173/2,IF(E173&lt;=301,E173/3,E173/4))))</f>
        <v>0</v>
      </c>
      <c r="G173" s="81" t="str">
        <f>G172</f>
        <v>3rd, 5th, 7th, 9th, 11th, 13th, 15th Floor</v>
      </c>
      <c r="H173" s="82"/>
      <c r="I173" s="34"/>
    </row>
    <row r="174" spans="1:14" s="35" customFormat="1" hidden="1" x14ac:dyDescent="0.25">
      <c r="A174" s="91" t="s">
        <v>150</v>
      </c>
      <c r="B174" s="92"/>
      <c r="C174" s="92"/>
      <c r="D174" s="92"/>
      <c r="E174" s="92"/>
      <c r="F174" s="92"/>
      <c r="G174" s="92"/>
      <c r="H174" s="93"/>
      <c r="I174" s="34"/>
    </row>
    <row r="175" spans="1:14" s="35" customFormat="1" hidden="1" x14ac:dyDescent="0.25">
      <c r="A175" s="81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10^ROW(INDIRECT("1:"&amp;LEN((LEFT(A174,SUM(LEN(A174)-LEN(SUBSTITUTE(A174,{"0","1","2"},""))))))))/10))*100+1&amp;""&amp;" to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",LEN(A174))),LEN(A174)))))))/10))*100+1</f>
        <v>201 to 501</v>
      </c>
      <c r="B175" s="82"/>
      <c r="C175" s="49"/>
      <c r="D175" s="40"/>
      <c r="E175" s="40">
        <v>0</v>
      </c>
      <c r="F175" s="40">
        <f>D175*(($F$120)+1)+(IF(E175&lt;101,E175,IF(E175&lt;201,E175/2,IF(E175&lt;=301,E175/3,E175/4))))</f>
        <v>0</v>
      </c>
      <c r="G175" s="81" t="str">
        <f>A174</f>
        <v>2nd to 5th Floor</v>
      </c>
      <c r="H175" s="82"/>
      <c r="I175" s="34"/>
    </row>
    <row r="176" spans="1:14" s="35" customFormat="1" hidden="1" x14ac:dyDescent="0.25">
      <c r="A176" s="81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202 to 502</v>
      </c>
      <c r="B176" s="82"/>
      <c r="C176" s="49"/>
      <c r="D176" s="40"/>
      <c r="E176" s="40">
        <v>0</v>
      </c>
      <c r="F176" s="40">
        <f>D176*(($F$120)+1)+(IF(E176&lt;101,E176,IF(E176&lt;201,E176/2,IF(E176&lt;=301,E176/3,E176/4))))</f>
        <v>0</v>
      </c>
      <c r="G176" s="81" t="str">
        <f>G175</f>
        <v>2nd to 5th Floor</v>
      </c>
      <c r="H176" s="82"/>
      <c r="I176" s="34"/>
    </row>
    <row r="177" spans="1:9" s="35" customFormat="1" hidden="1" x14ac:dyDescent="0.25">
      <c r="A177" s="81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203 to 503</v>
      </c>
      <c r="B177" s="82"/>
      <c r="C177" s="49"/>
      <c r="D177" s="40"/>
      <c r="E177" s="40">
        <v>0</v>
      </c>
      <c r="F177" s="40">
        <f>D177*(($F$120)+1)+(IF(E177&lt;101,E177,IF(E177&lt;201,E177/2,IF(E177&lt;=301,E177/3,E177/4))))</f>
        <v>0</v>
      </c>
      <c r="G177" s="81" t="str">
        <f>G176</f>
        <v>2nd to 5th Floor</v>
      </c>
      <c r="H177" s="82"/>
      <c r="I177" s="34"/>
    </row>
    <row r="178" spans="1:9" s="35" customFormat="1" hidden="1" x14ac:dyDescent="0.25">
      <c r="A178" s="81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204 to 504</v>
      </c>
      <c r="B178" s="82"/>
      <c r="C178" s="49"/>
      <c r="D178" s="40"/>
      <c r="E178" s="40">
        <v>0</v>
      </c>
      <c r="F178" s="40">
        <f>D178*(($F$120)+1)+(IF(E178&lt;101,E178,IF(E178&lt;201,E178/2,IF(E178&lt;=301,E178/3,E178/4))))</f>
        <v>0</v>
      </c>
      <c r="G178" s="81" t="str">
        <f>G177</f>
        <v>2nd to 5th Floor</v>
      </c>
      <c r="H178" s="82"/>
      <c r="I178" s="34"/>
    </row>
    <row r="179" spans="1:9" s="35" customFormat="1" hidden="1" x14ac:dyDescent="0.25">
      <c r="A179" s="81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205 to 505</v>
      </c>
      <c r="B179" s="82"/>
      <c r="C179" s="49"/>
      <c r="D179" s="40"/>
      <c r="E179" s="40">
        <v>0</v>
      </c>
      <c r="F179" s="40">
        <f>D179*(($F$120)+1)+(IF(E179&lt;101,E179,IF(E179&lt;201,E179/2,IF(E179&lt;=301,E179/3,E179/4))))</f>
        <v>0</v>
      </c>
      <c r="G179" s="81" t="str">
        <f>G178</f>
        <v>2nd to 5th Floor</v>
      </c>
      <c r="H179" s="82"/>
      <c r="I179" s="34"/>
    </row>
    <row r="180" spans="1:9" s="35" customFormat="1" hidden="1" x14ac:dyDescent="0.25">
      <c r="A180" s="91" t="s">
        <v>151</v>
      </c>
      <c r="B180" s="92"/>
      <c r="C180" s="92"/>
      <c r="D180" s="92"/>
      <c r="E180" s="92"/>
      <c r="F180" s="92"/>
      <c r="G180" s="92"/>
      <c r="H180" s="93"/>
      <c r="I180" s="34"/>
    </row>
    <row r="181" spans="1:9" s="35" customFormat="1" hidden="1" x14ac:dyDescent="0.25">
      <c r="A181" s="81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10^ROW(INDIRECT("1:"&amp;LEN((LEFT(A180,SUM(LEN(A180)-LEN(SUBSTITUTE(A180,{"0","1","2"},""))))))))/10))*100+1&amp;""&amp;" &amp;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",LEN(A180))),LEN(A180)))))))/10))*100+1</f>
        <v>201 &amp; 501</v>
      </c>
      <c r="B181" s="82"/>
      <c r="C181" s="49"/>
      <c r="D181" s="40"/>
      <c r="E181" s="40">
        <v>0</v>
      </c>
      <c r="F181" s="40">
        <f>D181*(($F$120)+1)+(IF(E181&lt;101,E181,IF(E181&lt;201,E181/2,IF(E181&lt;=301,E181/3,E181/4))))</f>
        <v>0</v>
      </c>
      <c r="G181" s="81" t="str">
        <f>A180</f>
        <v>2nd &amp; 5th Floor</v>
      </c>
      <c r="H181" s="82"/>
      <c r="I181" s="34"/>
    </row>
    <row r="182" spans="1:9" s="35" customFormat="1" hidden="1" x14ac:dyDescent="0.25">
      <c r="A182" s="81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202 &amp; 502</v>
      </c>
      <c r="B182" s="82"/>
      <c r="C182" s="49"/>
      <c r="D182" s="40"/>
      <c r="E182" s="40">
        <v>0</v>
      </c>
      <c r="F182" s="40">
        <f>D182*(($F$120)+1)+(IF(E182&lt;101,E182,IF(E182&lt;201,E182/2,IF(E182&lt;=301,E182/3,E182/4))))</f>
        <v>0</v>
      </c>
      <c r="G182" s="81" t="str">
        <f t="shared" ref="G182:G185" si="11">G181</f>
        <v>2nd &amp; 5th Floor</v>
      </c>
      <c r="H182" s="82"/>
      <c r="I182" s="34"/>
    </row>
    <row r="183" spans="1:9" s="35" customFormat="1" hidden="1" x14ac:dyDescent="0.25">
      <c r="A183" s="81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203 &amp; 503</v>
      </c>
      <c r="B183" s="82"/>
      <c r="C183" s="49"/>
      <c r="D183" s="40"/>
      <c r="E183" s="40">
        <v>0</v>
      </c>
      <c r="F183" s="40">
        <f>D183*(($F$120)+1)+(IF(E183&lt;101,E183,IF(E183&lt;201,E183/2,IF(E183&lt;=301,E183/3,E183/4))))</f>
        <v>0</v>
      </c>
      <c r="G183" s="81" t="str">
        <f t="shared" si="11"/>
        <v>2nd &amp; 5th Floor</v>
      </c>
      <c r="H183" s="82"/>
      <c r="I183" s="34"/>
    </row>
    <row r="184" spans="1:9" s="35" customFormat="1" hidden="1" x14ac:dyDescent="0.25">
      <c r="A184" s="81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204 &amp; 504</v>
      </c>
      <c r="B184" s="82"/>
      <c r="C184" s="49"/>
      <c r="D184" s="40"/>
      <c r="E184" s="40">
        <v>0</v>
      </c>
      <c r="F184" s="40">
        <f>D184*(($F$120)+1)+(IF(E184&lt;101,E184,IF(E184&lt;201,E184/2,IF(E184&lt;=301,E184/3,E184/4))))</f>
        <v>0</v>
      </c>
      <c r="G184" s="81" t="str">
        <f t="shared" si="11"/>
        <v>2nd &amp; 5th Floor</v>
      </c>
      <c r="H184" s="82"/>
      <c r="I184" s="34"/>
    </row>
    <row r="185" spans="1:9" s="35" customFormat="1" hidden="1" x14ac:dyDescent="0.25">
      <c r="A185" s="81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205 &amp; 505</v>
      </c>
      <c r="B185" s="82"/>
      <c r="C185" s="49"/>
      <c r="D185" s="40"/>
      <c r="E185" s="40">
        <v>0</v>
      </c>
      <c r="F185" s="40">
        <f>D185*(($F$120)+1)+(IF(E185&lt;101,E185,IF(E185&lt;201,E185/2,IF(E185&lt;=301,E185/3,E185/4))))</f>
        <v>0</v>
      </c>
      <c r="G185" s="81" t="str">
        <f t="shared" si="11"/>
        <v>2nd &amp; 5th Floor</v>
      </c>
      <c r="H185" s="82"/>
      <c r="I185" s="34"/>
    </row>
    <row r="186" spans="1:9" s="33" customFormat="1" x14ac:dyDescent="0.25">
      <c r="A186" s="178" t="s">
        <v>68</v>
      </c>
      <c r="B186" s="178"/>
      <c r="C186" s="178"/>
      <c r="D186" s="178"/>
      <c r="E186" s="178"/>
      <c r="F186" s="178"/>
      <c r="G186" s="178"/>
      <c r="H186" s="178"/>
    </row>
    <row r="187" spans="1:9" s="33" customFormat="1" x14ac:dyDescent="0.25">
      <c r="A187" s="43" t="s">
        <v>160</v>
      </c>
      <c r="B187" s="84" t="s">
        <v>246</v>
      </c>
      <c r="C187" s="85"/>
      <c r="D187" s="85"/>
      <c r="E187" s="85"/>
      <c r="F187" s="85"/>
      <c r="G187" s="85"/>
      <c r="H187" s="86"/>
    </row>
    <row r="188" spans="1:9" s="33" customFormat="1" x14ac:dyDescent="0.25">
      <c r="A188" s="43" t="s">
        <v>160</v>
      </c>
      <c r="B188" s="84" t="str">
        <f>(IF(F119="Saleable area Loading :","We have considered Saleable area of Flats as per our Calculation.","We considered Saleable area of Flat as per Builder area Sheet."))</f>
        <v>We have considered Saleable area of Flats as per our Calculation.</v>
      </c>
      <c r="C188" s="85"/>
      <c r="D188" s="85"/>
      <c r="E188" s="85"/>
      <c r="F188" s="85"/>
      <c r="G188" s="85"/>
      <c r="H188" s="86"/>
    </row>
    <row r="189" spans="1:9" s="33" customFormat="1" hidden="1" x14ac:dyDescent="0.25">
      <c r="A189" s="43" t="s">
        <v>160</v>
      </c>
      <c r="B189" s="84" t="str">
        <f>(IF(F111="Saleable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9" s="85"/>
      <c r="D189" s="85"/>
      <c r="E189" s="85"/>
      <c r="F189" s="85"/>
      <c r="G189" s="85"/>
      <c r="H189" s="86"/>
    </row>
    <row r="190" spans="1:9" s="33" customFormat="1" x14ac:dyDescent="0.25">
      <c r="A190" s="43" t="s">
        <v>160</v>
      </c>
      <c r="B190" s="72" t="s">
        <v>127</v>
      </c>
      <c r="C190" s="73"/>
      <c r="D190" s="73"/>
      <c r="E190" s="73"/>
      <c r="F190" s="73"/>
      <c r="G190" s="73"/>
      <c r="H190" s="74"/>
    </row>
    <row r="191" spans="1:9" s="33" customFormat="1" x14ac:dyDescent="0.25">
      <c r="A191" s="43" t="s">
        <v>160</v>
      </c>
      <c r="B191" s="72" t="s">
        <v>213</v>
      </c>
      <c r="C191" s="73"/>
      <c r="D191" s="73"/>
      <c r="E191" s="73"/>
      <c r="F191" s="73"/>
      <c r="G191" s="73"/>
      <c r="H191" s="74"/>
    </row>
    <row r="192" spans="1:9" s="33" customFormat="1" x14ac:dyDescent="0.25">
      <c r="A192" s="43" t="s">
        <v>160</v>
      </c>
      <c r="B192" s="72" t="s">
        <v>159</v>
      </c>
      <c r="C192" s="73"/>
      <c r="D192" s="73"/>
      <c r="E192" s="73"/>
      <c r="F192" s="73"/>
      <c r="G192" s="73"/>
      <c r="H192" s="74"/>
    </row>
    <row r="193" spans="1:8" s="33" customFormat="1" x14ac:dyDescent="0.25">
      <c r="A193" s="43" t="s">
        <v>160</v>
      </c>
      <c r="B193" s="72" t="s">
        <v>128</v>
      </c>
      <c r="C193" s="73"/>
      <c r="D193" s="73"/>
      <c r="E193" s="73"/>
      <c r="F193" s="73"/>
      <c r="G193" s="73"/>
      <c r="H193" s="74"/>
    </row>
    <row r="194" spans="1:8" s="33" customFormat="1" ht="34.5" customHeight="1" x14ac:dyDescent="0.25">
      <c r="A194" s="43" t="s">
        <v>160</v>
      </c>
      <c r="B194" s="72" t="s">
        <v>161</v>
      </c>
      <c r="C194" s="73"/>
      <c r="D194" s="73"/>
      <c r="E194" s="73"/>
      <c r="F194" s="73"/>
      <c r="G194" s="73"/>
      <c r="H194" s="74"/>
    </row>
    <row r="195" spans="1:8" s="33" customFormat="1" x14ac:dyDescent="0.25">
      <c r="A195" s="43" t="s">
        <v>160</v>
      </c>
      <c r="B195" s="72" t="s">
        <v>129</v>
      </c>
      <c r="C195" s="73"/>
      <c r="D195" s="73"/>
      <c r="E195" s="73"/>
      <c r="F195" s="73"/>
      <c r="G195" s="73"/>
      <c r="H195" s="74"/>
    </row>
    <row r="196" spans="1:8" s="33" customFormat="1" x14ac:dyDescent="0.25">
      <c r="A196" s="69" t="s">
        <v>160</v>
      </c>
      <c r="B196" s="72" t="s">
        <v>240</v>
      </c>
      <c r="C196" s="73"/>
      <c r="D196" s="73"/>
      <c r="E196" s="73"/>
      <c r="F196" s="73"/>
      <c r="G196" s="73"/>
      <c r="H196" s="74"/>
    </row>
    <row r="197" spans="1:8" s="33" customFormat="1" x14ac:dyDescent="0.25">
      <c r="A197" s="71" t="s">
        <v>160</v>
      </c>
      <c r="B197" s="72" t="s">
        <v>245</v>
      </c>
      <c r="C197" s="73"/>
      <c r="D197" s="73"/>
      <c r="E197" s="73"/>
      <c r="F197" s="73"/>
      <c r="G197" s="73"/>
      <c r="H197" s="74"/>
    </row>
    <row r="198" spans="1:8" s="33" customFormat="1" x14ac:dyDescent="0.25">
      <c r="A198" s="71" t="s">
        <v>160</v>
      </c>
      <c r="B198" s="72" t="s">
        <v>252</v>
      </c>
      <c r="C198" s="73"/>
      <c r="D198" s="73"/>
      <c r="E198" s="73"/>
      <c r="F198" s="73"/>
      <c r="G198" s="73"/>
      <c r="H198" s="74"/>
    </row>
    <row r="199" spans="1:8" s="33" customFormat="1" x14ac:dyDescent="0.25">
      <c r="A199" s="69" t="s">
        <v>160</v>
      </c>
      <c r="B199" s="72" t="s">
        <v>253</v>
      </c>
      <c r="C199" s="73"/>
      <c r="D199" s="73"/>
      <c r="E199" s="73"/>
      <c r="F199" s="73"/>
      <c r="G199" s="73"/>
      <c r="H199" s="74"/>
    </row>
    <row r="200" spans="1:8" x14ac:dyDescent="0.25">
      <c r="A200" s="202" t="s">
        <v>61</v>
      </c>
      <c r="B200" s="202"/>
      <c r="C200" s="202"/>
      <c r="D200" s="202"/>
      <c r="E200" s="202"/>
      <c r="F200" s="202"/>
      <c r="G200" s="202"/>
      <c r="H200" s="202"/>
    </row>
    <row r="201" spans="1:8" x14ac:dyDescent="0.25">
      <c r="A201" s="90" t="s">
        <v>62</v>
      </c>
      <c r="B201" s="90"/>
      <c r="C201" s="90"/>
      <c r="D201" s="90"/>
      <c r="E201" s="90"/>
      <c r="F201" s="90"/>
      <c r="G201" s="90"/>
      <c r="H201" s="90"/>
    </row>
    <row r="202" spans="1:8" ht="15.75" customHeight="1" x14ac:dyDescent="0.25">
      <c r="A202" s="211" t="s">
        <v>63</v>
      </c>
      <c r="B202" s="211"/>
      <c r="C202" s="211"/>
      <c r="D202" s="211"/>
      <c r="E202" s="211"/>
      <c r="F202" s="211"/>
      <c r="G202" s="211"/>
      <c r="H202" s="211"/>
    </row>
    <row r="203" spans="1:8" x14ac:dyDescent="0.25">
      <c r="A203" s="90" t="s">
        <v>64</v>
      </c>
      <c r="B203" s="90"/>
      <c r="C203" s="90"/>
      <c r="D203" s="90"/>
      <c r="E203" s="90"/>
      <c r="F203" s="90"/>
      <c r="G203" s="90"/>
      <c r="H203" s="90"/>
    </row>
    <row r="204" spans="1:8" x14ac:dyDescent="0.25">
      <c r="A204" s="90" t="s">
        <v>65</v>
      </c>
      <c r="B204" s="90"/>
      <c r="C204" s="90"/>
      <c r="D204" s="90"/>
      <c r="E204" s="90"/>
      <c r="F204" s="90"/>
      <c r="G204" s="90"/>
      <c r="H204" s="90"/>
    </row>
    <row r="205" spans="1:8" x14ac:dyDescent="0.25">
      <c r="A205" s="90" t="s">
        <v>130</v>
      </c>
      <c r="B205" s="90"/>
      <c r="C205" s="90"/>
      <c r="D205" s="90"/>
      <c r="E205" s="90"/>
      <c r="F205" s="90"/>
      <c r="G205" s="90"/>
      <c r="H205" s="90"/>
    </row>
    <row r="206" spans="1:8" x14ac:dyDescent="0.25">
      <c r="A206" s="126" t="s">
        <v>131</v>
      </c>
      <c r="B206" s="126"/>
      <c r="C206" s="126"/>
      <c r="D206" s="126"/>
      <c r="E206" s="126"/>
      <c r="F206" s="126"/>
      <c r="G206" s="126"/>
      <c r="H206" s="126"/>
    </row>
    <row r="207" spans="1:8" x14ac:dyDescent="0.25">
      <c r="A207" s="168" t="s">
        <v>78</v>
      </c>
      <c r="B207" s="168"/>
      <c r="C207" s="168" t="s">
        <v>247</v>
      </c>
      <c r="D207" s="168"/>
      <c r="E207" s="168" t="s">
        <v>106</v>
      </c>
      <c r="F207" s="168"/>
      <c r="G207" s="168" t="s">
        <v>255</v>
      </c>
      <c r="H207" s="168"/>
    </row>
    <row r="208" spans="1:8" x14ac:dyDescent="0.25">
      <c r="A208" s="167" t="s">
        <v>80</v>
      </c>
      <c r="B208" s="167"/>
      <c r="C208" s="167"/>
      <c r="D208" s="167"/>
      <c r="E208" s="167"/>
      <c r="F208" s="167"/>
      <c r="G208" s="167"/>
      <c r="H208" s="167"/>
    </row>
    <row r="209" spans="1:8" x14ac:dyDescent="0.25">
      <c r="A209" s="167"/>
      <c r="B209" s="167"/>
      <c r="C209" s="167"/>
      <c r="D209" s="167"/>
      <c r="E209" s="167"/>
      <c r="F209" s="167"/>
      <c r="G209" s="167"/>
      <c r="H209" s="167"/>
    </row>
    <row r="210" spans="1:8" x14ac:dyDescent="0.25">
      <c r="A210" s="167"/>
      <c r="B210" s="167"/>
      <c r="C210" s="167"/>
      <c r="D210" s="167"/>
      <c r="E210" s="167"/>
      <c r="F210" s="167"/>
      <c r="G210" s="167"/>
      <c r="H210" s="167"/>
    </row>
    <row r="211" spans="1:8" x14ac:dyDescent="0.25">
      <c r="A211" s="167"/>
      <c r="B211" s="167"/>
      <c r="C211" s="167"/>
      <c r="D211" s="167"/>
      <c r="E211" s="167"/>
      <c r="F211" s="167"/>
      <c r="G211" s="167"/>
      <c r="H211" s="167"/>
    </row>
    <row r="212" spans="1:8" x14ac:dyDescent="0.25">
      <c r="A212" s="36" t="s">
        <v>66</v>
      </c>
      <c r="B212" s="37"/>
      <c r="C212" s="37"/>
      <c r="D212" s="36" t="str">
        <f>E8</f>
        <v>Rustomjee Cleon</v>
      </c>
      <c r="F212" s="37"/>
      <c r="G212" s="37"/>
      <c r="H212" s="37"/>
    </row>
    <row r="213" spans="1:8" x14ac:dyDescent="0.25">
      <c r="A213" s="37"/>
      <c r="B213" s="37"/>
      <c r="C213" s="37"/>
      <c r="D213" s="37"/>
      <c r="E213" s="37"/>
      <c r="F213" s="37"/>
      <c r="G213" s="37"/>
      <c r="H213" s="37"/>
    </row>
    <row r="214" spans="1:8" x14ac:dyDescent="0.25">
      <c r="A214" s="37"/>
      <c r="B214" s="37"/>
      <c r="C214" s="37"/>
      <c r="D214" s="37"/>
      <c r="E214" s="37"/>
      <c r="F214" s="37"/>
      <c r="G214" s="37"/>
      <c r="H214" s="37"/>
    </row>
    <row r="215" spans="1:8" ht="15" customHeight="1" x14ac:dyDescent="0.25"/>
    <row r="253" spans="1:1" x14ac:dyDescent="0.25">
      <c r="A253" s="39" t="s">
        <v>171</v>
      </c>
    </row>
    <row r="296" spans="1:1" x14ac:dyDescent="0.25">
      <c r="A296" s="39" t="s">
        <v>67</v>
      </c>
    </row>
  </sheetData>
  <mergeCells count="387">
    <mergeCell ref="L162:M162"/>
    <mergeCell ref="B190:H190"/>
    <mergeCell ref="B191:H191"/>
    <mergeCell ref="A159:H159"/>
    <mergeCell ref="G160:H161"/>
    <mergeCell ref="L160:M160"/>
    <mergeCell ref="L161:M161"/>
    <mergeCell ref="B139:F139"/>
    <mergeCell ref="B140:F140"/>
    <mergeCell ref="B144:F145"/>
    <mergeCell ref="A156:H156"/>
    <mergeCell ref="G157:H158"/>
    <mergeCell ref="L157:M157"/>
    <mergeCell ref="L158:M158"/>
    <mergeCell ref="A141:H141"/>
    <mergeCell ref="G142:H145"/>
    <mergeCell ref="A165:B165"/>
    <mergeCell ref="L142:M142"/>
    <mergeCell ref="L143:M143"/>
    <mergeCell ref="L144:M144"/>
    <mergeCell ref="L145:M145"/>
    <mergeCell ref="L154:M154"/>
    <mergeCell ref="L155:M155"/>
    <mergeCell ref="G154:H155"/>
    <mergeCell ref="A205:H205"/>
    <mergeCell ref="A202:H202"/>
    <mergeCell ref="G178:H178"/>
    <mergeCell ref="A163:B163"/>
    <mergeCell ref="G176:H176"/>
    <mergeCell ref="A170:B170"/>
    <mergeCell ref="G164:H164"/>
    <mergeCell ref="A172:B172"/>
    <mergeCell ref="A169:B169"/>
    <mergeCell ref="G184:H184"/>
    <mergeCell ref="B187:H187"/>
    <mergeCell ref="B188:H188"/>
    <mergeCell ref="A175:B175"/>
    <mergeCell ref="G175:H175"/>
    <mergeCell ref="A173:B173"/>
    <mergeCell ref="A184:B184"/>
    <mergeCell ref="B196:H196"/>
    <mergeCell ref="B199:H199"/>
    <mergeCell ref="A204:H204"/>
    <mergeCell ref="A200:H200"/>
    <mergeCell ref="A201:H201"/>
    <mergeCell ref="A185:B185"/>
    <mergeCell ref="G185:H185"/>
    <mergeCell ref="A164:B164"/>
    <mergeCell ref="L151:M151"/>
    <mergeCell ref="C151:F151"/>
    <mergeCell ref="G151:H152"/>
    <mergeCell ref="L152:M152"/>
    <mergeCell ref="A149:H149"/>
    <mergeCell ref="L127:M127"/>
    <mergeCell ref="L129:M129"/>
    <mergeCell ref="L132:M132"/>
    <mergeCell ref="L133:M133"/>
    <mergeCell ref="L134:M134"/>
    <mergeCell ref="L135:M135"/>
    <mergeCell ref="L137:M137"/>
    <mergeCell ref="L138:M138"/>
    <mergeCell ref="L139:M139"/>
    <mergeCell ref="L140:M140"/>
    <mergeCell ref="L128:M128"/>
    <mergeCell ref="L130:M130"/>
    <mergeCell ref="C127:F127"/>
    <mergeCell ref="C129:F129"/>
    <mergeCell ref="G127:H130"/>
    <mergeCell ref="A131:H131"/>
    <mergeCell ref="G132:H135"/>
    <mergeCell ref="C101:D101"/>
    <mergeCell ref="E101:F101"/>
    <mergeCell ref="G107:H107"/>
    <mergeCell ref="A119:A120"/>
    <mergeCell ref="E119:E120"/>
    <mergeCell ref="G119:H120"/>
    <mergeCell ref="C111:C112"/>
    <mergeCell ref="B119:B120"/>
    <mergeCell ref="G108:H108"/>
    <mergeCell ref="A110:H110"/>
    <mergeCell ref="C107:D107"/>
    <mergeCell ref="C106:D106"/>
    <mergeCell ref="E106:F106"/>
    <mergeCell ref="G106:H106"/>
    <mergeCell ref="E103:F103"/>
    <mergeCell ref="E105:F105"/>
    <mergeCell ref="G105:H105"/>
    <mergeCell ref="C103:D103"/>
    <mergeCell ref="C104:D104"/>
    <mergeCell ref="A109:H109"/>
    <mergeCell ref="C119:C120"/>
    <mergeCell ref="D119:D120"/>
    <mergeCell ref="A116:B116"/>
    <mergeCell ref="A49:B49"/>
    <mergeCell ref="C49:E49"/>
    <mergeCell ref="F83:H83"/>
    <mergeCell ref="A50:B50"/>
    <mergeCell ref="A57:C57"/>
    <mergeCell ref="A58:C58"/>
    <mergeCell ref="D58:H58"/>
    <mergeCell ref="G55:H55"/>
    <mergeCell ref="D65:H65"/>
    <mergeCell ref="A66:C66"/>
    <mergeCell ref="D66:H66"/>
    <mergeCell ref="G71:H71"/>
    <mergeCell ref="D62:H62"/>
    <mergeCell ref="E72:F81"/>
    <mergeCell ref="A61:C61"/>
    <mergeCell ref="A62:C62"/>
    <mergeCell ref="A67:C67"/>
    <mergeCell ref="D67:H67"/>
    <mergeCell ref="A65:C65"/>
    <mergeCell ref="C51:E51"/>
    <mergeCell ref="A56:H56"/>
    <mergeCell ref="C52:E52"/>
    <mergeCell ref="G52:H52"/>
    <mergeCell ref="A77:B77"/>
    <mergeCell ref="A53:B54"/>
    <mergeCell ref="C53:E53"/>
    <mergeCell ref="G53:H53"/>
    <mergeCell ref="C54:E54"/>
    <mergeCell ref="G54:H54"/>
    <mergeCell ref="A88:E88"/>
    <mergeCell ref="F88:H88"/>
    <mergeCell ref="F91:H91"/>
    <mergeCell ref="C98:D98"/>
    <mergeCell ref="F92:H92"/>
    <mergeCell ref="G98:H98"/>
    <mergeCell ref="A93:E93"/>
    <mergeCell ref="D61:H61"/>
    <mergeCell ref="A60:C60"/>
    <mergeCell ref="D60:H60"/>
    <mergeCell ref="A90:E90"/>
    <mergeCell ref="A92:E92"/>
    <mergeCell ref="A81:B81"/>
    <mergeCell ref="A82:E82"/>
    <mergeCell ref="D64:H64"/>
    <mergeCell ref="G72:H81"/>
    <mergeCell ref="A72:B72"/>
    <mergeCell ref="A80:B80"/>
    <mergeCell ref="A78:B78"/>
    <mergeCell ref="B192:H192"/>
    <mergeCell ref="G137:H140"/>
    <mergeCell ref="A123:H123"/>
    <mergeCell ref="A124:H124"/>
    <mergeCell ref="G179:H179"/>
    <mergeCell ref="A186:H186"/>
    <mergeCell ref="A178:B178"/>
    <mergeCell ref="A179:B179"/>
    <mergeCell ref="G177:H177"/>
    <mergeCell ref="A174:H174"/>
    <mergeCell ref="A168:H168"/>
    <mergeCell ref="G171:H171"/>
    <mergeCell ref="G169:H169"/>
    <mergeCell ref="A153:H153"/>
    <mergeCell ref="A181:B181"/>
    <mergeCell ref="A182:B182"/>
    <mergeCell ref="A136:H136"/>
    <mergeCell ref="G172:H172"/>
    <mergeCell ref="G165:H165"/>
    <mergeCell ref="G182:H182"/>
    <mergeCell ref="A180:H180"/>
    <mergeCell ref="A146:H146"/>
    <mergeCell ref="A147:H147"/>
    <mergeCell ref="A148:H148"/>
    <mergeCell ref="G181:H181"/>
    <mergeCell ref="A208:H211"/>
    <mergeCell ref="A207:B207"/>
    <mergeCell ref="E207:F207"/>
    <mergeCell ref="C207:D207"/>
    <mergeCell ref="G207:H207"/>
    <mergeCell ref="A97:H97"/>
    <mergeCell ref="A95:E95"/>
    <mergeCell ref="F95:H95"/>
    <mergeCell ref="A96:E96"/>
    <mergeCell ref="F96:H96"/>
    <mergeCell ref="A162:H162"/>
    <mergeCell ref="A171:B171"/>
    <mergeCell ref="A99:B99"/>
    <mergeCell ref="A203:H203"/>
    <mergeCell ref="A102:H102"/>
    <mergeCell ref="A206:H206"/>
    <mergeCell ref="G101:H101"/>
    <mergeCell ref="C105:D105"/>
    <mergeCell ref="G103:H103"/>
    <mergeCell ref="A126:H126"/>
    <mergeCell ref="A118:H118"/>
    <mergeCell ref="B194:H194"/>
    <mergeCell ref="A125:H125"/>
    <mergeCell ref="A122:H12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C48:H4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4:H34"/>
    <mergeCell ref="C36:E36"/>
    <mergeCell ref="A41:D41"/>
    <mergeCell ref="E41:H41"/>
    <mergeCell ref="A40:H40"/>
    <mergeCell ref="E26:H26"/>
    <mergeCell ref="A28:D28"/>
    <mergeCell ref="E28:H28"/>
    <mergeCell ref="A39:B39"/>
    <mergeCell ref="C39:H39"/>
    <mergeCell ref="F33:H33"/>
    <mergeCell ref="F36:H36"/>
    <mergeCell ref="A37:H37"/>
    <mergeCell ref="A36:B36"/>
    <mergeCell ref="A46:D46"/>
    <mergeCell ref="A47:H47"/>
    <mergeCell ref="D59:H59"/>
    <mergeCell ref="A59:C59"/>
    <mergeCell ref="G50:H50"/>
    <mergeCell ref="A51:B52"/>
    <mergeCell ref="A38:B38"/>
    <mergeCell ref="C38:H38"/>
    <mergeCell ref="A45:D45"/>
    <mergeCell ref="C50:E50"/>
    <mergeCell ref="A55:B55"/>
    <mergeCell ref="C55:E55"/>
    <mergeCell ref="E42:H42"/>
    <mergeCell ref="A42:D42"/>
    <mergeCell ref="G49:H49"/>
    <mergeCell ref="G51:H51"/>
    <mergeCell ref="D57:H57"/>
    <mergeCell ref="A43:D43"/>
    <mergeCell ref="E43:H43"/>
    <mergeCell ref="E44:H44"/>
    <mergeCell ref="E45:H45"/>
    <mergeCell ref="E46:H46"/>
    <mergeCell ref="A44:D44"/>
    <mergeCell ref="A48:B4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A86:E86"/>
    <mergeCell ref="A114:B114"/>
    <mergeCell ref="A115:B115"/>
    <mergeCell ref="A150:H150"/>
    <mergeCell ref="A121:H121"/>
    <mergeCell ref="A91:E91"/>
    <mergeCell ref="A85:E85"/>
    <mergeCell ref="F86:H86"/>
    <mergeCell ref="A87:E87"/>
    <mergeCell ref="A107:B107"/>
    <mergeCell ref="E107:F107"/>
    <mergeCell ref="F85:H85"/>
    <mergeCell ref="G116:H116"/>
    <mergeCell ref="G114:H114"/>
    <mergeCell ref="G115:H115"/>
    <mergeCell ref="G117:H117"/>
    <mergeCell ref="A117:B117"/>
    <mergeCell ref="C99:D99"/>
    <mergeCell ref="E99:F99"/>
    <mergeCell ref="F93:H93"/>
    <mergeCell ref="E98:F98"/>
    <mergeCell ref="A105:A106"/>
    <mergeCell ref="A103:B103"/>
    <mergeCell ref="A94:E94"/>
    <mergeCell ref="A79:B79"/>
    <mergeCell ref="F90:H90"/>
    <mergeCell ref="A83:E83"/>
    <mergeCell ref="A113:H113"/>
    <mergeCell ref="E111:E112"/>
    <mergeCell ref="G111:H112"/>
    <mergeCell ref="F82:H82"/>
    <mergeCell ref="F87:H87"/>
    <mergeCell ref="A89:E89"/>
    <mergeCell ref="F89:H89"/>
    <mergeCell ref="E104:F104"/>
    <mergeCell ref="G104:H104"/>
    <mergeCell ref="F94:H94"/>
    <mergeCell ref="B111:B112"/>
    <mergeCell ref="A111:A112"/>
    <mergeCell ref="E100:F100"/>
    <mergeCell ref="G100:H100"/>
    <mergeCell ref="A101:B101"/>
    <mergeCell ref="A98:B98"/>
    <mergeCell ref="A100:B100"/>
    <mergeCell ref="C100:D100"/>
    <mergeCell ref="F84:H84"/>
    <mergeCell ref="A84:E84"/>
    <mergeCell ref="D111:D112"/>
    <mergeCell ref="B197:H197"/>
    <mergeCell ref="B198:H198"/>
    <mergeCell ref="G99:H99"/>
    <mergeCell ref="A108:B108"/>
    <mergeCell ref="C108:D108"/>
    <mergeCell ref="E108:F108"/>
    <mergeCell ref="L117:M117"/>
    <mergeCell ref="L116:M116"/>
    <mergeCell ref="L115:M115"/>
    <mergeCell ref="L114:M114"/>
    <mergeCell ref="G170:H170"/>
    <mergeCell ref="G166:H166"/>
    <mergeCell ref="G163:H163"/>
    <mergeCell ref="A167:B167"/>
    <mergeCell ref="B195:H195"/>
    <mergeCell ref="B193:H193"/>
    <mergeCell ref="B189:H189"/>
    <mergeCell ref="A183:B183"/>
    <mergeCell ref="G183:H183"/>
    <mergeCell ref="A176:B176"/>
    <mergeCell ref="A177:B177"/>
    <mergeCell ref="A166:B166"/>
    <mergeCell ref="G167:H167"/>
    <mergeCell ref="G173:H173"/>
  </mergeCells>
  <dataValidations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11:E112" xr:uid="{00000000-0002-0000-0000-000003000000}">
      <formula1>"Attached Loft area,Attached Terrace area,Attached Mezzanine area"</formula1>
    </dataValidation>
    <dataValidation type="list" allowBlank="1" showInputMessage="1" showErrorMessage="1" sqref="F112 F120" xr:uid="{00000000-0002-0000-0000-000004000000}">
      <formula1>"45%,50%,55%,60%"</formula1>
    </dataValidation>
    <dataValidation type="list" allowBlank="1" showInputMessage="1" showErrorMessage="1" sqref="G207:H207" xr:uid="{00000000-0002-0000-0000-000005000000}">
      <formula1>"Gaurav Panchal,Shruti Fule,Shruti Tathare,Pooja Kawale,Mansee Mohite,Anjali Kamble, Hitakshi Mhatre, Sachin Sawant"</formula1>
    </dataValidation>
    <dataValidation type="list" allowBlank="1" showInputMessage="1" showErrorMessage="1" sqref="F82:H82" xr:uid="{00000000-0002-0000-0000-000006000000}">
      <formula1>"On Saleable Area,On Builtup Area,On Carpet Area,On Plot Area"</formula1>
    </dataValidation>
    <dataValidation type="list" allowBlank="1" showInputMessage="1" showErrorMessage="1" sqref="F95:H95" xr:uid="{00000000-0002-0000-0000-000007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211" max="16383" man="1"/>
    <brk id="252" max="16383" man="1"/>
    <brk id="29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22" zoomScale="85" zoomScaleNormal="85" workbookViewId="0">
      <selection activeCell="K31" sqref="K31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4" t="s">
        <v>107</v>
      </c>
      <c r="C3" s="214"/>
      <c r="D3" s="214"/>
      <c r="E3" s="214"/>
      <c r="F3" s="214"/>
      <c r="G3" s="214"/>
      <c r="H3" s="214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2025-08-20T10:29:51Z</cp:lastPrinted>
  <dcterms:created xsi:type="dcterms:W3CDTF">2019-07-16T09:29:46Z</dcterms:created>
  <dcterms:modified xsi:type="dcterms:W3CDTF">2025-08-20T10:30:54Z</dcterms:modified>
</cp:coreProperties>
</file>