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aug 25\AXIS\DUMP\"/>
    </mc:Choice>
  </mc:AlternateContent>
  <xr:revisionPtr revIDLastSave="0" documentId="13_ncr:1_{622AFDEF-6E30-4B7F-B721-E3188A5AE5AB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4" i="1" l="1"/>
  <c r="D156" i="1"/>
  <c r="D152" i="1"/>
  <c r="D162" i="1" l="1"/>
  <c r="F162" i="1" s="1"/>
  <c r="D161" i="1"/>
  <c r="F161" i="1" s="1"/>
  <c r="D158" i="1"/>
  <c r="F158" i="1" s="1"/>
  <c r="K158" i="1" s="1"/>
  <c r="D157" i="1"/>
  <c r="F157" i="1" s="1"/>
  <c r="D154" i="1"/>
  <c r="F154" i="1" s="1"/>
  <c r="D153" i="1"/>
  <c r="F153" i="1" s="1"/>
  <c r="F152" i="1"/>
  <c r="J152" i="1" s="1"/>
  <c r="D150" i="1"/>
  <c r="D149" i="1"/>
  <c r="D148" i="1"/>
  <c r="D146" i="1"/>
  <c r="F146" i="1" s="1"/>
  <c r="D142" i="1"/>
  <c r="F142" i="1" s="1"/>
  <c r="J142" i="1" s="1"/>
  <c r="G160" i="1"/>
  <c r="G156" i="1"/>
  <c r="F156" i="1"/>
  <c r="G152" i="1"/>
  <c r="F144" i="1"/>
  <c r="G144" i="1"/>
  <c r="I142" i="1"/>
  <c r="G142" i="1"/>
  <c r="C15" i="1"/>
  <c r="J99" i="1" l="1"/>
  <c r="E119" i="1"/>
  <c r="E120" i="1" s="1"/>
  <c r="C119" i="1"/>
  <c r="C120" i="1" s="1"/>
  <c r="E123" i="1"/>
  <c r="E124" i="1" s="1"/>
  <c r="C123" i="1"/>
  <c r="C124" i="1" s="1"/>
  <c r="Z12" i="1"/>
  <c r="I14" i="1"/>
  <c r="C125" i="1" l="1"/>
  <c r="E125" i="1"/>
  <c r="F148" i="1"/>
  <c r="F131" i="1"/>
  <c r="E43" i="1" l="1"/>
  <c r="E44" i="1" s="1"/>
  <c r="E30" i="1" l="1"/>
  <c r="F149" i="1" l="1"/>
  <c r="G119" i="1" s="1"/>
  <c r="G120" i="1" s="1"/>
  <c r="F150" i="1"/>
  <c r="G148" i="1"/>
  <c r="G123" i="1" l="1"/>
  <c r="G124" i="1" s="1"/>
  <c r="G125" i="1" s="1"/>
  <c r="J158" i="1"/>
  <c r="F111" i="1"/>
  <c r="F132" i="1" l="1"/>
  <c r="F133" i="1"/>
  <c r="F134" i="1"/>
  <c r="B189" i="1" l="1"/>
  <c r="A170" i="1"/>
  <c r="A182" i="1"/>
  <c r="A176" i="1"/>
  <c r="F186" i="1" l="1"/>
  <c r="F185" i="1"/>
  <c r="F184" i="1"/>
  <c r="F183" i="1"/>
  <c r="F182" i="1"/>
  <c r="F180" i="1"/>
  <c r="F179" i="1"/>
  <c r="F178" i="1"/>
  <c r="F177" i="1"/>
  <c r="F176" i="1"/>
  <c r="F174" i="1"/>
  <c r="F173" i="1"/>
  <c r="F172" i="1"/>
  <c r="F171" i="1"/>
  <c r="F170" i="1"/>
  <c r="F168" i="1"/>
  <c r="F167" i="1"/>
  <c r="F165" i="1"/>
  <c r="F164" i="1"/>
  <c r="F166" i="1"/>
  <c r="A177" i="1"/>
  <c r="A183" i="1"/>
  <c r="A17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G182" i="1"/>
  <c r="G183" i="1" s="1"/>
  <c r="G184" i="1" s="1"/>
  <c r="G185" i="1" s="1"/>
  <c r="G186" i="1" s="1"/>
  <c r="G176" i="1"/>
  <c r="G177" i="1" s="1"/>
  <c r="G178" i="1" s="1"/>
  <c r="G179" i="1" s="1"/>
  <c r="G180" i="1" s="1"/>
  <c r="G170" i="1"/>
  <c r="G171" i="1" s="1"/>
  <c r="G172" i="1" s="1"/>
  <c r="G173" i="1" s="1"/>
  <c r="G174" i="1" s="1"/>
  <c r="G164" i="1"/>
  <c r="G165" i="1" s="1"/>
  <c r="G166" i="1" s="1"/>
  <c r="G167" i="1" s="1"/>
  <c r="G168" i="1" s="1"/>
  <c r="A164" i="1"/>
  <c r="A165" i="1" s="1"/>
  <c r="A166" i="1" s="1"/>
  <c r="A167" i="1" s="1"/>
  <c r="A168" i="1" s="1"/>
  <c r="A132" i="1"/>
  <c r="A133" i="1" s="1"/>
  <c r="A134" i="1" s="1"/>
  <c r="G131" i="1"/>
  <c r="G132" i="1" s="1"/>
  <c r="G133" i="1" s="1"/>
  <c r="G134" i="1" s="1"/>
  <c r="D57" i="1"/>
  <c r="G50" i="1"/>
  <c r="C50" i="1"/>
  <c r="E27" i="1"/>
  <c r="E25" i="1"/>
  <c r="E7" i="1"/>
  <c r="E3" i="1"/>
  <c r="A178" i="1"/>
  <c r="A184" i="1"/>
  <c r="A172" i="1"/>
  <c r="D62" i="1" l="1"/>
  <c r="A185" i="1"/>
  <c r="A179" i="1"/>
  <c r="A173" i="1"/>
  <c r="D81" i="1" l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J71" i="1"/>
  <c r="D74" i="1"/>
  <c r="A186" i="1"/>
  <c r="A174" i="1"/>
  <c r="A180" i="1"/>
  <c r="B83" i="1" l="1"/>
  <c r="D72" i="1"/>
  <c r="J76" i="1"/>
  <c r="H83" i="1"/>
  <c r="J87" i="1" l="1"/>
  <c r="C86" i="1" s="1"/>
  <c r="D86" i="1" s="1"/>
  <c r="J85" i="1"/>
  <c r="J82" i="1"/>
  <c r="J84" i="1" s="1"/>
  <c r="D95" i="1"/>
  <c r="D91" i="1"/>
  <c r="D89" i="1"/>
  <c r="D88" i="1"/>
  <c r="D93" i="1"/>
  <c r="D94" i="1"/>
  <c r="D90" i="1"/>
  <c r="J86" i="1"/>
  <c r="D92" i="1"/>
  <c r="J91" i="1"/>
  <c r="J88" i="1"/>
  <c r="J89" i="1" s="1"/>
  <c r="J92" i="1"/>
  <c r="J93" i="1"/>
  <c r="J77" i="1"/>
  <c r="J78" i="1" s="1"/>
  <c r="J79" i="1" s="1"/>
  <c r="J94" i="1" l="1"/>
  <c r="J90" i="1"/>
  <c r="C87" i="1" s="1"/>
  <c r="G86" i="1" s="1"/>
  <c r="J81" i="1"/>
  <c r="C73" i="1" s="1"/>
  <c r="D87" i="1" l="1"/>
  <c r="I83" i="1" s="1"/>
  <c r="I84" i="1" s="1"/>
  <c r="G72" i="1"/>
  <c r="G96" i="1" s="1"/>
  <c r="J83" i="1"/>
  <c r="E86" i="1"/>
  <c r="J95" i="1"/>
  <c r="I82" i="1" l="1"/>
  <c r="C84" i="1" s="1"/>
  <c r="D66" i="1"/>
  <c r="D67" i="1" s="1"/>
  <c r="E72" i="1"/>
  <c r="C96" i="1" s="1"/>
  <c r="D73" i="1"/>
  <c r="I69" i="1" s="1"/>
  <c r="J69" i="1"/>
  <c r="F67" i="1" l="1"/>
  <c r="I70" i="1"/>
  <c r="I68" i="1" s="1"/>
  <c r="C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<sst xmlns="http://schemas.openxmlformats.org/spreadsheetml/2006/main" count="491" uniqueCount="312">
  <si>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</si>
  <si>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</si>
  <si>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</si>
  <si>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</si>
  <si>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</si>
  <si>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</si>
  <si>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</si>
  <si>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</si>
  <si>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</si>
  <si>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</si>
  <si>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</si>
  <si>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</si>
  <si>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</si>
  <si>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</si>
  <si>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</si>
  <si>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</si>
  <si>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</si>
  <si>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</si>
  <si>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</si>
  <si>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</si>
  <si>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</si>
  <si>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</si>
  <si>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</si>
  <si>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</si>
  <si>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</si>
  <si>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</si>
  <si>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</si>
  <si>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</si>
  <si>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</si>
  <si>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</si>
  <si>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</si>
  <si>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</si>
  <si>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</si>
  <si>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</si>
  <si>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</si>
  <si>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</si>
  <si>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</si>
  <si>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</si>
  <si>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</si>
  <si>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</si>
  <si>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</si>
  <si>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</si>
  <si>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</si>
  <si>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</si>
  <si>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</si>
  <si>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</si>
  <si>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</si>
  <si>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</si>
  <si>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</si>
  <si>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</si>
  <si>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</si>
  <si>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</si>
  <si>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</si>
  <si>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</si>
  <si>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</si>
  <si>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</si>
  <si>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</si>
  <si>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</si>
  <si>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</si>
  <si>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</si>
  <si>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</si>
  <si>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</si>
  <si>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</si>
  <si>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</si>
  <si>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</si>
  <si>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</si>
  <si>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</si>
  <si>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</si>
  <si>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</si>
  <si>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</si>
  <si>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</si>
  <si>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</si>
  <si>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</si>
  <si>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</si>
  <si>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</si>
  <si>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</si>
  <si>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</si>
  <si>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</si>
  <si>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</si>
  <si>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</si>
  <si>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</si>
  <si>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</si>
  <si>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</si>
  <si>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</si>
  <si>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</si>
  <si>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</si>
  <si>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</si>
  <si>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</si>
  <si>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</si>
  <si>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</si>
  <si>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</si>
  <si>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</si>
  <si>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</si>
  <si>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</si>
  <si>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</si>
  <si>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</si>
  <si>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</si>
  <si>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</si>
  <si>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</si>
  <si>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</si>
  <si>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</si>
  <si>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</si>
  <si>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</si>
  <si>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</si>
  <si>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</si>
  <si>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</si>
  <si>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</si>
  <si>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</si>
  <si>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</si>
  <si>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</si>
  <si>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</si>
  <si>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</si>
  <si>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</si>
  <si>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</si>
  <si>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</si>
  <si>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</si>
  <si>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</si>
  <si>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</si>
  <si>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</si>
  <si>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</si>
  <si>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</si>
  <si>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</si>
  <si>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</si>
  <si>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</si>
  <si>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</si>
  <si>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</si>
  <si>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</si>
  <si>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</si>
  <si>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</si>
  <si>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</si>
  <si>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</si>
  <si>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</si>
  <si>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</si>
  <si>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</si>
  <si>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</si>
  <si>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</si>
  <si>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</si>
  <si>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</si>
  <si>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</si>
  <si>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</si>
  <si>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</si>
  <si>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</si>
  <si>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</si>
  <si>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</si>
  <si>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</si>
  <si>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</si>
  <si>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</si>
  <si>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</si>
  <si>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</si>
  <si>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</si>
  <si>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</si>
  <si>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</si>
  <si>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</si>
  <si>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</si>
  <si>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</si>
  <si>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</si>
  <si>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</si>
  <si>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</si>
  <si>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</si>
  <si>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</si>
  <si>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</si>
  <si>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</si>
  <si>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</si>
  <si>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</si>
  <si>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</si>
  <si>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</si>
  <si>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</si>
  <si>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</si>
  <si>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</si>
  <si>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</si>
  <si>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</si>
  <si>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</si>
  <si>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</si>
  <si>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</si>
  <si>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</si>
  <si>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</si>
  <si>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</si>
  <si>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</si>
  <si>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</si>
  <si>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</si>
  <si>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</si>
  <si>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Shop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</si>
  <si>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</si>
  <si>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</si>
  <si>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</si>
  <si>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</si>
  <si>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</si>
  <si>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</si>
  <si>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</si>
  <si>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</si>
  <si>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</si>
  <si>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</si>
  <si>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</si>
  <si>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</si>
  <si>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</si>
  <si>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</si>
  <si>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</si>
  <si>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</si>
  <si>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</si>
  <si>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</si>
  <si>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</si>
  <si>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</si>
  <si>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</si>
  <si>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</si>
  <si>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</si>
  <si>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</si>
  <si>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</si>
  <si>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</si>
  <si>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</si>
  <si>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</si>
  <si>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</si>
  <si>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</si>
  <si>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</si>
  <si>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</si>
  <si>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</si>
  <si>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</si>
  <si>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</si>
  <si>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</si>
  <si>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</si>
  <si>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</si>
  <si>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</si>
  <si>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</si>
  <si>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</si>
  <si>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</si>
  <si>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</si>
  <si>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</si>
  <si>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</si>
  <si>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</si>
  <si>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</si>
  <si>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</si>
  <si>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</si>
  <si>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</si>
  <si>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</si>
  <si>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</si>
  <si>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</si>
  <si>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</si>
  <si>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Ferrum Realtors Private Limited</t>
  </si>
  <si>
    <t>Rustomjee Ashiana</t>
  </si>
  <si>
    <t>Sind Maharashtra CHSL</t>
  </si>
  <si>
    <t>Survey No</t>
  </si>
  <si>
    <t>287 (Pt) &amp; 70 (Pt) &amp; Plot No.06 &amp; Redevelopment of Building " Sind Maharashtra CHSL", Bearing CTS No.197A(Pt) &amp; CTS No.20A (Pt)</t>
  </si>
  <si>
    <t>Vile Parle</t>
  </si>
  <si>
    <t>Vile Parle (West)</t>
  </si>
  <si>
    <t>North South Road No.10</t>
  </si>
  <si>
    <t>2.6 KM from Vile Parle Railway Station</t>
  </si>
  <si>
    <t>P51800049755</t>
  </si>
  <si>
    <t>Parinee Liva Roca Apartment</t>
  </si>
  <si>
    <t>N S Road No.10</t>
  </si>
  <si>
    <t>Samarth Ramdas Marg</t>
  </si>
  <si>
    <t>Other Plot</t>
  </si>
  <si>
    <t>30.50M Wide N.S.Road No.10</t>
  </si>
  <si>
    <t>18.30M Wide Samarth Ramdas Marg</t>
  </si>
  <si>
    <t>Maharashtra Housing and Area Development Authority (MHADA)</t>
  </si>
  <si>
    <t>Mhada-104/1217/2022</t>
  </si>
  <si>
    <t>As per RERA - 04/02/2027</t>
  </si>
  <si>
    <t>2B + Gr/Stilt + 1st to 10th Floor</t>
  </si>
  <si>
    <t>1st Basement Floor for Parking &amp; Fitness Center</t>
  </si>
  <si>
    <t>2nd Basement Floor for Parking &amp; Pump Room</t>
  </si>
  <si>
    <t>Ground Floor for Parking</t>
  </si>
  <si>
    <t>1st Floor for Residential &amp; Parking</t>
  </si>
  <si>
    <t>3BHK</t>
  </si>
  <si>
    <t>Sale / Rehab</t>
  </si>
  <si>
    <t>Rehab</t>
  </si>
  <si>
    <t>-</t>
  </si>
  <si>
    <t>Sale</t>
  </si>
  <si>
    <t>Parking Area</t>
  </si>
  <si>
    <t>3.5BHK</t>
  </si>
  <si>
    <t>3rd &amp; 4th Floor</t>
  </si>
  <si>
    <t>5th to 7th &amp; 9th Floor</t>
  </si>
  <si>
    <t>4.5BHK</t>
  </si>
  <si>
    <t>8th Floor (Part Refuge Area)</t>
  </si>
  <si>
    <t>10th Floor (Part Terrace Area)</t>
  </si>
  <si>
    <t>Terrace Area</t>
  </si>
  <si>
    <t>We considered Gross carpet area = Net carpet + Deck Area + Utility Area.</t>
  </si>
  <si>
    <t>Flats</t>
  </si>
  <si>
    <t>Residential Area Details : (Rehab)</t>
  </si>
  <si>
    <t>Residential Area Details : (Sale)</t>
  </si>
  <si>
    <t>Online</t>
  </si>
  <si>
    <t>MIS</t>
  </si>
  <si>
    <t>Visitor</t>
  </si>
  <si>
    <t>Bldr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</si>
  <si>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</si>
  <si>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Approved Plans, CC, Airport Noc</t>
  </si>
  <si>
    <t xml:space="preserve">Airport Authority of India
NOC No.
Valid Up to: </t>
  </si>
  <si>
    <t>JUHU/WEST/B/120621/639371</t>
  </si>
  <si>
    <t>39.07 M (Restricted) (AMSL)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</si>
  <si>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</si>
  <si>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https://goo.gl/maps/uH6GS7VACPQDJre48</t>
  </si>
  <si>
    <t>Ananya by Lotus Developers</t>
  </si>
  <si>
    <t>Lounge &amp; Cafe, Gymnasium, Senior citizens zone, Multi-tier-security, Car Parking, Power Backup, Solid Waste Management, EV Charging Station</t>
  </si>
  <si>
    <t>19.1138825,72.8302509</t>
  </si>
  <si>
    <t>Rehab Flats - 12, Sale Flats - 14</t>
  </si>
  <si>
    <t xml:space="preserve">Details of Residential in Building   </t>
  </si>
  <si>
    <t>Electric, Water Meter &amp; Gas Connection Charges</t>
  </si>
  <si>
    <t>2B + Gr/Stilt + 1st to 15th Floor</t>
  </si>
  <si>
    <t>Part II = 2B + Gr/Stilt + 1st to 15th Floor</t>
  </si>
  <si>
    <t>Average Work Progress</t>
  </si>
  <si>
    <t>Average Disbursement</t>
  </si>
  <si>
    <t>We have updated latest CC from Mhada site (On 09/08/2024).</t>
  </si>
  <si>
    <t>Tushar Bhuwad</t>
  </si>
  <si>
    <t>Provide revised approved plans</t>
  </si>
  <si>
    <t>Construction work is in process at the time of Visit. Internal visit not allowed.</t>
  </si>
  <si>
    <t>Mr. Rajesh Mudaliar 8169511252</t>
  </si>
  <si>
    <t>Mr. Abhishek Madge 9867997267</t>
  </si>
  <si>
    <t>MH/EE/(BP)/GM/MHADA-104/1217/2025/FCC/2/Amend</t>
  </si>
  <si>
    <t>Re-endorse this C.C &amp; further extend. for 2 level basements + Stilt Floor + 1st &amp; 2nd (pt.) + 3rd to 10th upper residential floors with total height of 35.48 mt. from AGL. as per approved amended IOA plans U.No MH/EE/(B.P.)/GM/MHADA104/1217/ 2024 dt: 26.08.2024.</t>
  </si>
  <si>
    <t>We have updated latest CC from Mhada site (On 20/05/2025).</t>
  </si>
  <si>
    <t>Mr. Pankaj Site Engineer</t>
  </si>
  <si>
    <t>https://www.99acres.com/rustomjee-ashiana-juhu-western-mumbai-npxid-r406322#showModal</t>
  </si>
  <si>
    <t>https://www.youtube.com/watch?v=nmWk2JS1BLc</t>
  </si>
  <si>
    <t>Gaurav Panchal</t>
  </si>
  <si>
    <t xml:space="preserve">The proposed structure of building is reduced to 10th Floor from 15th floor.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</si>
</sst>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/>
    <xf numFmtId="0" fontId="27" fillId="0" borderId="0" xfId="10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7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3" borderId="34" xfId="1" applyFont="1" applyFill="1" applyBorder="1" applyAlignment="1" applyProtection="1">
      <alignment horizontal="center" vertical="center" wrapText="1"/>
      <protection locked="0"/>
    </xf>
    <xf numFmtId="0" fontId="8" fillId="3" borderId="35" xfId="1" applyFont="1" applyFill="1" applyBorder="1" applyAlignment="1" applyProtection="1">
      <alignment horizontal="center" vertical="center" wrapText="1"/>
      <protection locked="0"/>
    </xf>
    <xf numFmtId="0" fontId="8" fillId="3" borderId="18" xfId="1" applyFont="1" applyFill="1" applyBorder="1" applyAlignment="1" applyProtection="1">
      <alignment horizontal="center" vertical="center" wrapText="1"/>
      <protection locked="0"/>
    </xf>
    <xf numFmtId="0" fontId="8" fillId="3" borderId="19" xfId="1" applyFont="1" applyFill="1" applyBorder="1" applyAlignment="1" applyProtection="1">
      <alignment horizontal="center" vertical="center" wrapText="1"/>
      <protection locked="0"/>
    </xf>
    <xf numFmtId="9" fontId="8" fillId="3" borderId="34" xfId="1" applyNumberFormat="1" applyFont="1" applyFill="1" applyBorder="1" applyAlignment="1" applyProtection="1">
      <alignment horizontal="center" vertical="center"/>
      <protection locked="0"/>
    </xf>
    <xf numFmtId="0" fontId="8" fillId="3" borderId="35" xfId="1" applyFont="1" applyFill="1" applyBorder="1" applyAlignment="1" applyProtection="1">
      <alignment horizontal="center" vertical="center"/>
      <protection locked="0"/>
    </xf>
    <xf numFmtId="0" fontId="8" fillId="3" borderId="18" xfId="1" applyFont="1" applyFill="1" applyBorder="1" applyAlignment="1" applyProtection="1">
      <alignment horizontal="center" vertical="center"/>
      <protection locked="0"/>
    </xf>
    <xf numFmtId="0" fontId="8" fillId="3" borderId="19" xfId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0" fillId="0" borderId="31" xfId="0" applyNumberFormat="1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359352</xdr:colOff>
      <xdr:row>9</xdr:row>
      <xdr:rowOff>153266</xdr:rowOff>
    </xdr:from>
    <xdr:to>
      <xdr:col>15</xdr:col>
      <xdr:colOff>488661</xdr:colOff>
      <xdr:row>16</xdr:row>
      <xdr:rowOff>31173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41102" y="2344016"/>
          <a:ext cx="5749059" cy="21353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601706</xdr:colOff>
      <xdr:row>317</xdr:row>
      <xdr:rowOff>118727</xdr:rowOff>
    </xdr:from>
    <xdr:to>
      <xdr:col>6</xdr:col>
      <xdr:colOff>760535</xdr:colOff>
      <xdr:row>335</xdr:row>
      <xdr:rowOff>193617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1706" y="55352004"/>
          <a:ext cx="5253971" cy="36621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406973</xdr:colOff>
      <xdr:row>296</xdr:row>
      <xdr:rowOff>60613</xdr:rowOff>
    </xdr:from>
    <xdr:to>
      <xdr:col>7</xdr:col>
      <xdr:colOff>306334</xdr:colOff>
      <xdr:row>317</xdr:row>
      <xdr:rowOff>10004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6973" y="63116113"/>
          <a:ext cx="5571066" cy="4131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545524</xdr:colOff>
      <xdr:row>321</xdr:row>
      <xdr:rowOff>155863</xdr:rowOff>
    </xdr:from>
    <xdr:to>
      <xdr:col>5</xdr:col>
      <xdr:colOff>69274</xdr:colOff>
      <xdr:row>330</xdr:row>
      <xdr:rowOff>158750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83824" y="57648763"/>
          <a:ext cx="2222500" cy="1774537"/>
        </a:xfrm>
        <a:custGeom>
          <a:avLst/>
          <a:gdLst>
            <a:gd name="connsiteX0" fmla="*/ 0 w 2031423"/>
            <a:gd name="connsiteY0" fmla="*/ 0 h 1627909"/>
            <a:gd name="connsiteX1" fmla="*/ 2031423 w 2031423"/>
            <a:gd name="connsiteY1" fmla="*/ 0 h 1627909"/>
            <a:gd name="connsiteX2" fmla="*/ 2031423 w 2031423"/>
            <a:gd name="connsiteY2" fmla="*/ 1627909 h 1627909"/>
            <a:gd name="connsiteX3" fmla="*/ 0 w 2031423"/>
            <a:gd name="connsiteY3" fmla="*/ 1627909 h 1627909"/>
            <a:gd name="connsiteX4" fmla="*/ 0 w 2031423"/>
            <a:gd name="connsiteY4" fmla="*/ 0 h 1627909"/>
            <a:gd name="connsiteX0" fmla="*/ 17318 w 2031423"/>
            <a:gd name="connsiteY0" fmla="*/ 225136 h 1627909"/>
            <a:gd name="connsiteX1" fmla="*/ 2031423 w 2031423"/>
            <a:gd name="connsiteY1" fmla="*/ 0 h 1627909"/>
            <a:gd name="connsiteX2" fmla="*/ 2031423 w 2031423"/>
            <a:gd name="connsiteY2" fmla="*/ 1627909 h 1627909"/>
            <a:gd name="connsiteX3" fmla="*/ 0 w 2031423"/>
            <a:gd name="connsiteY3" fmla="*/ 1627909 h 1627909"/>
            <a:gd name="connsiteX4" fmla="*/ 17318 w 2031423"/>
            <a:gd name="connsiteY4" fmla="*/ 225136 h 1627909"/>
            <a:gd name="connsiteX0" fmla="*/ 17318 w 2031423"/>
            <a:gd name="connsiteY0" fmla="*/ 614795 h 2017568"/>
            <a:gd name="connsiteX1" fmla="*/ 2022764 w 2031423"/>
            <a:gd name="connsiteY1" fmla="*/ 0 h 2017568"/>
            <a:gd name="connsiteX2" fmla="*/ 2031423 w 2031423"/>
            <a:gd name="connsiteY2" fmla="*/ 2017568 h 2017568"/>
            <a:gd name="connsiteX3" fmla="*/ 0 w 2031423"/>
            <a:gd name="connsiteY3" fmla="*/ 2017568 h 2017568"/>
            <a:gd name="connsiteX4" fmla="*/ 17318 w 2031423"/>
            <a:gd name="connsiteY4" fmla="*/ 614795 h 201756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31423" h="2017568">
              <a:moveTo>
                <a:pt x="17318" y="614795"/>
              </a:moveTo>
              <a:lnTo>
                <a:pt x="2022764" y="0"/>
              </a:lnTo>
              <a:cubicBezTo>
                <a:pt x="2025650" y="672523"/>
                <a:pt x="2028537" y="1345045"/>
                <a:pt x="2031423" y="2017568"/>
              </a:cubicBezTo>
              <a:lnTo>
                <a:pt x="0" y="2017568"/>
              </a:lnTo>
              <a:lnTo>
                <a:pt x="17318" y="614795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406972</xdr:colOff>
      <xdr:row>254</xdr:row>
      <xdr:rowOff>69272</xdr:rowOff>
    </xdr:from>
    <xdr:to>
      <xdr:col>6</xdr:col>
      <xdr:colOff>306333</xdr:colOff>
      <xdr:row>275</xdr:row>
      <xdr:rowOff>35597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8972" y="54361772"/>
          <a:ext cx="4047066" cy="4148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193869</xdr:colOff>
      <xdr:row>275</xdr:row>
      <xdr:rowOff>153748</xdr:rowOff>
    </xdr:from>
    <xdr:to>
      <xdr:col>5</xdr:col>
      <xdr:colOff>439615</xdr:colOff>
      <xdr:row>294</xdr:row>
      <xdr:rowOff>35426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9931" y="47016748"/>
          <a:ext cx="2906884" cy="366823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671812</xdr:colOff>
      <xdr:row>284</xdr:row>
      <xdr:rowOff>54486</xdr:rowOff>
    </xdr:from>
    <xdr:to>
      <xdr:col>3</xdr:col>
      <xdr:colOff>960760</xdr:colOff>
      <xdr:row>285</xdr:row>
      <xdr:rowOff>54487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157104" y="48711117"/>
          <a:ext cx="288948" cy="199293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457200</xdr:colOff>
      <xdr:row>212</xdr:row>
      <xdr:rowOff>76200</xdr:rowOff>
    </xdr:from>
    <xdr:to>
      <xdr:col>15</xdr:col>
      <xdr:colOff>651015</xdr:colOff>
      <xdr:row>252</xdr:row>
      <xdr:rowOff>32561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848475" y="34928175"/>
          <a:ext cx="5794515" cy="7947836"/>
          <a:chOff x="247650" y="34671000"/>
          <a:chExt cx="5794515" cy="7947836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78727" y="3837491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47675" y="34671000"/>
            <a:ext cx="269625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750" y="34671000"/>
            <a:ext cx="269625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16625" y="3837491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1779" y="38374918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650" y="40638836"/>
            <a:ext cx="263633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0136" y="40638836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227" y="40638836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1123949</xdr:colOff>
      <xdr:row>50</xdr:row>
      <xdr:rowOff>329365</xdr:rowOff>
    </xdr:from>
    <xdr:to>
      <xdr:col>15</xdr:col>
      <xdr:colOff>132424</xdr:colOff>
      <xdr:row>57</xdr:row>
      <xdr:rowOff>170835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5224" y="12016540"/>
          <a:ext cx="4609175" cy="3060920"/>
        </a:xfrm>
        <a:prstGeom prst="rect">
          <a:avLst/>
        </a:prstGeom>
      </xdr:spPr>
    </xdr:pic>
    <xdr:clientData/>
  </xdr:twoCellAnchor>
  <xdr:twoCellAnchor>
    <xdr:from>
      <xdr:col>8</xdr:col>
      <xdr:colOff>285750</xdr:colOff>
      <xdr:row>210</xdr:row>
      <xdr:rowOff>114299</xdr:rowOff>
    </xdr:from>
    <xdr:to>
      <xdr:col>16</xdr:col>
      <xdr:colOff>208999</xdr:colOff>
      <xdr:row>241</xdr:row>
      <xdr:rowOff>83550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677025" y="34566224"/>
          <a:ext cx="6304999" cy="6160501"/>
          <a:chOff x="57150" y="34728149"/>
          <a:chExt cx="6304999" cy="6160501"/>
        </a:xfrm>
      </xdr:grpSpPr>
      <xdr:pic>
        <xdr:nvPicPr>
          <xdr:cNvPr id="29" name="Picture 28" descr="https://vsjcllp.vsjadon.com/upload/insp-234020-1525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86150" y="38725475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34020-843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7150" y="38728650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4020-847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8974" y="34728149"/>
            <a:ext cx="2924870" cy="3905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4020-844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71650" y="38719125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4020-861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" y="34728149"/>
            <a:ext cx="2924870" cy="390525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247650</xdr:colOff>
      <xdr:row>63</xdr:row>
      <xdr:rowOff>247650</xdr:rowOff>
    </xdr:from>
    <xdr:to>
      <xdr:col>22</xdr:col>
      <xdr:colOff>572686</xdr:colOff>
      <xdr:row>109</xdr:row>
      <xdr:rowOff>114991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E70A4F-A9DC-456A-960D-86B0A648D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62975" y="16354425"/>
          <a:ext cx="8497486" cy="4953691"/>
        </a:xfrm>
        <a:prstGeom prst="rect">
          <a:avLst/>
        </a:prstGeom>
      </xdr:spPr>
    </xdr:pic>
    <xdr:clientData/>
  </xdr:twoCellAnchor>
  <xdr:twoCellAnchor editAs="oneCell">
    <xdr:from>
      <xdr:col>8</xdr:col>
      <xdr:colOff>638175</xdr:colOff>
      <xdr:row>51</xdr:row>
      <xdr:rowOff>1371600</xdr:rowOff>
    </xdr:from>
    <xdr:to>
      <xdr:col>13</xdr:col>
      <xdr:colOff>123375</xdr:colOff>
      <xdr:row>61</xdr:row>
      <xdr:rowOff>171150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E357D9C-13E1-48B4-835B-26AB383BE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9450" y="13477875"/>
          <a:ext cx="3600000" cy="2400000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212</xdr:row>
      <xdr:rowOff>171450</xdr:rowOff>
    </xdr:from>
    <xdr:to>
      <xdr:col>7</xdr:col>
      <xdr:colOff>130840</xdr:colOff>
      <xdr:row>251</xdr:row>
      <xdr:rowOff>164892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B31A2B9-D72A-4348-845C-956F80995CBB}"/>
            </a:ext>
          </a:extLst>
        </xdr:cNvPr>
        <xdr:cNvGrpSpPr/>
      </xdr:nvGrpSpPr>
      <xdr:grpSpPr>
        <a:xfrm>
          <a:off x="628650" y="35023425"/>
          <a:ext cx="5188615" cy="7784892"/>
          <a:chOff x="990879" y="233083"/>
          <a:chExt cx="5188615" cy="7784892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061BA0D-BBB1-4727-B99D-B6786D78A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879" y="233083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BF337950-7231-4696-9492-86556F076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4432" y="233083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2F53B58-A949-45F7-B3FE-07B020280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6311" y="367552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B95E78FD-5010-41BA-B54C-8097D37E8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90879" y="367552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34F0CE97-70E5-440D-A8B3-00B148C05F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1744" y="3675529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298F61B0-F6FA-4CAD-80C4-B665C84EB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46062" y="6037975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A397BF86-AD23-4F53-BD4C-AA366C00BE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4432" y="6037975"/>
            <a:ext cx="1482938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1052107</xdr:colOff>
      <xdr:row>14</xdr:row>
      <xdr:rowOff>0</xdr:rowOff>
    </xdr:from>
    <xdr:to>
      <xdr:col>17</xdr:col>
      <xdr:colOff>576078</xdr:colOff>
      <xdr:row>35</xdr:row>
      <xdr:rowOff>47523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3372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801441</xdr:colOff>
      <xdr:row>58</xdr:row>
      <xdr:rowOff>47524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7059706"/>
          <a:ext cx="7200000" cy="4048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99acres.com/rustomjee-ashiana-juhu-western-mumbai-npxid-r406322" TargetMode="External"/><Relationship Id="rId1" Type="http://schemas.openxmlformats.org/officeDocument/2006/relationships/hyperlink" Target="https://goo.gl/maps/uH6GS7VACPQDJre4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96"/>
  <sheetViews>
    <sheetView tabSelected="1" view="pageBreakPreview" zoomScaleNormal="100" zoomScaleSheetLayoutView="100" zoomScalePageLayoutView="85" workbookViewId="0">
      <selection activeCell="J5" sqref="J5"/>
    </sheetView>
  </sheetViews>
  <sheetFormatPr defaultColWidth="9.28515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28515625" style="38" customWidth="1"/>
    <col min="5" max="6" width="11.71093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7109375" style="19" customWidth="1"/>
    <col min="14" max="14" width="12.5703125" style="19" customWidth="1"/>
    <col min="15" max="15" width="9.7109375" style="19" customWidth="1"/>
    <col min="16" max="16" width="11.7109375" style="19" customWidth="1"/>
    <col min="17" max="247" width="9.28515625" style="19"/>
    <col min="248" max="248" width="8.7109375" style="19" customWidth="1"/>
    <col min="249" max="249" width="9.71093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7109375" style="19" customWidth="1"/>
    <col min="256" max="256" width="11.28515625" style="19" customWidth="1"/>
    <col min="257" max="257" width="2.7109375" style="19" customWidth="1"/>
    <col min="258" max="258" width="3.5703125" style="19" customWidth="1"/>
    <col min="259" max="503" width="9.28515625" style="19"/>
    <col min="504" max="504" width="8.7109375" style="19" customWidth="1"/>
    <col min="505" max="505" width="9.71093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7109375" style="19" customWidth="1"/>
    <col min="512" max="512" width="11.28515625" style="19" customWidth="1"/>
    <col min="513" max="513" width="2.7109375" style="19" customWidth="1"/>
    <col min="514" max="514" width="3.5703125" style="19" customWidth="1"/>
    <col min="515" max="759" width="9.28515625" style="19"/>
    <col min="760" max="760" width="8.7109375" style="19" customWidth="1"/>
    <col min="761" max="761" width="9.71093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7109375" style="19" customWidth="1"/>
    <col min="768" max="768" width="11.28515625" style="19" customWidth="1"/>
    <col min="769" max="769" width="2.7109375" style="19" customWidth="1"/>
    <col min="770" max="770" width="3.5703125" style="19" customWidth="1"/>
    <col min="771" max="1015" width="9.28515625" style="19"/>
    <col min="1016" max="1016" width="8.7109375" style="19" customWidth="1"/>
    <col min="1017" max="1017" width="9.71093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7109375" style="19" customWidth="1"/>
    <col min="1024" max="1024" width="11.28515625" style="19" customWidth="1"/>
    <col min="1025" max="1025" width="2.7109375" style="19" customWidth="1"/>
    <col min="1026" max="1026" width="3.5703125" style="19" customWidth="1"/>
    <col min="1027" max="1271" width="9.28515625" style="19"/>
    <col min="1272" max="1272" width="8.7109375" style="19" customWidth="1"/>
    <col min="1273" max="1273" width="9.71093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7109375" style="19" customWidth="1"/>
    <col min="1280" max="1280" width="11.28515625" style="19" customWidth="1"/>
    <col min="1281" max="1281" width="2.7109375" style="19" customWidth="1"/>
    <col min="1282" max="1282" width="3.5703125" style="19" customWidth="1"/>
    <col min="1283" max="1527" width="9.28515625" style="19"/>
    <col min="1528" max="1528" width="8.7109375" style="19" customWidth="1"/>
    <col min="1529" max="1529" width="9.71093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7109375" style="19" customWidth="1"/>
    <col min="1536" max="1536" width="11.28515625" style="19" customWidth="1"/>
    <col min="1537" max="1537" width="2.7109375" style="19" customWidth="1"/>
    <col min="1538" max="1538" width="3.5703125" style="19" customWidth="1"/>
    <col min="1539" max="1783" width="9.28515625" style="19"/>
    <col min="1784" max="1784" width="8.7109375" style="19" customWidth="1"/>
    <col min="1785" max="1785" width="9.71093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7109375" style="19" customWidth="1"/>
    <col min="1792" max="1792" width="11.28515625" style="19" customWidth="1"/>
    <col min="1793" max="1793" width="2.7109375" style="19" customWidth="1"/>
    <col min="1794" max="1794" width="3.5703125" style="19" customWidth="1"/>
    <col min="1795" max="2039" width="9.28515625" style="19"/>
    <col min="2040" max="2040" width="8.7109375" style="19" customWidth="1"/>
    <col min="2041" max="2041" width="9.71093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7109375" style="19" customWidth="1"/>
    <col min="2048" max="2048" width="11.28515625" style="19" customWidth="1"/>
    <col min="2049" max="2049" width="2.7109375" style="19" customWidth="1"/>
    <col min="2050" max="2050" width="3.5703125" style="19" customWidth="1"/>
    <col min="2051" max="2295" width="9.28515625" style="19"/>
    <col min="2296" max="2296" width="8.7109375" style="19" customWidth="1"/>
    <col min="2297" max="2297" width="9.71093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7109375" style="19" customWidth="1"/>
    <col min="2304" max="2304" width="11.28515625" style="19" customWidth="1"/>
    <col min="2305" max="2305" width="2.7109375" style="19" customWidth="1"/>
    <col min="2306" max="2306" width="3.5703125" style="19" customWidth="1"/>
    <col min="2307" max="2551" width="9.28515625" style="19"/>
    <col min="2552" max="2552" width="8.7109375" style="19" customWidth="1"/>
    <col min="2553" max="2553" width="9.71093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7109375" style="19" customWidth="1"/>
    <col min="2560" max="2560" width="11.28515625" style="19" customWidth="1"/>
    <col min="2561" max="2561" width="2.7109375" style="19" customWidth="1"/>
    <col min="2562" max="2562" width="3.5703125" style="19" customWidth="1"/>
    <col min="2563" max="2807" width="9.28515625" style="19"/>
    <col min="2808" max="2808" width="8.7109375" style="19" customWidth="1"/>
    <col min="2809" max="2809" width="9.71093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7109375" style="19" customWidth="1"/>
    <col min="2816" max="2816" width="11.28515625" style="19" customWidth="1"/>
    <col min="2817" max="2817" width="2.7109375" style="19" customWidth="1"/>
    <col min="2818" max="2818" width="3.5703125" style="19" customWidth="1"/>
    <col min="2819" max="3063" width="9.28515625" style="19"/>
    <col min="3064" max="3064" width="8.7109375" style="19" customWidth="1"/>
    <col min="3065" max="3065" width="9.71093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7109375" style="19" customWidth="1"/>
    <col min="3072" max="3072" width="11.28515625" style="19" customWidth="1"/>
    <col min="3073" max="3073" width="2.7109375" style="19" customWidth="1"/>
    <col min="3074" max="3074" width="3.5703125" style="19" customWidth="1"/>
    <col min="3075" max="3319" width="9.28515625" style="19"/>
    <col min="3320" max="3320" width="8.7109375" style="19" customWidth="1"/>
    <col min="3321" max="3321" width="9.71093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7109375" style="19" customWidth="1"/>
    <col min="3328" max="3328" width="11.28515625" style="19" customWidth="1"/>
    <col min="3329" max="3329" width="2.7109375" style="19" customWidth="1"/>
    <col min="3330" max="3330" width="3.5703125" style="19" customWidth="1"/>
    <col min="3331" max="3575" width="9.28515625" style="19"/>
    <col min="3576" max="3576" width="8.7109375" style="19" customWidth="1"/>
    <col min="3577" max="3577" width="9.71093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7109375" style="19" customWidth="1"/>
    <col min="3584" max="3584" width="11.28515625" style="19" customWidth="1"/>
    <col min="3585" max="3585" width="2.7109375" style="19" customWidth="1"/>
    <col min="3586" max="3586" width="3.5703125" style="19" customWidth="1"/>
    <col min="3587" max="3831" width="9.28515625" style="19"/>
    <col min="3832" max="3832" width="8.7109375" style="19" customWidth="1"/>
    <col min="3833" max="3833" width="9.71093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7109375" style="19" customWidth="1"/>
    <col min="3840" max="3840" width="11.28515625" style="19" customWidth="1"/>
    <col min="3841" max="3841" width="2.7109375" style="19" customWidth="1"/>
    <col min="3842" max="3842" width="3.5703125" style="19" customWidth="1"/>
    <col min="3843" max="4087" width="9.28515625" style="19"/>
    <col min="4088" max="4088" width="8.7109375" style="19" customWidth="1"/>
    <col min="4089" max="4089" width="9.71093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7109375" style="19" customWidth="1"/>
    <col min="4096" max="4096" width="11.28515625" style="19" customWidth="1"/>
    <col min="4097" max="4097" width="2.7109375" style="19" customWidth="1"/>
    <col min="4098" max="4098" width="3.5703125" style="19" customWidth="1"/>
    <col min="4099" max="4343" width="9.28515625" style="19"/>
    <col min="4344" max="4344" width="8.7109375" style="19" customWidth="1"/>
    <col min="4345" max="4345" width="9.71093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7109375" style="19" customWidth="1"/>
    <col min="4352" max="4352" width="11.28515625" style="19" customWidth="1"/>
    <col min="4353" max="4353" width="2.7109375" style="19" customWidth="1"/>
    <col min="4354" max="4354" width="3.5703125" style="19" customWidth="1"/>
    <col min="4355" max="4599" width="9.28515625" style="19"/>
    <col min="4600" max="4600" width="8.7109375" style="19" customWidth="1"/>
    <col min="4601" max="4601" width="9.71093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7109375" style="19" customWidth="1"/>
    <col min="4608" max="4608" width="11.28515625" style="19" customWidth="1"/>
    <col min="4609" max="4609" width="2.7109375" style="19" customWidth="1"/>
    <col min="4610" max="4610" width="3.5703125" style="19" customWidth="1"/>
    <col min="4611" max="4855" width="9.28515625" style="19"/>
    <col min="4856" max="4856" width="8.7109375" style="19" customWidth="1"/>
    <col min="4857" max="4857" width="9.71093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7109375" style="19" customWidth="1"/>
    <col min="4864" max="4864" width="11.28515625" style="19" customWidth="1"/>
    <col min="4865" max="4865" width="2.7109375" style="19" customWidth="1"/>
    <col min="4866" max="4866" width="3.5703125" style="19" customWidth="1"/>
    <col min="4867" max="5111" width="9.28515625" style="19"/>
    <col min="5112" max="5112" width="8.7109375" style="19" customWidth="1"/>
    <col min="5113" max="5113" width="9.71093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7109375" style="19" customWidth="1"/>
    <col min="5120" max="5120" width="11.28515625" style="19" customWidth="1"/>
    <col min="5121" max="5121" width="2.7109375" style="19" customWidth="1"/>
    <col min="5122" max="5122" width="3.5703125" style="19" customWidth="1"/>
    <col min="5123" max="5367" width="9.28515625" style="19"/>
    <col min="5368" max="5368" width="8.7109375" style="19" customWidth="1"/>
    <col min="5369" max="5369" width="9.71093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7109375" style="19" customWidth="1"/>
    <col min="5376" max="5376" width="11.28515625" style="19" customWidth="1"/>
    <col min="5377" max="5377" width="2.7109375" style="19" customWidth="1"/>
    <col min="5378" max="5378" width="3.5703125" style="19" customWidth="1"/>
    <col min="5379" max="5623" width="9.28515625" style="19"/>
    <col min="5624" max="5624" width="8.7109375" style="19" customWidth="1"/>
    <col min="5625" max="5625" width="9.71093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7109375" style="19" customWidth="1"/>
    <col min="5632" max="5632" width="11.28515625" style="19" customWidth="1"/>
    <col min="5633" max="5633" width="2.7109375" style="19" customWidth="1"/>
    <col min="5634" max="5634" width="3.5703125" style="19" customWidth="1"/>
    <col min="5635" max="5879" width="9.28515625" style="19"/>
    <col min="5880" max="5880" width="8.7109375" style="19" customWidth="1"/>
    <col min="5881" max="5881" width="9.71093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7109375" style="19" customWidth="1"/>
    <col min="5888" max="5888" width="11.28515625" style="19" customWidth="1"/>
    <col min="5889" max="5889" width="2.7109375" style="19" customWidth="1"/>
    <col min="5890" max="5890" width="3.5703125" style="19" customWidth="1"/>
    <col min="5891" max="6135" width="9.28515625" style="19"/>
    <col min="6136" max="6136" width="8.7109375" style="19" customWidth="1"/>
    <col min="6137" max="6137" width="9.71093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7109375" style="19" customWidth="1"/>
    <col min="6144" max="6144" width="11.28515625" style="19" customWidth="1"/>
    <col min="6145" max="6145" width="2.7109375" style="19" customWidth="1"/>
    <col min="6146" max="6146" width="3.5703125" style="19" customWidth="1"/>
    <col min="6147" max="6391" width="9.28515625" style="19"/>
    <col min="6392" max="6392" width="8.7109375" style="19" customWidth="1"/>
    <col min="6393" max="6393" width="9.71093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7109375" style="19" customWidth="1"/>
    <col min="6400" max="6400" width="11.28515625" style="19" customWidth="1"/>
    <col min="6401" max="6401" width="2.7109375" style="19" customWidth="1"/>
    <col min="6402" max="6402" width="3.5703125" style="19" customWidth="1"/>
    <col min="6403" max="6647" width="9.28515625" style="19"/>
    <col min="6648" max="6648" width="8.7109375" style="19" customWidth="1"/>
    <col min="6649" max="6649" width="9.71093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7109375" style="19" customWidth="1"/>
    <col min="6656" max="6656" width="11.28515625" style="19" customWidth="1"/>
    <col min="6657" max="6657" width="2.7109375" style="19" customWidth="1"/>
    <col min="6658" max="6658" width="3.5703125" style="19" customWidth="1"/>
    <col min="6659" max="6903" width="9.28515625" style="19"/>
    <col min="6904" max="6904" width="8.7109375" style="19" customWidth="1"/>
    <col min="6905" max="6905" width="9.71093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7109375" style="19" customWidth="1"/>
    <col min="6912" max="6912" width="11.28515625" style="19" customWidth="1"/>
    <col min="6913" max="6913" width="2.7109375" style="19" customWidth="1"/>
    <col min="6914" max="6914" width="3.5703125" style="19" customWidth="1"/>
    <col min="6915" max="7159" width="9.28515625" style="19"/>
    <col min="7160" max="7160" width="8.7109375" style="19" customWidth="1"/>
    <col min="7161" max="7161" width="9.71093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7109375" style="19" customWidth="1"/>
    <col min="7168" max="7168" width="11.28515625" style="19" customWidth="1"/>
    <col min="7169" max="7169" width="2.7109375" style="19" customWidth="1"/>
    <col min="7170" max="7170" width="3.5703125" style="19" customWidth="1"/>
    <col min="7171" max="7415" width="9.28515625" style="19"/>
    <col min="7416" max="7416" width="8.7109375" style="19" customWidth="1"/>
    <col min="7417" max="7417" width="9.71093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7109375" style="19" customWidth="1"/>
    <col min="7424" max="7424" width="11.28515625" style="19" customWidth="1"/>
    <col min="7425" max="7425" width="2.7109375" style="19" customWidth="1"/>
    <col min="7426" max="7426" width="3.5703125" style="19" customWidth="1"/>
    <col min="7427" max="7671" width="9.28515625" style="19"/>
    <col min="7672" max="7672" width="8.7109375" style="19" customWidth="1"/>
    <col min="7673" max="7673" width="9.71093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7109375" style="19" customWidth="1"/>
    <col min="7680" max="7680" width="11.28515625" style="19" customWidth="1"/>
    <col min="7681" max="7681" width="2.7109375" style="19" customWidth="1"/>
    <col min="7682" max="7682" width="3.5703125" style="19" customWidth="1"/>
    <col min="7683" max="7927" width="9.28515625" style="19"/>
    <col min="7928" max="7928" width="8.7109375" style="19" customWidth="1"/>
    <col min="7929" max="7929" width="9.71093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7109375" style="19" customWidth="1"/>
    <col min="7936" max="7936" width="11.28515625" style="19" customWidth="1"/>
    <col min="7937" max="7937" width="2.7109375" style="19" customWidth="1"/>
    <col min="7938" max="7938" width="3.5703125" style="19" customWidth="1"/>
    <col min="7939" max="8183" width="9.28515625" style="19"/>
    <col min="8184" max="8184" width="8.7109375" style="19" customWidth="1"/>
    <col min="8185" max="8185" width="9.71093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7109375" style="19" customWidth="1"/>
    <col min="8192" max="8192" width="11.28515625" style="19" customWidth="1"/>
    <col min="8193" max="8193" width="2.7109375" style="19" customWidth="1"/>
    <col min="8194" max="8194" width="3.5703125" style="19" customWidth="1"/>
    <col min="8195" max="8439" width="9.28515625" style="19"/>
    <col min="8440" max="8440" width="8.7109375" style="19" customWidth="1"/>
    <col min="8441" max="8441" width="9.71093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7109375" style="19" customWidth="1"/>
    <col min="8448" max="8448" width="11.28515625" style="19" customWidth="1"/>
    <col min="8449" max="8449" width="2.7109375" style="19" customWidth="1"/>
    <col min="8450" max="8450" width="3.5703125" style="19" customWidth="1"/>
    <col min="8451" max="8695" width="9.28515625" style="19"/>
    <col min="8696" max="8696" width="8.7109375" style="19" customWidth="1"/>
    <col min="8697" max="8697" width="9.71093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7109375" style="19" customWidth="1"/>
    <col min="8704" max="8704" width="11.28515625" style="19" customWidth="1"/>
    <col min="8705" max="8705" width="2.7109375" style="19" customWidth="1"/>
    <col min="8706" max="8706" width="3.5703125" style="19" customWidth="1"/>
    <col min="8707" max="8951" width="9.28515625" style="19"/>
    <col min="8952" max="8952" width="8.7109375" style="19" customWidth="1"/>
    <col min="8953" max="8953" width="9.71093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7109375" style="19" customWidth="1"/>
    <col min="8960" max="8960" width="11.28515625" style="19" customWidth="1"/>
    <col min="8961" max="8961" width="2.7109375" style="19" customWidth="1"/>
    <col min="8962" max="8962" width="3.5703125" style="19" customWidth="1"/>
    <col min="8963" max="9207" width="9.28515625" style="19"/>
    <col min="9208" max="9208" width="8.7109375" style="19" customWidth="1"/>
    <col min="9209" max="9209" width="9.71093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7109375" style="19" customWidth="1"/>
    <col min="9216" max="9216" width="11.28515625" style="19" customWidth="1"/>
    <col min="9217" max="9217" width="2.7109375" style="19" customWidth="1"/>
    <col min="9218" max="9218" width="3.5703125" style="19" customWidth="1"/>
    <col min="9219" max="9463" width="9.28515625" style="19"/>
    <col min="9464" max="9464" width="8.7109375" style="19" customWidth="1"/>
    <col min="9465" max="9465" width="9.71093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7109375" style="19" customWidth="1"/>
    <col min="9472" max="9472" width="11.28515625" style="19" customWidth="1"/>
    <col min="9473" max="9473" width="2.7109375" style="19" customWidth="1"/>
    <col min="9474" max="9474" width="3.5703125" style="19" customWidth="1"/>
    <col min="9475" max="9719" width="9.28515625" style="19"/>
    <col min="9720" max="9720" width="8.7109375" style="19" customWidth="1"/>
    <col min="9721" max="9721" width="9.71093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7109375" style="19" customWidth="1"/>
    <col min="9728" max="9728" width="11.28515625" style="19" customWidth="1"/>
    <col min="9729" max="9729" width="2.7109375" style="19" customWidth="1"/>
    <col min="9730" max="9730" width="3.5703125" style="19" customWidth="1"/>
    <col min="9731" max="9975" width="9.28515625" style="19"/>
    <col min="9976" max="9976" width="8.7109375" style="19" customWidth="1"/>
    <col min="9977" max="9977" width="9.71093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7109375" style="19" customWidth="1"/>
    <col min="9984" max="9984" width="11.28515625" style="19" customWidth="1"/>
    <col min="9985" max="9985" width="2.7109375" style="19" customWidth="1"/>
    <col min="9986" max="9986" width="3.5703125" style="19" customWidth="1"/>
    <col min="9987" max="10231" width="9.28515625" style="19"/>
    <col min="10232" max="10232" width="8.7109375" style="19" customWidth="1"/>
    <col min="10233" max="10233" width="9.71093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7109375" style="19" customWidth="1"/>
    <col min="10240" max="10240" width="11.28515625" style="19" customWidth="1"/>
    <col min="10241" max="10241" width="2.7109375" style="19" customWidth="1"/>
    <col min="10242" max="10242" width="3.5703125" style="19" customWidth="1"/>
    <col min="10243" max="10487" width="9.28515625" style="19"/>
    <col min="10488" max="10488" width="8.7109375" style="19" customWidth="1"/>
    <col min="10489" max="10489" width="9.71093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7109375" style="19" customWidth="1"/>
    <col min="10496" max="10496" width="11.28515625" style="19" customWidth="1"/>
    <col min="10497" max="10497" width="2.7109375" style="19" customWidth="1"/>
    <col min="10498" max="10498" width="3.5703125" style="19" customWidth="1"/>
    <col min="10499" max="10743" width="9.28515625" style="19"/>
    <col min="10744" max="10744" width="8.7109375" style="19" customWidth="1"/>
    <col min="10745" max="10745" width="9.71093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7109375" style="19" customWidth="1"/>
    <col min="10752" max="10752" width="11.28515625" style="19" customWidth="1"/>
    <col min="10753" max="10753" width="2.7109375" style="19" customWidth="1"/>
    <col min="10754" max="10754" width="3.5703125" style="19" customWidth="1"/>
    <col min="10755" max="10999" width="9.28515625" style="19"/>
    <col min="11000" max="11000" width="8.7109375" style="19" customWidth="1"/>
    <col min="11001" max="11001" width="9.71093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7109375" style="19" customWidth="1"/>
    <col min="11008" max="11008" width="11.28515625" style="19" customWidth="1"/>
    <col min="11009" max="11009" width="2.7109375" style="19" customWidth="1"/>
    <col min="11010" max="11010" width="3.5703125" style="19" customWidth="1"/>
    <col min="11011" max="11255" width="9.28515625" style="19"/>
    <col min="11256" max="11256" width="8.7109375" style="19" customWidth="1"/>
    <col min="11257" max="11257" width="9.71093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7109375" style="19" customWidth="1"/>
    <col min="11264" max="11264" width="11.28515625" style="19" customWidth="1"/>
    <col min="11265" max="11265" width="2.7109375" style="19" customWidth="1"/>
    <col min="11266" max="11266" width="3.5703125" style="19" customWidth="1"/>
    <col min="11267" max="11511" width="9.28515625" style="19"/>
    <col min="11512" max="11512" width="8.7109375" style="19" customWidth="1"/>
    <col min="11513" max="11513" width="9.71093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7109375" style="19" customWidth="1"/>
    <col min="11520" max="11520" width="11.28515625" style="19" customWidth="1"/>
    <col min="11521" max="11521" width="2.7109375" style="19" customWidth="1"/>
    <col min="11522" max="11522" width="3.5703125" style="19" customWidth="1"/>
    <col min="11523" max="11767" width="9.28515625" style="19"/>
    <col min="11768" max="11768" width="8.7109375" style="19" customWidth="1"/>
    <col min="11769" max="11769" width="9.71093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7109375" style="19" customWidth="1"/>
    <col min="11776" max="11776" width="11.28515625" style="19" customWidth="1"/>
    <col min="11777" max="11777" width="2.7109375" style="19" customWidth="1"/>
    <col min="11778" max="11778" width="3.5703125" style="19" customWidth="1"/>
    <col min="11779" max="12023" width="9.28515625" style="19"/>
    <col min="12024" max="12024" width="8.7109375" style="19" customWidth="1"/>
    <col min="12025" max="12025" width="9.71093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7109375" style="19" customWidth="1"/>
    <col min="12032" max="12032" width="11.28515625" style="19" customWidth="1"/>
    <col min="12033" max="12033" width="2.7109375" style="19" customWidth="1"/>
    <col min="12034" max="12034" width="3.5703125" style="19" customWidth="1"/>
    <col min="12035" max="12279" width="9.28515625" style="19"/>
    <col min="12280" max="12280" width="8.7109375" style="19" customWidth="1"/>
    <col min="12281" max="12281" width="9.71093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7109375" style="19" customWidth="1"/>
    <col min="12288" max="12288" width="11.28515625" style="19" customWidth="1"/>
    <col min="12289" max="12289" width="2.7109375" style="19" customWidth="1"/>
    <col min="12290" max="12290" width="3.5703125" style="19" customWidth="1"/>
    <col min="12291" max="12535" width="9.28515625" style="19"/>
    <col min="12536" max="12536" width="8.7109375" style="19" customWidth="1"/>
    <col min="12537" max="12537" width="9.71093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7109375" style="19" customWidth="1"/>
    <col min="12544" max="12544" width="11.28515625" style="19" customWidth="1"/>
    <col min="12545" max="12545" width="2.7109375" style="19" customWidth="1"/>
    <col min="12546" max="12546" width="3.5703125" style="19" customWidth="1"/>
    <col min="12547" max="12791" width="9.28515625" style="19"/>
    <col min="12792" max="12792" width="8.7109375" style="19" customWidth="1"/>
    <col min="12793" max="12793" width="9.71093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7109375" style="19" customWidth="1"/>
    <col min="12800" max="12800" width="11.28515625" style="19" customWidth="1"/>
    <col min="12801" max="12801" width="2.7109375" style="19" customWidth="1"/>
    <col min="12802" max="12802" width="3.5703125" style="19" customWidth="1"/>
    <col min="12803" max="13047" width="9.28515625" style="19"/>
    <col min="13048" max="13048" width="8.7109375" style="19" customWidth="1"/>
    <col min="13049" max="13049" width="9.71093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7109375" style="19" customWidth="1"/>
    <col min="13056" max="13056" width="11.28515625" style="19" customWidth="1"/>
    <col min="13057" max="13057" width="2.7109375" style="19" customWidth="1"/>
    <col min="13058" max="13058" width="3.5703125" style="19" customWidth="1"/>
    <col min="13059" max="13303" width="9.28515625" style="19"/>
    <col min="13304" max="13304" width="8.7109375" style="19" customWidth="1"/>
    <col min="13305" max="13305" width="9.71093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7109375" style="19" customWidth="1"/>
    <col min="13312" max="13312" width="11.28515625" style="19" customWidth="1"/>
    <col min="13313" max="13313" width="2.7109375" style="19" customWidth="1"/>
    <col min="13314" max="13314" width="3.5703125" style="19" customWidth="1"/>
    <col min="13315" max="13559" width="9.28515625" style="19"/>
    <col min="13560" max="13560" width="8.7109375" style="19" customWidth="1"/>
    <col min="13561" max="13561" width="9.71093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7109375" style="19" customWidth="1"/>
    <col min="13568" max="13568" width="11.28515625" style="19" customWidth="1"/>
    <col min="13569" max="13569" width="2.7109375" style="19" customWidth="1"/>
    <col min="13570" max="13570" width="3.5703125" style="19" customWidth="1"/>
    <col min="13571" max="13815" width="9.28515625" style="19"/>
    <col min="13816" max="13816" width="8.7109375" style="19" customWidth="1"/>
    <col min="13817" max="13817" width="9.71093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7109375" style="19" customWidth="1"/>
    <col min="13824" max="13824" width="11.28515625" style="19" customWidth="1"/>
    <col min="13825" max="13825" width="2.7109375" style="19" customWidth="1"/>
    <col min="13826" max="13826" width="3.5703125" style="19" customWidth="1"/>
    <col min="13827" max="14071" width="9.28515625" style="19"/>
    <col min="14072" max="14072" width="8.7109375" style="19" customWidth="1"/>
    <col min="14073" max="14073" width="9.71093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7109375" style="19" customWidth="1"/>
    <col min="14080" max="14080" width="11.28515625" style="19" customWidth="1"/>
    <col min="14081" max="14081" width="2.7109375" style="19" customWidth="1"/>
    <col min="14082" max="14082" width="3.5703125" style="19" customWidth="1"/>
    <col min="14083" max="14327" width="9.28515625" style="19"/>
    <col min="14328" max="14328" width="8.7109375" style="19" customWidth="1"/>
    <col min="14329" max="14329" width="9.71093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7109375" style="19" customWidth="1"/>
    <col min="14336" max="14336" width="11.28515625" style="19" customWidth="1"/>
    <col min="14337" max="14337" width="2.7109375" style="19" customWidth="1"/>
    <col min="14338" max="14338" width="3.5703125" style="19" customWidth="1"/>
    <col min="14339" max="14583" width="9.28515625" style="19"/>
    <col min="14584" max="14584" width="8.7109375" style="19" customWidth="1"/>
    <col min="14585" max="14585" width="9.71093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7109375" style="19" customWidth="1"/>
    <col min="14592" max="14592" width="11.28515625" style="19" customWidth="1"/>
    <col min="14593" max="14593" width="2.7109375" style="19" customWidth="1"/>
    <col min="14594" max="14594" width="3.5703125" style="19" customWidth="1"/>
    <col min="14595" max="14839" width="9.28515625" style="19"/>
    <col min="14840" max="14840" width="8.7109375" style="19" customWidth="1"/>
    <col min="14841" max="14841" width="9.71093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7109375" style="19" customWidth="1"/>
    <col min="14848" max="14848" width="11.28515625" style="19" customWidth="1"/>
    <col min="14849" max="14849" width="2.7109375" style="19" customWidth="1"/>
    <col min="14850" max="14850" width="3.5703125" style="19" customWidth="1"/>
    <col min="14851" max="15095" width="9.28515625" style="19"/>
    <col min="15096" max="15096" width="8.7109375" style="19" customWidth="1"/>
    <col min="15097" max="15097" width="9.71093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7109375" style="19" customWidth="1"/>
    <col min="15104" max="15104" width="11.28515625" style="19" customWidth="1"/>
    <col min="15105" max="15105" width="2.7109375" style="19" customWidth="1"/>
    <col min="15106" max="15106" width="3.5703125" style="19" customWidth="1"/>
    <col min="15107" max="15351" width="9.28515625" style="19"/>
    <col min="15352" max="15352" width="8.7109375" style="19" customWidth="1"/>
    <col min="15353" max="15353" width="9.71093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7109375" style="19" customWidth="1"/>
    <col min="15360" max="15360" width="11.28515625" style="19" customWidth="1"/>
    <col min="15361" max="15361" width="2.7109375" style="19" customWidth="1"/>
    <col min="15362" max="15362" width="3.5703125" style="19" customWidth="1"/>
    <col min="15363" max="15607" width="9.28515625" style="19"/>
    <col min="15608" max="15608" width="8.7109375" style="19" customWidth="1"/>
    <col min="15609" max="15609" width="9.71093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7109375" style="19" customWidth="1"/>
    <col min="15616" max="15616" width="11.28515625" style="19" customWidth="1"/>
    <col min="15617" max="15617" width="2.7109375" style="19" customWidth="1"/>
    <col min="15618" max="15618" width="3.5703125" style="19" customWidth="1"/>
    <col min="15619" max="15863" width="9.28515625" style="19"/>
    <col min="15864" max="15864" width="8.7109375" style="19" customWidth="1"/>
    <col min="15865" max="15865" width="9.71093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7109375" style="19" customWidth="1"/>
    <col min="15872" max="15872" width="11.28515625" style="19" customWidth="1"/>
    <col min="15873" max="15873" width="2.7109375" style="19" customWidth="1"/>
    <col min="15874" max="15874" width="3.5703125" style="19" customWidth="1"/>
    <col min="15875" max="16119" width="9.28515625" style="19"/>
    <col min="16120" max="16120" width="8.7109375" style="19" customWidth="1"/>
    <col min="16121" max="16121" width="9.71093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7109375" style="19" customWidth="1"/>
    <col min="16128" max="16128" width="11.28515625" style="19" customWidth="1"/>
    <col min="16129" max="16129" width="2.7109375" style="19" customWidth="1"/>
    <col min="16130" max="16130" width="3.5703125" style="19" customWidth="1"/>
    <col min="16131" max="16384" width="9.28515625" style="19"/>
  </cols>
  <sheetData>
    <row r="1" spans="1:26" ht="46.5" customHeight="1" x14ac:dyDescent="0.25">
      <c r="A1" s="166" t="s">
        <v>286</v>
      </c>
      <c r="B1" s="166"/>
      <c r="C1" s="166"/>
      <c r="D1" s="166"/>
      <c r="E1" s="166"/>
      <c r="F1" s="166"/>
      <c r="G1" s="166"/>
      <c r="H1" s="166"/>
    </row>
    <row r="2" spans="1:26" ht="16.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</row>
    <row r="3" spans="1:26" x14ac:dyDescent="0.25">
      <c r="A3" s="154" t="s">
        <v>1</v>
      </c>
      <c r="B3" s="154"/>
      <c r="C3" s="154"/>
      <c r="D3" s="154"/>
      <c r="E3" s="154" t="str">
        <f ca="1">TEXT(TODAY(),"DD/MM/YYYY")</f>
        <v>20/08/2025</v>
      </c>
      <c r="F3" s="154"/>
      <c r="G3" s="154"/>
      <c r="H3" s="154"/>
    </row>
    <row r="4" spans="1:26" ht="15" customHeight="1" x14ac:dyDescent="0.25">
      <c r="A4" s="154" t="s">
        <v>2</v>
      </c>
      <c r="B4" s="154"/>
      <c r="C4" s="154"/>
      <c r="D4" s="154"/>
      <c r="E4" s="154" t="s">
        <v>176</v>
      </c>
      <c r="F4" s="154"/>
      <c r="G4" s="154"/>
      <c r="H4" s="154"/>
    </row>
    <row r="5" spans="1:26" x14ac:dyDescent="0.25">
      <c r="A5" s="154" t="s">
        <v>3</v>
      </c>
      <c r="B5" s="154"/>
      <c r="C5" s="154"/>
      <c r="D5" s="154"/>
      <c r="E5" s="168">
        <v>45885</v>
      </c>
      <c r="F5" s="154"/>
      <c r="G5" s="154"/>
      <c r="H5" s="154"/>
    </row>
    <row r="6" spans="1:26" ht="16.5" customHeight="1" x14ac:dyDescent="0.25">
      <c r="A6" s="154" t="s">
        <v>4</v>
      </c>
      <c r="B6" s="154"/>
      <c r="C6" s="154"/>
      <c r="D6" s="154"/>
      <c r="E6" s="154" t="s">
        <v>236</v>
      </c>
      <c r="F6" s="154"/>
      <c r="G6" s="154"/>
      <c r="H6" s="154"/>
    </row>
    <row r="7" spans="1:26" ht="15" customHeight="1" x14ac:dyDescent="0.25">
      <c r="A7" s="154" t="s">
        <v>5</v>
      </c>
      <c r="B7" s="154"/>
      <c r="C7" s="154"/>
      <c r="D7" s="154"/>
      <c r="E7" s="154" t="str">
        <f>E6</f>
        <v>Ferrum Realtors Private Limited</v>
      </c>
      <c r="F7" s="154"/>
      <c r="G7" s="154"/>
      <c r="H7" s="154"/>
    </row>
    <row r="8" spans="1:26" x14ac:dyDescent="0.25">
      <c r="A8" s="154" t="s">
        <v>6</v>
      </c>
      <c r="B8" s="154"/>
      <c r="C8" s="154"/>
      <c r="D8" s="154"/>
      <c r="E8" s="143" t="s">
        <v>237</v>
      </c>
      <c r="F8" s="143"/>
      <c r="G8" s="143"/>
      <c r="H8" s="143"/>
    </row>
    <row r="9" spans="1:26" x14ac:dyDescent="0.25">
      <c r="A9" s="154" t="s">
        <v>173</v>
      </c>
      <c r="B9" s="154"/>
      <c r="C9" s="154"/>
      <c r="D9" s="154"/>
      <c r="E9" s="154" t="s">
        <v>302</v>
      </c>
      <c r="F9" s="154"/>
      <c r="G9" s="154"/>
      <c r="H9" s="154"/>
    </row>
    <row r="10" spans="1:26" x14ac:dyDescent="0.25">
      <c r="A10" s="154" t="s">
        <v>174</v>
      </c>
      <c r="B10" s="154"/>
      <c r="C10" s="154"/>
      <c r="D10" s="154"/>
      <c r="E10" s="154" t="s">
        <v>307</v>
      </c>
      <c r="F10" s="154"/>
      <c r="G10" s="154"/>
      <c r="H10" s="154"/>
      <c r="I10" s="154" t="s">
        <v>303</v>
      </c>
      <c r="J10" s="154"/>
      <c r="K10" s="154"/>
      <c r="L10" s="154"/>
    </row>
    <row r="11" spans="1:26" x14ac:dyDescent="0.25">
      <c r="A11" s="154" t="s">
        <v>7</v>
      </c>
      <c r="B11" s="154"/>
      <c r="C11" s="154"/>
      <c r="D11" s="154"/>
      <c r="E11" s="154" t="s">
        <v>122</v>
      </c>
      <c r="F11" s="154"/>
      <c r="G11" s="154"/>
      <c r="H11" s="154"/>
    </row>
    <row r="12" spans="1:26" x14ac:dyDescent="0.25">
      <c r="A12" s="154" t="s">
        <v>177</v>
      </c>
      <c r="B12" s="154"/>
      <c r="C12" s="154"/>
      <c r="D12" s="154"/>
      <c r="E12" s="154" t="s">
        <v>238</v>
      </c>
      <c r="F12" s="154"/>
      <c r="G12" s="154"/>
      <c r="H12" s="154"/>
      <c r="S12" s="50" t="s">
        <v>183</v>
      </c>
      <c r="T12" s="50" t="s">
        <v>193</v>
      </c>
      <c r="U12" s="50" t="s">
        <v>178</v>
      </c>
      <c r="V12" s="50" t="s">
        <v>198</v>
      </c>
      <c r="W12" s="50" t="s">
        <v>216</v>
      </c>
      <c r="X12"/>
      <c r="Y12" t="s">
        <v>198</v>
      </c>
      <c r="Z12" t="e">
        <f ca="1">OFFSET($S$12,1,MATCH($G19,$S$12:$W$12,0)-1,15,1)</f>
        <v>#VALUE!</v>
      </c>
    </row>
    <row r="13" spans="1:26" x14ac:dyDescent="0.25">
      <c r="A13" s="154" t="s">
        <v>8</v>
      </c>
      <c r="B13" s="154"/>
      <c r="C13" s="154"/>
      <c r="D13" s="154"/>
      <c r="E13" s="105" t="s">
        <v>282</v>
      </c>
      <c r="F13" s="105"/>
      <c r="G13" s="105"/>
      <c r="H13" s="105"/>
      <c r="S13" s="50" t="s">
        <v>184</v>
      </c>
      <c r="T13" s="50" t="s">
        <v>191</v>
      </c>
      <c r="U13" s="50" t="s">
        <v>213</v>
      </c>
      <c r="V13" s="50" t="s">
        <v>199</v>
      </c>
      <c r="W13" s="50" t="s">
        <v>217</v>
      </c>
      <c r="X13"/>
      <c r="Y13"/>
      <c r="Z13"/>
    </row>
    <row r="14" spans="1:26" x14ac:dyDescent="0.25">
      <c r="A14" s="154" t="s">
        <v>9</v>
      </c>
      <c r="B14" s="154"/>
      <c r="C14" s="154"/>
      <c r="D14" s="154"/>
      <c r="E14" s="105" t="s">
        <v>245</v>
      </c>
      <c r="F14" s="154"/>
      <c r="G14" s="154"/>
      <c r="H14" s="154"/>
      <c r="I14" s="210" t="e">
        <f ca="1">OFFSET($D$4,1,MATCH($J12,$D$4:$H$4,0)-1,15,1)</f>
        <v>#N/A</v>
      </c>
      <c r="J14" s="211"/>
      <c r="K14" s="211"/>
      <c r="L14" s="211"/>
      <c r="M14" s="211"/>
      <c r="N14" s="211"/>
      <c r="O14" s="211"/>
      <c r="P14" s="211"/>
      <c r="S14" s="50" t="s">
        <v>185</v>
      </c>
      <c r="T14" s="50" t="s">
        <v>192</v>
      </c>
      <c r="U14" s="50" t="s">
        <v>214</v>
      </c>
      <c r="V14" s="50" t="s">
        <v>200</v>
      </c>
      <c r="W14" s="50" t="s">
        <v>230</v>
      </c>
      <c r="X14"/>
      <c r="Y14"/>
      <c r="Z14"/>
    </row>
    <row r="15" spans="1:26" ht="67.5" customHeight="1" x14ac:dyDescent="0.25">
      <c r="A15" s="105" t="s">
        <v>10</v>
      </c>
      <c r="B15" s="105"/>
      <c r="C15" s="10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Rustomjee Ashiana, Survey No.287 (Pt) &amp; 70 (Pt) &amp; Plot No.06 &amp; Redevelopment of Building " Sind Maharashtra CHSL", Bearing CTS No.197A(Pt) &amp; CTS No.20A (Pt), near Ananya by Lotus Developers, North South Road No.10, , Vile Parle, Vile Parle (West), Andheri, Mumbai - 400049.</v>
      </c>
      <c r="D15" s="105"/>
      <c r="E15" s="105"/>
      <c r="F15" s="105"/>
      <c r="G15" s="105"/>
      <c r="H15" s="105"/>
      <c r="S15" s="50" t="s">
        <v>186</v>
      </c>
      <c r="T15" s="50" t="s">
        <v>194</v>
      </c>
      <c r="U15" s="50" t="s">
        <v>215</v>
      </c>
      <c r="V15" s="50" t="s">
        <v>201</v>
      </c>
      <c r="W15" s="50" t="s">
        <v>218</v>
      </c>
      <c r="X15"/>
      <c r="Y15"/>
      <c r="Z15"/>
    </row>
    <row r="16" spans="1:26" ht="31.5" customHeight="1" x14ac:dyDescent="0.25">
      <c r="A16" s="105" t="s">
        <v>239</v>
      </c>
      <c r="B16" s="105"/>
      <c r="C16" s="105" t="s">
        <v>240</v>
      </c>
      <c r="D16" s="105"/>
      <c r="E16" s="105"/>
      <c r="F16" s="105"/>
      <c r="G16" s="105"/>
      <c r="H16" s="105"/>
      <c r="S16" s="50" t="s">
        <v>187</v>
      </c>
      <c r="T16" s="50" t="s">
        <v>195</v>
      </c>
      <c r="U16" s="50"/>
      <c r="V16" s="50" t="s">
        <v>202</v>
      </c>
      <c r="W16" s="50" t="s">
        <v>219</v>
      </c>
      <c r="X16"/>
      <c r="Y16"/>
      <c r="Z16"/>
    </row>
    <row r="17" spans="1:26" ht="15.75" customHeight="1" x14ac:dyDescent="0.25">
      <c r="A17" s="105" t="s">
        <v>169</v>
      </c>
      <c r="B17" s="105"/>
      <c r="C17" s="105" t="s">
        <v>29</v>
      </c>
      <c r="D17" s="105"/>
      <c r="E17" s="105"/>
      <c r="F17" s="105"/>
      <c r="G17" s="105"/>
      <c r="H17" s="105"/>
      <c r="S17" s="50" t="s">
        <v>188</v>
      </c>
      <c r="T17" s="50" t="s">
        <v>193</v>
      </c>
      <c r="U17" s="50"/>
      <c r="V17" s="50" t="s">
        <v>203</v>
      </c>
      <c r="W17" s="50" t="s">
        <v>220</v>
      </c>
      <c r="X17"/>
      <c r="Y17"/>
      <c r="Z17"/>
    </row>
    <row r="18" spans="1:26" ht="15.75" customHeight="1" x14ac:dyDescent="0.25">
      <c r="A18" s="105" t="s">
        <v>11</v>
      </c>
      <c r="B18" s="105"/>
      <c r="C18" s="154" t="s">
        <v>243</v>
      </c>
      <c r="D18" s="154"/>
      <c r="E18" s="105" t="s">
        <v>72</v>
      </c>
      <c r="F18" s="105"/>
      <c r="G18" s="105" t="s">
        <v>241</v>
      </c>
      <c r="H18" s="105"/>
      <c r="S18" s="50" t="s">
        <v>189</v>
      </c>
      <c r="T18" s="50" t="s">
        <v>196</v>
      </c>
      <c r="U18" s="50"/>
      <c r="V18" s="50" t="s">
        <v>204</v>
      </c>
      <c r="W18" s="50" t="s">
        <v>221</v>
      </c>
      <c r="X18"/>
      <c r="Y18"/>
      <c r="Z18"/>
    </row>
    <row r="19" spans="1:26" x14ac:dyDescent="0.25">
      <c r="A19" s="154" t="s">
        <v>13</v>
      </c>
      <c r="B19" s="154"/>
      <c r="C19" s="105" t="s">
        <v>242</v>
      </c>
      <c r="D19" s="105"/>
      <c r="E19" s="105" t="s">
        <v>12</v>
      </c>
      <c r="F19" s="105"/>
      <c r="G19" s="165" t="s">
        <v>178</v>
      </c>
      <c r="H19" s="165"/>
      <c r="S19" s="50" t="s">
        <v>190</v>
      </c>
      <c r="T19" s="50" t="s">
        <v>197</v>
      </c>
      <c r="U19" s="50"/>
      <c r="V19" s="50" t="s">
        <v>205</v>
      </c>
      <c r="W19" s="50" t="s">
        <v>222</v>
      </c>
      <c r="X19"/>
      <c r="Y19"/>
      <c r="Z19"/>
    </row>
    <row r="20" spans="1:26" x14ac:dyDescent="0.25">
      <c r="A20" s="154" t="s">
        <v>73</v>
      </c>
      <c r="B20" s="154"/>
      <c r="C20" s="105" t="s">
        <v>213</v>
      </c>
      <c r="D20" s="105"/>
      <c r="E20" s="105" t="s">
        <v>14</v>
      </c>
      <c r="F20" s="105"/>
      <c r="G20" s="105">
        <v>400049</v>
      </c>
      <c r="H20" s="105"/>
      <c r="S20" s="50"/>
      <c r="T20" s="50"/>
      <c r="U20" s="50"/>
      <c r="V20" s="50" t="s">
        <v>206</v>
      </c>
      <c r="W20" s="50" t="s">
        <v>223</v>
      </c>
      <c r="X20"/>
      <c r="Y20"/>
      <c r="Z20"/>
    </row>
    <row r="21" spans="1:26" ht="32.25" customHeight="1" x14ac:dyDescent="0.25">
      <c r="A21" s="93" t="s">
        <v>124</v>
      </c>
      <c r="B21" s="93"/>
      <c r="C21" s="105" t="s">
        <v>288</v>
      </c>
      <c r="D21" s="105"/>
      <c r="E21" s="164" t="s">
        <v>15</v>
      </c>
      <c r="F21" s="164"/>
      <c r="G21" s="105" t="s">
        <v>244</v>
      </c>
      <c r="H21" s="105"/>
      <c r="S21" s="50"/>
      <c r="T21" s="50"/>
      <c r="U21" s="50"/>
      <c r="V21" s="50" t="s">
        <v>207</v>
      </c>
      <c r="W21" s="50" t="s">
        <v>224</v>
      </c>
      <c r="X21"/>
      <c r="Y21"/>
      <c r="Z21"/>
    </row>
    <row r="22" spans="1:26" ht="15" customHeight="1" x14ac:dyDescent="0.25">
      <c r="A22" s="164" t="s">
        <v>75</v>
      </c>
      <c r="B22" s="164"/>
      <c r="C22" s="164"/>
      <c r="D22" s="164"/>
      <c r="E22" s="154" t="s">
        <v>16</v>
      </c>
      <c r="F22" s="154"/>
      <c r="G22" s="154"/>
      <c r="H22" s="154"/>
      <c r="S22" s="50"/>
      <c r="T22" s="50"/>
      <c r="U22" s="50"/>
      <c r="V22" s="50" t="s">
        <v>208</v>
      </c>
      <c r="W22" s="50" t="s">
        <v>225</v>
      </c>
      <c r="X22"/>
      <c r="Y22"/>
      <c r="Z22"/>
    </row>
    <row r="23" spans="1:26" ht="18.75" customHeight="1" x14ac:dyDescent="0.25">
      <c r="A23" s="164"/>
      <c r="B23" s="164"/>
      <c r="C23" s="164"/>
      <c r="D23" s="164"/>
      <c r="E23" s="154"/>
      <c r="F23" s="154"/>
      <c r="G23" s="154"/>
      <c r="H23" s="154"/>
      <c r="S23" s="50"/>
      <c r="T23" s="50"/>
      <c r="U23" s="50"/>
      <c r="V23" s="50" t="s">
        <v>209</v>
      </c>
      <c r="W23" s="50" t="s">
        <v>226</v>
      </c>
      <c r="X23"/>
      <c r="Y23"/>
      <c r="Z23"/>
    </row>
    <row r="24" spans="1:26" ht="15" customHeight="1" x14ac:dyDescent="0.25">
      <c r="A24" s="164" t="s">
        <v>17</v>
      </c>
      <c r="B24" s="164"/>
      <c r="C24" s="164"/>
      <c r="D24" s="164"/>
      <c r="E24" s="105" t="s">
        <v>18</v>
      </c>
      <c r="F24" s="105"/>
      <c r="G24" s="105"/>
      <c r="H24" s="105"/>
      <c r="S24" s="50"/>
      <c r="T24" s="50"/>
      <c r="U24" s="50"/>
      <c r="V24" s="50" t="s">
        <v>210</v>
      </c>
      <c r="W24" s="50" t="s">
        <v>227</v>
      </c>
      <c r="X24"/>
      <c r="Y24"/>
      <c r="Z24"/>
    </row>
    <row r="25" spans="1:26" ht="15" customHeight="1" x14ac:dyDescent="0.25">
      <c r="A25" s="93" t="s">
        <v>19</v>
      </c>
      <c r="B25" s="93"/>
      <c r="C25" s="93"/>
      <c r="D25" s="93"/>
      <c r="E25" s="105" t="str">
        <f>IF(AND(G19="Mumbai"),"Upper Class","Middle Class")</f>
        <v>Upper Class</v>
      </c>
      <c r="F25" s="105"/>
      <c r="G25" s="105"/>
      <c r="H25" s="105"/>
      <c r="S25" s="50"/>
      <c r="T25" s="50"/>
      <c r="U25" s="50"/>
      <c r="V25" s="50" t="s">
        <v>211</v>
      </c>
      <c r="W25" s="50" t="s">
        <v>228</v>
      </c>
      <c r="X25"/>
      <c r="Y25"/>
      <c r="Z25"/>
    </row>
    <row r="26" spans="1:26" x14ac:dyDescent="0.25">
      <c r="A26" s="93" t="s">
        <v>20</v>
      </c>
      <c r="B26" s="93"/>
      <c r="C26" s="93"/>
      <c r="D26" s="93"/>
      <c r="E26" s="105" t="s">
        <v>21</v>
      </c>
      <c r="F26" s="105"/>
      <c r="G26" s="105"/>
      <c r="H26" s="105"/>
      <c r="S26" s="50"/>
      <c r="T26" s="50"/>
      <c r="U26" s="50"/>
      <c r="V26" s="50" t="s">
        <v>212</v>
      </c>
      <c r="W26" s="50" t="s">
        <v>229</v>
      </c>
      <c r="X26"/>
      <c r="Y26"/>
      <c r="Z26"/>
    </row>
    <row r="27" spans="1:26" ht="15.75" customHeight="1" x14ac:dyDescent="0.25">
      <c r="A27" s="93" t="s">
        <v>22</v>
      </c>
      <c r="B27" s="93"/>
      <c r="C27" s="93"/>
      <c r="D27" s="93"/>
      <c r="E27" s="105" t="str">
        <f>IF(AND(G19="Mumbai"),"Developed","Developing")</f>
        <v>Developed</v>
      </c>
      <c r="F27" s="105"/>
      <c r="G27" s="105"/>
      <c r="H27" s="105"/>
    </row>
    <row r="28" spans="1:26" x14ac:dyDescent="0.25">
      <c r="A28" s="93" t="s">
        <v>23</v>
      </c>
      <c r="B28" s="93"/>
      <c r="C28" s="93"/>
      <c r="D28" s="93"/>
      <c r="E28" s="105" t="s">
        <v>24</v>
      </c>
      <c r="F28" s="105"/>
      <c r="G28" s="105"/>
      <c r="H28" s="105"/>
    </row>
    <row r="29" spans="1:26" ht="15.75" customHeight="1" x14ac:dyDescent="0.25">
      <c r="A29" s="93" t="s">
        <v>80</v>
      </c>
      <c r="B29" s="93"/>
      <c r="C29" s="93"/>
      <c r="D29" s="93"/>
      <c r="E29" s="105" t="s">
        <v>81</v>
      </c>
      <c r="F29" s="105"/>
      <c r="G29" s="105"/>
      <c r="H29" s="105"/>
    </row>
    <row r="30" spans="1:26" ht="15" customHeight="1" x14ac:dyDescent="0.25">
      <c r="A30" s="93" t="s">
        <v>32</v>
      </c>
      <c r="B30" s="93"/>
      <c r="C30" s="93"/>
      <c r="D30" s="93"/>
      <c r="E30" s="105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105"/>
      <c r="G30" s="105"/>
      <c r="H30" s="105"/>
    </row>
    <row r="31" spans="1:26" ht="15.75" customHeight="1" x14ac:dyDescent="0.25">
      <c r="A31" s="93" t="s">
        <v>92</v>
      </c>
      <c r="B31" s="93"/>
      <c r="C31" s="93"/>
      <c r="D31" s="93"/>
      <c r="E31" s="105" t="s">
        <v>33</v>
      </c>
      <c r="F31" s="105"/>
      <c r="G31" s="105"/>
      <c r="H31" s="105"/>
    </row>
    <row r="32" spans="1:26" s="20" customFormat="1" x14ac:dyDescent="0.25">
      <c r="A32" s="163" t="s">
        <v>93</v>
      </c>
      <c r="B32" s="163"/>
      <c r="C32" s="160" t="s">
        <v>179</v>
      </c>
      <c r="D32" s="161"/>
      <c r="E32" s="162"/>
      <c r="F32" s="160" t="s">
        <v>30</v>
      </c>
      <c r="G32" s="161"/>
      <c r="H32" s="162"/>
    </row>
    <row r="33" spans="1:8" s="20" customFormat="1" x14ac:dyDescent="0.25">
      <c r="A33" s="145" t="s">
        <v>25</v>
      </c>
      <c r="B33" s="145" t="s">
        <v>29</v>
      </c>
      <c r="C33" s="146" t="s">
        <v>249</v>
      </c>
      <c r="D33" s="147"/>
      <c r="E33" s="148"/>
      <c r="F33" s="146" t="s">
        <v>246</v>
      </c>
      <c r="G33" s="147"/>
      <c r="H33" s="148"/>
    </row>
    <row r="34" spans="1:8" x14ac:dyDescent="0.25">
      <c r="A34" s="145" t="s">
        <v>26</v>
      </c>
      <c r="B34" s="145" t="s">
        <v>29</v>
      </c>
      <c r="C34" s="146" t="s">
        <v>250</v>
      </c>
      <c r="D34" s="147"/>
      <c r="E34" s="148"/>
      <c r="F34" s="146" t="s">
        <v>247</v>
      </c>
      <c r="G34" s="147"/>
      <c r="H34" s="148"/>
    </row>
    <row r="35" spans="1:8" s="20" customFormat="1" x14ac:dyDescent="0.25">
      <c r="A35" s="145" t="s">
        <v>28</v>
      </c>
      <c r="B35" s="145" t="s">
        <v>29</v>
      </c>
      <c r="C35" s="146" t="s">
        <v>251</v>
      </c>
      <c r="D35" s="147"/>
      <c r="E35" s="148"/>
      <c r="F35" s="146" t="s">
        <v>248</v>
      </c>
      <c r="G35" s="147"/>
      <c r="H35" s="148"/>
    </row>
    <row r="36" spans="1:8" x14ac:dyDescent="0.25">
      <c r="A36" s="145" t="s">
        <v>27</v>
      </c>
      <c r="B36" s="145" t="s">
        <v>29</v>
      </c>
      <c r="C36" s="146" t="s">
        <v>249</v>
      </c>
      <c r="D36" s="147"/>
      <c r="E36" s="148"/>
      <c r="F36" s="146" t="s">
        <v>288</v>
      </c>
      <c r="G36" s="147"/>
      <c r="H36" s="148"/>
    </row>
    <row r="37" spans="1:8" x14ac:dyDescent="0.25">
      <c r="A37" s="93" t="s">
        <v>31</v>
      </c>
      <c r="B37" s="93"/>
      <c r="C37" s="93"/>
      <c r="D37" s="93"/>
      <c r="E37" s="93"/>
      <c r="F37" s="93"/>
      <c r="G37" s="93"/>
      <c r="H37" s="93"/>
    </row>
    <row r="38" spans="1:8" ht="15.75" customHeight="1" x14ac:dyDescent="0.25">
      <c r="A38" s="144" t="s">
        <v>171</v>
      </c>
      <c r="B38" s="144"/>
      <c r="C38" s="93" t="s">
        <v>290</v>
      </c>
      <c r="D38" s="93"/>
      <c r="E38" s="93"/>
      <c r="F38" s="93"/>
      <c r="G38" s="93"/>
      <c r="H38" s="93"/>
    </row>
    <row r="39" spans="1:8" x14ac:dyDescent="0.25">
      <c r="A39" s="144" t="s">
        <v>168</v>
      </c>
      <c r="B39" s="144"/>
      <c r="C39" s="104" t="s">
        <v>287</v>
      </c>
      <c r="D39" s="105"/>
      <c r="E39" s="105"/>
      <c r="F39" s="105"/>
      <c r="G39" s="105"/>
      <c r="H39" s="105"/>
    </row>
    <row r="40" spans="1:8" x14ac:dyDescent="0.25">
      <c r="A40" s="144" t="s">
        <v>34</v>
      </c>
      <c r="B40" s="144"/>
      <c r="C40" s="144"/>
      <c r="D40" s="144"/>
      <c r="E40" s="144"/>
      <c r="F40" s="144"/>
      <c r="G40" s="144"/>
      <c r="H40" s="144"/>
    </row>
    <row r="41" spans="1:8" x14ac:dyDescent="0.25">
      <c r="A41" s="93" t="s">
        <v>35</v>
      </c>
      <c r="B41" s="93"/>
      <c r="C41" s="93"/>
      <c r="D41" s="93"/>
      <c r="E41" s="149">
        <v>989.7</v>
      </c>
      <c r="F41" s="149"/>
      <c r="G41" s="149"/>
      <c r="H41" s="149"/>
    </row>
    <row r="42" spans="1:8" x14ac:dyDescent="0.25">
      <c r="A42" s="93" t="s">
        <v>36</v>
      </c>
      <c r="B42" s="93"/>
      <c r="C42" s="93"/>
      <c r="D42" s="93"/>
      <c r="E42" s="152">
        <v>3</v>
      </c>
      <c r="F42" s="152"/>
      <c r="G42" s="152"/>
      <c r="H42" s="152"/>
    </row>
    <row r="43" spans="1:8" x14ac:dyDescent="0.25">
      <c r="A43" s="93" t="s">
        <v>37</v>
      </c>
      <c r="B43" s="93"/>
      <c r="C43" s="93"/>
      <c r="D43" s="93"/>
      <c r="E43" s="152">
        <f>E45/E41-E42</f>
        <v>1.0110134384156808</v>
      </c>
      <c r="F43" s="152"/>
      <c r="G43" s="152"/>
      <c r="H43" s="152"/>
    </row>
    <row r="44" spans="1:8" x14ac:dyDescent="0.25">
      <c r="A44" s="93" t="s">
        <v>38</v>
      </c>
      <c r="B44" s="93"/>
      <c r="C44" s="93"/>
      <c r="D44" s="93"/>
      <c r="E44" s="152">
        <f>E42+E43</f>
        <v>4.0110134384156808</v>
      </c>
      <c r="F44" s="152"/>
      <c r="G44" s="152"/>
      <c r="H44" s="152"/>
    </row>
    <row r="45" spans="1:8" x14ac:dyDescent="0.25">
      <c r="A45" s="93" t="s">
        <v>91</v>
      </c>
      <c r="B45" s="93"/>
      <c r="C45" s="93"/>
      <c r="D45" s="93"/>
      <c r="E45" s="153">
        <v>3969.7</v>
      </c>
      <c r="F45" s="153"/>
      <c r="G45" s="153"/>
      <c r="H45" s="153"/>
    </row>
    <row r="46" spans="1:8" x14ac:dyDescent="0.25">
      <c r="A46" s="154" t="s">
        <v>39</v>
      </c>
      <c r="B46" s="154"/>
      <c r="C46" s="154"/>
      <c r="D46" s="154"/>
      <c r="E46" s="154" t="s">
        <v>122</v>
      </c>
      <c r="F46" s="154"/>
      <c r="G46" s="154"/>
      <c r="H46" s="154"/>
    </row>
    <row r="47" spans="1:8" x14ac:dyDescent="0.25">
      <c r="A47" s="144" t="s">
        <v>40</v>
      </c>
      <c r="B47" s="144"/>
      <c r="C47" s="144"/>
      <c r="D47" s="144"/>
      <c r="E47" s="144"/>
      <c r="F47" s="144"/>
      <c r="G47" s="144"/>
      <c r="H47" s="144"/>
    </row>
    <row r="48" spans="1:8" ht="33.75" customHeight="1" x14ac:dyDescent="0.25">
      <c r="A48" s="76" t="s">
        <v>156</v>
      </c>
      <c r="B48" s="78"/>
      <c r="C48" s="106" t="s">
        <v>252</v>
      </c>
      <c r="D48" s="107"/>
      <c r="E48" s="107"/>
      <c r="F48" s="107"/>
      <c r="G48" s="107"/>
      <c r="H48" s="108"/>
    </row>
    <row r="49" spans="1:14" ht="15.75" customHeight="1" x14ac:dyDescent="0.25">
      <c r="A49" s="76" t="s">
        <v>41</v>
      </c>
      <c r="B49" s="78"/>
      <c r="C49" s="76" t="s">
        <v>253</v>
      </c>
      <c r="D49" s="77"/>
      <c r="E49" s="78"/>
      <c r="F49" s="18" t="s">
        <v>42</v>
      </c>
      <c r="G49" s="79">
        <v>44918</v>
      </c>
      <c r="H49" s="80"/>
    </row>
    <row r="50" spans="1:14" x14ac:dyDescent="0.25">
      <c r="A50" s="76" t="s">
        <v>43</v>
      </c>
      <c r="B50" s="78"/>
      <c r="C50" s="76" t="str">
        <f>C49</f>
        <v>Mhada-104/1217/2022</v>
      </c>
      <c r="D50" s="77"/>
      <c r="E50" s="78"/>
      <c r="F50" s="18" t="s">
        <v>42</v>
      </c>
      <c r="G50" s="79">
        <f>G49</f>
        <v>44918</v>
      </c>
      <c r="H50" s="80"/>
    </row>
    <row r="51" spans="1:14" s="21" customFormat="1" ht="33" customHeight="1" x14ac:dyDescent="0.25">
      <c r="A51" s="72" t="s">
        <v>160</v>
      </c>
      <c r="B51" s="73"/>
      <c r="C51" s="76" t="s">
        <v>304</v>
      </c>
      <c r="D51" s="77"/>
      <c r="E51" s="78"/>
      <c r="F51" s="18" t="s">
        <v>42</v>
      </c>
      <c r="G51" s="79">
        <v>45663</v>
      </c>
      <c r="H51" s="80"/>
    </row>
    <row r="52" spans="1:14" s="21" customFormat="1" ht="109.9" customHeight="1" x14ac:dyDescent="0.25">
      <c r="A52" s="74"/>
      <c r="B52" s="75"/>
      <c r="C52" s="76" t="s">
        <v>305</v>
      </c>
      <c r="D52" s="77"/>
      <c r="E52" s="78"/>
      <c r="F52" s="18" t="s">
        <v>123</v>
      </c>
      <c r="G52" s="212">
        <v>46055</v>
      </c>
      <c r="H52" s="213"/>
    </row>
    <row r="53" spans="1:14" s="21" customFormat="1" ht="32.25" customHeight="1" x14ac:dyDescent="0.25">
      <c r="A53" s="72" t="s">
        <v>283</v>
      </c>
      <c r="B53" s="73"/>
      <c r="C53" s="76" t="s">
        <v>284</v>
      </c>
      <c r="D53" s="77"/>
      <c r="E53" s="78"/>
      <c r="F53" s="18" t="s">
        <v>42</v>
      </c>
      <c r="G53" s="79">
        <v>44609</v>
      </c>
      <c r="H53" s="80"/>
    </row>
    <row r="54" spans="1:14" s="21" customFormat="1" ht="31.5" x14ac:dyDescent="0.25">
      <c r="A54" s="74"/>
      <c r="B54" s="75"/>
      <c r="C54" s="76" t="s">
        <v>285</v>
      </c>
      <c r="D54" s="77"/>
      <c r="E54" s="78"/>
      <c r="F54" s="18" t="s">
        <v>123</v>
      </c>
      <c r="G54" s="79">
        <v>47530</v>
      </c>
      <c r="H54" s="80"/>
    </row>
    <row r="55" spans="1:14" x14ac:dyDescent="0.25">
      <c r="A55" s="192" t="s">
        <v>44</v>
      </c>
      <c r="B55" s="193"/>
      <c r="C55" s="192" t="s">
        <v>104</v>
      </c>
      <c r="D55" s="194"/>
      <c r="E55" s="193"/>
      <c r="F55" s="42" t="s">
        <v>42</v>
      </c>
      <c r="G55" s="190" t="s">
        <v>29</v>
      </c>
      <c r="H55" s="191"/>
    </row>
    <row r="56" spans="1:14" x14ac:dyDescent="0.25">
      <c r="A56" s="169" t="s">
        <v>46</v>
      </c>
      <c r="B56" s="169"/>
      <c r="C56" s="169"/>
      <c r="D56" s="169"/>
      <c r="E56" s="169"/>
      <c r="F56" s="169"/>
      <c r="G56" s="169"/>
      <c r="H56" s="169"/>
    </row>
    <row r="57" spans="1:14" x14ac:dyDescent="0.25">
      <c r="A57" s="164" t="s">
        <v>90</v>
      </c>
      <c r="B57" s="164"/>
      <c r="C57" s="164"/>
      <c r="D57" s="154">
        <f>E45</f>
        <v>3969.7</v>
      </c>
      <c r="E57" s="154"/>
      <c r="F57" s="154"/>
      <c r="G57" s="154"/>
      <c r="H57" s="154"/>
    </row>
    <row r="58" spans="1:14" x14ac:dyDescent="0.25">
      <c r="A58" s="105" t="s">
        <v>47</v>
      </c>
      <c r="B58" s="154"/>
      <c r="C58" s="154"/>
      <c r="D58" s="154" t="s">
        <v>291</v>
      </c>
      <c r="E58" s="154"/>
      <c r="F58" s="154"/>
      <c r="G58" s="154"/>
      <c r="H58" s="154"/>
      <c r="I58" s="22"/>
    </row>
    <row r="59" spans="1:14" x14ac:dyDescent="0.25">
      <c r="A59" s="157" t="s">
        <v>48</v>
      </c>
      <c r="B59" s="158"/>
      <c r="C59" s="159"/>
      <c r="D59" s="155" t="s">
        <v>255</v>
      </c>
      <c r="E59" s="156"/>
      <c r="F59" s="156"/>
      <c r="G59" s="156"/>
      <c r="H59" s="156"/>
    </row>
    <row r="60" spans="1:14" ht="15.75" customHeight="1" x14ac:dyDescent="0.25">
      <c r="A60" s="157" t="s">
        <v>88</v>
      </c>
      <c r="B60" s="158"/>
      <c r="C60" s="158"/>
      <c r="D60" s="105" t="s">
        <v>294</v>
      </c>
      <c r="E60" s="154"/>
      <c r="F60" s="154"/>
      <c r="G60" s="154"/>
      <c r="H60" s="154"/>
    </row>
    <row r="61" spans="1:14" ht="15.75" customHeight="1" x14ac:dyDescent="0.25">
      <c r="A61" s="93" t="s">
        <v>45</v>
      </c>
      <c r="B61" s="93"/>
      <c r="C61" s="93"/>
      <c r="D61" s="150" t="s">
        <v>254</v>
      </c>
      <c r="E61" s="150"/>
      <c r="F61" s="150"/>
      <c r="G61" s="150"/>
      <c r="H61" s="150"/>
      <c r="J61" s="23"/>
      <c r="K61" s="22"/>
      <c r="N61" s="22"/>
    </row>
    <row r="62" spans="1:14" ht="15.75" customHeight="1" x14ac:dyDescent="0.25">
      <c r="A62" s="93" t="s">
        <v>86</v>
      </c>
      <c r="B62" s="93"/>
      <c r="C62" s="93"/>
      <c r="D62" s="151" t="str">
        <f>(IF(G55="NA","60 Years After Completion",IF(G55&lt;&gt;"NA",""&amp;60-ROUNDDOWN((E3-G55)/360,0)&amp;" Years"," ")))</f>
        <v>60 Years After Completion</v>
      </c>
      <c r="E62" s="151"/>
      <c r="F62" s="151"/>
      <c r="G62" s="151"/>
      <c r="H62" s="151"/>
      <c r="N62" s="22"/>
    </row>
    <row r="63" spans="1:14" ht="15.75" customHeight="1" x14ac:dyDescent="0.25">
      <c r="A63" s="93" t="s">
        <v>87</v>
      </c>
      <c r="B63" s="93"/>
      <c r="C63" s="93"/>
      <c r="D63" s="164" t="s">
        <v>24</v>
      </c>
      <c r="E63" s="164"/>
      <c r="F63" s="164"/>
      <c r="G63" s="164"/>
      <c r="H63" s="164"/>
      <c r="J63" s="24"/>
      <c r="K63" s="24" t="s">
        <v>309</v>
      </c>
    </row>
    <row r="64" spans="1:14" ht="48" customHeight="1" x14ac:dyDescent="0.25">
      <c r="A64" s="154" t="s">
        <v>281</v>
      </c>
      <c r="B64" s="154"/>
      <c r="C64" s="154"/>
      <c r="D64" s="105" t="s">
        <v>289</v>
      </c>
      <c r="E64" s="164"/>
      <c r="F64" s="164"/>
      <c r="G64" s="164"/>
      <c r="H64" s="164"/>
      <c r="I64" s="68" t="s">
        <v>308</v>
      </c>
    </row>
    <row r="65" spans="1:14" x14ac:dyDescent="0.25">
      <c r="A65" s="164" t="s">
        <v>152</v>
      </c>
      <c r="B65" s="164"/>
      <c r="C65" s="164"/>
      <c r="D65" s="164" t="s">
        <v>29</v>
      </c>
      <c r="E65" s="164"/>
      <c r="F65" s="164"/>
      <c r="G65" s="164"/>
      <c r="H65" s="164"/>
      <c r="I65" s="25"/>
      <c r="J65" s="25"/>
      <c r="K65" s="25"/>
      <c r="L65" s="25"/>
      <c r="M65" s="25"/>
      <c r="N65" s="25"/>
    </row>
    <row r="66" spans="1:14" ht="15.75" customHeight="1" x14ac:dyDescent="0.25">
      <c r="A66" s="195" t="s">
        <v>85</v>
      </c>
      <c r="B66" s="195"/>
      <c r="C66" s="195"/>
      <c r="D66" s="155" t="str">
        <f>(IF(G72&gt;95%,"Nothing",IF(G72&gt;0%,"Cement, Aggregate, Steel, etc",IF(G72=0%,"Work not yet Started"))))</f>
        <v>Cement, Aggregate, Steel, etc</v>
      </c>
      <c r="E66" s="155"/>
      <c r="F66" s="155"/>
      <c r="G66" s="155"/>
      <c r="H66" s="155"/>
      <c r="J66" s="24"/>
    </row>
    <row r="67" spans="1:14" ht="33.75" customHeight="1" thickBot="1" x14ac:dyDescent="0.3">
      <c r="A67" s="170" t="s">
        <v>117</v>
      </c>
      <c r="B67" s="170"/>
      <c r="C67" s="170"/>
      <c r="D67" s="155" t="str">
        <f>(IF(D66="Nothing","Yes",IF(D66="Cement, Aggregate, Steel, etc","Under Construction",IF(D66="Work not yet Started","Work not yet Started"))))</f>
        <v>Under Construction</v>
      </c>
      <c r="E67" s="155"/>
      <c r="F67" s="155" t="str">
        <f>(IF(D66="Nothing","Yes",IF(D66="Cement, Aggregate, Steel, etc","Under Construction",IF(D66="Work not yet Started","Work not yet Started"))))</f>
        <v>Under Construction</v>
      </c>
      <c r="G67" s="155"/>
      <c r="H67" s="155"/>
      <c r="I67" s="67"/>
    </row>
    <row r="68" spans="1:14" ht="15.75" customHeight="1" x14ac:dyDescent="0.25">
      <c r="A68" s="101" t="s">
        <v>142</v>
      </c>
      <c r="B68" s="102"/>
      <c r="C68" s="173" t="s">
        <v>294</v>
      </c>
      <c r="D68" s="174"/>
      <c r="E68" s="174"/>
      <c r="F68" s="174"/>
      <c r="G68" s="174"/>
      <c r="H68" s="175"/>
      <c r="I68" s="44" t="str">
        <f>IF(D81=100%,"All work Completed. Possession granted to the Building.",IF(D80=100%,"All work Completed, Waiting for OC",I69&amp;""&amp;I70&amp;""&amp;J69&amp;""&amp;J68&amp;" "&amp;J70))</f>
        <v>Excavation, Plinth Completed, RCC upto 11 Slab, Brickwork upto 10 Floor, Internal Plaster upto 8 Floor, External Plaster upto 6 Floor Completed</v>
      </c>
      <c r="J68" s="45" t="str">
        <f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11 Slab, Brickwork upto 10 Floor, Internal Plaster upto 8 Floor, External Plaster upto 6 Floor</v>
      </c>
    </row>
    <row r="69" spans="1:14" x14ac:dyDescent="0.25">
      <c r="A69" s="16" t="s">
        <v>144</v>
      </c>
      <c r="B69" s="48">
        <v>2</v>
      </c>
      <c r="C69" s="48" t="s">
        <v>71</v>
      </c>
      <c r="D69" s="48">
        <v>1</v>
      </c>
      <c r="E69" s="48" t="s">
        <v>70</v>
      </c>
      <c r="F69" s="48">
        <v>0</v>
      </c>
      <c r="G69" s="48" t="s">
        <v>79</v>
      </c>
      <c r="H69" s="17">
        <v>15</v>
      </c>
      <c r="I69" s="46" t="str">
        <f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7" t="str">
        <f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5.25" customHeight="1" x14ac:dyDescent="0.25">
      <c r="A70" s="142" t="s">
        <v>89</v>
      </c>
      <c r="B70" s="143"/>
      <c r="C70" s="204" t="str">
        <f>I68</f>
        <v>Excavation, Plinth Completed, RCC upto 11 Slab, Brickwork upto 10 Floor, Internal Plaster upto 8 Floor, External Plaster upto 6 Floor Completed</v>
      </c>
      <c r="D70" s="204"/>
      <c r="E70" s="204"/>
      <c r="F70" s="204"/>
      <c r="G70" s="204"/>
      <c r="H70" s="205"/>
      <c r="I70" s="46" t="str">
        <f>IF(I69&lt;&gt;""," Completed","")</f>
        <v xml:space="preserve"> Completed</v>
      </c>
      <c r="J70" s="47" t="str">
        <f>IF(J68&lt;&gt;"","Completed","")</f>
        <v>Completed</v>
      </c>
    </row>
    <row r="71" spans="1:14" ht="15.75" customHeight="1" x14ac:dyDescent="0.25">
      <c r="A71" s="123" t="s">
        <v>49</v>
      </c>
      <c r="B71" s="124"/>
      <c r="C71" s="51" t="s">
        <v>141</v>
      </c>
      <c r="D71" s="51" t="s">
        <v>82</v>
      </c>
      <c r="E71" s="124" t="s">
        <v>84</v>
      </c>
      <c r="F71" s="124"/>
      <c r="G71" s="124" t="s">
        <v>83</v>
      </c>
      <c r="H71" s="171"/>
      <c r="I71" s="14" t="s">
        <v>143</v>
      </c>
      <c r="J71" s="26">
        <f>H69*25%</f>
        <v>3.75</v>
      </c>
    </row>
    <row r="72" spans="1:14" x14ac:dyDescent="0.25">
      <c r="A72" s="123" t="s">
        <v>130</v>
      </c>
      <c r="B72" s="124"/>
      <c r="C72" s="51">
        <f>J73</f>
        <v>15</v>
      </c>
      <c r="D72" s="52">
        <f>((100/H69)*C72)/100</f>
        <v>1</v>
      </c>
      <c r="E72" s="131">
        <f>(((C73/H69*10)+(40/(D69+F69+H69)*C74)+(7.5/(H69)*C75)+(7.5/(H69)*C76)+(10/H69*C77)+(10/H69*C78)+(5/H69*C79)+(5/H69*C80)+(5/H69*C81))/100)</f>
        <v>0.505</v>
      </c>
      <c r="F72" s="132"/>
      <c r="G72" s="131">
        <f>((((C72/H69)*20)+((C73/H69)*25)+(30/(H69+F69+D69)*C74)+(5/H69*C75)+(5/H69*C76)+(5/H69*C77)+(5/H69*C78)+(0/H69*C79)+(0/H69*C80)+(5/H69*C81))/100)</f>
        <v>0.73624999999999996</v>
      </c>
      <c r="H72" s="137"/>
      <c r="I72" s="14" t="s">
        <v>99</v>
      </c>
      <c r="J72" s="27">
        <f>H69*50%</f>
        <v>7.5</v>
      </c>
    </row>
    <row r="73" spans="1:14" x14ac:dyDescent="0.25">
      <c r="A73" s="123" t="s">
        <v>50</v>
      </c>
      <c r="B73" s="124"/>
      <c r="C73" s="64">
        <f>J81</f>
        <v>15</v>
      </c>
      <c r="D73" s="52">
        <f>((100/H69)*C73)/100</f>
        <v>1</v>
      </c>
      <c r="E73" s="133"/>
      <c r="F73" s="134"/>
      <c r="G73" s="133"/>
      <c r="H73" s="138"/>
      <c r="I73" s="14" t="s">
        <v>100</v>
      </c>
      <c r="J73" s="27">
        <f>H69</f>
        <v>15</v>
      </c>
    </row>
    <row r="74" spans="1:14" ht="15.75" customHeight="1" x14ac:dyDescent="0.25">
      <c r="A74" s="123" t="s">
        <v>131</v>
      </c>
      <c r="B74" s="124"/>
      <c r="C74" s="51">
        <v>11</v>
      </c>
      <c r="D74" s="52">
        <f>((100/(D69+F69+H69))*C74)/100</f>
        <v>0.6875</v>
      </c>
      <c r="E74" s="133"/>
      <c r="F74" s="134"/>
      <c r="G74" s="133"/>
      <c r="H74" s="138"/>
      <c r="I74" s="14" t="s">
        <v>101</v>
      </c>
      <c r="J74" s="28">
        <f>(IF(B69&gt;1,(H69/(B69+2)),H69/4))</f>
        <v>3.75</v>
      </c>
    </row>
    <row r="75" spans="1:14" ht="15.75" customHeight="1" x14ac:dyDescent="0.25">
      <c r="A75" s="123" t="s">
        <v>138</v>
      </c>
      <c r="B75" s="124" t="s">
        <v>132</v>
      </c>
      <c r="C75" s="51">
        <v>10</v>
      </c>
      <c r="D75" s="52">
        <f>((100/H69)*C75)/100</f>
        <v>0.66666666666666674</v>
      </c>
      <c r="E75" s="133"/>
      <c r="F75" s="134"/>
      <c r="G75" s="133"/>
      <c r="H75" s="138"/>
      <c r="I75" s="14" t="s">
        <v>102</v>
      </c>
      <c r="J75" s="28">
        <f>(IF(B69&gt;1,(H69/(B69+2)+J74),H69/4+J74))</f>
        <v>7.5</v>
      </c>
    </row>
    <row r="76" spans="1:14" ht="15.75" customHeight="1" x14ac:dyDescent="0.25">
      <c r="A76" s="123" t="s">
        <v>139</v>
      </c>
      <c r="B76" s="124" t="s">
        <v>132</v>
      </c>
      <c r="C76" s="51">
        <v>8</v>
      </c>
      <c r="D76" s="52">
        <f>((100/H69)*C76)/100</f>
        <v>0.53333333333333333</v>
      </c>
      <c r="E76" s="133"/>
      <c r="F76" s="134"/>
      <c r="G76" s="133"/>
      <c r="H76" s="138"/>
      <c r="I76" s="14" t="s">
        <v>150</v>
      </c>
      <c r="J76" s="28">
        <f>(IF(B69&gt;1,(H69/(B69+2)+J75),0))</f>
        <v>11.25</v>
      </c>
    </row>
    <row r="77" spans="1:14" ht="15" customHeight="1" x14ac:dyDescent="0.25">
      <c r="A77" s="123" t="s">
        <v>137</v>
      </c>
      <c r="B77" s="124" t="s">
        <v>134</v>
      </c>
      <c r="C77" s="51">
        <v>6</v>
      </c>
      <c r="D77" s="52">
        <f>((100/(H69))*C77)/100</f>
        <v>0.4</v>
      </c>
      <c r="E77" s="133"/>
      <c r="F77" s="134"/>
      <c r="G77" s="133"/>
      <c r="H77" s="138"/>
      <c r="I77" s="14" t="s">
        <v>145</v>
      </c>
      <c r="J77" s="28">
        <f>(IF(B69&gt;2,(H69/(B69+2)+J76),0))</f>
        <v>0</v>
      </c>
    </row>
    <row r="78" spans="1:14" ht="15.75" customHeight="1" x14ac:dyDescent="0.25">
      <c r="A78" s="123" t="s">
        <v>133</v>
      </c>
      <c r="B78" s="124" t="s">
        <v>133</v>
      </c>
      <c r="C78" s="51">
        <v>0</v>
      </c>
      <c r="D78" s="52">
        <f>((100/H69)*C78)/100</f>
        <v>0</v>
      </c>
      <c r="E78" s="133"/>
      <c r="F78" s="134"/>
      <c r="G78" s="133"/>
      <c r="H78" s="138"/>
      <c r="I78" s="14" t="s">
        <v>146</v>
      </c>
      <c r="J78" s="29">
        <f>(IF(B69&gt;3,(H69/(B69+2)+J77),0))</f>
        <v>0</v>
      </c>
    </row>
    <row r="79" spans="1:14" ht="15.75" customHeight="1" x14ac:dyDescent="0.25">
      <c r="A79" s="123" t="s">
        <v>140</v>
      </c>
      <c r="B79" s="124"/>
      <c r="C79" s="51">
        <v>0</v>
      </c>
      <c r="D79" s="52">
        <f>((100/H69)*C79)/100</f>
        <v>0</v>
      </c>
      <c r="E79" s="133"/>
      <c r="F79" s="134"/>
      <c r="G79" s="133"/>
      <c r="H79" s="138"/>
      <c r="I79" s="14" t="s">
        <v>147</v>
      </c>
      <c r="J79" s="28">
        <f>(IF(B69&gt;4,(H69/(B69+2)+J78),0))</f>
        <v>0</v>
      </c>
    </row>
    <row r="80" spans="1:14" ht="15.75" customHeight="1" x14ac:dyDescent="0.25">
      <c r="A80" s="123" t="s">
        <v>135</v>
      </c>
      <c r="B80" s="124" t="s">
        <v>135</v>
      </c>
      <c r="C80" s="51">
        <v>0</v>
      </c>
      <c r="D80" s="52">
        <f>((100/(H69))*C80)/100</f>
        <v>0</v>
      </c>
      <c r="E80" s="133"/>
      <c r="F80" s="134"/>
      <c r="G80" s="133"/>
      <c r="H80" s="138"/>
      <c r="I80" s="14" t="s">
        <v>151</v>
      </c>
      <c r="J80" s="28">
        <f>(IF(B69=1,(H69/(B69+3)+J75),IF(B69=0,(H69/4+J75),IF(B69&gt;1,0))))</f>
        <v>0</v>
      </c>
    </row>
    <row r="81" spans="1:13" ht="16.5" thickBot="1" x14ac:dyDescent="0.3">
      <c r="A81" s="140" t="s">
        <v>136</v>
      </c>
      <c r="B81" s="141"/>
      <c r="C81" s="53">
        <v>0</v>
      </c>
      <c r="D81" s="54">
        <f>((100/(H69))*C81)/100</f>
        <v>0</v>
      </c>
      <c r="E81" s="135"/>
      <c r="F81" s="136"/>
      <c r="G81" s="135"/>
      <c r="H81" s="139"/>
      <c r="I81" s="15" t="s">
        <v>103</v>
      </c>
      <c r="J81" s="30">
        <f>(IF(B69&gt;1.5,(H69/(B69+2)+J75+MAX(0,J76-J75)+MAX(0,J77-J76)+MAX(0,J78-J77)+MAX(0,J79-J78)+MAX(0,J80-J79)),IF(B69=1,(H69/(B69+3)+J80),IF(B69=0,H69/4+J80))))</f>
        <v>15</v>
      </c>
    </row>
    <row r="82" spans="1:13" ht="15.75" hidden="1" customHeight="1" x14ac:dyDescent="0.25">
      <c r="A82" s="101" t="s">
        <v>142</v>
      </c>
      <c r="B82" s="102"/>
      <c r="C82" s="173" t="s">
        <v>295</v>
      </c>
      <c r="D82" s="174"/>
      <c r="E82" s="174"/>
      <c r="F82" s="174"/>
      <c r="G82" s="174"/>
      <c r="H82" s="175"/>
      <c r="I82" s="44" t="str">
        <f ca="1">IF(D95=100%,"All work Completed. Possession granted to the Building.",IF(D94=100%,"All work Completed, Waiting for OC",I83&amp;""&amp;I84&amp;""&amp;J83&amp;""&amp;J82&amp;" "&amp;J84))</f>
        <v xml:space="preserve">Excavation Completed, 1st Basement Completed 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3" hidden="1" x14ac:dyDescent="0.25">
      <c r="A83" s="16" t="s">
        <v>144</v>
      </c>
      <c r="B83" s="48">
        <f>IF(AND(ISNUMBER(SEARCH("1B",C82))),1,IF(AND(ISNUMBER(SEARCH("2B",C82))),2,IF(AND(ISNUMBER(SEARCH("3B",C82))),3,IF(AND(ISNUMBER(SEARCH("4B",C82))),4,IF(ISNUMBER(SEARCH("5B",C82)),5,0)))))</f>
        <v>2</v>
      </c>
      <c r="C83" s="48" t="s">
        <v>71</v>
      </c>
      <c r="D83" s="48">
        <v>1</v>
      </c>
      <c r="E83" s="48" t="s">
        <v>70</v>
      </c>
      <c r="F83" s="48">
        <v>0</v>
      </c>
      <c r="G83" s="48" t="s">
        <v>79</v>
      </c>
      <c r="H83" s="17">
        <f ca="1">--TRIM(RIGHT(SUBSTITUTE(LEFT(C82,_xlfn.AGGREGATE(16,6,FIND({0,1,2,3,4,5,6,7,8,9},C82,ROW(INDIRECT("1:"&amp;LEN(C82)))),1))," ",REPT(" ",LEN(C82))),LEN(C82)))</f>
        <v>15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>, 1st Basement Completed</v>
      </c>
    </row>
    <row r="84" spans="1:13" hidden="1" x14ac:dyDescent="0.25">
      <c r="A84" s="142" t="s">
        <v>89</v>
      </c>
      <c r="B84" s="143"/>
      <c r="C84" s="204" t="str">
        <f ca="1">I82</f>
        <v xml:space="preserve">Excavation Completed, 1st Basement Completed </v>
      </c>
      <c r="D84" s="204"/>
      <c r="E84" s="204"/>
      <c r="F84" s="204"/>
      <c r="G84" s="204"/>
      <c r="H84" s="205"/>
      <c r="I84" s="46" t="str">
        <f ca="1">IF(I83&lt;&gt;""," Completed","")</f>
        <v xml:space="preserve"> Completed</v>
      </c>
      <c r="J84" s="47" t="str">
        <f ca="1">IF(J82&lt;&gt;"","Completed","")</f>
        <v/>
      </c>
    </row>
    <row r="85" spans="1:13" ht="15.75" hidden="1" customHeight="1" x14ac:dyDescent="0.25">
      <c r="A85" s="123" t="s">
        <v>49</v>
      </c>
      <c r="B85" s="124"/>
      <c r="C85" s="51" t="s">
        <v>141</v>
      </c>
      <c r="D85" s="51" t="s">
        <v>82</v>
      </c>
      <c r="E85" s="124" t="s">
        <v>84</v>
      </c>
      <c r="F85" s="124"/>
      <c r="G85" s="124" t="s">
        <v>83</v>
      </c>
      <c r="H85" s="171"/>
      <c r="I85" s="14" t="s">
        <v>143</v>
      </c>
      <c r="J85" s="26">
        <f ca="1">H83*25%</f>
        <v>3.75</v>
      </c>
    </row>
    <row r="86" spans="1:13" hidden="1" x14ac:dyDescent="0.25">
      <c r="A86" s="123" t="s">
        <v>130</v>
      </c>
      <c r="B86" s="124"/>
      <c r="C86" s="51">
        <f ca="1">J87</f>
        <v>15</v>
      </c>
      <c r="D86" s="52">
        <f ca="1">((100/H83)*C86)/100</f>
        <v>1</v>
      </c>
      <c r="E86" s="131">
        <f ca="1">(((C87/H83*10)+(40/(D83+F83+H83)*C88)+(7.5/(H83)*C89)+(7.5/(H83)*C90)+(10/H83*C91)+(10/H83*C92)+(5/H83*C93)+(5/H83*C94)+(5/H83*C95))/100)</f>
        <v>7.4999999999999997E-2</v>
      </c>
      <c r="F86" s="132"/>
      <c r="G86" s="131">
        <f ca="1">((((C86/H83)*20)+((C87/H83)*25)+(30/(H83+F83+D83)*C88)+(5/H83*C89)+(5/H83*C90)+(5/H83*C91)+(5/H83*C92)+(0/H83*C93)+(0/H83*C94)+(5/H83*C95))/100)</f>
        <v>0.38750000000000001</v>
      </c>
      <c r="H86" s="137"/>
      <c r="I86" s="14" t="s">
        <v>99</v>
      </c>
      <c r="J86" s="27">
        <f ca="1">H83*50%</f>
        <v>7.5</v>
      </c>
    </row>
    <row r="87" spans="1:13" hidden="1" x14ac:dyDescent="0.25">
      <c r="A87" s="123" t="s">
        <v>50</v>
      </c>
      <c r="B87" s="124"/>
      <c r="C87" s="64">
        <f ca="1">J90</f>
        <v>11.25</v>
      </c>
      <c r="D87" s="52">
        <f ca="1">((100/H83)*C87)/100</f>
        <v>0.75</v>
      </c>
      <c r="E87" s="133"/>
      <c r="F87" s="134"/>
      <c r="G87" s="133"/>
      <c r="H87" s="138"/>
      <c r="I87" s="14" t="s">
        <v>100</v>
      </c>
      <c r="J87" s="27">
        <f ca="1">H83</f>
        <v>15</v>
      </c>
    </row>
    <row r="88" spans="1:13" ht="15.75" hidden="1" customHeight="1" x14ac:dyDescent="0.25">
      <c r="A88" s="123" t="s">
        <v>131</v>
      </c>
      <c r="B88" s="124"/>
      <c r="C88" s="51">
        <v>0</v>
      </c>
      <c r="D88" s="52">
        <f ca="1">((100/(D83+F83+H83))*C88)/100</f>
        <v>0</v>
      </c>
      <c r="E88" s="133"/>
      <c r="F88" s="134"/>
      <c r="G88" s="133"/>
      <c r="H88" s="138"/>
      <c r="I88" s="14" t="s">
        <v>101</v>
      </c>
      <c r="J88" s="28">
        <f ca="1">(IF(B83&gt;1,(H83/(B83+2)),H83/4))</f>
        <v>3.75</v>
      </c>
    </row>
    <row r="89" spans="1:13" ht="15.75" hidden="1" customHeight="1" x14ac:dyDescent="0.25">
      <c r="A89" s="123" t="s">
        <v>138</v>
      </c>
      <c r="B89" s="124" t="s">
        <v>132</v>
      </c>
      <c r="C89" s="51">
        <v>0</v>
      </c>
      <c r="D89" s="52">
        <f ca="1">((100/H83)*C89)/100</f>
        <v>0</v>
      </c>
      <c r="E89" s="133"/>
      <c r="F89" s="134"/>
      <c r="G89" s="133"/>
      <c r="H89" s="138"/>
      <c r="I89" s="14" t="s">
        <v>102</v>
      </c>
      <c r="J89" s="28">
        <f ca="1">(IF(B83&gt;1,(H83/(B83+2)+J88),H83/4+J88))</f>
        <v>7.5</v>
      </c>
    </row>
    <row r="90" spans="1:13" ht="15.75" hidden="1" customHeight="1" x14ac:dyDescent="0.25">
      <c r="A90" s="123" t="s">
        <v>139</v>
      </c>
      <c r="B90" s="124" t="s">
        <v>132</v>
      </c>
      <c r="C90" s="51">
        <v>0</v>
      </c>
      <c r="D90" s="52">
        <f ca="1">((100/H83)*C90)/100</f>
        <v>0</v>
      </c>
      <c r="E90" s="133"/>
      <c r="F90" s="134"/>
      <c r="G90" s="133"/>
      <c r="H90" s="138"/>
      <c r="I90" s="14" t="s">
        <v>150</v>
      </c>
      <c r="J90" s="28">
        <f ca="1">(IF(B83&gt;1,(H83/(B83+2)+J89),0))</f>
        <v>11.25</v>
      </c>
    </row>
    <row r="91" spans="1:13" ht="15" hidden="1" customHeight="1" x14ac:dyDescent="0.25">
      <c r="A91" s="123" t="s">
        <v>137</v>
      </c>
      <c r="B91" s="124" t="s">
        <v>134</v>
      </c>
      <c r="C91" s="51">
        <v>0</v>
      </c>
      <c r="D91" s="52">
        <f ca="1">((100/(H83))*C91)/100</f>
        <v>0</v>
      </c>
      <c r="E91" s="133"/>
      <c r="F91" s="134"/>
      <c r="G91" s="133"/>
      <c r="H91" s="138"/>
      <c r="I91" s="14" t="s">
        <v>145</v>
      </c>
      <c r="J91" s="28">
        <f>(IF(B83&gt;2,(H83/(B83+2)+J90),0))</f>
        <v>0</v>
      </c>
    </row>
    <row r="92" spans="1:13" ht="15.75" hidden="1" customHeight="1" x14ac:dyDescent="0.25">
      <c r="A92" s="123" t="s">
        <v>133</v>
      </c>
      <c r="B92" s="124" t="s">
        <v>133</v>
      </c>
      <c r="C92" s="51">
        <v>0</v>
      </c>
      <c r="D92" s="52">
        <f ca="1">((100/H83)*C92)/100</f>
        <v>0</v>
      </c>
      <c r="E92" s="133"/>
      <c r="F92" s="134"/>
      <c r="G92" s="133"/>
      <c r="H92" s="138"/>
      <c r="I92" s="14" t="s">
        <v>146</v>
      </c>
      <c r="J92" s="29">
        <f>(IF(B83&gt;3,(H83/(B83+2)+J91),0))</f>
        <v>0</v>
      </c>
    </row>
    <row r="93" spans="1:13" ht="15.75" hidden="1" customHeight="1" x14ac:dyDescent="0.25">
      <c r="A93" s="123" t="s">
        <v>140</v>
      </c>
      <c r="B93" s="124"/>
      <c r="C93" s="51">
        <v>0</v>
      </c>
      <c r="D93" s="52">
        <f ca="1">((100/H83)*C93)/100</f>
        <v>0</v>
      </c>
      <c r="E93" s="133"/>
      <c r="F93" s="134"/>
      <c r="G93" s="133"/>
      <c r="H93" s="138"/>
      <c r="I93" s="14" t="s">
        <v>147</v>
      </c>
      <c r="J93" s="28">
        <f>(IF(B83&gt;4,(H83/(B83+2)+J92),0))</f>
        <v>0</v>
      </c>
    </row>
    <row r="94" spans="1:13" ht="15.75" hidden="1" customHeight="1" x14ac:dyDescent="0.25">
      <c r="A94" s="123" t="s">
        <v>135</v>
      </c>
      <c r="B94" s="124" t="s">
        <v>135</v>
      </c>
      <c r="C94" s="51">
        <v>0</v>
      </c>
      <c r="D94" s="52">
        <f ca="1">((100/(H83))*C94)/100</f>
        <v>0</v>
      </c>
      <c r="E94" s="133"/>
      <c r="F94" s="134"/>
      <c r="G94" s="133"/>
      <c r="H94" s="138"/>
      <c r="I94" s="14" t="s">
        <v>151</v>
      </c>
      <c r="J94" s="28">
        <f>(IF(B83=1,(H83/(B83+3)+J89),IF(B83=0,(H83/4+J89),IF(B83&gt;1,0))))</f>
        <v>0</v>
      </c>
    </row>
    <row r="95" spans="1:13" ht="16.5" hidden="1" thickBot="1" x14ac:dyDescent="0.3">
      <c r="A95" s="140" t="s">
        <v>136</v>
      </c>
      <c r="B95" s="141"/>
      <c r="C95" s="53">
        <v>0</v>
      </c>
      <c r="D95" s="54">
        <f ca="1">((100/(H83))*C95)/100</f>
        <v>0</v>
      </c>
      <c r="E95" s="135"/>
      <c r="F95" s="136"/>
      <c r="G95" s="135"/>
      <c r="H95" s="139"/>
      <c r="I95" s="15" t="s">
        <v>103</v>
      </c>
      <c r="J95" s="30">
        <f ca="1">(IF(B83&gt;1.5,(H83/(B83+2)+J89+MAX(0,J90-J89)+MAX(0,J91-J90)+MAX(0,J92-J91)+MAX(0,J93-J92)+MAX(0,J94-J93)),IF(B83=1,(H83/(B83+3)+J94),IF(B83=0,H83/4+J94))))</f>
        <v>15</v>
      </c>
    </row>
    <row r="96" spans="1:13" hidden="1" x14ac:dyDescent="0.25">
      <c r="A96" s="196" t="s">
        <v>296</v>
      </c>
      <c r="B96" s="197"/>
      <c r="C96" s="200">
        <f ca="1">AVERAGE(E72,E86)</f>
        <v>0.28999999999999998</v>
      </c>
      <c r="D96" s="201"/>
      <c r="E96" s="196" t="s">
        <v>297</v>
      </c>
      <c r="F96" s="197"/>
      <c r="G96" s="200">
        <f ca="1">AVERAGE(G72,G86)</f>
        <v>0.56187500000000001</v>
      </c>
      <c r="H96" s="201"/>
      <c r="I96" s="58"/>
      <c r="J96" s="58" t="s">
        <v>277</v>
      </c>
      <c r="K96" s="58" t="s">
        <v>278</v>
      </c>
      <c r="L96" s="58" t="s">
        <v>279</v>
      </c>
      <c r="M96" s="58" t="s">
        <v>280</v>
      </c>
    </row>
    <row r="97" spans="1:13" hidden="1" x14ac:dyDescent="0.25">
      <c r="A97" s="198"/>
      <c r="B97" s="199"/>
      <c r="C97" s="202"/>
      <c r="D97" s="203"/>
      <c r="E97" s="198"/>
      <c r="F97" s="199"/>
      <c r="G97" s="202"/>
      <c r="H97" s="203"/>
      <c r="I97" s="58"/>
      <c r="J97" s="58" t="s">
        <v>277</v>
      </c>
      <c r="K97" s="58" t="s">
        <v>278</v>
      </c>
      <c r="L97" s="58" t="s">
        <v>279</v>
      </c>
      <c r="M97" s="58" t="s">
        <v>280</v>
      </c>
    </row>
    <row r="98" spans="1:13" x14ac:dyDescent="0.25">
      <c r="A98" s="115" t="s">
        <v>162</v>
      </c>
      <c r="B98" s="115"/>
      <c r="C98" s="115"/>
      <c r="D98" s="115"/>
      <c r="E98" s="115"/>
      <c r="F98" s="172" t="s">
        <v>166</v>
      </c>
      <c r="G98" s="172"/>
      <c r="H98" s="172"/>
      <c r="I98" s="58"/>
      <c r="J98" s="58" t="s">
        <v>277</v>
      </c>
      <c r="K98" s="58" t="s">
        <v>278</v>
      </c>
      <c r="L98" s="58" t="s">
        <v>279</v>
      </c>
      <c r="M98" s="58" t="s">
        <v>280</v>
      </c>
    </row>
    <row r="99" spans="1:13" x14ac:dyDescent="0.25">
      <c r="A99" s="93" t="s">
        <v>164</v>
      </c>
      <c r="B99" s="93"/>
      <c r="C99" s="93"/>
      <c r="D99" s="93"/>
      <c r="E99" s="93"/>
      <c r="F99" s="109">
        <v>48000</v>
      </c>
      <c r="G99" s="109"/>
      <c r="H99" s="109"/>
      <c r="I99" s="58"/>
      <c r="J99" s="62">
        <f>AVERAGE(J142,J152)</f>
        <v>51576.010209355372</v>
      </c>
      <c r="K99" s="58">
        <v>39000</v>
      </c>
      <c r="L99" s="58"/>
      <c r="M99" s="58"/>
    </row>
    <row r="100" spans="1:13" hidden="1" x14ac:dyDescent="0.25">
      <c r="A100" s="93" t="s">
        <v>163</v>
      </c>
      <c r="B100" s="93"/>
      <c r="C100" s="93"/>
      <c r="D100" s="93"/>
      <c r="E100" s="93"/>
      <c r="F100" s="109"/>
      <c r="G100" s="109"/>
      <c r="H100" s="109"/>
      <c r="I100" s="58"/>
      <c r="J100" s="58"/>
      <c r="K100" s="58"/>
      <c r="L100" s="58"/>
      <c r="M100" s="58"/>
    </row>
    <row r="101" spans="1:13" hidden="1" x14ac:dyDescent="0.25">
      <c r="A101" s="93" t="s">
        <v>165</v>
      </c>
      <c r="B101" s="93"/>
      <c r="C101" s="93"/>
      <c r="D101" s="93"/>
      <c r="E101" s="93"/>
      <c r="F101" s="109"/>
      <c r="G101" s="109"/>
      <c r="H101" s="109"/>
      <c r="I101" s="58"/>
      <c r="J101" s="58"/>
      <c r="K101" s="58"/>
      <c r="L101" s="58"/>
      <c r="M101" s="58"/>
    </row>
    <row r="102" spans="1:13" s="31" customFormat="1" hidden="1" x14ac:dyDescent="0.25">
      <c r="A102" s="93" t="s">
        <v>180</v>
      </c>
      <c r="B102" s="93"/>
      <c r="C102" s="93"/>
      <c r="D102" s="93"/>
      <c r="E102" s="93"/>
      <c r="F102" s="109"/>
      <c r="G102" s="109"/>
      <c r="H102" s="109"/>
      <c r="I102" s="59"/>
      <c r="J102" s="59"/>
      <c r="K102" s="59"/>
      <c r="L102" s="59"/>
      <c r="M102" s="59"/>
    </row>
    <row r="103" spans="1:13" s="31" customFormat="1" hidden="1" x14ac:dyDescent="0.25">
      <c r="A103" s="93" t="s">
        <v>94</v>
      </c>
      <c r="B103" s="93"/>
      <c r="C103" s="93"/>
      <c r="D103" s="93"/>
      <c r="E103" s="93"/>
      <c r="F103" s="109"/>
      <c r="G103" s="109"/>
      <c r="H103" s="109"/>
      <c r="I103" s="59"/>
      <c r="J103" s="59"/>
      <c r="K103" s="59"/>
      <c r="L103" s="59"/>
      <c r="M103" s="59"/>
    </row>
    <row r="104" spans="1:13" s="31" customFormat="1" hidden="1" x14ac:dyDescent="0.25">
      <c r="A104" s="93" t="s">
        <v>95</v>
      </c>
      <c r="B104" s="93"/>
      <c r="C104" s="93"/>
      <c r="D104" s="93"/>
      <c r="E104" s="93"/>
      <c r="F104" s="109"/>
      <c r="G104" s="109"/>
      <c r="H104" s="109"/>
      <c r="I104" s="59"/>
      <c r="J104" s="59"/>
      <c r="K104" s="59"/>
      <c r="L104" s="59"/>
      <c r="M104" s="59"/>
    </row>
    <row r="105" spans="1:13" s="31" customFormat="1" hidden="1" x14ac:dyDescent="0.25">
      <c r="A105" s="93" t="s">
        <v>167</v>
      </c>
      <c r="B105" s="93"/>
      <c r="C105" s="93"/>
      <c r="D105" s="93"/>
      <c r="E105" s="93"/>
      <c r="F105" s="109"/>
      <c r="G105" s="109"/>
      <c r="H105" s="109"/>
      <c r="I105" s="59"/>
      <c r="J105" s="59"/>
      <c r="K105" s="59"/>
      <c r="L105" s="59"/>
      <c r="M105" s="59"/>
    </row>
    <row r="106" spans="1:13" s="31" customFormat="1" hidden="1" x14ac:dyDescent="0.25">
      <c r="A106" s="93" t="s">
        <v>96</v>
      </c>
      <c r="B106" s="93"/>
      <c r="C106" s="93"/>
      <c r="D106" s="93"/>
      <c r="E106" s="93"/>
      <c r="F106" s="109"/>
      <c r="G106" s="109"/>
      <c r="H106" s="109"/>
      <c r="I106" s="59"/>
      <c r="J106" s="59"/>
      <c r="K106" s="59"/>
      <c r="L106" s="59"/>
      <c r="M106" s="59"/>
    </row>
    <row r="107" spans="1:13" s="31" customFormat="1" x14ac:dyDescent="0.25">
      <c r="A107" s="93" t="s">
        <v>293</v>
      </c>
      <c r="B107" s="93"/>
      <c r="C107" s="93"/>
      <c r="D107" s="93"/>
      <c r="E107" s="93"/>
      <c r="F107" s="109">
        <v>60000</v>
      </c>
      <c r="G107" s="109"/>
      <c r="H107" s="109"/>
      <c r="I107" s="59"/>
      <c r="J107" s="59"/>
      <c r="K107" s="59"/>
      <c r="L107" s="59"/>
      <c r="M107" s="59"/>
    </row>
    <row r="108" spans="1:13" s="31" customFormat="1" hidden="1" x14ac:dyDescent="0.25">
      <c r="A108" s="93" t="s">
        <v>97</v>
      </c>
      <c r="B108" s="93"/>
      <c r="C108" s="93"/>
      <c r="D108" s="93"/>
      <c r="E108" s="93"/>
      <c r="F108" s="109"/>
      <c r="G108" s="109"/>
      <c r="H108" s="109"/>
      <c r="I108" s="59"/>
      <c r="J108" s="59"/>
      <c r="K108" s="59"/>
      <c r="L108" s="59"/>
      <c r="M108" s="59"/>
    </row>
    <row r="109" spans="1:13" s="31" customFormat="1" hidden="1" x14ac:dyDescent="0.25">
      <c r="A109" s="93" t="s">
        <v>98</v>
      </c>
      <c r="B109" s="93"/>
      <c r="C109" s="93"/>
      <c r="D109" s="93"/>
      <c r="E109" s="93"/>
      <c r="F109" s="109"/>
      <c r="G109" s="109"/>
      <c r="H109" s="109"/>
      <c r="I109" s="59"/>
      <c r="J109" s="59"/>
      <c r="K109" s="59"/>
      <c r="L109" s="59"/>
      <c r="M109" s="59"/>
    </row>
    <row r="110" spans="1:13" x14ac:dyDescent="0.25">
      <c r="A110" s="93" t="s">
        <v>51</v>
      </c>
      <c r="B110" s="93"/>
      <c r="C110" s="93"/>
      <c r="D110" s="93"/>
      <c r="E110" s="93"/>
      <c r="F110" s="109">
        <v>1500000</v>
      </c>
      <c r="G110" s="109"/>
      <c r="H110" s="109"/>
      <c r="I110" s="58"/>
      <c r="J110" s="58"/>
      <c r="K110" s="58"/>
      <c r="L110" s="58"/>
      <c r="M110" s="58"/>
    </row>
    <row r="111" spans="1:13" s="32" customFormat="1" x14ac:dyDescent="0.25">
      <c r="A111" s="144" t="s">
        <v>52</v>
      </c>
      <c r="B111" s="144"/>
      <c r="C111" s="144"/>
      <c r="D111" s="144"/>
      <c r="E111" s="144"/>
      <c r="F111" s="109">
        <f>F99*0.8</f>
        <v>38400</v>
      </c>
      <c r="G111" s="109"/>
      <c r="H111" s="109"/>
      <c r="I111" s="60"/>
      <c r="J111" s="60"/>
      <c r="K111" s="60"/>
      <c r="L111" s="60"/>
      <c r="M111" s="60"/>
    </row>
    <row r="112" spans="1:13" s="33" customFormat="1" ht="15.75" hidden="1" customHeight="1" x14ac:dyDescent="0.25">
      <c r="A112" s="116" t="s">
        <v>74</v>
      </c>
      <c r="B112" s="116"/>
      <c r="C112" s="116"/>
      <c r="D112" s="116"/>
      <c r="E112" s="116"/>
      <c r="F112" s="116"/>
      <c r="G112" s="116"/>
      <c r="H112" s="116"/>
      <c r="I112" s="61"/>
      <c r="J112" s="61"/>
      <c r="K112" s="61"/>
      <c r="L112" s="61"/>
      <c r="M112" s="61"/>
    </row>
    <row r="113" spans="1:13" s="33" customFormat="1" ht="15.75" hidden="1" customHeight="1" x14ac:dyDescent="0.25">
      <c r="A113" s="119" t="s">
        <v>53</v>
      </c>
      <c r="B113" s="119"/>
      <c r="C113" s="117" t="s">
        <v>77</v>
      </c>
      <c r="D113" s="117"/>
      <c r="E113" s="118" t="s">
        <v>54</v>
      </c>
      <c r="F113" s="118"/>
      <c r="G113" s="119" t="s">
        <v>55</v>
      </c>
      <c r="H113" s="119"/>
      <c r="I113" s="61"/>
      <c r="J113" s="61"/>
      <c r="K113" s="61"/>
      <c r="L113" s="61"/>
      <c r="M113" s="61"/>
    </row>
    <row r="114" spans="1:13" s="33" customFormat="1" hidden="1" x14ac:dyDescent="0.25">
      <c r="A114" s="181"/>
      <c r="B114" s="181"/>
      <c r="C114" s="120"/>
      <c r="D114" s="120"/>
      <c r="E114" s="121"/>
      <c r="F114" s="121"/>
      <c r="G114" s="122"/>
      <c r="H114" s="122"/>
      <c r="I114" s="61"/>
      <c r="J114" s="61"/>
      <c r="K114" s="61"/>
      <c r="L114" s="61"/>
      <c r="M114" s="61"/>
    </row>
    <row r="115" spans="1:13" s="33" customFormat="1" hidden="1" x14ac:dyDescent="0.25">
      <c r="A115" s="181"/>
      <c r="B115" s="181"/>
      <c r="C115" s="120"/>
      <c r="D115" s="120"/>
      <c r="E115" s="121"/>
      <c r="F115" s="121"/>
      <c r="G115" s="122"/>
      <c r="H115" s="122"/>
      <c r="I115" s="61"/>
      <c r="J115" s="61"/>
      <c r="K115" s="61"/>
      <c r="L115" s="61"/>
      <c r="M115" s="61"/>
    </row>
    <row r="116" spans="1:13" s="33" customFormat="1" hidden="1" x14ac:dyDescent="0.25">
      <c r="A116" s="116" t="s">
        <v>155</v>
      </c>
      <c r="B116" s="116"/>
      <c r="C116" s="117"/>
      <c r="D116" s="117"/>
      <c r="E116" s="118"/>
      <c r="F116" s="118"/>
      <c r="G116" s="119"/>
      <c r="H116" s="119"/>
      <c r="I116" s="61"/>
      <c r="J116" s="61"/>
      <c r="K116" s="61"/>
      <c r="L116" s="61"/>
      <c r="M116" s="61"/>
    </row>
    <row r="117" spans="1:13" s="33" customFormat="1" x14ac:dyDescent="0.25">
      <c r="A117" s="116" t="s">
        <v>275</v>
      </c>
      <c r="B117" s="116"/>
      <c r="C117" s="116"/>
      <c r="D117" s="116"/>
      <c r="E117" s="116"/>
      <c r="F117" s="116"/>
      <c r="G117" s="116"/>
      <c r="H117" s="116"/>
      <c r="I117" s="61"/>
      <c r="J117" s="61"/>
      <c r="K117" s="61"/>
      <c r="L117" s="61"/>
      <c r="M117" s="61"/>
    </row>
    <row r="118" spans="1:13" s="33" customFormat="1" ht="15.75" customHeight="1" x14ac:dyDescent="0.25">
      <c r="A118" s="119" t="s">
        <v>53</v>
      </c>
      <c r="B118" s="119"/>
      <c r="C118" s="117" t="s">
        <v>77</v>
      </c>
      <c r="D118" s="117"/>
      <c r="E118" s="118" t="s">
        <v>54</v>
      </c>
      <c r="F118" s="118"/>
      <c r="G118" s="119" t="s">
        <v>55</v>
      </c>
      <c r="H118" s="119"/>
    </row>
    <row r="119" spans="1:13" s="33" customFormat="1" x14ac:dyDescent="0.25">
      <c r="A119" s="179" t="s">
        <v>274</v>
      </c>
      <c r="B119" s="180"/>
      <c r="C119" s="97">
        <f>COUNT(D142)+COUNT(D144)+COUNT(D148:D149)*2+COUNT(D153)*4+COUNT(D157)+COUNT(D161)</f>
        <v>12</v>
      </c>
      <c r="D119" s="97"/>
      <c r="E119" s="97">
        <f>SUM(D142)+SUM(D144)+SUM(D148:D149)*2+SUM(D153)*4+SUM(D157)+SUM(D161)</f>
        <v>16061.549961599998</v>
      </c>
      <c r="F119" s="97"/>
      <c r="G119" s="97">
        <f>SUM(F142)+SUM(F144)+SUM(F148:F149)*2+SUM(F153)*4+SUM(F157)+SUM(F161)</f>
        <v>24895.40244048</v>
      </c>
      <c r="H119" s="97"/>
    </row>
    <row r="120" spans="1:13" s="33" customFormat="1" x14ac:dyDescent="0.25">
      <c r="A120" s="94" t="s">
        <v>155</v>
      </c>
      <c r="B120" s="94"/>
      <c r="C120" s="98">
        <f>SUM(C119)</f>
        <v>12</v>
      </c>
      <c r="D120" s="99"/>
      <c r="E120" s="95">
        <f>SUM(E119)</f>
        <v>16061.549961599998</v>
      </c>
      <c r="F120" s="96"/>
      <c r="G120" s="100">
        <f>SUM(G119)</f>
        <v>24895.40244048</v>
      </c>
      <c r="H120" s="100"/>
    </row>
    <row r="121" spans="1:13" s="33" customFormat="1" x14ac:dyDescent="0.25">
      <c r="A121" s="116" t="s">
        <v>276</v>
      </c>
      <c r="B121" s="116"/>
      <c r="C121" s="116"/>
      <c r="D121" s="116"/>
      <c r="E121" s="116"/>
      <c r="F121" s="116"/>
      <c r="G121" s="116"/>
      <c r="H121" s="116"/>
    </row>
    <row r="122" spans="1:13" s="33" customFormat="1" ht="15.75" customHeight="1" x14ac:dyDescent="0.25">
      <c r="A122" s="119" t="s">
        <v>53</v>
      </c>
      <c r="B122" s="119"/>
      <c r="C122" s="117" t="s">
        <v>77</v>
      </c>
      <c r="D122" s="117"/>
      <c r="E122" s="118" t="s">
        <v>54</v>
      </c>
      <c r="F122" s="118"/>
      <c r="G122" s="119" t="s">
        <v>55</v>
      </c>
      <c r="H122" s="119"/>
    </row>
    <row r="123" spans="1:13" s="33" customFormat="1" x14ac:dyDescent="0.25">
      <c r="A123" s="113" t="s">
        <v>274</v>
      </c>
      <c r="B123" s="114"/>
      <c r="C123" s="97">
        <f>COUNT(D146)+COUNT(D150)*2+COUNT(D152,D154)*4+COUNT(D156,D158)+COUNT(D162)</f>
        <v>14</v>
      </c>
      <c r="D123" s="97"/>
      <c r="E123" s="97">
        <f>SUM(D146)+SUM(D150)*2+SUM(D152,D154)*4+SUM(D156,D158)+SUM(D162)</f>
        <v>23252.7523176</v>
      </c>
      <c r="F123" s="97"/>
      <c r="G123" s="97">
        <f>SUM(F146)+SUM(F150)*2+SUM(F152,F154)*4+SUM(F156,F158)+SUM(F162)</f>
        <v>36041.766092280006</v>
      </c>
      <c r="H123" s="97"/>
    </row>
    <row r="124" spans="1:13" s="33" customFormat="1" ht="16.5" thickBot="1" x14ac:dyDescent="0.3">
      <c r="A124" s="94" t="s">
        <v>155</v>
      </c>
      <c r="B124" s="94"/>
      <c r="C124" s="98">
        <f>SUM(C123)</f>
        <v>14</v>
      </c>
      <c r="D124" s="99"/>
      <c r="E124" s="95">
        <f>SUM(E123)</f>
        <v>23252.7523176</v>
      </c>
      <c r="F124" s="96"/>
      <c r="G124" s="100">
        <f>SUM(G123)</f>
        <v>36041.766092280006</v>
      </c>
      <c r="H124" s="100"/>
    </row>
    <row r="125" spans="1:13" s="33" customFormat="1" ht="16.5" customHeight="1" thickBot="1" x14ac:dyDescent="0.3">
      <c r="A125" s="208" t="s">
        <v>172</v>
      </c>
      <c r="B125" s="209"/>
      <c r="C125" s="206">
        <f>C120+C124</f>
        <v>26</v>
      </c>
      <c r="D125" s="207"/>
      <c r="E125" s="206">
        <f>E120+E124</f>
        <v>39314.302279199997</v>
      </c>
      <c r="F125" s="207"/>
      <c r="G125" s="206">
        <f>G120+G124</f>
        <v>60937.168532760006</v>
      </c>
      <c r="H125" s="207"/>
    </row>
    <row r="126" spans="1:13" s="32" customFormat="1" x14ac:dyDescent="0.25">
      <c r="A126" s="172" t="s">
        <v>56</v>
      </c>
      <c r="B126" s="172"/>
      <c r="C126" s="172"/>
      <c r="D126" s="172"/>
      <c r="E126" s="172"/>
      <c r="F126" s="172"/>
      <c r="G126" s="172"/>
      <c r="H126" s="172"/>
    </row>
    <row r="127" spans="1:13" x14ac:dyDescent="0.25">
      <c r="A127" s="167" t="s">
        <v>292</v>
      </c>
      <c r="B127" s="167"/>
      <c r="C127" s="167"/>
      <c r="D127" s="167"/>
      <c r="E127" s="167"/>
      <c r="F127" s="167"/>
      <c r="G127" s="167"/>
      <c r="H127" s="167"/>
    </row>
    <row r="128" spans="1:13" ht="47.25" hidden="1" customHeight="1" x14ac:dyDescent="0.25">
      <c r="A128" s="111" t="s">
        <v>120</v>
      </c>
      <c r="B128" s="111" t="s">
        <v>181</v>
      </c>
      <c r="C128" s="111" t="s">
        <v>57</v>
      </c>
      <c r="D128" s="111" t="s">
        <v>58</v>
      </c>
      <c r="E128" s="125" t="s">
        <v>161</v>
      </c>
      <c r="F128" s="41" t="s">
        <v>153</v>
      </c>
      <c r="G128" s="127" t="s">
        <v>60</v>
      </c>
      <c r="H128" s="128"/>
    </row>
    <row r="129" spans="1:14" s="35" customFormat="1" hidden="1" x14ac:dyDescent="0.25">
      <c r="A129" s="112"/>
      <c r="B129" s="112"/>
      <c r="C129" s="112"/>
      <c r="D129" s="112"/>
      <c r="E129" s="126"/>
      <c r="F129" s="13">
        <v>0.45</v>
      </c>
      <c r="G129" s="129"/>
      <c r="H129" s="130"/>
    </row>
    <row r="130" spans="1:14" s="35" customFormat="1" hidden="1" x14ac:dyDescent="0.25">
      <c r="A130" s="81" t="s">
        <v>118</v>
      </c>
      <c r="B130" s="82"/>
      <c r="C130" s="82"/>
      <c r="D130" s="82"/>
      <c r="E130" s="82"/>
      <c r="F130" s="82"/>
      <c r="G130" s="82"/>
      <c r="H130" s="83"/>
      <c r="J130" s="34"/>
    </row>
    <row r="131" spans="1:14" s="35" customFormat="1" hidden="1" x14ac:dyDescent="0.25">
      <c r="A131" s="91">
        <v>1</v>
      </c>
      <c r="B131" s="92"/>
      <c r="C131" s="40"/>
      <c r="D131" s="40"/>
      <c r="E131" s="40">
        <v>0</v>
      </c>
      <c r="F131" s="40">
        <f>(D131+E131)*(($F$129)+1)</f>
        <v>0</v>
      </c>
      <c r="G131" s="91" t="str">
        <f>A130</f>
        <v>Ground Floor</v>
      </c>
      <c r="H131" s="92"/>
      <c r="I131" s="34"/>
      <c r="L131" s="90"/>
      <c r="M131" s="90"/>
      <c r="N131" s="34"/>
    </row>
    <row r="132" spans="1:14" s="35" customFormat="1" hidden="1" x14ac:dyDescent="0.25">
      <c r="A132" s="91">
        <f t="shared" ref="A132:A134" si="0">A131+1</f>
        <v>2</v>
      </c>
      <c r="B132" s="92"/>
      <c r="C132" s="40"/>
      <c r="D132" s="40"/>
      <c r="E132" s="40">
        <v>0</v>
      </c>
      <c r="F132" s="40">
        <f t="shared" ref="F132:F134" si="1">(D132+E132)*(($F$129)+1)</f>
        <v>0</v>
      </c>
      <c r="G132" s="91" t="str">
        <f t="shared" ref="G132:G134" si="2">G131</f>
        <v>Ground Floor</v>
      </c>
      <c r="H132" s="92"/>
      <c r="I132" s="34"/>
      <c r="L132" s="90"/>
      <c r="M132" s="90"/>
      <c r="N132" s="34"/>
    </row>
    <row r="133" spans="1:14" s="35" customFormat="1" hidden="1" x14ac:dyDescent="0.25">
      <c r="A133" s="91">
        <f t="shared" si="0"/>
        <v>3</v>
      </c>
      <c r="B133" s="92"/>
      <c r="C133" s="40"/>
      <c r="D133" s="40"/>
      <c r="E133" s="40">
        <v>0</v>
      </c>
      <c r="F133" s="40">
        <f t="shared" si="1"/>
        <v>0</v>
      </c>
      <c r="G133" s="91" t="str">
        <f t="shared" si="2"/>
        <v>Ground Floor</v>
      </c>
      <c r="H133" s="92"/>
      <c r="I133" s="34"/>
      <c r="L133" s="90"/>
      <c r="M133" s="90"/>
      <c r="N133" s="34"/>
    </row>
    <row r="134" spans="1:14" s="35" customFormat="1" hidden="1" x14ac:dyDescent="0.25">
      <c r="A134" s="91">
        <f t="shared" si="0"/>
        <v>4</v>
      </c>
      <c r="B134" s="92"/>
      <c r="C134" s="40"/>
      <c r="D134" s="40"/>
      <c r="E134" s="40">
        <v>0</v>
      </c>
      <c r="F134" s="40">
        <f t="shared" si="1"/>
        <v>0</v>
      </c>
      <c r="G134" s="91" t="str">
        <f t="shared" si="2"/>
        <v>Ground Floor</v>
      </c>
      <c r="H134" s="92"/>
      <c r="I134" s="34"/>
      <c r="L134" s="90"/>
      <c r="M134" s="90"/>
      <c r="N134" s="34"/>
    </row>
    <row r="135" spans="1:14" s="35" customFormat="1" hidden="1" x14ac:dyDescent="0.25">
      <c r="A135" s="91"/>
      <c r="B135" s="103"/>
      <c r="C135" s="103"/>
      <c r="D135" s="103"/>
      <c r="E135" s="103"/>
      <c r="F135" s="103"/>
      <c r="G135" s="103"/>
      <c r="H135" s="92"/>
      <c r="I135" s="34"/>
      <c r="N135" s="34"/>
    </row>
    <row r="136" spans="1:14" ht="47.25" customHeight="1" x14ac:dyDescent="0.25">
      <c r="A136" s="127" t="s">
        <v>121</v>
      </c>
      <c r="B136" s="111" t="s">
        <v>261</v>
      </c>
      <c r="C136" s="111" t="s">
        <v>57</v>
      </c>
      <c r="D136" s="111" t="s">
        <v>58</v>
      </c>
      <c r="E136" s="125" t="s">
        <v>59</v>
      </c>
      <c r="F136" s="41" t="s">
        <v>153</v>
      </c>
      <c r="G136" s="127" t="s">
        <v>60</v>
      </c>
      <c r="H136" s="128"/>
      <c r="I136" s="34"/>
    </row>
    <row r="137" spans="1:14" s="35" customFormat="1" x14ac:dyDescent="0.25">
      <c r="A137" s="129"/>
      <c r="B137" s="112"/>
      <c r="C137" s="112"/>
      <c r="D137" s="112"/>
      <c r="E137" s="126"/>
      <c r="F137" s="13">
        <v>0.55000000000000004</v>
      </c>
      <c r="G137" s="129"/>
      <c r="H137" s="130"/>
      <c r="I137" s="34"/>
      <c r="J137" s="57">
        <v>10.763999999999999</v>
      </c>
    </row>
    <row r="138" spans="1:14" s="35" customFormat="1" x14ac:dyDescent="0.25">
      <c r="A138" s="81" t="s">
        <v>257</v>
      </c>
      <c r="B138" s="82"/>
      <c r="C138" s="82"/>
      <c r="D138" s="82"/>
      <c r="E138" s="82"/>
      <c r="F138" s="82"/>
      <c r="G138" s="82"/>
      <c r="H138" s="83"/>
      <c r="J138" s="34"/>
    </row>
    <row r="139" spans="1:14" s="35" customFormat="1" x14ac:dyDescent="0.25">
      <c r="A139" s="81" t="s">
        <v>256</v>
      </c>
      <c r="B139" s="82"/>
      <c r="C139" s="82"/>
      <c r="D139" s="82"/>
      <c r="E139" s="82"/>
      <c r="F139" s="82"/>
      <c r="G139" s="82"/>
      <c r="H139" s="83"/>
      <c r="J139" s="34"/>
    </row>
    <row r="140" spans="1:14" s="35" customFormat="1" x14ac:dyDescent="0.25">
      <c r="A140" s="81" t="s">
        <v>258</v>
      </c>
      <c r="B140" s="82"/>
      <c r="C140" s="82"/>
      <c r="D140" s="82"/>
      <c r="E140" s="82"/>
      <c r="F140" s="82"/>
      <c r="G140" s="82"/>
      <c r="H140" s="83"/>
      <c r="J140" s="34"/>
    </row>
    <row r="141" spans="1:14" s="35" customFormat="1" x14ac:dyDescent="0.25">
      <c r="A141" s="81" t="s">
        <v>259</v>
      </c>
      <c r="B141" s="82"/>
      <c r="C141" s="82"/>
      <c r="D141" s="82"/>
      <c r="E141" s="82"/>
      <c r="F141" s="82"/>
      <c r="G141" s="82"/>
      <c r="H141" s="83"/>
      <c r="J141" s="34"/>
    </row>
    <row r="142" spans="1:14" s="35" customFormat="1" ht="31.5" customHeight="1" x14ac:dyDescent="0.25">
      <c r="A142" s="40">
        <v>1</v>
      </c>
      <c r="B142" s="40" t="s">
        <v>262</v>
      </c>
      <c r="C142" s="40" t="s">
        <v>260</v>
      </c>
      <c r="D142" s="57">
        <f>(113.74+2.5*1.24+4.2*1.24)*10.764</f>
        <v>1313.7246719999998</v>
      </c>
      <c r="E142" s="40">
        <v>0</v>
      </c>
      <c r="F142" s="40">
        <f>D142*(($F$137)+1)+(IF(E142&lt;101,E142,IF(E142&lt;201,E142/2,IF(E142&lt;=301,E142/3,E142/4))))</f>
        <v>2036.2732415999999</v>
      </c>
      <c r="G142" s="91" t="str">
        <f>A141</f>
        <v>1st Floor for Residential &amp; Parking</v>
      </c>
      <c r="H142" s="92"/>
      <c r="I142" s="34">
        <f>4.24*6.55+2.54*3.2+3.51*3.76+4.13*3.45+1.48*1.63+1.49*0.69+4.84*3.75+0.94*0.55+1.52*2.45+2.54*1.52+1.64*2.45+1.52*1.2+1.06*1.33+7.24*1.06+2.5*1.24</f>
        <v>111.0646</v>
      </c>
      <c r="J142" s="34">
        <f>109500000/F142</f>
        <v>53774.708503246096</v>
      </c>
      <c r="L142" s="90"/>
      <c r="M142" s="90"/>
      <c r="N142" s="34"/>
    </row>
    <row r="143" spans="1:14" s="35" customFormat="1" x14ac:dyDescent="0.25">
      <c r="A143" s="81" t="s">
        <v>119</v>
      </c>
      <c r="B143" s="82"/>
      <c r="C143" s="82"/>
      <c r="D143" s="82"/>
      <c r="E143" s="82"/>
      <c r="F143" s="82"/>
      <c r="G143" s="82"/>
      <c r="H143" s="83"/>
      <c r="J143" s="34"/>
    </row>
    <row r="144" spans="1:14" s="35" customFormat="1" x14ac:dyDescent="0.25">
      <c r="A144" s="40">
        <v>1</v>
      </c>
      <c r="B144" s="40" t="s">
        <v>262</v>
      </c>
      <c r="C144" s="40" t="s">
        <v>260</v>
      </c>
      <c r="D144" s="57">
        <f>(122.74+2.54*1.24+4.2*1.24)*10.764</f>
        <v>1411.1345663999998</v>
      </c>
      <c r="E144" s="40">
        <v>0</v>
      </c>
      <c r="F144" s="40">
        <f>D144*(($F$137)+1)+(IF(E144&lt;101,E144,IF(E144&lt;201,E144/2,IF(E144&lt;=301,E144/3,E144/4))))</f>
        <v>2187.2585779199999</v>
      </c>
      <c r="G144" s="84" t="str">
        <f>A143</f>
        <v>2nd Floor</v>
      </c>
      <c r="H144" s="85"/>
      <c r="I144" s="34"/>
      <c r="L144" s="90"/>
      <c r="M144" s="90"/>
      <c r="N144" s="34"/>
    </row>
    <row r="145" spans="1:14" s="35" customFormat="1" x14ac:dyDescent="0.25">
      <c r="A145" s="40">
        <v>2</v>
      </c>
      <c r="B145" s="40" t="s">
        <v>263</v>
      </c>
      <c r="C145" s="91" t="s">
        <v>265</v>
      </c>
      <c r="D145" s="103"/>
      <c r="E145" s="103"/>
      <c r="F145" s="92"/>
      <c r="G145" s="86"/>
      <c r="H145" s="87"/>
      <c r="I145" s="34"/>
      <c r="L145" s="90"/>
      <c r="M145" s="90"/>
      <c r="N145" s="34"/>
    </row>
    <row r="146" spans="1:14" s="35" customFormat="1" x14ac:dyDescent="0.25">
      <c r="A146" s="40">
        <v>3</v>
      </c>
      <c r="B146" s="40" t="s">
        <v>264</v>
      </c>
      <c r="C146" s="40" t="s">
        <v>266</v>
      </c>
      <c r="D146" s="57">
        <f>(139.83+1.5*2.21+1.34*1.65)*10.764</f>
        <v>1564.6119840000001</v>
      </c>
      <c r="E146" s="40">
        <v>0</v>
      </c>
      <c r="F146" s="40">
        <f>D146*(($F$137)+1)+(IF(E146&lt;101,E146,IF(E146&lt;201,E146/2,IF(E146&lt;=301,E146/3,E146/4))))</f>
        <v>2425.1485752000003</v>
      </c>
      <c r="G146" s="88"/>
      <c r="H146" s="89"/>
      <c r="I146" s="34"/>
      <c r="L146" s="90"/>
      <c r="M146" s="90"/>
      <c r="N146" s="34"/>
    </row>
    <row r="147" spans="1:14" s="35" customFormat="1" x14ac:dyDescent="0.25">
      <c r="A147" s="81" t="s">
        <v>267</v>
      </c>
      <c r="B147" s="82"/>
      <c r="C147" s="82"/>
      <c r="D147" s="82"/>
      <c r="E147" s="82"/>
      <c r="F147" s="82"/>
      <c r="G147" s="82"/>
      <c r="H147" s="83"/>
      <c r="J147" s="34"/>
    </row>
    <row r="148" spans="1:14" s="35" customFormat="1" ht="15.75" customHeight="1" x14ac:dyDescent="0.25">
      <c r="A148" s="40">
        <v>1</v>
      </c>
      <c r="B148" s="40" t="s">
        <v>262</v>
      </c>
      <c r="C148" s="40" t="s">
        <v>260</v>
      </c>
      <c r="D148" s="57">
        <f>(113.74+2.5*1.24+4.2*1.24)*10.764</f>
        <v>1313.7246719999998</v>
      </c>
      <c r="E148" s="40">
        <v>0</v>
      </c>
      <c r="F148" s="40">
        <f>D148*(($F$137)+1)+(IF(E148&lt;101,E148,IF(E148&lt;201,E148/2,IF(E148&lt;=301,E148/3,E148/4))))</f>
        <v>2036.2732415999999</v>
      </c>
      <c r="G148" s="84" t="str">
        <f>A147</f>
        <v>3rd &amp; 4th Floor</v>
      </c>
      <c r="H148" s="85"/>
      <c r="I148" s="34"/>
      <c r="L148" s="90"/>
      <c r="M148" s="90"/>
      <c r="N148" s="34"/>
    </row>
    <row r="149" spans="1:14" s="35" customFormat="1" x14ac:dyDescent="0.25">
      <c r="A149" s="40">
        <v>2</v>
      </c>
      <c r="B149" s="40" t="s">
        <v>262</v>
      </c>
      <c r="C149" s="40" t="s">
        <v>260</v>
      </c>
      <c r="D149" s="57">
        <f>(113.62+2.54*1.24+4.2*1.24)*10.764</f>
        <v>1312.9668864</v>
      </c>
      <c r="E149" s="40">
        <v>0</v>
      </c>
      <c r="F149" s="40">
        <f>D149*(($F$137)+1)+(IF(E149&lt;101,E149,IF(E149&lt;201,E149/2,IF(E149&lt;=301,E149/3,E149/4))))</f>
        <v>2035.09867392</v>
      </c>
      <c r="G149" s="86"/>
      <c r="H149" s="87"/>
      <c r="I149" s="34"/>
      <c r="L149" s="90"/>
      <c r="M149" s="90"/>
      <c r="N149" s="34"/>
    </row>
    <row r="150" spans="1:14" s="35" customFormat="1" x14ac:dyDescent="0.25">
      <c r="A150" s="40">
        <v>3</v>
      </c>
      <c r="B150" s="40" t="s">
        <v>264</v>
      </c>
      <c r="C150" s="40" t="s">
        <v>266</v>
      </c>
      <c r="D150" s="57">
        <f>(139.83+1.5*2.21+1.34*1.65)*10.764</f>
        <v>1564.6119840000001</v>
      </c>
      <c r="E150" s="40">
        <v>0</v>
      </c>
      <c r="F150" s="40">
        <f>D150*(($F$137)+1)+(IF(E150&lt;101,E150,IF(E150&lt;201,E150/2,IF(E150&lt;=301,E150/3,E150/4))))</f>
        <v>2425.1485752000003</v>
      </c>
      <c r="G150" s="88"/>
      <c r="H150" s="89"/>
      <c r="I150" s="34"/>
      <c r="L150" s="90"/>
      <c r="M150" s="90"/>
      <c r="N150" s="34"/>
    </row>
    <row r="151" spans="1:14" s="35" customFormat="1" x14ac:dyDescent="0.25">
      <c r="A151" s="81" t="s">
        <v>268</v>
      </c>
      <c r="B151" s="82"/>
      <c r="C151" s="82"/>
      <c r="D151" s="82"/>
      <c r="E151" s="82"/>
      <c r="F151" s="82"/>
      <c r="G151" s="82"/>
      <c r="H151" s="83"/>
      <c r="J151" s="34"/>
    </row>
    <row r="152" spans="1:14" s="35" customFormat="1" ht="15.75" customHeight="1" x14ac:dyDescent="0.25">
      <c r="A152" s="40">
        <v>1</v>
      </c>
      <c r="B152" s="40" t="s">
        <v>264</v>
      </c>
      <c r="C152" s="40" t="s">
        <v>269</v>
      </c>
      <c r="D152" s="57">
        <f>(164.45+2.5*1.24+4.2*1.95+1.12*2.09+1.52*2.63)*10.764</f>
        <v>1959.8918975999998</v>
      </c>
      <c r="E152" s="40">
        <v>0</v>
      </c>
      <c r="F152" s="40">
        <f>D152*(($F$137)+1)+(IF(E152&lt;101,E152,IF(E152&lt;201,E152/2,IF(E152&lt;=301,E152/3,E152/4))))</f>
        <v>3037.8324412799998</v>
      </c>
      <c r="G152" s="84" t="str">
        <f>A151</f>
        <v>5th to 7th &amp; 9th Floor</v>
      </c>
      <c r="H152" s="85"/>
      <c r="I152" s="34"/>
      <c r="J152" s="34">
        <f>150000000/F152</f>
        <v>49377.311915464648</v>
      </c>
      <c r="L152" s="90"/>
      <c r="M152" s="90"/>
      <c r="N152" s="34"/>
    </row>
    <row r="153" spans="1:14" s="35" customFormat="1" x14ac:dyDescent="0.25">
      <c r="A153" s="40">
        <v>2</v>
      </c>
      <c r="B153" s="40" t="s">
        <v>262</v>
      </c>
      <c r="C153" s="40" t="s">
        <v>260</v>
      </c>
      <c r="D153" s="57">
        <f>(113.62+2.54*1.24+4.2*1.24)*10.764</f>
        <v>1312.9668864</v>
      </c>
      <c r="E153" s="40">
        <v>0</v>
      </c>
      <c r="F153" s="40">
        <f>D153*(($F$137)+1)+(IF(E153&lt;101,E153,IF(E153&lt;201,E153/2,IF(E153&lt;=301,E153/3,E153/4))))</f>
        <v>2035.09867392</v>
      </c>
      <c r="G153" s="86"/>
      <c r="H153" s="87"/>
      <c r="I153" s="34"/>
      <c r="L153" s="90"/>
      <c r="M153" s="90"/>
      <c r="N153" s="34"/>
    </row>
    <row r="154" spans="1:14" s="35" customFormat="1" x14ac:dyDescent="0.25">
      <c r="A154" s="40">
        <v>3</v>
      </c>
      <c r="B154" s="40" t="s">
        <v>264</v>
      </c>
      <c r="C154" s="40" t="s">
        <v>266</v>
      </c>
      <c r="D154" s="57">
        <f>(139.83+1.5*2.21+1.34*1.65)*10.764</f>
        <v>1564.6119840000001</v>
      </c>
      <c r="E154" s="40">
        <v>0</v>
      </c>
      <c r="F154" s="40">
        <f>D154*(($F$137)+1)+(IF(E154&lt;101,E154,IF(E154&lt;201,E154/2,IF(E154&lt;=301,E154/3,E154/4))))</f>
        <v>2425.1485752000003</v>
      </c>
      <c r="G154" s="88"/>
      <c r="H154" s="89"/>
      <c r="I154" s="34"/>
      <c r="L154" s="90"/>
      <c r="M154" s="90"/>
      <c r="N154" s="34"/>
    </row>
    <row r="155" spans="1:14" s="35" customFormat="1" x14ac:dyDescent="0.25">
      <c r="A155" s="81" t="s">
        <v>270</v>
      </c>
      <c r="B155" s="82"/>
      <c r="C155" s="82"/>
      <c r="D155" s="82"/>
      <c r="E155" s="82"/>
      <c r="F155" s="82"/>
      <c r="G155" s="82"/>
      <c r="H155" s="83"/>
      <c r="J155" s="34"/>
    </row>
    <row r="156" spans="1:14" s="35" customFormat="1" ht="15.75" customHeight="1" x14ac:dyDescent="0.25">
      <c r="A156" s="40">
        <v>1</v>
      </c>
      <c r="B156" s="40" t="s">
        <v>264</v>
      </c>
      <c r="C156" s="40" t="s">
        <v>266</v>
      </c>
      <c r="D156" s="57">
        <f>(141.91+4.24*1.9+2.5*1.34+1.2*2.09+1.52*2.6)*10.764</f>
        <v>1719.8288640000001</v>
      </c>
      <c r="E156" s="40">
        <v>0</v>
      </c>
      <c r="F156" s="40">
        <f>D156*(($F$137)+1)+(IF(E156&lt;101,E156,IF(E156&lt;201,E156/2,IF(E156&lt;=301,E156/3,E156/4))))</f>
        <v>2665.7347392000001</v>
      </c>
      <c r="G156" s="84" t="str">
        <f>A155</f>
        <v>8th Floor (Part Refuge Area)</v>
      </c>
      <c r="H156" s="85"/>
      <c r="I156" s="34"/>
      <c r="L156" s="90"/>
      <c r="M156" s="90"/>
      <c r="N156" s="34"/>
    </row>
    <row r="157" spans="1:14" s="35" customFormat="1" x14ac:dyDescent="0.25">
      <c r="A157" s="40">
        <v>2</v>
      </c>
      <c r="B157" s="40" t="s">
        <v>262</v>
      </c>
      <c r="C157" s="40" t="s">
        <v>260</v>
      </c>
      <c r="D157" s="57">
        <f>(113.62+2.54*1.24+4.2*1.24)*10.764</f>
        <v>1312.9668864</v>
      </c>
      <c r="E157" s="40">
        <v>0</v>
      </c>
      <c r="F157" s="40">
        <f>D157*(($F$137)+1)+(IF(E157&lt;101,E157,IF(E157&lt;201,E157/2,IF(E157&lt;=301,E157/3,E157/4))))</f>
        <v>2035.09867392</v>
      </c>
      <c r="G157" s="86"/>
      <c r="H157" s="87"/>
      <c r="I157" s="34"/>
      <c r="L157" s="90"/>
      <c r="M157" s="90"/>
      <c r="N157" s="34"/>
    </row>
    <row r="158" spans="1:14" s="35" customFormat="1" x14ac:dyDescent="0.25">
      <c r="A158" s="40">
        <v>3</v>
      </c>
      <c r="B158" s="40" t="s">
        <v>264</v>
      </c>
      <c r="C158" s="63" t="s">
        <v>260</v>
      </c>
      <c r="D158" s="57">
        <f>(105.82+1.34*1.62+0.9*1.45)*10.764</f>
        <v>1176.4599911999999</v>
      </c>
      <c r="E158" s="40">
        <v>0</v>
      </c>
      <c r="F158" s="40">
        <f>D158*(($F$137)+1)+(IF(E158&lt;101,E158,IF(E158&lt;201,E158/2,IF(E158&lt;=301,E158/3,E158/4))))</f>
        <v>1823.5129863599998</v>
      </c>
      <c r="G158" s="88"/>
      <c r="H158" s="89"/>
      <c r="I158" s="34"/>
      <c r="J158" s="35">
        <f>105000000/F150</f>
        <v>43296.316388096231</v>
      </c>
      <c r="K158" s="35">
        <f>80000000/F158</f>
        <v>43871.362912359495</v>
      </c>
      <c r="L158" s="90"/>
      <c r="M158" s="90"/>
      <c r="N158" s="34"/>
    </row>
    <row r="159" spans="1:14" s="35" customFormat="1" x14ac:dyDescent="0.25">
      <c r="A159" s="81" t="s">
        <v>271</v>
      </c>
      <c r="B159" s="82"/>
      <c r="C159" s="82"/>
      <c r="D159" s="82"/>
      <c r="E159" s="82"/>
      <c r="F159" s="82"/>
      <c r="G159" s="82"/>
      <c r="H159" s="83"/>
      <c r="J159" s="34"/>
    </row>
    <row r="160" spans="1:14" s="35" customFormat="1" ht="15.75" customHeight="1" x14ac:dyDescent="0.25">
      <c r="A160" s="40">
        <v>1</v>
      </c>
      <c r="B160" s="40" t="s">
        <v>263</v>
      </c>
      <c r="C160" s="91" t="s">
        <v>272</v>
      </c>
      <c r="D160" s="103"/>
      <c r="E160" s="103"/>
      <c r="F160" s="92"/>
      <c r="G160" s="84" t="str">
        <f>A159</f>
        <v>10th Floor (Part Terrace Area)</v>
      </c>
      <c r="H160" s="85"/>
      <c r="I160" s="34"/>
      <c r="L160" s="90"/>
      <c r="M160" s="90"/>
      <c r="N160" s="34"/>
    </row>
    <row r="161" spans="1:14" s="35" customFormat="1" x14ac:dyDescent="0.25">
      <c r="A161" s="40">
        <v>2</v>
      </c>
      <c r="B161" s="40" t="s">
        <v>262</v>
      </c>
      <c r="C161" s="40" t="s">
        <v>260</v>
      </c>
      <c r="D161" s="57">
        <f>(131.2+2.54*1.24+4.2*1.6)*10.764</f>
        <v>1518.4731743999996</v>
      </c>
      <c r="E161" s="40">
        <v>0</v>
      </c>
      <c r="F161" s="40">
        <f>D161*(($F$137)+1)+(IF(E161&lt;101,E161,IF(E161&lt;201,E161/2,IF(E161&lt;=301,E161/3,E161/4))))</f>
        <v>2353.6334203199995</v>
      </c>
      <c r="G161" s="86"/>
      <c r="H161" s="87"/>
      <c r="I161" s="34"/>
      <c r="L161" s="90"/>
      <c r="M161" s="90"/>
      <c r="N161" s="34"/>
    </row>
    <row r="162" spans="1:14" s="35" customFormat="1" x14ac:dyDescent="0.25">
      <c r="A162" s="40">
        <v>3</v>
      </c>
      <c r="B162" s="40" t="s">
        <v>264</v>
      </c>
      <c r="C162" s="40" t="s">
        <v>266</v>
      </c>
      <c r="D162" s="57">
        <f>(139.83+1.5*2.21+1.34*1.65)*10.764</f>
        <v>1564.6119840000001</v>
      </c>
      <c r="E162" s="40">
        <v>0</v>
      </c>
      <c r="F162" s="40">
        <f>D162*(($F$137)+1)+(IF(E162&lt;101,E162,IF(E162&lt;201,E162/2,IF(E162&lt;=301,E162/3,E162/4))))</f>
        <v>2425.1485752000003</v>
      </c>
      <c r="G162" s="88"/>
      <c r="H162" s="89"/>
      <c r="I162" s="34"/>
      <c r="L162" s="90"/>
      <c r="M162" s="90"/>
      <c r="N162" s="34"/>
    </row>
    <row r="163" spans="1:14" s="35" customFormat="1" hidden="1" x14ac:dyDescent="0.25">
      <c r="A163" s="178" t="s">
        <v>119</v>
      </c>
      <c r="B163" s="178"/>
      <c r="C163" s="178"/>
      <c r="D163" s="178"/>
      <c r="E163" s="178"/>
      <c r="F163" s="178"/>
      <c r="G163" s="178"/>
      <c r="H163" s="178"/>
      <c r="I163" s="34"/>
      <c r="L163" s="90"/>
      <c r="M163" s="90"/>
    </row>
    <row r="164" spans="1:14" s="35" customFormat="1" hidden="1" x14ac:dyDescent="0.25">
      <c r="A164" s="110">
        <f>LEFT(A163,SUM(LEN(A163)-LEN(SUBSTITUTE(A163,{"0","1","2","3","4","5","6","7","8","9"},""))))*100+1</f>
        <v>201</v>
      </c>
      <c r="B164" s="110"/>
      <c r="C164" s="40"/>
      <c r="D164" s="40"/>
      <c r="E164" s="40">
        <v>0</v>
      </c>
      <c r="F164" s="40">
        <f t="shared" ref="F164:F165" si="3">D164*(($F$137)+1)+(IF(E164&lt;101,E164,IF(E164&lt;201,E164/2,IF(E164&lt;=301,E164/3,E164/4))))</f>
        <v>0</v>
      </c>
      <c r="G164" s="110" t="str">
        <f>A163</f>
        <v>2nd Floor</v>
      </c>
      <c r="H164" s="110"/>
      <c r="I164" s="34"/>
      <c r="N164" s="34"/>
    </row>
    <row r="165" spans="1:14" s="35" customFormat="1" hidden="1" x14ac:dyDescent="0.25">
      <c r="A165" s="110">
        <f>A164+1</f>
        <v>202</v>
      </c>
      <c r="B165" s="110"/>
      <c r="C165" s="40"/>
      <c r="D165" s="40"/>
      <c r="E165" s="40">
        <v>0</v>
      </c>
      <c r="F165" s="40">
        <f t="shared" si="3"/>
        <v>0</v>
      </c>
      <c r="G165" s="110" t="str">
        <f>G164</f>
        <v>2nd Floor</v>
      </c>
      <c r="H165" s="110"/>
      <c r="I165" s="34"/>
      <c r="N165" s="34"/>
    </row>
    <row r="166" spans="1:14" s="35" customFormat="1" hidden="1" x14ac:dyDescent="0.25">
      <c r="A166" s="110">
        <f>A165+1</f>
        <v>203</v>
      </c>
      <c r="B166" s="110"/>
      <c r="C166" s="40"/>
      <c r="D166" s="40"/>
      <c r="E166" s="40">
        <v>0</v>
      </c>
      <c r="F166" s="40">
        <f>D166*(($F$137)+1)+(IF(E166&lt;101,E166,IF(E166&lt;201,E166/2,IF(E166&lt;=301,E166/3,E166/4))))</f>
        <v>0</v>
      </c>
      <c r="G166" s="110" t="str">
        <f>G165</f>
        <v>2nd Floor</v>
      </c>
      <c r="H166" s="110"/>
      <c r="I166" s="34"/>
      <c r="N166" s="34"/>
    </row>
    <row r="167" spans="1:14" s="35" customFormat="1" hidden="1" x14ac:dyDescent="0.25">
      <c r="A167" s="110">
        <f>A166+1</f>
        <v>204</v>
      </c>
      <c r="B167" s="110"/>
      <c r="C167" s="40"/>
      <c r="D167" s="40"/>
      <c r="E167" s="40">
        <v>0</v>
      </c>
      <c r="F167" s="40">
        <f>D167*(($F$137)+1)+(IF(E167&lt;101,E167,IF(E167&lt;201,E167/2,IF(E167&lt;=301,E167/3,E167/4))))</f>
        <v>0</v>
      </c>
      <c r="G167" s="110" t="str">
        <f>G166</f>
        <v>2nd Floor</v>
      </c>
      <c r="H167" s="110"/>
      <c r="I167" s="34"/>
      <c r="N167" s="34"/>
    </row>
    <row r="168" spans="1:14" s="35" customFormat="1" hidden="1" x14ac:dyDescent="0.25">
      <c r="A168" s="110">
        <f>A167+1</f>
        <v>205</v>
      </c>
      <c r="B168" s="110"/>
      <c r="C168" s="40"/>
      <c r="D168" s="40"/>
      <c r="E168" s="40">
        <v>0</v>
      </c>
      <c r="F168" s="40">
        <f>D168*(($F$137)+1)+(IF(E168&lt;101,E168,IF(E168&lt;201,E168/2,IF(E168&lt;=301,E168/3,E168/4))))</f>
        <v>0</v>
      </c>
      <c r="G168" s="110" t="str">
        <f>G167</f>
        <v>2nd Floor</v>
      </c>
      <c r="H168" s="110"/>
      <c r="I168" s="34"/>
      <c r="N168" s="34"/>
    </row>
    <row r="169" spans="1:14" s="35" customFormat="1" ht="15.75" hidden="1" customHeight="1" x14ac:dyDescent="0.25">
      <c r="A169" s="81" t="s">
        <v>154</v>
      </c>
      <c r="B169" s="82"/>
      <c r="C169" s="82"/>
      <c r="D169" s="82"/>
      <c r="E169" s="82"/>
      <c r="F169" s="82"/>
      <c r="G169" s="82"/>
      <c r="H169" s="83"/>
      <c r="I169" s="34"/>
    </row>
    <row r="170" spans="1:14" s="35" customFormat="1" hidden="1" x14ac:dyDescent="0.25">
      <c r="A170" s="91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301 ,.., 1501</v>
      </c>
      <c r="B170" s="92"/>
      <c r="C170" s="40"/>
      <c r="D170" s="40"/>
      <c r="E170" s="40">
        <v>0</v>
      </c>
      <c r="F170" s="40">
        <f>D170*(($F$137)+1)+(IF(E170&lt;101,E170,IF(E170&lt;201,E170/2,IF(E170&lt;=301,E170/3,E170/4))))</f>
        <v>0</v>
      </c>
      <c r="G170" s="91" t="str">
        <f>A169</f>
        <v>3rd, 5th, 7th, 9th, 11th, 13th, 15th Floor</v>
      </c>
      <c r="H170" s="92"/>
      <c r="I170" s="34"/>
    </row>
    <row r="171" spans="1:14" s="35" customFormat="1" hidden="1" x14ac:dyDescent="0.25">
      <c r="A171" s="91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302 ,.., 1502</v>
      </c>
      <c r="B171" s="92"/>
      <c r="C171" s="40"/>
      <c r="D171" s="40"/>
      <c r="E171" s="40">
        <v>0</v>
      </c>
      <c r="F171" s="40">
        <f>D171*(($F$137)+1)+(IF(E171&lt;101,E171,IF(E171&lt;201,E171/2,IF(E171&lt;=301,E171/3,E171/4))))</f>
        <v>0</v>
      </c>
      <c r="G171" s="91" t="str">
        <f>G170</f>
        <v>3rd, 5th, 7th, 9th, 11th, 13th, 15th Floor</v>
      </c>
      <c r="H171" s="92"/>
      <c r="I171" s="34"/>
    </row>
    <row r="172" spans="1:14" s="35" customFormat="1" ht="15.75" hidden="1" customHeight="1" x14ac:dyDescent="0.25">
      <c r="A172" s="91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303 ,.., 1503</v>
      </c>
      <c r="B172" s="92"/>
      <c r="C172" s="40"/>
      <c r="D172" s="40"/>
      <c r="E172" s="40">
        <v>0</v>
      </c>
      <c r="F172" s="40">
        <f>D172*(($F$137)+1)+(IF(E172&lt;101,E172,IF(E172&lt;201,E172/2,IF(E172&lt;=301,E172/3,E172/4))))</f>
        <v>0</v>
      </c>
      <c r="G172" s="91" t="str">
        <f>G171</f>
        <v>3rd, 5th, 7th, 9th, 11th, 13th, 15th Floor</v>
      </c>
      <c r="H172" s="92"/>
      <c r="I172" s="34"/>
    </row>
    <row r="173" spans="1:14" s="35" customFormat="1" ht="15.75" hidden="1" customHeight="1" x14ac:dyDescent="0.25">
      <c r="A173" s="91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304 ,.., 1504</v>
      </c>
      <c r="B173" s="92"/>
      <c r="C173" s="40"/>
      <c r="D173" s="40"/>
      <c r="E173" s="40">
        <v>0</v>
      </c>
      <c r="F173" s="40">
        <f>D173*(($F$137)+1)+(IF(E173&lt;101,E173,IF(E173&lt;201,E173/2,IF(E173&lt;=301,E173/3,E173/4))))</f>
        <v>0</v>
      </c>
      <c r="G173" s="91" t="str">
        <f>G172</f>
        <v>3rd, 5th, 7th, 9th, 11th, 13th, 15th Floor</v>
      </c>
      <c r="H173" s="92"/>
      <c r="I173" s="34"/>
    </row>
    <row r="174" spans="1:14" s="35" customFormat="1" ht="15.75" hidden="1" customHeight="1" x14ac:dyDescent="0.25">
      <c r="A174" s="91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305 ,.., 1505</v>
      </c>
      <c r="B174" s="92"/>
      <c r="C174" s="40"/>
      <c r="D174" s="40"/>
      <c r="E174" s="40">
        <v>0</v>
      </c>
      <c r="F174" s="40">
        <f>D174*(($F$137)+1)+(IF(E174&lt;101,E174,IF(E174&lt;201,E174/2,IF(E174&lt;=301,E174/3,E174/4))))</f>
        <v>0</v>
      </c>
      <c r="G174" s="91" t="str">
        <f>G173</f>
        <v>3rd, 5th, 7th, 9th, 11th, 13th, 15th Floor</v>
      </c>
      <c r="H174" s="92"/>
      <c r="I174" s="34"/>
    </row>
    <row r="175" spans="1:14" s="35" customFormat="1" hidden="1" x14ac:dyDescent="0.25">
      <c r="A175" s="81" t="s">
        <v>148</v>
      </c>
      <c r="B175" s="82"/>
      <c r="C175" s="82"/>
      <c r="D175" s="82"/>
      <c r="E175" s="82"/>
      <c r="F175" s="82"/>
      <c r="G175" s="82"/>
      <c r="H175" s="83"/>
      <c r="I175" s="34"/>
    </row>
    <row r="176" spans="1:14" s="35" customFormat="1" hidden="1" x14ac:dyDescent="0.25">
      <c r="A176" s="91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10^ROW(INDIRECT("1:"&amp;LEN((LEFT(A175,SUM(LEN(A175)-LEN(SUBSTITUTE(A175,{"0","1","2"},""))))))))/10))*100+1&amp;""&amp;" to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",LEN(A175))),LEN(A175)))))))/10))*100+1</f>
        <v>201 to 501</v>
      </c>
      <c r="B176" s="92"/>
      <c r="C176" s="40"/>
      <c r="D176" s="40"/>
      <c r="E176" s="40">
        <v>0</v>
      </c>
      <c r="F176" s="40">
        <f>D176*(($F$137)+1)+(IF(E176&lt;101,E176,IF(E176&lt;201,E176/2,IF(E176&lt;=301,E176/3,E176/4))))</f>
        <v>0</v>
      </c>
      <c r="G176" s="91" t="str">
        <f>A175</f>
        <v>2nd to 5th Floor</v>
      </c>
      <c r="H176" s="92"/>
      <c r="I176" s="34"/>
    </row>
    <row r="177" spans="1:9" s="35" customFormat="1" hidden="1" x14ac:dyDescent="0.25">
      <c r="A177" s="91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202 to 502</v>
      </c>
      <c r="B177" s="92"/>
      <c r="C177" s="40"/>
      <c r="D177" s="40"/>
      <c r="E177" s="40">
        <v>0</v>
      </c>
      <c r="F177" s="40">
        <f>D177*(($F$137)+1)+(IF(E177&lt;101,E177,IF(E177&lt;201,E177/2,IF(E177&lt;=301,E177/3,E177/4))))</f>
        <v>0</v>
      </c>
      <c r="G177" s="91" t="str">
        <f>G176</f>
        <v>2nd to 5th Floor</v>
      </c>
      <c r="H177" s="92"/>
      <c r="I177" s="34"/>
    </row>
    <row r="178" spans="1:9" s="35" customFormat="1" hidden="1" x14ac:dyDescent="0.25">
      <c r="A178" s="91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203 to 503</v>
      </c>
      <c r="B178" s="92"/>
      <c r="C178" s="40"/>
      <c r="D178" s="40"/>
      <c r="E178" s="40">
        <v>0</v>
      </c>
      <c r="F178" s="40">
        <f>D178*(($F$137)+1)+(IF(E178&lt;101,E178,IF(E178&lt;201,E178/2,IF(E178&lt;=301,E178/3,E178/4))))</f>
        <v>0</v>
      </c>
      <c r="G178" s="91" t="str">
        <f>G177</f>
        <v>2nd to 5th Floor</v>
      </c>
      <c r="H178" s="92"/>
      <c r="I178" s="34"/>
    </row>
    <row r="179" spans="1:9" s="35" customFormat="1" hidden="1" x14ac:dyDescent="0.25">
      <c r="A179" s="91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204 to 504</v>
      </c>
      <c r="B179" s="92"/>
      <c r="C179" s="40"/>
      <c r="D179" s="40"/>
      <c r="E179" s="40">
        <v>0</v>
      </c>
      <c r="F179" s="40">
        <f>D179*(($F$137)+1)+(IF(E179&lt;101,E179,IF(E179&lt;201,E179/2,IF(E179&lt;=301,E179/3,E179/4))))</f>
        <v>0</v>
      </c>
      <c r="G179" s="91" t="str">
        <f>G178</f>
        <v>2nd to 5th Floor</v>
      </c>
      <c r="H179" s="92"/>
      <c r="I179" s="34"/>
    </row>
    <row r="180" spans="1:9" s="35" customFormat="1" hidden="1" x14ac:dyDescent="0.25">
      <c r="A180" s="91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205 to 505</v>
      </c>
      <c r="B180" s="92"/>
      <c r="C180" s="40"/>
      <c r="D180" s="40"/>
      <c r="E180" s="40">
        <v>0</v>
      </c>
      <c r="F180" s="40">
        <f>D180*(($F$137)+1)+(IF(E180&lt;101,E180,IF(E180&lt;201,E180/2,IF(E180&lt;=301,E180/3,E180/4))))</f>
        <v>0</v>
      </c>
      <c r="G180" s="91" t="str">
        <f>G179</f>
        <v>2nd to 5th Floor</v>
      </c>
      <c r="H180" s="92"/>
      <c r="I180" s="34"/>
    </row>
    <row r="181" spans="1:9" s="35" customFormat="1" hidden="1" x14ac:dyDescent="0.25">
      <c r="A181" s="81" t="s">
        <v>149</v>
      </c>
      <c r="B181" s="82"/>
      <c r="C181" s="82"/>
      <c r="D181" s="82"/>
      <c r="E181" s="82"/>
      <c r="F181" s="82"/>
      <c r="G181" s="82"/>
      <c r="H181" s="83"/>
      <c r="I181" s="34"/>
    </row>
    <row r="182" spans="1:9" s="35" customFormat="1" hidden="1" x14ac:dyDescent="0.25">
      <c r="A182" s="91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10^ROW(INDIRECT("1:"&amp;LEN((LEFT(A181,SUM(LEN(A181)-LEN(SUBSTITUTE(A181,{"0","1","2"},""))))))))/10))*100+1&amp;""&amp;"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",LEN(A181))),LEN(A181)))))))/10))*100+1</f>
        <v>201 &amp; 501</v>
      </c>
      <c r="B182" s="92"/>
      <c r="C182" s="40"/>
      <c r="D182" s="40"/>
      <c r="E182" s="40">
        <v>0</v>
      </c>
      <c r="F182" s="40">
        <f>D182*(($F$137)+1)+(IF(E182&lt;101,E182,IF(E182&lt;201,E182/2,IF(E182&lt;=301,E182/3,E182/4))))</f>
        <v>0</v>
      </c>
      <c r="G182" s="91" t="str">
        <f>A181</f>
        <v>2nd &amp; 5th Floor</v>
      </c>
      <c r="H182" s="92"/>
      <c r="I182" s="34"/>
    </row>
    <row r="183" spans="1:9" s="35" customFormat="1" hidden="1" x14ac:dyDescent="0.25">
      <c r="A183" s="91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202 &amp; 502</v>
      </c>
      <c r="B183" s="92"/>
      <c r="C183" s="40"/>
      <c r="D183" s="40"/>
      <c r="E183" s="40">
        <v>0</v>
      </c>
      <c r="F183" s="40">
        <f>D183*(($F$137)+1)+(IF(E183&lt;101,E183,IF(E183&lt;201,E183/2,IF(E183&lt;=301,E183/3,E183/4))))</f>
        <v>0</v>
      </c>
      <c r="G183" s="91" t="str">
        <f t="shared" ref="G183:G186" si="4">G182</f>
        <v>2nd &amp; 5th Floor</v>
      </c>
      <c r="H183" s="92"/>
      <c r="I183" s="34"/>
    </row>
    <row r="184" spans="1:9" s="35" customFormat="1" hidden="1" x14ac:dyDescent="0.25">
      <c r="A184" s="91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203 &amp; 503</v>
      </c>
      <c r="B184" s="92"/>
      <c r="C184" s="40"/>
      <c r="D184" s="40"/>
      <c r="E184" s="40">
        <v>0</v>
      </c>
      <c r="F184" s="40">
        <f>D184*(($F$137)+1)+(IF(E184&lt;101,E184,IF(E184&lt;201,E184/2,IF(E184&lt;=301,E184/3,E184/4))))</f>
        <v>0</v>
      </c>
      <c r="G184" s="91" t="str">
        <f t="shared" si="4"/>
        <v>2nd &amp; 5th Floor</v>
      </c>
      <c r="H184" s="92"/>
      <c r="I184" s="34"/>
    </row>
    <row r="185" spans="1:9" s="35" customFormat="1" hidden="1" x14ac:dyDescent="0.25">
      <c r="A185" s="91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204 &amp; 504</v>
      </c>
      <c r="B185" s="92"/>
      <c r="C185" s="40"/>
      <c r="D185" s="40"/>
      <c r="E185" s="40">
        <v>0</v>
      </c>
      <c r="F185" s="40">
        <f>D185*(($F$137)+1)+(IF(E185&lt;101,E185,IF(E185&lt;201,E185/2,IF(E185&lt;=301,E185/3,E185/4))))</f>
        <v>0</v>
      </c>
      <c r="G185" s="91" t="str">
        <f t="shared" si="4"/>
        <v>2nd &amp; 5th Floor</v>
      </c>
      <c r="H185" s="92"/>
      <c r="I185" s="34"/>
    </row>
    <row r="186" spans="1:9" s="35" customFormat="1" hidden="1" x14ac:dyDescent="0.25">
      <c r="A186" s="91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205 &amp; 505</v>
      </c>
      <c r="B186" s="92"/>
      <c r="C186" s="40"/>
      <c r="D186" s="40"/>
      <c r="E186" s="40">
        <v>0</v>
      </c>
      <c r="F186" s="40">
        <f>D186*(($F$137)+1)+(IF(E186&lt;101,E186,IF(E186&lt;201,E186/2,IF(E186&lt;=301,E186/3,E186/4))))</f>
        <v>0</v>
      </c>
      <c r="G186" s="91" t="str">
        <f t="shared" si="4"/>
        <v>2nd &amp; 5th Floor</v>
      </c>
      <c r="H186" s="92"/>
      <c r="I186" s="34"/>
    </row>
    <row r="187" spans="1:9" s="33" customFormat="1" x14ac:dyDescent="0.25">
      <c r="A187" s="185" t="s">
        <v>68</v>
      </c>
      <c r="B187" s="185"/>
      <c r="C187" s="185"/>
      <c r="D187" s="185"/>
      <c r="E187" s="185"/>
      <c r="F187" s="185"/>
      <c r="G187" s="185"/>
      <c r="H187" s="185"/>
    </row>
    <row r="188" spans="1:9" s="56" customFormat="1" x14ac:dyDescent="0.25">
      <c r="A188" s="55" t="s">
        <v>158</v>
      </c>
      <c r="B188" s="182" t="s">
        <v>301</v>
      </c>
      <c r="C188" s="183"/>
      <c r="D188" s="183"/>
      <c r="E188" s="183"/>
      <c r="F188" s="183"/>
      <c r="G188" s="183"/>
      <c r="H188" s="184"/>
    </row>
    <row r="189" spans="1:9" s="33" customFormat="1" x14ac:dyDescent="0.25">
      <c r="A189" s="43" t="s">
        <v>158</v>
      </c>
      <c r="B189" s="182" t="str">
        <f>(IF(F136="Saleable area Loading :","We have considered Saleable area of Flats as per our Calculation.","We considered Saleable area of Flat as per Builder area Sheet."))</f>
        <v>We have considered Saleable area of Flats as per our Calculation.</v>
      </c>
      <c r="C189" s="183"/>
      <c r="D189" s="183"/>
      <c r="E189" s="183"/>
      <c r="F189" s="183"/>
      <c r="G189" s="183"/>
      <c r="H189" s="184"/>
    </row>
    <row r="190" spans="1:9" s="33" customFormat="1" x14ac:dyDescent="0.25">
      <c r="A190" s="43" t="s">
        <v>158</v>
      </c>
      <c r="B190" s="69" t="s">
        <v>125</v>
      </c>
      <c r="C190" s="70"/>
      <c r="D190" s="70"/>
      <c r="E190" s="70"/>
      <c r="F190" s="70"/>
      <c r="G190" s="70"/>
      <c r="H190" s="71"/>
    </row>
    <row r="191" spans="1:9" s="33" customFormat="1" x14ac:dyDescent="0.25">
      <c r="A191" s="43" t="s">
        <v>158</v>
      </c>
      <c r="B191" s="182" t="s">
        <v>273</v>
      </c>
      <c r="C191" s="183"/>
      <c r="D191" s="183"/>
      <c r="E191" s="183"/>
      <c r="F191" s="183"/>
      <c r="G191" s="183"/>
      <c r="H191" s="184"/>
    </row>
    <row r="192" spans="1:9" s="33" customFormat="1" x14ac:dyDescent="0.25">
      <c r="A192" s="43" t="s">
        <v>158</v>
      </c>
      <c r="B192" s="69" t="s">
        <v>157</v>
      </c>
      <c r="C192" s="70"/>
      <c r="D192" s="70"/>
      <c r="E192" s="70"/>
      <c r="F192" s="70"/>
      <c r="G192" s="70"/>
      <c r="H192" s="71"/>
    </row>
    <row r="193" spans="1:8" s="33" customFormat="1" x14ac:dyDescent="0.25">
      <c r="A193" s="43" t="s">
        <v>158</v>
      </c>
      <c r="B193" s="69" t="s">
        <v>126</v>
      </c>
      <c r="C193" s="70"/>
      <c r="D193" s="70"/>
      <c r="E193" s="70"/>
      <c r="F193" s="70"/>
      <c r="G193" s="70"/>
      <c r="H193" s="71"/>
    </row>
    <row r="194" spans="1:8" s="33" customFormat="1" ht="34.5" customHeight="1" x14ac:dyDescent="0.25">
      <c r="A194" s="43" t="s">
        <v>158</v>
      </c>
      <c r="B194" s="69" t="s">
        <v>159</v>
      </c>
      <c r="C194" s="70"/>
      <c r="D194" s="70"/>
      <c r="E194" s="70"/>
      <c r="F194" s="70"/>
      <c r="G194" s="70"/>
      <c r="H194" s="71"/>
    </row>
    <row r="195" spans="1:8" s="33" customFormat="1" x14ac:dyDescent="0.25">
      <c r="A195" s="43" t="s">
        <v>158</v>
      </c>
      <c r="B195" s="69" t="s">
        <v>127</v>
      </c>
      <c r="C195" s="70"/>
      <c r="D195" s="70"/>
      <c r="E195" s="70"/>
      <c r="F195" s="70"/>
      <c r="G195" s="70"/>
      <c r="H195" s="71"/>
    </row>
    <row r="196" spans="1:8" s="33" customFormat="1" ht="32.25" hidden="1" customHeight="1" x14ac:dyDescent="0.25">
      <c r="A196" s="43" t="s">
        <v>158</v>
      </c>
      <c r="B196" s="187" t="s">
        <v>182</v>
      </c>
      <c r="C196" s="188"/>
      <c r="D196" s="188"/>
      <c r="E196" s="188"/>
      <c r="F196" s="188"/>
      <c r="G196" s="188"/>
      <c r="H196" s="189"/>
    </row>
    <row r="197" spans="1:8" s="33" customFormat="1" x14ac:dyDescent="0.25">
      <c r="A197" s="43" t="s">
        <v>158</v>
      </c>
      <c r="B197" s="69" t="s">
        <v>298</v>
      </c>
      <c r="C197" s="70"/>
      <c r="D197" s="70"/>
      <c r="E197" s="70"/>
      <c r="F197" s="70"/>
      <c r="G197" s="70"/>
      <c r="H197" s="71"/>
    </row>
    <row r="198" spans="1:8" x14ac:dyDescent="0.25">
      <c r="A198" s="65" t="s">
        <v>158</v>
      </c>
      <c r="B198" s="69" t="s">
        <v>300</v>
      </c>
      <c r="C198" s="70"/>
      <c r="D198" s="70"/>
      <c r="E198" s="70"/>
      <c r="F198" s="70"/>
      <c r="G198" s="70"/>
      <c r="H198" s="71"/>
    </row>
    <row r="199" spans="1:8" x14ac:dyDescent="0.25">
      <c r="A199" s="66" t="s">
        <v>158</v>
      </c>
      <c r="B199" s="69" t="s">
        <v>306</v>
      </c>
      <c r="C199" s="70"/>
      <c r="D199" s="70"/>
      <c r="E199" s="70"/>
      <c r="F199" s="70"/>
      <c r="G199" s="70"/>
      <c r="H199" s="71"/>
    </row>
    <row r="200" spans="1:8" hidden="1" x14ac:dyDescent="0.25">
      <c r="A200" s="43" t="s">
        <v>158</v>
      </c>
      <c r="B200" s="69" t="s">
        <v>311</v>
      </c>
      <c r="C200" s="70"/>
      <c r="D200" s="70"/>
      <c r="E200" s="70"/>
      <c r="F200" s="70"/>
      <c r="G200" s="70"/>
      <c r="H200" s="71"/>
    </row>
    <row r="201" spans="1:8" x14ac:dyDescent="0.25">
      <c r="A201" s="169" t="s">
        <v>61</v>
      </c>
      <c r="B201" s="169"/>
      <c r="C201" s="169"/>
      <c r="D201" s="169"/>
      <c r="E201" s="169"/>
      <c r="F201" s="169"/>
      <c r="G201" s="169"/>
      <c r="H201" s="169"/>
    </row>
    <row r="202" spans="1:8" ht="15.75" customHeight="1" x14ac:dyDescent="0.25">
      <c r="A202" s="93" t="s">
        <v>62</v>
      </c>
      <c r="B202" s="93"/>
      <c r="C202" s="93"/>
      <c r="D202" s="93"/>
      <c r="E202" s="93"/>
      <c r="F202" s="93"/>
      <c r="G202" s="93"/>
      <c r="H202" s="93"/>
    </row>
    <row r="203" spans="1:8" x14ac:dyDescent="0.25">
      <c r="A203" s="186" t="s">
        <v>63</v>
      </c>
      <c r="B203" s="186"/>
      <c r="C203" s="186"/>
      <c r="D203" s="186"/>
      <c r="E203" s="186"/>
      <c r="F203" s="186"/>
      <c r="G203" s="186"/>
      <c r="H203" s="186"/>
    </row>
    <row r="204" spans="1:8" x14ac:dyDescent="0.25">
      <c r="A204" s="93" t="s">
        <v>64</v>
      </c>
      <c r="B204" s="93"/>
      <c r="C204" s="93"/>
      <c r="D204" s="93"/>
      <c r="E204" s="93"/>
      <c r="F204" s="93"/>
      <c r="G204" s="93"/>
      <c r="H204" s="93"/>
    </row>
    <row r="205" spans="1:8" x14ac:dyDescent="0.25">
      <c r="A205" s="93" t="s">
        <v>65</v>
      </c>
      <c r="B205" s="93"/>
      <c r="C205" s="93"/>
      <c r="D205" s="93"/>
      <c r="E205" s="93"/>
      <c r="F205" s="93"/>
      <c r="G205" s="93"/>
      <c r="H205" s="93"/>
    </row>
    <row r="206" spans="1:8" x14ac:dyDescent="0.25">
      <c r="A206" s="93" t="s">
        <v>128</v>
      </c>
      <c r="B206" s="93"/>
      <c r="C206" s="93"/>
      <c r="D206" s="93"/>
      <c r="E206" s="93"/>
      <c r="F206" s="93"/>
      <c r="G206" s="93"/>
      <c r="H206" s="93"/>
    </row>
    <row r="207" spans="1:8" x14ac:dyDescent="0.25">
      <c r="A207" s="164" t="s">
        <v>129</v>
      </c>
      <c r="B207" s="164"/>
      <c r="C207" s="164"/>
      <c r="D207" s="164"/>
      <c r="E207" s="164"/>
      <c r="F207" s="164"/>
      <c r="G207" s="164"/>
      <c r="H207" s="164"/>
    </row>
    <row r="208" spans="1:8" x14ac:dyDescent="0.25">
      <c r="A208" s="177" t="s">
        <v>76</v>
      </c>
      <c r="B208" s="177"/>
      <c r="C208" s="177" t="s">
        <v>299</v>
      </c>
      <c r="D208" s="177"/>
      <c r="E208" s="177" t="s">
        <v>105</v>
      </c>
      <c r="F208" s="177"/>
      <c r="G208" s="177" t="s">
        <v>310</v>
      </c>
      <c r="H208" s="177"/>
    </row>
    <row r="209" spans="1:8" x14ac:dyDescent="0.25">
      <c r="A209" s="176" t="s">
        <v>78</v>
      </c>
      <c r="B209" s="176"/>
      <c r="C209" s="176"/>
      <c r="D209" s="176"/>
      <c r="E209" s="176"/>
      <c r="F209" s="176"/>
      <c r="G209" s="176"/>
      <c r="H209" s="176"/>
    </row>
    <row r="210" spans="1:8" x14ac:dyDescent="0.25">
      <c r="A210" s="176"/>
      <c r="B210" s="176"/>
      <c r="C210" s="176"/>
      <c r="D210" s="176"/>
      <c r="E210" s="176"/>
      <c r="F210" s="176"/>
      <c r="G210" s="176"/>
      <c r="H210" s="176"/>
    </row>
    <row r="211" spans="1:8" x14ac:dyDescent="0.25">
      <c r="A211" s="176"/>
      <c r="B211" s="176"/>
      <c r="C211" s="176"/>
      <c r="D211" s="176"/>
      <c r="E211" s="176"/>
      <c r="F211" s="176"/>
      <c r="G211" s="176"/>
      <c r="H211" s="176"/>
    </row>
    <row r="212" spans="1:8" x14ac:dyDescent="0.25">
      <c r="A212" s="36" t="s">
        <v>66</v>
      </c>
      <c r="B212" s="37"/>
      <c r="C212" s="37"/>
      <c r="D212" s="36" t="str">
        <f>E8</f>
        <v>Rustomjee Ashiana</v>
      </c>
      <c r="F212" s="37"/>
      <c r="G212" s="37"/>
      <c r="H212" s="37"/>
    </row>
    <row r="213" spans="1:8" x14ac:dyDescent="0.25">
      <c r="A213" s="37"/>
      <c r="B213" s="37"/>
      <c r="C213" s="37"/>
      <c r="D213" s="37"/>
      <c r="E213" s="37"/>
      <c r="F213" s="37"/>
      <c r="G213" s="37"/>
      <c r="H213" s="37"/>
    </row>
    <row r="214" spans="1:8" ht="15" customHeight="1" x14ac:dyDescent="0.25">
      <c r="A214" s="37"/>
      <c r="B214" s="37"/>
      <c r="C214" s="37"/>
      <c r="D214" s="37"/>
      <c r="E214" s="37"/>
      <c r="F214" s="37"/>
      <c r="G214" s="37"/>
      <c r="H214" s="37"/>
    </row>
    <row r="254" spans="1:1" x14ac:dyDescent="0.25">
      <c r="A254" s="39" t="s">
        <v>170</v>
      </c>
    </row>
    <row r="296" spans="1:1" x14ac:dyDescent="0.25">
      <c r="A296" s="39" t="s">
        <v>67</v>
      </c>
    </row>
  </sheetData>
  <mergeCells count="395">
    <mergeCell ref="I10:L10"/>
    <mergeCell ref="B199:H199"/>
    <mergeCell ref="A91:B91"/>
    <mergeCell ref="A92:B92"/>
    <mergeCell ref="A93:B93"/>
    <mergeCell ref="A94:B94"/>
    <mergeCell ref="A125:B125"/>
    <mergeCell ref="C125:D125"/>
    <mergeCell ref="E125:F125"/>
    <mergeCell ref="E42:H42"/>
    <mergeCell ref="D63:H63"/>
    <mergeCell ref="C70:H70"/>
    <mergeCell ref="A64:C64"/>
    <mergeCell ref="D64:H64"/>
    <mergeCell ref="I14:P14"/>
    <mergeCell ref="F34:H34"/>
    <mergeCell ref="A42:D42"/>
    <mergeCell ref="A49:B49"/>
    <mergeCell ref="C49:E49"/>
    <mergeCell ref="C52:E52"/>
    <mergeCell ref="G52:H52"/>
    <mergeCell ref="G49:H49"/>
    <mergeCell ref="G51:H51"/>
    <mergeCell ref="A50:B50"/>
    <mergeCell ref="B200:H200"/>
    <mergeCell ref="A96:B97"/>
    <mergeCell ref="C96:D97"/>
    <mergeCell ref="E96:F97"/>
    <mergeCell ref="G96:H97"/>
    <mergeCell ref="B197:H197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G131:H131"/>
    <mergeCell ref="G132:H132"/>
    <mergeCell ref="G134:H134"/>
    <mergeCell ref="G125:H125"/>
    <mergeCell ref="F107:H107"/>
    <mergeCell ref="A171:B171"/>
    <mergeCell ref="A127:H127"/>
    <mergeCell ref="G113:H113"/>
    <mergeCell ref="A108:E108"/>
    <mergeCell ref="A132:B132"/>
    <mergeCell ref="A55:B55"/>
    <mergeCell ref="C55:E55"/>
    <mergeCell ref="D57:H57"/>
    <mergeCell ref="F108:H108"/>
    <mergeCell ref="E113:F113"/>
    <mergeCell ref="A113:B113"/>
    <mergeCell ref="A115:B115"/>
    <mergeCell ref="C118:D118"/>
    <mergeCell ref="D65:H65"/>
    <mergeCell ref="A66:C66"/>
    <mergeCell ref="A77:B77"/>
    <mergeCell ref="A56:H56"/>
    <mergeCell ref="D60:H60"/>
    <mergeCell ref="C50:E50"/>
    <mergeCell ref="A76:B76"/>
    <mergeCell ref="A63:C63"/>
    <mergeCell ref="A169:H169"/>
    <mergeCell ref="G172:H172"/>
    <mergeCell ref="G170:H170"/>
    <mergeCell ref="A104:E104"/>
    <mergeCell ref="F104:H104"/>
    <mergeCell ref="A105:E105"/>
    <mergeCell ref="A107:E107"/>
    <mergeCell ref="F101:H101"/>
    <mergeCell ref="A106:E106"/>
    <mergeCell ref="A134:B134"/>
    <mergeCell ref="A133:B133"/>
    <mergeCell ref="A57:C57"/>
    <mergeCell ref="A58:C58"/>
    <mergeCell ref="D58:H58"/>
    <mergeCell ref="G55:H55"/>
    <mergeCell ref="C51:E51"/>
    <mergeCell ref="A60:C60"/>
    <mergeCell ref="F109:H109"/>
    <mergeCell ref="A206:H206"/>
    <mergeCell ref="A203:H203"/>
    <mergeCell ref="G179:H179"/>
    <mergeCell ref="A164:B164"/>
    <mergeCell ref="A118:B118"/>
    <mergeCell ref="D136:D137"/>
    <mergeCell ref="E136:E137"/>
    <mergeCell ref="G136:H137"/>
    <mergeCell ref="A122:B122"/>
    <mergeCell ref="C120:D120"/>
    <mergeCell ref="A147:H147"/>
    <mergeCell ref="A173:B173"/>
    <mergeCell ref="A170:B170"/>
    <mergeCell ref="G166:H166"/>
    <mergeCell ref="A131:B131"/>
    <mergeCell ref="B196:H196"/>
    <mergeCell ref="A202:H202"/>
    <mergeCell ref="E118:F118"/>
    <mergeCell ref="B195:H195"/>
    <mergeCell ref="G133:H133"/>
    <mergeCell ref="G176:H176"/>
    <mergeCell ref="A174:B174"/>
    <mergeCell ref="C128:C129"/>
    <mergeCell ref="G177:H177"/>
    <mergeCell ref="B193:H193"/>
    <mergeCell ref="B190:H190"/>
    <mergeCell ref="B191:H191"/>
    <mergeCell ref="G182:H182"/>
    <mergeCell ref="G180:H180"/>
    <mergeCell ref="A187:H187"/>
    <mergeCell ref="A179:B179"/>
    <mergeCell ref="A180:B180"/>
    <mergeCell ref="G178:H178"/>
    <mergeCell ref="G184:H184"/>
    <mergeCell ref="G183:H183"/>
    <mergeCell ref="A181:H181"/>
    <mergeCell ref="A182:B182"/>
    <mergeCell ref="A183:B183"/>
    <mergeCell ref="A186:B186"/>
    <mergeCell ref="G186:H186"/>
    <mergeCell ref="A185:B185"/>
    <mergeCell ref="G185:H185"/>
    <mergeCell ref="B188:H188"/>
    <mergeCell ref="B189:H189"/>
    <mergeCell ref="A178:B178"/>
    <mergeCell ref="A175:H175"/>
    <mergeCell ref="A184:B184"/>
    <mergeCell ref="F99:H99"/>
    <mergeCell ref="G114:H114"/>
    <mergeCell ref="F106:H106"/>
    <mergeCell ref="C113:D113"/>
    <mergeCell ref="A209:H211"/>
    <mergeCell ref="A208:B208"/>
    <mergeCell ref="E208:F208"/>
    <mergeCell ref="C208:D208"/>
    <mergeCell ref="G208:H208"/>
    <mergeCell ref="A112:H112"/>
    <mergeCell ref="A110:E110"/>
    <mergeCell ref="F110:H110"/>
    <mergeCell ref="A111:E111"/>
    <mergeCell ref="F111:H111"/>
    <mergeCell ref="A163:H163"/>
    <mergeCell ref="A119:B119"/>
    <mergeCell ref="A172:B172"/>
    <mergeCell ref="A114:B114"/>
    <mergeCell ref="A204:H204"/>
    <mergeCell ref="A117:H117"/>
    <mergeCell ref="A207:H207"/>
    <mergeCell ref="A205:H205"/>
    <mergeCell ref="A201:H201"/>
    <mergeCell ref="G118:H118"/>
    <mergeCell ref="A67:C67"/>
    <mergeCell ref="D67:H67"/>
    <mergeCell ref="A65:C65"/>
    <mergeCell ref="D66:H66"/>
    <mergeCell ref="A72:B72"/>
    <mergeCell ref="G71:H71"/>
    <mergeCell ref="A177:B177"/>
    <mergeCell ref="A126:H126"/>
    <mergeCell ref="A73:B73"/>
    <mergeCell ref="A95:B95"/>
    <mergeCell ref="A167:B167"/>
    <mergeCell ref="G168:H168"/>
    <mergeCell ref="G174:H174"/>
    <mergeCell ref="G173:H173"/>
    <mergeCell ref="C68:H68"/>
    <mergeCell ref="B136:B137"/>
    <mergeCell ref="A75:B75"/>
    <mergeCell ref="E71:F71"/>
    <mergeCell ref="A176:B176"/>
    <mergeCell ref="A136:A137"/>
    <mergeCell ref="F98:H98"/>
    <mergeCell ref="F103:H10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9:H59"/>
    <mergeCell ref="A59:C59"/>
    <mergeCell ref="G50:H50"/>
    <mergeCell ref="A51:B52"/>
    <mergeCell ref="A38:B38"/>
    <mergeCell ref="C38:H38"/>
    <mergeCell ref="A45:D45"/>
    <mergeCell ref="L134:M134"/>
    <mergeCell ref="L133:M133"/>
    <mergeCell ref="L132:M132"/>
    <mergeCell ref="L131:M131"/>
    <mergeCell ref="A79:B79"/>
    <mergeCell ref="C119:D119"/>
    <mergeCell ref="E119:F119"/>
    <mergeCell ref="G119:H119"/>
    <mergeCell ref="F105:H105"/>
    <mergeCell ref="A99:E99"/>
    <mergeCell ref="A130:H130"/>
    <mergeCell ref="E128:E129"/>
    <mergeCell ref="G128:H129"/>
    <mergeCell ref="E72:F81"/>
    <mergeCell ref="G72:H81"/>
    <mergeCell ref="A80:B80"/>
    <mergeCell ref="A81:B81"/>
    <mergeCell ref="A78:B78"/>
    <mergeCell ref="A71:B71"/>
    <mergeCell ref="A74:B74"/>
    <mergeCell ref="A70:B70"/>
    <mergeCell ref="A39:B39"/>
    <mergeCell ref="L163:M163"/>
    <mergeCell ref="A168:B168"/>
    <mergeCell ref="A165:B165"/>
    <mergeCell ref="A166:B166"/>
    <mergeCell ref="A109:E109"/>
    <mergeCell ref="G120:H120"/>
    <mergeCell ref="C115:D115"/>
    <mergeCell ref="E115:F115"/>
    <mergeCell ref="G115:H115"/>
    <mergeCell ref="A116:B116"/>
    <mergeCell ref="C116:D116"/>
    <mergeCell ref="E116:F116"/>
    <mergeCell ref="G116:H116"/>
    <mergeCell ref="C114:D114"/>
    <mergeCell ref="E114:F114"/>
    <mergeCell ref="G165:H165"/>
    <mergeCell ref="B128:B129"/>
    <mergeCell ref="A128:A129"/>
    <mergeCell ref="C136:C137"/>
    <mergeCell ref="A138:H138"/>
    <mergeCell ref="A139:H139"/>
    <mergeCell ref="L148:M148"/>
    <mergeCell ref="A135:H135"/>
    <mergeCell ref="G160:H162"/>
    <mergeCell ref="C39:H39"/>
    <mergeCell ref="B194:H194"/>
    <mergeCell ref="A48:B48"/>
    <mergeCell ref="C48:H48"/>
    <mergeCell ref="B192:H192"/>
    <mergeCell ref="F100:H100"/>
    <mergeCell ref="A100:E100"/>
    <mergeCell ref="G171:H171"/>
    <mergeCell ref="G167:H167"/>
    <mergeCell ref="G164:H164"/>
    <mergeCell ref="D128:D129"/>
    <mergeCell ref="A102:E102"/>
    <mergeCell ref="A123:B123"/>
    <mergeCell ref="A124:B124"/>
    <mergeCell ref="A101:E101"/>
    <mergeCell ref="A98:E98"/>
    <mergeCell ref="F102:H102"/>
    <mergeCell ref="A121:H121"/>
    <mergeCell ref="C122:D122"/>
    <mergeCell ref="E122:F122"/>
    <mergeCell ref="G122:H122"/>
    <mergeCell ref="C123:D123"/>
    <mergeCell ref="E123:F123"/>
    <mergeCell ref="A159:H159"/>
    <mergeCell ref="L160:M160"/>
    <mergeCell ref="L161:M161"/>
    <mergeCell ref="L162:M162"/>
    <mergeCell ref="C160:F160"/>
    <mergeCell ref="G144:H146"/>
    <mergeCell ref="C145:F145"/>
    <mergeCell ref="G148:H150"/>
    <mergeCell ref="A151:H151"/>
    <mergeCell ref="G152:H154"/>
    <mergeCell ref="L152:M152"/>
    <mergeCell ref="L153:M153"/>
    <mergeCell ref="L154:M154"/>
    <mergeCell ref="L145:M145"/>
    <mergeCell ref="L144:M144"/>
    <mergeCell ref="L146:M146"/>
    <mergeCell ref="L149:M149"/>
    <mergeCell ref="L150:M150"/>
    <mergeCell ref="B198:H198"/>
    <mergeCell ref="A53:B54"/>
    <mergeCell ref="C53:E53"/>
    <mergeCell ref="G53:H53"/>
    <mergeCell ref="C54:E54"/>
    <mergeCell ref="G54:H54"/>
    <mergeCell ref="A155:H155"/>
    <mergeCell ref="G156:H158"/>
    <mergeCell ref="L156:M156"/>
    <mergeCell ref="L157:M157"/>
    <mergeCell ref="L158:M158"/>
    <mergeCell ref="A143:H143"/>
    <mergeCell ref="A140:H140"/>
    <mergeCell ref="A141:H141"/>
    <mergeCell ref="G142:H142"/>
    <mergeCell ref="L142:M142"/>
    <mergeCell ref="A103:E103"/>
    <mergeCell ref="A120:B120"/>
    <mergeCell ref="E120:F120"/>
    <mergeCell ref="G123:H123"/>
    <mergeCell ref="C124:D124"/>
    <mergeCell ref="E124:F124"/>
    <mergeCell ref="G124:H124"/>
    <mergeCell ref="A68:B68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28:E129" xr:uid="{00000000-0002-0000-0000-000003000000}">
      <formula1>"Attached Loft area,Attached Terrace area,Attached Mezzanine area"</formula1>
    </dataValidation>
    <dataValidation type="list" allowBlank="1" showInputMessage="1" showErrorMessage="1" sqref="F129 F137" xr:uid="{00000000-0002-0000-0000-000004000000}">
      <formula1>"45%,50%,55%,60%"</formula1>
    </dataValidation>
    <dataValidation type="list" allowBlank="1" showInputMessage="1" showErrorMessage="1" sqref="G208:H208" xr:uid="{00000000-0002-0000-0000-000005000000}">
      <formula1>"Gaurav Panchal,Kunal Kadam,Shruti Tathare,Pranita Mhatre,Shruti Fule,Pooja Kawale,Mansee Mohite,Anjali Kamble, Hitakshi Mhatre, Sachin Sawant"</formula1>
    </dataValidation>
    <dataValidation type="list" allowBlank="1" showInputMessage="1" showErrorMessage="1" sqref="F98:H98" xr:uid="{00000000-0002-0000-0000-000006000000}">
      <formula1>"On Saleable Area,On Builtup Area,On Carpet Area,On Plot Area"</formula1>
    </dataValidation>
    <dataValidation type="list" allowBlank="1" showInputMessage="1" showErrorMessage="1" sqref="F110:H110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28 F136" xr:uid="{00000000-0002-0000-0000-000008000000}">
      <formula1>"Saleable area Loading :,Builder Saleable area"</formula1>
    </dataValidation>
    <dataValidation type="list" allowBlank="1" showInputMessage="1" showErrorMessage="1" sqref="B128:B129" xr:uid="{00000000-0002-0000-0000-000009000000}">
      <formula1>"Shop No. (Sale Plan),Sale / Rehab,Sale / Mhada"</formula1>
    </dataValidation>
    <dataValidation type="list" allowBlank="1" showInputMessage="1" showErrorMessage="1" sqref="B136:B137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  <hyperlink ref="I64" r:id="rId2" location="showModal" xr:uid="{6A2EE644-99CD-46EE-BED1-C4944B5CB93E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orientation="portrait" r:id="rId3"/>
  <headerFooter>
    <oddHeader>&amp;C&amp;G</oddHeader>
    <oddFooter>&amp;L&amp;"Times New Roman,Bold"&amp;12Ref No: &amp;F&amp;C=&amp;G&amp;R&amp;"Times New Roman,Bold"&amp;12&amp;P</oddFooter>
  </headerFooter>
  <rowBreaks count="4" manualBreakCount="4">
    <brk id="67" max="16383" man="1"/>
    <brk id="211" max="16383" man="1"/>
    <brk id="253" max="7" man="1"/>
    <brk id="295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19" zoomScaleNormal="100" workbookViewId="0">
      <selection activeCell="G5" sqref="G5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4" t="s">
        <v>106</v>
      </c>
      <c r="C3" s="214"/>
      <c r="D3" s="214"/>
      <c r="E3" s="214"/>
      <c r="F3" s="214"/>
      <c r="G3" s="214"/>
      <c r="H3" s="214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9"/>
      <c r="C4" s="49" t="s">
        <v>12</v>
      </c>
      <c r="D4" s="50" t="s">
        <v>183</v>
      </c>
      <c r="E4" s="50" t="s">
        <v>193</v>
      </c>
      <c r="F4" s="50" t="s">
        <v>178</v>
      </c>
      <c r="G4" s="50" t="s">
        <v>198</v>
      </c>
      <c r="H4" s="50" t="s">
        <v>216</v>
      </c>
      <c r="J4" t="s">
        <v>198</v>
      </c>
      <c r="K4" t="s">
        <v>214</v>
      </c>
    </row>
    <row r="5" spans="2:11" x14ac:dyDescent="0.25">
      <c r="B5" s="49"/>
      <c r="C5" s="49"/>
      <c r="D5" s="50" t="s">
        <v>184</v>
      </c>
      <c r="E5" s="50" t="s">
        <v>191</v>
      </c>
      <c r="F5" s="50" t="s">
        <v>213</v>
      </c>
      <c r="G5" s="50" t="s">
        <v>199</v>
      </c>
      <c r="H5" s="50" t="s">
        <v>217</v>
      </c>
    </row>
    <row r="6" spans="2:11" x14ac:dyDescent="0.25">
      <c r="B6" s="49"/>
      <c r="C6" s="49"/>
      <c r="D6" s="50" t="s">
        <v>185</v>
      </c>
      <c r="E6" s="50" t="s">
        <v>192</v>
      </c>
      <c r="F6" s="50" t="s">
        <v>214</v>
      </c>
      <c r="G6" s="50" t="s">
        <v>200</v>
      </c>
      <c r="H6" s="50" t="s">
        <v>230</v>
      </c>
    </row>
    <row r="7" spans="2:11" x14ac:dyDescent="0.25">
      <c r="B7" s="49"/>
      <c r="C7" s="49"/>
      <c r="D7" s="50" t="s">
        <v>186</v>
      </c>
      <c r="E7" s="50" t="s">
        <v>194</v>
      </c>
      <c r="F7" s="50" t="s">
        <v>215</v>
      </c>
      <c r="G7" s="50" t="s">
        <v>201</v>
      </c>
      <c r="H7" s="50" t="s">
        <v>218</v>
      </c>
    </row>
    <row r="8" spans="2:11" x14ac:dyDescent="0.25">
      <c r="B8" s="49"/>
      <c r="C8" s="49"/>
      <c r="D8" s="50" t="s">
        <v>187</v>
      </c>
      <c r="E8" s="50" t="s">
        <v>195</v>
      </c>
      <c r="F8" s="50"/>
      <c r="G8" s="50" t="s">
        <v>202</v>
      </c>
      <c r="H8" s="50" t="s">
        <v>219</v>
      </c>
    </row>
    <row r="9" spans="2:11" x14ac:dyDescent="0.25">
      <c r="B9" s="49"/>
      <c r="C9" s="49"/>
      <c r="D9" s="50" t="s">
        <v>188</v>
      </c>
      <c r="E9" s="50" t="s">
        <v>193</v>
      </c>
      <c r="F9" s="50"/>
      <c r="G9" s="50" t="s">
        <v>203</v>
      </c>
      <c r="H9" s="50" t="s">
        <v>220</v>
      </c>
    </row>
    <row r="10" spans="2:11" x14ac:dyDescent="0.25">
      <c r="B10" s="49"/>
      <c r="C10" s="49"/>
      <c r="D10" s="50" t="s">
        <v>189</v>
      </c>
      <c r="E10" s="50" t="s">
        <v>196</v>
      </c>
      <c r="F10" s="50"/>
      <c r="G10" s="50" t="s">
        <v>204</v>
      </c>
      <c r="H10" s="50" t="s">
        <v>221</v>
      </c>
    </row>
    <row r="11" spans="2:11" x14ac:dyDescent="0.25">
      <c r="B11" s="49"/>
      <c r="C11" s="49"/>
      <c r="D11" s="50" t="s">
        <v>190</v>
      </c>
      <c r="E11" s="50" t="s">
        <v>197</v>
      </c>
      <c r="F11" s="50"/>
      <c r="G11" s="50" t="s">
        <v>205</v>
      </c>
      <c r="H11" s="50" t="s">
        <v>222</v>
      </c>
    </row>
    <row r="12" spans="2:11" x14ac:dyDescent="0.25">
      <c r="B12" s="49"/>
      <c r="C12" s="49"/>
      <c r="D12" s="50"/>
      <c r="E12" s="50"/>
      <c r="F12" s="50"/>
      <c r="G12" s="50" t="s">
        <v>206</v>
      </c>
      <c r="H12" s="50" t="s">
        <v>223</v>
      </c>
    </row>
    <row r="13" spans="2:11" x14ac:dyDescent="0.25">
      <c r="B13" s="49"/>
      <c r="C13" s="49"/>
      <c r="D13" s="50"/>
      <c r="E13" s="50"/>
      <c r="F13" s="50"/>
      <c r="G13" s="50" t="s">
        <v>207</v>
      </c>
      <c r="H13" s="50" t="s">
        <v>224</v>
      </c>
    </row>
    <row r="14" spans="2:11" x14ac:dyDescent="0.25">
      <c r="B14" s="49"/>
      <c r="C14" s="49"/>
      <c r="D14" s="50"/>
      <c r="E14" s="50"/>
      <c r="F14" s="50"/>
      <c r="G14" s="50" t="s">
        <v>208</v>
      </c>
      <c r="H14" s="50" t="s">
        <v>225</v>
      </c>
    </row>
    <row r="15" spans="2:11" x14ac:dyDescent="0.25">
      <c r="B15" s="49"/>
      <c r="C15" s="49"/>
      <c r="D15" s="50"/>
      <c r="E15" s="50"/>
      <c r="F15" s="50"/>
      <c r="G15" s="50" t="s">
        <v>209</v>
      </c>
      <c r="H15" s="50" t="s">
        <v>226</v>
      </c>
    </row>
    <row r="16" spans="2:11" x14ac:dyDescent="0.25">
      <c r="B16" s="49"/>
      <c r="C16" s="49"/>
      <c r="D16" s="50"/>
      <c r="E16" s="50"/>
      <c r="F16" s="50"/>
      <c r="G16" s="50" t="s">
        <v>210</v>
      </c>
      <c r="H16" s="50" t="s">
        <v>227</v>
      </c>
    </row>
    <row r="17" spans="2:8" x14ac:dyDescent="0.25">
      <c r="B17" s="49"/>
      <c r="C17" s="49"/>
      <c r="D17" s="50"/>
      <c r="E17" s="50"/>
      <c r="F17" s="50"/>
      <c r="G17" s="50" t="s">
        <v>211</v>
      </c>
      <c r="H17" s="50" t="s">
        <v>228</v>
      </c>
    </row>
    <row r="18" spans="2:8" x14ac:dyDescent="0.25">
      <c r="B18" s="49"/>
      <c r="C18" s="49"/>
      <c r="D18" s="50"/>
      <c r="E18" s="50"/>
      <c r="F18" s="50"/>
      <c r="G18" s="50" t="s">
        <v>212</v>
      </c>
      <c r="H18" s="50" t="s">
        <v>229</v>
      </c>
    </row>
    <row r="24" spans="2:8" x14ac:dyDescent="0.25">
      <c r="C24" t="s">
        <v>175</v>
      </c>
    </row>
    <row r="25" spans="2:8" x14ac:dyDescent="0.25">
      <c r="C25" t="s">
        <v>231</v>
      </c>
    </row>
    <row r="26" spans="2:8" x14ac:dyDescent="0.25">
      <c r="C26" t="s">
        <v>232</v>
      </c>
    </row>
    <row r="27" spans="2:8" x14ac:dyDescent="0.25">
      <c r="C27" t="s">
        <v>233</v>
      </c>
    </row>
    <row r="28" spans="2:8" x14ac:dyDescent="0.25">
      <c r="C28" t="s">
        <v>234</v>
      </c>
    </row>
    <row r="29" spans="2:8" x14ac:dyDescent="0.25">
      <c r="C29" t="s">
        <v>235</v>
      </c>
    </row>
    <row r="30" spans="2:8" x14ac:dyDescent="0.25">
      <c r="C30" t="s">
        <v>175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2025-08-20T12:01:07Z</cp:lastPrinted>
  <dcterms:created xsi:type="dcterms:W3CDTF">2019-07-16T09:29:46Z</dcterms:created>
  <dcterms:modified xsi:type="dcterms:W3CDTF">2025-08-20T12:01:20Z</dcterms:modified>
</cp:coreProperties>
</file>