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20-08-2025\Axis Sanpada\"/>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9" i="1" l="1"/>
  <c r="D249" i="1"/>
  <c r="E248" i="1"/>
  <c r="D248" i="1"/>
  <c r="D247" i="1"/>
  <c r="E246" i="1"/>
  <c r="D246" i="1"/>
  <c r="E244" i="1"/>
  <c r="D244" i="1"/>
  <c r="E243" i="1"/>
  <c r="D243" i="1"/>
  <c r="D242" i="1"/>
  <c r="F242" i="1" s="1"/>
  <c r="H242" i="1" s="1"/>
  <c r="E241" i="1"/>
  <c r="D241" i="1"/>
  <c r="E239" i="1"/>
  <c r="D239" i="1"/>
  <c r="E238" i="1"/>
  <c r="D238" i="1"/>
  <c r="D237" i="1"/>
  <c r="F237" i="1" s="1"/>
  <c r="H237" i="1" s="1"/>
  <c r="E236" i="1"/>
  <c r="D236" i="1"/>
  <c r="E234" i="1"/>
  <c r="D234" i="1"/>
  <c r="E233" i="1"/>
  <c r="D233" i="1"/>
  <c r="D232" i="1"/>
  <c r="F232" i="1" s="1"/>
  <c r="H232" i="1" s="1"/>
  <c r="E231" i="1"/>
  <c r="D231" i="1"/>
  <c r="E229" i="1"/>
  <c r="D229" i="1"/>
  <c r="E228" i="1"/>
  <c r="D228" i="1"/>
  <c r="D227" i="1"/>
  <c r="F227" i="1" s="1"/>
  <c r="H227" i="1" s="1"/>
  <c r="E226" i="1"/>
  <c r="D226" i="1"/>
  <c r="E224" i="1"/>
  <c r="D224" i="1"/>
  <c r="E223" i="1"/>
  <c r="D223" i="1"/>
  <c r="D222" i="1"/>
  <c r="F222" i="1" s="1"/>
  <c r="H222" i="1" s="1"/>
  <c r="E221" i="1"/>
  <c r="D221" i="1"/>
  <c r="E218" i="1"/>
  <c r="D218" i="1"/>
  <c r="F218" i="1" s="1"/>
  <c r="H218" i="1" s="1"/>
  <c r="E217" i="1"/>
  <c r="D217" i="1"/>
  <c r="E216" i="1"/>
  <c r="D216" i="1"/>
  <c r="A232" i="1"/>
  <c r="A233" i="1" s="1"/>
  <c r="A234" i="1" s="1"/>
  <c r="F238" i="1"/>
  <c r="H238" i="1" s="1"/>
  <c r="A237" i="1"/>
  <c r="A238" i="1" s="1"/>
  <c r="A239" i="1" s="1"/>
  <c r="A242" i="1"/>
  <c r="A243" i="1" s="1"/>
  <c r="A244" i="1" s="1"/>
  <c r="A219" i="1"/>
  <c r="E214" i="1"/>
  <c r="D214" i="1"/>
  <c r="E213" i="1"/>
  <c r="D213" i="1"/>
  <c r="D212" i="1"/>
  <c r="F212" i="1" s="1"/>
  <c r="H212" i="1" s="1"/>
  <c r="E211" i="1"/>
  <c r="D211" i="1"/>
  <c r="E209" i="1"/>
  <c r="E208" i="1"/>
  <c r="D208" i="1"/>
  <c r="D207" i="1"/>
  <c r="F207" i="1" s="1"/>
  <c r="H207" i="1" s="1"/>
  <c r="E206" i="1"/>
  <c r="D206" i="1"/>
  <c r="D209" i="1"/>
  <c r="E204" i="1"/>
  <c r="D204" i="1"/>
  <c r="E203" i="1"/>
  <c r="D203" i="1"/>
  <c r="E202" i="1"/>
  <c r="D202" i="1"/>
  <c r="E201" i="1"/>
  <c r="D201" i="1"/>
  <c r="A212" i="1"/>
  <c r="A213" i="1" s="1"/>
  <c r="A214" i="1" s="1"/>
  <c r="F219" i="1"/>
  <c r="H219" i="1" s="1"/>
  <c r="A222" i="1"/>
  <c r="A223" i="1" s="1"/>
  <c r="A224" i="1" s="1"/>
  <c r="A227" i="1"/>
  <c r="A228" i="1" s="1"/>
  <c r="A229" i="1" s="1"/>
  <c r="D157" i="1"/>
  <c r="E194" i="1"/>
  <c r="D194" i="1"/>
  <c r="D193" i="1"/>
  <c r="F193" i="1" s="1"/>
  <c r="H193" i="1" s="1"/>
  <c r="E192" i="1"/>
  <c r="D192" i="1"/>
  <c r="E191" i="1"/>
  <c r="D191" i="1"/>
  <c r="E189" i="1"/>
  <c r="D189" i="1"/>
  <c r="D188" i="1"/>
  <c r="F188" i="1" s="1"/>
  <c r="H188" i="1" s="1"/>
  <c r="E187" i="1"/>
  <c r="D187" i="1"/>
  <c r="E186" i="1"/>
  <c r="D186" i="1"/>
  <c r="E184" i="1"/>
  <c r="D184" i="1"/>
  <c r="D183" i="1"/>
  <c r="F183" i="1" s="1"/>
  <c r="H183" i="1" s="1"/>
  <c r="E182" i="1"/>
  <c r="D182" i="1"/>
  <c r="E181" i="1"/>
  <c r="D181" i="1"/>
  <c r="A202" i="1"/>
  <c r="A203" i="1" s="1"/>
  <c r="A204" i="1" s="1"/>
  <c r="A182" i="1"/>
  <c r="A183" i="1" s="1"/>
  <c r="A184" i="1" s="1"/>
  <c r="A187" i="1"/>
  <c r="A188" i="1" s="1"/>
  <c r="A189" i="1" s="1"/>
  <c r="A192" i="1"/>
  <c r="A193" i="1" s="1"/>
  <c r="A194" i="1" s="1"/>
  <c r="D179" i="1"/>
  <c r="D174" i="1"/>
  <c r="D178" i="1"/>
  <c r="D173" i="1"/>
  <c r="E179" i="1"/>
  <c r="E178" i="1"/>
  <c r="E177" i="1"/>
  <c r="D177" i="1"/>
  <c r="E176" i="1"/>
  <c r="D176" i="1"/>
  <c r="E174" i="1"/>
  <c r="E173" i="1"/>
  <c r="E172" i="1"/>
  <c r="D172" i="1"/>
  <c r="E171" i="1"/>
  <c r="D171" i="1"/>
  <c r="A172" i="1"/>
  <c r="A173" i="1" s="1"/>
  <c r="A174" i="1" s="1"/>
  <c r="A177" i="1"/>
  <c r="A178" i="1" s="1"/>
  <c r="A179" i="1" s="1"/>
  <c r="A207" i="1"/>
  <c r="A208" i="1" s="1"/>
  <c r="A209" i="1" s="1"/>
  <c r="E169" i="1"/>
  <c r="D169" i="1"/>
  <c r="E168" i="1"/>
  <c r="D168" i="1"/>
  <c r="E167" i="1"/>
  <c r="D167" i="1"/>
  <c r="E166" i="1"/>
  <c r="D166" i="1"/>
  <c r="E164" i="1"/>
  <c r="D164" i="1"/>
  <c r="E163" i="1"/>
  <c r="D163" i="1"/>
  <c r="E162" i="1"/>
  <c r="D162" i="1"/>
  <c r="E161" i="1"/>
  <c r="D161" i="1"/>
  <c r="A162" i="1"/>
  <c r="A163" i="1" s="1"/>
  <c r="A164" i="1" s="1"/>
  <c r="A167" i="1"/>
  <c r="A168" i="1" s="1"/>
  <c r="A169" i="1" s="1"/>
  <c r="D159" i="1"/>
  <c r="D158" i="1"/>
  <c r="F158" i="1" s="1"/>
  <c r="H158" i="1" s="1"/>
  <c r="E159" i="1"/>
  <c r="E157" i="1"/>
  <c r="E156" i="1"/>
  <c r="D156" i="1"/>
  <c r="A157" i="1"/>
  <c r="A158" i="1" s="1"/>
  <c r="A159" i="1" s="1"/>
  <c r="E154" i="1"/>
  <c r="D154" i="1"/>
  <c r="E153" i="1"/>
  <c r="D153" i="1"/>
  <c r="E152" i="1"/>
  <c r="D152" i="1"/>
  <c r="E151" i="1"/>
  <c r="D151" i="1"/>
  <c r="A152" i="1"/>
  <c r="A153" i="1" s="1"/>
  <c r="A154" i="1" s="1"/>
  <c r="E147" i="1"/>
  <c r="D147" i="1"/>
  <c r="E146" i="1"/>
  <c r="D146" i="1"/>
  <c r="E138" i="1"/>
  <c r="D138" i="1"/>
  <c r="D137" i="1"/>
  <c r="F137" i="1" s="1"/>
  <c r="H137" i="1" s="1"/>
  <c r="I138" i="1"/>
  <c r="I137" i="1"/>
  <c r="A147" i="1"/>
  <c r="A148" i="1" s="1"/>
  <c r="A149" i="1" s="1"/>
  <c r="E43" i="1"/>
  <c r="E44" i="1" s="1"/>
  <c r="E45"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02" i="1"/>
  <c r="B277" i="1"/>
  <c r="B276" i="1"/>
  <c r="F273" i="1"/>
  <c r="H273" i="1" s="1"/>
  <c r="F272" i="1"/>
  <c r="H272" i="1" s="1"/>
  <c r="F271" i="1"/>
  <c r="H271" i="1" s="1"/>
  <c r="F270" i="1"/>
  <c r="H270" i="1" s="1"/>
  <c r="F269" i="1"/>
  <c r="H269" i="1" s="1"/>
  <c r="F267" i="1"/>
  <c r="H267" i="1" s="1"/>
  <c r="F266" i="1"/>
  <c r="H266" i="1" s="1"/>
  <c r="F265" i="1"/>
  <c r="H265" i="1" s="1"/>
  <c r="F264" i="1"/>
  <c r="H264" i="1" s="1"/>
  <c r="F263" i="1"/>
  <c r="H263" i="1" s="1"/>
  <c r="F261" i="1"/>
  <c r="H261" i="1" s="1"/>
  <c r="F260" i="1"/>
  <c r="H260" i="1" s="1"/>
  <c r="F259" i="1"/>
  <c r="H259" i="1" s="1"/>
  <c r="F258" i="1"/>
  <c r="H258" i="1" s="1"/>
  <c r="F257" i="1"/>
  <c r="H257" i="1" s="1"/>
  <c r="F255" i="1"/>
  <c r="H255" i="1" s="1"/>
  <c r="F254" i="1"/>
  <c r="H254" i="1" s="1"/>
  <c r="F253" i="1"/>
  <c r="H253" i="1" s="1"/>
  <c r="F252" i="1"/>
  <c r="H252" i="1" s="1"/>
  <c r="F251" i="1"/>
  <c r="H251" i="1" s="1"/>
  <c r="A251" i="1"/>
  <c r="A252" i="1" s="1"/>
  <c r="A253" i="1" s="1"/>
  <c r="A254" i="1" s="1"/>
  <c r="A255" i="1" s="1"/>
  <c r="F247" i="1"/>
  <c r="H247" i="1" s="1"/>
  <c r="A247" i="1"/>
  <c r="A248" i="1" s="1"/>
  <c r="A249" i="1" s="1"/>
  <c r="F140" i="1"/>
  <c r="H140" i="1" s="1"/>
  <c r="F139" i="1"/>
  <c r="H139" i="1" s="1"/>
  <c r="A138" i="1"/>
  <c r="A139" i="1" s="1"/>
  <c r="A140" i="1" s="1"/>
  <c r="F115" i="1"/>
  <c r="C89" i="1"/>
  <c r="C75" i="1"/>
  <c r="B76" i="1" s="1"/>
  <c r="D69" i="1"/>
  <c r="D62" i="1"/>
  <c r="G56" i="1"/>
  <c r="C56" i="1"/>
  <c r="K54" i="1"/>
  <c r="G51" i="1"/>
  <c r="C51" i="1"/>
  <c r="S33" i="1"/>
  <c r="E31" i="1"/>
  <c r="E28" i="1"/>
  <c r="E26" i="1"/>
  <c r="C16" i="1"/>
  <c r="I15" i="1"/>
  <c r="Z13" i="1"/>
  <c r="E8" i="1"/>
  <c r="E3" i="1"/>
  <c r="B287" i="1" s="1"/>
  <c r="A263" i="1"/>
  <c r="A257" i="1"/>
  <c r="A269" i="1"/>
  <c r="H90" i="1"/>
  <c r="F224" i="1" l="1"/>
  <c r="H224" i="1" s="1"/>
  <c r="F216" i="1"/>
  <c r="H216" i="1" s="1"/>
  <c r="F228" i="1"/>
  <c r="H228" i="1" s="1"/>
  <c r="F239" i="1"/>
  <c r="H239" i="1" s="1"/>
  <c r="F241" i="1"/>
  <c r="H241" i="1" s="1"/>
  <c r="F226" i="1"/>
  <c r="H226" i="1" s="1"/>
  <c r="F249" i="1"/>
  <c r="H249" i="1" s="1"/>
  <c r="F244" i="1"/>
  <c r="H244" i="1" s="1"/>
  <c r="E42" i="7"/>
  <c r="F217" i="1"/>
  <c r="H217" i="1" s="1"/>
  <c r="F229" i="1"/>
  <c r="H229" i="1" s="1"/>
  <c r="F236" i="1"/>
  <c r="H236" i="1" s="1"/>
  <c r="F231" i="1"/>
  <c r="H231" i="1" s="1"/>
  <c r="F248" i="1"/>
  <c r="H248" i="1" s="1"/>
  <c r="F234" i="1"/>
  <c r="H234" i="1" s="1"/>
  <c r="F246" i="1"/>
  <c r="H246" i="1" s="1"/>
  <c r="F243" i="1"/>
  <c r="H243" i="1" s="1"/>
  <c r="C124" i="1"/>
  <c r="F233" i="1"/>
  <c r="H233" i="1" s="1"/>
  <c r="F206" i="1"/>
  <c r="H206" i="1" s="1"/>
  <c r="F209" i="1"/>
  <c r="H209" i="1" s="1"/>
  <c r="F201" i="1"/>
  <c r="F208" i="1"/>
  <c r="H208" i="1" s="1"/>
  <c r="F214" i="1"/>
  <c r="H214" i="1" s="1"/>
  <c r="F223" i="1"/>
  <c r="H223" i="1" s="1"/>
  <c r="F211" i="1"/>
  <c r="H211" i="1" s="1"/>
  <c r="F213" i="1"/>
  <c r="H213" i="1" s="1"/>
  <c r="F186" i="1"/>
  <c r="H186" i="1" s="1"/>
  <c r="F221" i="1"/>
  <c r="H221" i="1" s="1"/>
  <c r="F204" i="1"/>
  <c r="H204" i="1" s="1"/>
  <c r="F194" i="1"/>
  <c r="H194" i="1" s="1"/>
  <c r="F179" i="1"/>
  <c r="H179" i="1" s="1"/>
  <c r="F202" i="1"/>
  <c r="H202" i="1" s="1"/>
  <c r="C123" i="1"/>
  <c r="C125" i="1" s="1"/>
  <c r="F182" i="1"/>
  <c r="H182" i="1" s="1"/>
  <c r="F184" i="1"/>
  <c r="H184" i="1" s="1"/>
  <c r="F203" i="1"/>
  <c r="H203" i="1" s="1"/>
  <c r="F181" i="1"/>
  <c r="H181" i="1" s="1"/>
  <c r="F189" i="1"/>
  <c r="H189" i="1" s="1"/>
  <c r="F191" i="1"/>
  <c r="H191" i="1" s="1"/>
  <c r="C118" i="1"/>
  <c r="C120" i="1" s="1"/>
  <c r="F192" i="1"/>
  <c r="H192" i="1" s="1"/>
  <c r="F166" i="1"/>
  <c r="H166" i="1" s="1"/>
  <c r="F187" i="1"/>
  <c r="H187" i="1" s="1"/>
  <c r="F172" i="1"/>
  <c r="H172" i="1" s="1"/>
  <c r="F173" i="1"/>
  <c r="H173" i="1" s="1"/>
  <c r="F174" i="1"/>
  <c r="H174" i="1" s="1"/>
  <c r="F178" i="1"/>
  <c r="H178" i="1" s="1"/>
  <c r="F171" i="1"/>
  <c r="H171" i="1" s="1"/>
  <c r="F176" i="1"/>
  <c r="H176" i="1" s="1"/>
  <c r="F164" i="1"/>
  <c r="H164" i="1" s="1"/>
  <c r="F177" i="1"/>
  <c r="H177" i="1" s="1"/>
  <c r="F146" i="1"/>
  <c r="F162" i="1"/>
  <c r="H162" i="1" s="1"/>
  <c r="F167" i="1"/>
  <c r="H167" i="1" s="1"/>
  <c r="F169" i="1"/>
  <c r="H169" i="1" s="1"/>
  <c r="F156" i="1"/>
  <c r="H156" i="1" s="1"/>
  <c r="F159" i="1"/>
  <c r="H159" i="1" s="1"/>
  <c r="F168" i="1"/>
  <c r="H168" i="1" s="1"/>
  <c r="F161" i="1"/>
  <c r="H161" i="1" s="1"/>
  <c r="F163" i="1"/>
  <c r="H163" i="1" s="1"/>
  <c r="F154" i="1"/>
  <c r="H154" i="1" s="1"/>
  <c r="F157" i="1"/>
  <c r="H157" i="1" s="1"/>
  <c r="F152" i="1"/>
  <c r="H152" i="1" s="1"/>
  <c r="F151" i="1"/>
  <c r="H151" i="1" s="1"/>
  <c r="F153" i="1"/>
  <c r="H153" i="1" s="1"/>
  <c r="F138" i="1"/>
  <c r="F147" i="1"/>
  <c r="H147" i="1" s="1"/>
  <c r="J84" i="1"/>
  <c r="I42" i="7"/>
  <c r="H42" i="7" s="1"/>
  <c r="L42" i="7"/>
  <c r="K42" i="7" s="1"/>
  <c r="J89" i="1"/>
  <c r="J91" i="1" s="1"/>
  <c r="D98" i="1"/>
  <c r="D97" i="1"/>
  <c r="D102" i="1"/>
  <c r="D96" i="1"/>
  <c r="J92" i="1"/>
  <c r="D101" i="1"/>
  <c r="J94" i="1"/>
  <c r="C93" i="1" s="1"/>
  <c r="D95" i="1"/>
  <c r="D100" i="1"/>
  <c r="J93" i="1"/>
  <c r="D99" i="1"/>
  <c r="D42" i="7"/>
  <c r="L54" i="1"/>
  <c r="B90" i="1"/>
  <c r="J85" i="1"/>
  <c r="J86" i="1"/>
  <c r="I52" i="1"/>
  <c r="A264" i="1"/>
  <c r="H76" i="1"/>
  <c r="A258" i="1"/>
  <c r="A270" i="1"/>
  <c r="D82" i="1" l="1"/>
  <c r="D87" i="1"/>
  <c r="D81" i="1"/>
  <c r="J75" i="1"/>
  <c r="J77" i="1" s="1"/>
  <c r="J80" i="1"/>
  <c r="C79" i="1" s="1"/>
  <c r="D79" i="1" s="1"/>
  <c r="D84" i="1"/>
  <c r="D86" i="1"/>
  <c r="J78" i="1"/>
  <c r="D85" i="1"/>
  <c r="D83" i="1"/>
  <c r="J79" i="1"/>
  <c r="D88" i="1"/>
  <c r="J81" i="1"/>
  <c r="J82" i="1" s="1"/>
  <c r="J87" i="1" s="1"/>
  <c r="D44" i="7"/>
  <c r="E44" i="7"/>
  <c r="C126" i="1"/>
  <c r="H201" i="1"/>
  <c r="G124" i="1" s="1"/>
  <c r="E124" i="1"/>
  <c r="H138" i="1"/>
  <c r="G118" i="1" s="1"/>
  <c r="G120" i="1" s="1"/>
  <c r="E118" i="1"/>
  <c r="E120" i="1" s="1"/>
  <c r="H146" i="1"/>
  <c r="G123" i="1" s="1"/>
  <c r="E123" i="1"/>
  <c r="D93" i="1"/>
  <c r="J98" i="1"/>
  <c r="J95" i="1"/>
  <c r="J96" i="1" s="1"/>
  <c r="J101" i="1" s="1"/>
  <c r="J100" i="1"/>
  <c r="J99" i="1"/>
  <c r="A259" i="1"/>
  <c r="A265" i="1"/>
  <c r="A271" i="1"/>
  <c r="E125" i="1" l="1"/>
  <c r="E126" i="1" s="1"/>
  <c r="G125" i="1"/>
  <c r="G126" i="1" s="1"/>
  <c r="J83" i="1"/>
  <c r="J97" i="1"/>
  <c r="A272" i="1"/>
  <c r="A266" i="1"/>
  <c r="A260" i="1"/>
  <c r="J88" i="1" l="1"/>
  <c r="C80" i="1" s="1"/>
  <c r="J76" i="1" s="1"/>
  <c r="J102" i="1"/>
  <c r="C94" i="1" s="1"/>
  <c r="G93" i="1" s="1"/>
  <c r="A273" i="1"/>
  <c r="A261" i="1"/>
  <c r="A267" i="1"/>
  <c r="G79" i="1" l="1"/>
  <c r="D73" i="1" s="1"/>
  <c r="E79" i="1"/>
  <c r="D80" i="1"/>
  <c r="I76" i="1" s="1"/>
  <c r="I77" i="1" s="1"/>
  <c r="D94" i="1"/>
  <c r="I90" i="1" s="1"/>
  <c r="I91" i="1" s="1"/>
  <c r="E93" i="1"/>
  <c r="J90" i="1"/>
  <c r="I75" i="1" l="1"/>
  <c r="C77" i="1" s="1"/>
  <c r="D74" i="1"/>
  <c r="F74" i="1"/>
  <c r="I89" i="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<sst xmlns="http://schemas.openxmlformats.org/spreadsheetml/2006/main" count="755" uniqueCount="429">
  <si>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</si>
  <si>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</si>
  <si>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</si>
  <si>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</si>
  <si>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</si>
  <si>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</si>
  <si>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</si>
  <si>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</si>
  <si>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</si>
  <si>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</si>
  <si>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</si>
  <si>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</si>
  <si>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</si>
  <si>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</si>
  <si>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</si>
  <si>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</si>
  <si>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</si>
  <si>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</si>
  <si>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</si>
  <si>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</si>
  <si>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</si>
  <si>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</si>
  <si>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</si>
  <si>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</si>
  <si>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</si>
  <si>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</si>
  <si>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</si>
  <si>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</si>
  <si>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</si>
  <si>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</si>
  <si>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</si>
  <si>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</si>
  <si>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</si>
  <si>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</si>
  <si>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</si>
  <si>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</si>
  <si>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</si>
  <si>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</si>
  <si>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</si>
  <si>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</si>
  <si>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</si>
  <si>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</si>
  <si>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</si>
  <si>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</si>
  <si>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</si>
  <si>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</si>
  <si>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</si>
  <si>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</si>
  <si>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</si>
  <si>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</si>
  <si>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</si>
  <si>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</si>
  <si>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</si>
  <si>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</si>
  <si>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</si>
  <si>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</si>
  <si>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</si>
  <si>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</si>
  <si>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</si>
  <si>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</si>
  <si>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</si>
  <si>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</si>
  <si>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</si>
  <si>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</si>
  <si>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</si>
  <si>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</si>
  <si>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</si>
  <si>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</si>
  <si>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</si>
  <si>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</si>
  <si>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</si>
  <si>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</si>
  <si>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</si>
  <si>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</si>
  <si>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</si>
  <si>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</si>
  <si>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</si>
  <si>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</si>
  <si>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</si>
  <si>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</si>
  <si>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</si>
  <si>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</si>
  <si>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</si>
  <si>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</si>
  <si>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</si>
  <si>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</si>
  <si>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</si>
  <si>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</si>
  <si>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</si>
  <si>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</si>
  <si>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</si>
  <si>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</si>
  <si>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</si>
  <si>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</si>
  <si>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</si>
  <si>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</si>
  <si>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</si>
  <si>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</si>
  <si>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</si>
  <si>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</si>
  <si>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</si>
  <si>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</si>
  <si>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</si>
  <si>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</si>
  <si>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</si>
  <si>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</si>
  <si>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</si>
  <si>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</si>
  <si>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</si>
  <si>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</si>
  <si>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</si>
  <si>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</si>
  <si>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</si>
  <si>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</si>
  <si>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</si>
  <si>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</si>
  <si>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</si>
  <si>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</si>
  <si>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</si>
  <si>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</si>
  <si>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</si>
  <si>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</si>
  <si>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</si>
  <si>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</si>
  <si>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</si>
  <si>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</si>
  <si>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</si>
  <si>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</si>
  <si>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</si>
  <si>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</si>
  <si>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</si>
  <si>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</si>
  <si>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</si>
  <si>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</si>
  <si>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</si>
  <si>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</si>
  <si>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</si>
  <si>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</si>
  <si>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</si>
  <si>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</si>
  <si>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</si>
  <si>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</si>
  <si>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</si>
  <si>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</si>
  <si>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</si>
  <si>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</si>
  <si>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</si>
  <si>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</si>
  <si>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</si>
  <si>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</si>
  <si>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</si>
  <si>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</si>
  <si>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</si>
  <si>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</si>
  <si>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</si>
  <si>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</si>
  <si>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</si>
  <si>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</si>
  <si>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</si>
  <si>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</si>
  <si>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</si>
  <si>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</si>
  <si>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</si>
  <si>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</si>
  <si>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</si>
  <si>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</si>
  <si>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</si>
  <si>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</si>
  <si>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</si>
  <si>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</si>
  <si>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</si>
  <si>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</si>
  <si>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</si>
  <si>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</si>
  <si>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</si>
  <si>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</si>
  <si>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</si>
  <si>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</si>
  <si>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</si>
  <si>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</si>
  <si>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</si>
  <si>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</si>
  <si>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</si>
  <si>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</si>
  <si>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</si>
  <si>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</si>
  <si>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</si>
  <si>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</si>
  <si>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</si>
  <si>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</si>
  <si>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</si>
  <si>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</si>
  <si>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</si>
  <si>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</si>
  <si>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</si>
  <si>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</si>
  <si>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</si>
  <si>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</si>
  <si>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</si>
  <si>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</si>
  <si>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</si>
  <si>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</si>
  <si>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</si>
  <si>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</si>
  <si>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</si>
  <si>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</si>
  <si>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</si>
  <si>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</si>
  <si>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</si>
  <si>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</si>
  <si>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</si>
  <si>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</si>
  <si>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</si>
  <si>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</si>
  <si>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</si>
  <si>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</si>
  <si>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</si>
  <si>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</si>
  <si>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</si>
  <si>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</si>
  <si>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</si>
  <si>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</si>
  <si>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</si>
  <si>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</si>
  <si>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</si>
  <si>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</si>
  <si>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</si>
  <si>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</si>
  <si>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</si>
  <si>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</si>
  <si>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</si>
  <si>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</si>
  <si>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</si>
  <si>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</si>
  <si>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</si>
  <si>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</si>
  <si>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</si>
  <si>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</si>
  <si>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</si>
  <si>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</si>
  <si>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</si>
  <si>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</si>
  <si>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</si>
  <si>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</si>
  <si>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</si>
  <si>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</si>
  <si>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</si>
  <si>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</si>
  <si>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</si>
  <si>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</si>
  <si>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</si>
  <si>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</si>
  <si>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</si>
  <si>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</si>
  <si>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</si>
  <si>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</si>
  <si>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</si>
  <si>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</si>
  <si>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</si>
  <si>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</si>
  <si>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</si>
  <si>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</si>
  <si>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</si>
  <si>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</si>
  <si>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</si>
  <si>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</si>
  <si>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</si>
  <si>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</si>
  <si>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</si>
  <si>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</si>
  <si>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</si>
  <si>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</si>
  <si>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</si>
  <si>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</si>
  <si>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</si>
  <si>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</si>
  <si>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</si>
  <si>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</si>
  <si>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</si>
  <si>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</si>
  <si>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</si>
  <si>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</si>
  <si>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</si>
  <si>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</si>
  <si>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</si>
  <si>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</si>
  <si>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</si>
  <si>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</si>
  <si>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</si>
  <si>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</si>
  <si>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</si>
  <si>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</si>
  <si>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</si>
  <si>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</si>
  <si>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</si>
  <si>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</si>
  <si>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</si>
  <si>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</si>
  <si>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</si>
  <si>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</si>
  <si>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</si>
  <si>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</si>
  <si>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</si>
  <si>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</si>
  <si>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</si>
  <si>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</si>
  <si>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</si>
  <si>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</si>
  <si>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</si>
  <si>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</si>
  <si>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</si>
  <si>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</si>
  <si>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</si>
  <si>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</si>
  <si>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</si>
  <si>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</si>
  <si>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</si>
  <si>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</si>
  <si>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</si>
  <si>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</si>
  <si>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</si>
  <si>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</si>
  <si>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</si>
  <si>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</si>
  <si>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</si>
  <si>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</si>
  <si>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</si>
  <si>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</si>
  <si>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</si>
  <si>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</si>
  <si>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</si>
  <si>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</si>
  <si>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</si>
  <si>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</si>
  <si>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</si>
  <si>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</si>
  <si>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</si>
  <si>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</si>
  <si>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</si>
  <si>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</si>
  <si>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</si>
  <si>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</si>
  <si>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</si>
  <si>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</si>
  <si>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</si>
  <si>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</si>
  <si>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</si>
  <si>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</si>
  <si>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</si>
  <si>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</si>
  <si>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</si>
  <si>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</si>
  <si>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</si>
  <si>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P51800055536</t>
  </si>
  <si>
    <t>Mesacon Spaces LLP</t>
  </si>
  <si>
    <t>Mesacon Crown</t>
  </si>
  <si>
    <t>Wing A &amp; B</t>
  </si>
  <si>
    <t>Shalimar Apartment Co-operative Housing Society Ltd.</t>
  </si>
  <si>
    <t>Approved Plans, CC, Airport Noc, Fire Noc</t>
  </si>
  <si>
    <t>Vile Parle</t>
  </si>
  <si>
    <t>Zalwad Nagar</t>
  </si>
  <si>
    <t>Andheri West</t>
  </si>
  <si>
    <t>Kalpachandra CHS</t>
  </si>
  <si>
    <t>19.115424,72.842945</t>
  </si>
  <si>
    <t>https://maps.app.goo.gl/3yiHvRnGTxv81sC27</t>
  </si>
  <si>
    <t>02 Wings</t>
  </si>
  <si>
    <t>Swami Vivekananda Road</t>
  </si>
  <si>
    <t>27.45M SV Road</t>
  </si>
  <si>
    <t>CTS No.551 / Jeevan Sudha</t>
  </si>
  <si>
    <t>Other Plot</t>
  </si>
  <si>
    <t xml:space="preserve">Shoppers Stop </t>
  </si>
  <si>
    <t>UC Building</t>
  </si>
  <si>
    <t>P-8238/2021/(552)/K/W Ward/VILE PARLE-K/W/337/2/Amend</t>
  </si>
  <si>
    <t>JUHU/WEST/B/081221/569515</t>
  </si>
  <si>
    <t>Site Elevation = 12.25M
Permissible Top Elevation = 57.13M</t>
  </si>
  <si>
    <t>P-8238/2021/(552)/K/W Ward/VILE PARLE-K/W-CFO/ 1 /New</t>
  </si>
  <si>
    <t>Wing A &amp; B = 2B + G + 1P + 1st to 11th Floor (Height = 42.72m)</t>
  </si>
  <si>
    <t>As per RERA -  30/06/2027</t>
  </si>
  <si>
    <t>Wing A = 2B + G + 1P + 1st to 11th Floor</t>
  </si>
  <si>
    <t>Wing A = 2B + G + 1P + 1st to 11th Floor
Wing B = 2B + G + 1P + 1st to 11th Floor</t>
  </si>
  <si>
    <t>Wing B = 2B + G + 1P + 1st to 11th Floor</t>
  </si>
  <si>
    <t>Gymnasium, Kids Play Area, Swimming Pool, Yoga Deck, Rooftop Lounge Area, Podium Seating, Banquet Hall, etc.</t>
  </si>
  <si>
    <t>https://mesacongroup.com/project/mesacon-crown/</t>
  </si>
  <si>
    <t>Wing A</t>
  </si>
  <si>
    <t xml:space="preserve">1st Level Basement Floor For Parking </t>
  </si>
  <si>
    <t>2nd Level Basement Floor For Parking &amp; Pump Room</t>
  </si>
  <si>
    <t>Ground Floor For Entrance Lobby, Meter Room &amp; Parking</t>
  </si>
  <si>
    <t>1st Podium Floor For DG Set Room</t>
  </si>
  <si>
    <t>1st Floor For Residential</t>
  </si>
  <si>
    <t>RERA Carpet area</t>
  </si>
  <si>
    <t>1st Floor For Commercial &amp; Residential</t>
  </si>
  <si>
    <t>Office</t>
  </si>
  <si>
    <t>Balcony Area</t>
  </si>
  <si>
    <t>2BHK</t>
  </si>
  <si>
    <t>Balcony Deck Area</t>
  </si>
  <si>
    <t>Sale / Rehab</t>
  </si>
  <si>
    <t>2nd &amp; 3rd Floor</t>
  </si>
  <si>
    <t>3BHK</t>
  </si>
  <si>
    <t>4th Floor</t>
  </si>
  <si>
    <t>1BHK</t>
  </si>
  <si>
    <t>5th Floor</t>
  </si>
  <si>
    <t>6th Floor (Refuge Area at Mid-landing of staircase)</t>
  </si>
  <si>
    <t>7th Floor</t>
  </si>
  <si>
    <t>8th Floor (Refuge Area at Mid-landing of staircase)</t>
  </si>
  <si>
    <t>9th Floor</t>
  </si>
  <si>
    <t>10th Floor (Refuge Area at Mid-landing of staircase)</t>
  </si>
  <si>
    <t>11th Floor</t>
  </si>
  <si>
    <t>Wing B</t>
  </si>
  <si>
    <t>4.5BHK + Family Room/ Dinning Area</t>
  </si>
  <si>
    <t>We considered Gross carpet area = Net carpet + Balcony Deck Area.</t>
  </si>
  <si>
    <t>Flats - 85 , Offices - 02</t>
  </si>
  <si>
    <r>
      <t xml:space="preserve">Proposed Amenities :                                                                                                                                                                                                                         </t>
    </r>
    <r>
      <rPr>
        <b/>
        <sz val="12"/>
        <color theme="1"/>
        <rFont val="Times New Roman"/>
        <family val="1"/>
      </rPr>
      <t xml:space="preserve">                                               </t>
    </r>
  </si>
  <si>
    <t>1.40 KM from Andheri Railway Station</t>
  </si>
  <si>
    <t>Mr. Tejesh Modi 9157945794</t>
  </si>
  <si>
    <t>Tushar Bhuwad</t>
  </si>
  <si>
    <t>552, 552/1 to 5, Redevelopement of "Shalimar Apartment Co-operative Housing Society Ltd"</t>
  </si>
  <si>
    <t>Dated
Valid Upto 
Date</t>
  </si>
  <si>
    <t xml:space="preserve">Fire Noc No
Valid Up to: </t>
  </si>
  <si>
    <t>6 + 7</t>
  </si>
  <si>
    <t>4BHK</t>
  </si>
  <si>
    <r>
      <t xml:space="preserve">Shop No.
</t>
    </r>
    <r>
      <rPr>
        <b/>
        <sz val="11"/>
        <rFont val="Times New Roman"/>
        <family val="1"/>
      </rPr>
      <t>(Approved Plan)</t>
    </r>
  </si>
  <si>
    <r>
      <t xml:space="preserve">Flat No.
</t>
    </r>
    <r>
      <rPr>
        <b/>
        <sz val="11"/>
        <rFont val="Times New Roman"/>
        <family val="1"/>
      </rPr>
      <t>(Approved Plan)</t>
    </r>
  </si>
  <si>
    <t>As per Approved Floor Plan, B Wing Flat No 506 and 507 are merged into single unit.</t>
  </si>
  <si>
    <t>Pooja Kawale</t>
  </si>
  <si>
    <t>P-8238/2021/(552)/K/W Ward/VILE PARLE-K/W/FCC/1/New</t>
  </si>
  <si>
    <t>17/04/2025
06/03/2026</t>
  </si>
  <si>
    <t>Further C.C. up to top of 10th for wing 'A' i.e. ht.39.52 AGL &amp; up to top of 9th floor for wing ‘B’ i.e. ht. 36.32 mt. AGL as per the last approved plan dtd.04/04/2024.</t>
  </si>
  <si>
    <t>We have updated latest CC from MCGM site (On 17/05/2025).</t>
  </si>
  <si>
    <t>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</si>
</sst>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9"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8" xfId="1" applyFont="1" applyBorder="1"/>
    <xf numFmtId="0" fontId="17"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25" xfId="0" applyFont="1" applyFill="1" applyBorder="1"/>
    <xf numFmtId="0" fontId="24" fillId="0" borderId="26"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0" fillId="0" borderId="22" xfId="0" applyFill="1" applyBorder="1"/>
    <xf numFmtId="0" fontId="0" fillId="0" borderId="6"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6" xfId="0" applyFill="1" applyBorder="1"/>
    <xf numFmtId="0" fontId="11" fillId="0" borderId="1" xfId="1" applyFont="1" applyBorder="1"/>
    <xf numFmtId="0" fontId="6" fillId="0" borderId="1" xfId="1" applyFont="1" applyBorder="1"/>
    <xf numFmtId="0" fontId="0" fillId="0" borderId="6" xfId="0" applyBorder="1" applyAlignment="1">
      <alignment vertical="top"/>
    </xf>
    <xf numFmtId="0" fontId="0" fillId="0" borderId="22" xfId="0" applyFill="1" applyBorder="1" applyAlignment="1">
      <alignment horizontal="center" vertical="top"/>
    </xf>
    <xf numFmtId="0" fontId="0" fillId="0" borderId="6"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4" fillId="2" borderId="0" xfId="1" applyFont="1" applyFill="1"/>
    <xf numFmtId="14" fontId="11" fillId="0" borderId="0" xfId="1" applyNumberFormat="1" applyFont="1"/>
    <xf numFmtId="0" fontId="0" fillId="0" borderId="1"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25" fillId="0" borderId="0" xfId="10"/>
    <xf numFmtId="0" fontId="6" fillId="0" borderId="1" xfId="1" applyFont="1" applyBorder="1" applyAlignment="1" applyProtection="1">
      <alignment horizontal="center" vertical="top" wrapText="1"/>
      <protection locked="0"/>
    </xf>
    <xf numFmtId="0" fontId="6" fillId="7" borderId="1" xfId="1" applyFont="1" applyFill="1" applyBorder="1" applyAlignment="1" applyProtection="1">
      <alignment horizontal="center" vertical="top"/>
      <protection locked="0"/>
    </xf>
    <xf numFmtId="1" fontId="6" fillId="0" borderId="1" xfId="1"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0" fontId="11" fillId="0" borderId="0" xfId="0" applyFont="1" applyAlignment="1">
      <alignment horizontal="center" vertical="center"/>
    </xf>
    <xf numFmtId="0" fontId="11" fillId="0" borderId="0" xfId="1" applyFont="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23" fillId="2" borderId="13" xfId="0" applyFont="1" applyFill="1" applyBorder="1"/>
    <xf numFmtId="0" fontId="24" fillId="0" borderId="7" xfId="0" applyFont="1" applyBorder="1"/>
    <xf numFmtId="0" fontId="6" fillId="0" borderId="3" xfId="1" applyFont="1" applyBorder="1" applyAlignment="1" applyProtection="1">
      <alignment horizontal="center" vertical="top" wrapText="1"/>
      <protection locked="0"/>
    </xf>
    <xf numFmtId="9" fontId="6" fillId="0" borderId="3" xfId="8" applyFont="1" applyFill="1" applyBorder="1" applyAlignment="1" applyProtection="1">
      <alignment horizontal="center" vertical="top" wrapText="1"/>
      <protection locked="0"/>
    </xf>
    <xf numFmtId="1" fontId="12" fillId="0" borderId="6"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7" xfId="0" applyNumberFormat="1" applyFont="1" applyBorder="1" applyAlignment="1" applyProtection="1">
      <alignment vertical="top" wrapText="1"/>
      <protection locked="0"/>
    </xf>
    <xf numFmtId="1" fontId="16" fillId="0" borderId="6" xfId="0" applyNumberFormat="1" applyFont="1" applyBorder="1" applyAlignment="1" applyProtection="1">
      <alignment vertical="top" wrapText="1"/>
      <protection locked="0"/>
    </xf>
    <xf numFmtId="1" fontId="16" fillId="0" borderId="19" xfId="0" applyNumberFormat="1" applyFont="1" applyBorder="1" applyAlignment="1" applyProtection="1">
      <alignment vertical="top" wrapText="1"/>
      <protection locked="0"/>
    </xf>
    <xf numFmtId="1" fontId="16" fillId="0" borderId="7" xfId="0" applyNumberFormat="1" applyFont="1" applyBorder="1" applyAlignment="1" applyProtection="1">
      <alignment vertical="top" wrapText="1"/>
      <protection locked="0"/>
    </xf>
    <xf numFmtId="1" fontId="12" fillId="0" borderId="3"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0" borderId="1" xfId="8" applyFont="1" applyFill="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9" fontId="6" fillId="0" borderId="15" xfId="8" applyFont="1" applyFill="1" applyBorder="1" applyAlignment="1" applyProtection="1">
      <alignment horizontal="center" vertical="center" wrapText="1"/>
      <protection locked="0"/>
    </xf>
    <xf numFmtId="9" fontId="6" fillId="0" borderId="16" xfId="8" applyFont="1" applyFill="1" applyBorder="1" applyAlignment="1" applyProtection="1">
      <alignment horizontal="center" vertical="center" wrapText="1"/>
      <protection locked="0"/>
    </xf>
    <xf numFmtId="9" fontId="6" fillId="0" borderId="22" xfId="8" applyFont="1" applyFill="1" applyBorder="1" applyAlignment="1" applyProtection="1">
      <alignment horizontal="center" vertical="center" wrapText="1"/>
      <protection locked="0"/>
    </xf>
    <xf numFmtId="9" fontId="6" fillId="0" borderId="23"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8"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6"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7"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6"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0" fontId="5" fillId="0" borderId="6"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7" xfId="1" applyFont="1" applyBorder="1" applyAlignment="1" applyProtection="1">
      <alignment vertical="top" wrapText="1"/>
      <protection locked="0"/>
    </xf>
    <xf numFmtId="0" fontId="7" fillId="7" borderId="1" xfId="1" applyFont="1" applyFill="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1" fontId="12" fillId="0" borderId="6"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12" fillId="0" borderId="7"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14" fontId="5" fillId="0" borderId="6" xfId="1" applyNumberFormat="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9" fillId="0" borderId="6" xfId="1" applyFont="1" applyBorder="1" applyAlignment="1" applyProtection="1">
      <alignment horizontal="left" vertical="top"/>
      <protection locked="0"/>
    </xf>
    <xf numFmtId="0" fontId="9" fillId="0" borderId="19" xfId="1" applyFont="1" applyBorder="1" applyAlignment="1" applyProtection="1">
      <alignment horizontal="left" vertical="top"/>
      <protection locked="0"/>
    </xf>
    <xf numFmtId="0" fontId="9" fillId="0" borderId="7"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12" fillId="0" borderId="4" xfId="1" applyFont="1" applyBorder="1" applyAlignment="1" applyProtection="1">
      <alignment horizontal="left" vertical="top"/>
      <protection locked="0"/>
    </xf>
    <xf numFmtId="0" fontId="7" fillId="7" borderId="20" xfId="1" applyFont="1" applyFill="1" applyBorder="1" applyAlignment="1" applyProtection="1">
      <alignment horizontal="left" vertical="top" wrapText="1"/>
      <protection locked="0"/>
    </xf>
    <xf numFmtId="0" fontId="7" fillId="7" borderId="13" xfId="1" applyFont="1" applyFill="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protection locked="0"/>
    </xf>
    <xf numFmtId="0" fontId="11" fillId="7" borderId="1" xfId="1" applyFont="1" applyFill="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7" borderId="1" xfId="1"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9" fillId="7" borderId="6" xfId="0" applyNumberFormat="1" applyFont="1" applyFill="1" applyBorder="1" applyAlignment="1" applyProtection="1">
      <alignment vertical="top" wrapText="1"/>
      <protection locked="0"/>
    </xf>
    <xf numFmtId="1" fontId="9" fillId="7" borderId="19" xfId="0" applyNumberFormat="1" applyFont="1" applyFill="1" applyBorder="1" applyAlignment="1" applyProtection="1">
      <alignment vertical="top" wrapText="1"/>
      <protection locked="0"/>
    </xf>
    <xf numFmtId="1" fontId="9" fillId="7" borderId="7" xfId="0" applyNumberFormat="1" applyFont="1" applyFill="1" applyBorder="1" applyAlignment="1" applyProtection="1">
      <alignment vertical="top" wrapText="1"/>
      <protection locked="0"/>
    </xf>
    <xf numFmtId="1" fontId="7" fillId="0" borderId="6"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11" fillId="0" borderId="6" xfId="1" applyNumberFormat="1" applyFont="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0" fontId="7" fillId="0" borderId="14" xfId="1" applyFont="1" applyBorder="1" applyAlignment="1" applyProtection="1">
      <alignment horizontal="center" vertical="top"/>
      <protection locked="0"/>
    </xf>
    <xf numFmtId="1" fontId="12" fillId="0" borderId="15" xfId="1" applyNumberFormat="1"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1" fontId="7" fillId="6" borderId="6" xfId="1" applyNumberFormat="1" applyFont="1" applyFill="1" applyBorder="1" applyAlignment="1" applyProtection="1">
      <alignment horizontal="center" vertical="center" wrapText="1"/>
      <protection locked="0"/>
    </xf>
    <xf numFmtId="1" fontId="7" fillId="6" borderId="19" xfId="1" applyNumberFormat="1" applyFont="1" applyFill="1" applyBorder="1" applyAlignment="1" applyProtection="1">
      <alignment horizontal="center" vertical="center" wrapText="1"/>
      <protection locked="0"/>
    </xf>
    <xf numFmtId="1" fontId="7" fillId="6" borderId="7" xfId="1" applyNumberFormat="1" applyFont="1" applyFill="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9" fillId="0" borderId="6" xfId="0" applyNumberFormat="1" applyFont="1" applyBorder="1" applyAlignment="1" applyProtection="1">
      <alignment vertical="top" wrapText="1"/>
      <protection locked="0"/>
    </xf>
    <xf numFmtId="1" fontId="9" fillId="0" borderId="19" xfId="0" applyNumberFormat="1" applyFont="1" applyBorder="1" applyAlignment="1" applyProtection="1">
      <alignment vertical="top" wrapText="1"/>
      <protection locked="0"/>
    </xf>
    <xf numFmtId="1" fontId="9" fillId="0" borderId="7" xfId="0" applyNumberFormat="1" applyFont="1" applyBorder="1" applyAlignment="1" applyProtection="1">
      <alignment vertical="top" wrapText="1"/>
      <protection locked="0"/>
    </xf>
    <xf numFmtId="0" fontId="6" fillId="0" borderId="22"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14" fontId="7"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6" fillId="0" borderId="27"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1" fontId="12" fillId="6" borderId="6" xfId="1" applyNumberFormat="1" applyFont="1" applyFill="1" applyBorder="1" applyAlignment="1" applyProtection="1">
      <alignment horizontal="center" vertical="center" wrapText="1"/>
      <protection locked="0"/>
    </xf>
    <xf numFmtId="1" fontId="12" fillId="6" borderId="19" xfId="1" applyNumberFormat="1" applyFont="1" applyFill="1" applyBorder="1" applyAlignment="1" applyProtection="1">
      <alignment horizontal="center" vertical="center" wrapText="1"/>
      <protection locked="0"/>
    </xf>
    <xf numFmtId="1" fontId="12" fillId="6" borderId="7" xfId="1" applyNumberFormat="1" applyFont="1" applyFill="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7" fillId="6" borderId="1" xfId="1" applyNumberFormat="1" applyFont="1" applyFill="1" applyBorder="1" applyAlignment="1" applyProtection="1">
      <alignment horizontal="center" vertical="center" wrapText="1"/>
      <protection locked="0"/>
    </xf>
    <xf numFmtId="1" fontId="16" fillId="0" borderId="22" xfId="1" applyNumberFormat="1" applyFont="1" applyBorder="1" applyAlignment="1">
      <alignment horizontal="center" vertical="center" wrapText="1"/>
    </xf>
    <xf numFmtId="1" fontId="16" fillId="0" borderId="0" xfId="1" applyNumberFormat="1" applyFont="1" applyAlignment="1">
      <alignment horizontal="center" vertical="center" wrapText="1"/>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9" fillId="0" borderId="1" xfId="0" applyNumberFormat="1" applyFont="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1139825</xdr:colOff>
      <xdr:row>1</xdr:row>
      <xdr:rowOff>88900</xdr:rowOff>
    </xdr:from>
    <xdr:to>
      <xdr:col>14</xdr:col>
      <xdr:colOff>410600</xdr:colOff>
      <xdr:row>15</xdr:row>
      <xdr:rowOff>271042</xdr:rowOff>
    </xdr:to>
    <xdr:pic>
      <xdr:nvPicPr>
        <xdr:cNvPr id="2" name="Picture 1">
          <a:extLst>
            <a:ext uri="{FF2B5EF4-FFF2-40B4-BE49-F238E27FC236}">
              <a16:creationId xmlns:a16="http://schemas.microsoft.com/office/drawing/2014/main" id="{EE1E4BDD-5199-4BB2-877E-5B9754331C9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762875" y="679450"/>
          <a:ext cx="4744475" cy="3147592"/>
        </a:xfrm>
        <a:prstGeom prst="rect">
          <a:avLst/>
        </a:prstGeom>
        <a:ln>
          <a:solidFill>
            <a:schemeClr val="tx1"/>
          </a:solidFill>
        </a:ln>
      </xdr:spPr>
    </xdr:pic>
    <xdr:clientData/>
  </xdr:twoCellAnchor>
  <xdr:twoCellAnchor editAs="oneCell">
    <xdr:from>
      <xdr:col>8</xdr:col>
      <xdr:colOff>168087</xdr:colOff>
      <xdr:row>16</xdr:row>
      <xdr:rowOff>44823</xdr:rowOff>
    </xdr:from>
    <xdr:to>
      <xdr:col>16</xdr:col>
      <xdr:colOff>41811</xdr:colOff>
      <xdr:row>17</xdr:row>
      <xdr:rowOff>506</xdr:rowOff>
    </xdr:to>
    <xdr:pic>
      <xdr:nvPicPr>
        <xdr:cNvPr id="3" name="Picture 2">
          <a:extLst>
            <a:ext uri="{FF2B5EF4-FFF2-40B4-BE49-F238E27FC236}">
              <a16:creationId xmlns:a16="http://schemas.microsoft.com/office/drawing/2014/main" id="{209130AC-0186-4667-83C8-97C30BE8A473}"/>
            </a:ext>
          </a:extLst>
        </xdr:cNvPr>
        <xdr:cNvPicPr>
          <a:picLocks noChangeAspect="1"/>
        </xdr:cNvPicPr>
      </xdr:nvPicPr>
      <xdr:blipFill>
        <a:blip xmlns:r="http://schemas.openxmlformats.org/officeDocument/2006/relationships" r:embed="rId2"/>
        <a:stretch>
          <a:fillRect/>
        </a:stretch>
      </xdr:blipFill>
      <xdr:spPr>
        <a:xfrm>
          <a:off x="6476999" y="4471147"/>
          <a:ext cx="6698106" cy="353248"/>
        </a:xfrm>
        <a:prstGeom prst="rect">
          <a:avLst/>
        </a:prstGeom>
      </xdr:spPr>
    </xdr:pic>
    <xdr:clientData/>
  </xdr:twoCellAnchor>
  <xdr:twoCellAnchor>
    <xdr:from>
      <xdr:col>0</xdr:col>
      <xdr:colOff>212911</xdr:colOff>
      <xdr:row>345</xdr:row>
      <xdr:rowOff>89647</xdr:rowOff>
    </xdr:from>
    <xdr:to>
      <xdr:col>7</xdr:col>
      <xdr:colOff>392383</xdr:colOff>
      <xdr:row>362</xdr:row>
      <xdr:rowOff>156810</xdr:rowOff>
    </xdr:to>
    <xdr:grpSp>
      <xdr:nvGrpSpPr>
        <xdr:cNvPr id="4" name="Group 3">
          <a:extLst>
            <a:ext uri="{FF2B5EF4-FFF2-40B4-BE49-F238E27FC236}">
              <a16:creationId xmlns:a16="http://schemas.microsoft.com/office/drawing/2014/main" id="{80998DD0-FB94-4C16-92A7-FFA1425A169A}"/>
            </a:ext>
          </a:extLst>
        </xdr:cNvPr>
        <xdr:cNvGrpSpPr/>
      </xdr:nvGrpSpPr>
      <xdr:grpSpPr>
        <a:xfrm>
          <a:off x="212911" y="65659747"/>
          <a:ext cx="6034172" cy="3413613"/>
          <a:chOff x="-4110060" y="284061"/>
          <a:chExt cx="8478433" cy="3496163"/>
        </a:xfrm>
      </xdr:grpSpPr>
      <xdr:sp macro="" textlink="">
        <xdr:nvSpPr>
          <xdr:cNvPr id="6" name="TextBox 4">
            <a:extLst>
              <a:ext uri="{FF2B5EF4-FFF2-40B4-BE49-F238E27FC236}">
                <a16:creationId xmlns:a16="http://schemas.microsoft.com/office/drawing/2014/main" id="{9B20ED81-B7AE-4B43-9112-68B4731F74D7}"/>
              </a:ext>
            </a:extLst>
          </xdr:cNvPr>
          <xdr:cNvSpPr txBox="1"/>
        </xdr:nvSpPr>
        <xdr:spPr>
          <a:xfrm>
            <a:off x="723900" y="2628900"/>
            <a:ext cx="1697772" cy="369332"/>
          </a:xfrm>
          <a:prstGeom prst="rect">
            <a:avLst/>
          </a:prstGeom>
          <a:no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a:t>Mesacon Crown</a:t>
            </a:r>
          </a:p>
        </xdr:txBody>
      </xdr:sp>
      <xdr:pic>
        <xdr:nvPicPr>
          <xdr:cNvPr id="7" name="Picture 6">
            <a:extLst>
              <a:ext uri="{FF2B5EF4-FFF2-40B4-BE49-F238E27FC236}">
                <a16:creationId xmlns:a16="http://schemas.microsoft.com/office/drawing/2014/main" id="{3FE7FD6F-3CD8-45DE-AC05-4C11341538F7}"/>
              </a:ext>
            </a:extLst>
          </xdr:cNvPr>
          <xdr:cNvPicPr>
            <a:picLocks noChangeAspect="1"/>
          </xdr:cNvPicPr>
        </xdr:nvPicPr>
        <xdr:blipFill>
          <a:blip xmlns:r="http://schemas.openxmlformats.org/officeDocument/2006/relationships" r:embed="rId3"/>
          <a:stretch>
            <a:fillRect/>
          </a:stretch>
        </xdr:blipFill>
        <xdr:spPr>
          <a:xfrm>
            <a:off x="-4110060" y="284061"/>
            <a:ext cx="8478433" cy="3496163"/>
          </a:xfrm>
          <a:prstGeom prst="rect">
            <a:avLst/>
          </a:prstGeom>
          <a:ln>
            <a:solidFill>
              <a:schemeClr val="tx1"/>
            </a:solidFill>
          </a:ln>
        </xdr:spPr>
      </xdr:pic>
      <xdr:sp macro="" textlink="">
        <xdr:nvSpPr>
          <xdr:cNvPr id="8" name="Rectangle 7">
            <a:extLst>
              <a:ext uri="{FF2B5EF4-FFF2-40B4-BE49-F238E27FC236}">
                <a16:creationId xmlns:a16="http://schemas.microsoft.com/office/drawing/2014/main" id="{E3721BA5-3B75-44A0-983B-E41ECC621CEB}"/>
              </a:ext>
            </a:extLst>
          </xdr:cNvPr>
          <xdr:cNvSpPr/>
        </xdr:nvSpPr>
        <xdr:spPr>
          <a:xfrm>
            <a:off x="-2245743" y="1165055"/>
            <a:ext cx="2101850" cy="1581150"/>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Rectangle 8">
            <a:extLst>
              <a:ext uri="{FF2B5EF4-FFF2-40B4-BE49-F238E27FC236}">
                <a16:creationId xmlns:a16="http://schemas.microsoft.com/office/drawing/2014/main" id="{11E627F5-145B-42D3-97EE-793281B7064A}"/>
              </a:ext>
            </a:extLst>
          </xdr:cNvPr>
          <xdr:cNvSpPr/>
        </xdr:nvSpPr>
        <xdr:spPr>
          <a:xfrm>
            <a:off x="-143893" y="1144418"/>
            <a:ext cx="2603500" cy="1581150"/>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9">
            <a:extLst>
              <a:ext uri="{FF2B5EF4-FFF2-40B4-BE49-F238E27FC236}">
                <a16:creationId xmlns:a16="http://schemas.microsoft.com/office/drawing/2014/main" id="{EDF437AE-75FF-4DFF-BBB9-EF1465BC247C}"/>
              </a:ext>
            </a:extLst>
          </xdr:cNvPr>
          <xdr:cNvSpPr txBox="1"/>
        </xdr:nvSpPr>
        <xdr:spPr>
          <a:xfrm>
            <a:off x="543959" y="2830574"/>
            <a:ext cx="1481936" cy="374141"/>
          </a:xfrm>
          <a:prstGeom prst="rect">
            <a:avLst/>
          </a:prstGeom>
          <a:solidFill>
            <a:schemeClr val="bg1">
              <a:lumMod val="95000"/>
            </a:schemeClr>
          </a:solid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sp macro="" textlink="">
        <xdr:nvSpPr>
          <xdr:cNvPr id="11" name="TextBox 12">
            <a:extLst>
              <a:ext uri="{FF2B5EF4-FFF2-40B4-BE49-F238E27FC236}">
                <a16:creationId xmlns:a16="http://schemas.microsoft.com/office/drawing/2014/main" id="{70A9818E-7850-4B98-B59D-A59F8810C42D}"/>
              </a:ext>
            </a:extLst>
          </xdr:cNvPr>
          <xdr:cNvSpPr txBox="1"/>
        </xdr:nvSpPr>
        <xdr:spPr>
          <a:xfrm>
            <a:off x="-1854699" y="2801549"/>
            <a:ext cx="1373431" cy="374141"/>
          </a:xfrm>
          <a:prstGeom prst="rect">
            <a:avLst/>
          </a:prstGeom>
          <a:solidFill>
            <a:schemeClr val="bg1">
              <a:lumMod val="95000"/>
            </a:schemeClr>
          </a:solid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clientData/>
  </xdr:twoCellAnchor>
  <xdr:twoCellAnchor editAs="oneCell">
    <xdr:from>
      <xdr:col>1</xdr:col>
      <xdr:colOff>772901</xdr:colOff>
      <xdr:row>363</xdr:row>
      <xdr:rowOff>200781</xdr:rowOff>
    </xdr:from>
    <xdr:to>
      <xdr:col>5</xdr:col>
      <xdr:colOff>270715</xdr:colOff>
      <xdr:row>383</xdr:row>
      <xdr:rowOff>101037</xdr:rowOff>
    </xdr:to>
    <xdr:pic>
      <xdr:nvPicPr>
        <xdr:cNvPr id="5" name="Picture 4">
          <a:extLst>
            <a:ext uri="{FF2B5EF4-FFF2-40B4-BE49-F238E27FC236}">
              <a16:creationId xmlns:a16="http://schemas.microsoft.com/office/drawing/2014/main" id="{EA26D9B8-5198-437B-9BD5-91647898B254}"/>
            </a:ext>
          </a:extLst>
        </xdr:cNvPr>
        <xdr:cNvPicPr>
          <a:picLocks noChangeAspect="1"/>
        </xdr:cNvPicPr>
      </xdr:nvPicPr>
      <xdr:blipFill>
        <a:blip xmlns:r="http://schemas.openxmlformats.org/officeDocument/2006/relationships" r:embed="rId4"/>
        <a:stretch>
          <a:fillRect/>
        </a:stretch>
      </xdr:blipFill>
      <xdr:spPr>
        <a:xfrm>
          <a:off x="1534901" y="76837810"/>
          <a:ext cx="2848373" cy="3934374"/>
        </a:xfrm>
        <a:prstGeom prst="rect">
          <a:avLst/>
        </a:prstGeom>
        <a:ln>
          <a:solidFill>
            <a:schemeClr val="tx1"/>
          </a:solidFill>
        </a:ln>
      </xdr:spPr>
    </xdr:pic>
    <xdr:clientData/>
  </xdr:twoCellAnchor>
  <xdr:twoCellAnchor editAs="oneCell">
    <xdr:from>
      <xdr:col>1</xdr:col>
      <xdr:colOff>641207</xdr:colOff>
      <xdr:row>389</xdr:row>
      <xdr:rowOff>11207</xdr:rowOff>
    </xdr:from>
    <xdr:to>
      <xdr:col>6</xdr:col>
      <xdr:colOff>151060</xdr:colOff>
      <xdr:row>409</xdr:row>
      <xdr:rowOff>42259</xdr:rowOff>
    </xdr:to>
    <xdr:pic>
      <xdr:nvPicPr>
        <xdr:cNvPr id="12" name="Picture 11">
          <a:extLst>
            <a:ext uri="{FF2B5EF4-FFF2-40B4-BE49-F238E27FC236}">
              <a16:creationId xmlns:a16="http://schemas.microsoft.com/office/drawing/2014/main" id="{2A07A627-60A5-4A23-BBE5-985972E56D9A}"/>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403207" y="82094295"/>
          <a:ext cx="3600000" cy="4065169"/>
        </a:xfrm>
        <a:prstGeom prst="rect">
          <a:avLst/>
        </a:prstGeom>
        <a:ln>
          <a:solidFill>
            <a:schemeClr val="tx1"/>
          </a:solidFill>
        </a:ln>
      </xdr:spPr>
    </xdr:pic>
    <xdr:clientData/>
  </xdr:twoCellAnchor>
  <xdr:twoCellAnchor>
    <xdr:from>
      <xdr:col>1</xdr:col>
      <xdr:colOff>11207</xdr:colOff>
      <xdr:row>410</xdr:row>
      <xdr:rowOff>160729</xdr:rowOff>
    </xdr:from>
    <xdr:to>
      <xdr:col>7</xdr:col>
      <xdr:colOff>52678</xdr:colOff>
      <xdr:row>429</xdr:row>
      <xdr:rowOff>42351</xdr:rowOff>
    </xdr:to>
    <xdr:grpSp>
      <xdr:nvGrpSpPr>
        <xdr:cNvPr id="13" name="Group 12">
          <a:extLst>
            <a:ext uri="{FF2B5EF4-FFF2-40B4-BE49-F238E27FC236}">
              <a16:creationId xmlns:a16="http://schemas.microsoft.com/office/drawing/2014/main" id="{2E8F3F06-FE97-4E9D-A292-4E787F3AE270}"/>
            </a:ext>
          </a:extLst>
        </xdr:cNvPr>
        <xdr:cNvGrpSpPr/>
      </xdr:nvGrpSpPr>
      <xdr:grpSpPr>
        <a:xfrm>
          <a:off x="811307" y="78526079"/>
          <a:ext cx="5096071" cy="3621772"/>
          <a:chOff x="1885743" y="5457786"/>
          <a:chExt cx="4860000" cy="3714034"/>
        </a:xfrm>
      </xdr:grpSpPr>
      <xdr:pic>
        <xdr:nvPicPr>
          <xdr:cNvPr id="14" name="Picture 13">
            <a:extLst>
              <a:ext uri="{FF2B5EF4-FFF2-40B4-BE49-F238E27FC236}">
                <a16:creationId xmlns:a16="http://schemas.microsoft.com/office/drawing/2014/main" id="{BB8F8FD1-31E9-4D2A-8151-09A7D30E72BA}"/>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885743" y="5457786"/>
            <a:ext cx="4860000" cy="3714034"/>
          </a:xfrm>
          <a:prstGeom prst="rect">
            <a:avLst/>
          </a:prstGeom>
          <a:ln>
            <a:solidFill>
              <a:schemeClr val="tx1"/>
            </a:solidFill>
          </a:ln>
        </xdr:spPr>
      </xdr:pic>
      <xdr:sp macro="" textlink="">
        <xdr:nvSpPr>
          <xdr:cNvPr id="15" name="Rectangle 14">
            <a:extLst>
              <a:ext uri="{FF2B5EF4-FFF2-40B4-BE49-F238E27FC236}">
                <a16:creationId xmlns:a16="http://schemas.microsoft.com/office/drawing/2014/main" id="{B42BC234-A97A-4C1E-AD25-F36E06DF3398}"/>
              </a:ext>
            </a:extLst>
          </xdr:cNvPr>
          <xdr:cNvSpPr/>
        </xdr:nvSpPr>
        <xdr:spPr>
          <a:xfrm rot="2161394">
            <a:off x="4010479" y="7079701"/>
            <a:ext cx="748738" cy="3937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p>
          <a:p>
            <a:pPr algn="ctr"/>
            <a:endParaRPr lang="en-IN"/>
          </a:p>
          <a:p>
            <a:pPr algn="ctr"/>
            <a:r>
              <a:rPr lang="en-IN"/>
              <a:t> </a:t>
            </a:r>
          </a:p>
        </xdr:txBody>
      </xdr:sp>
    </xdr:grpSp>
    <xdr:clientData/>
  </xdr:twoCellAnchor>
  <xdr:twoCellAnchor editAs="oneCell">
    <xdr:from>
      <xdr:col>8</xdr:col>
      <xdr:colOff>78441</xdr:colOff>
      <xdr:row>46</xdr:row>
      <xdr:rowOff>78441</xdr:rowOff>
    </xdr:from>
    <xdr:to>
      <xdr:col>13</xdr:col>
      <xdr:colOff>185735</xdr:colOff>
      <xdr:row>50</xdr:row>
      <xdr:rowOff>355614</xdr:rowOff>
    </xdr:to>
    <xdr:pic>
      <xdr:nvPicPr>
        <xdr:cNvPr id="23" name="Picture 22"/>
        <xdr:cNvPicPr>
          <a:picLocks noChangeAspect="1"/>
        </xdr:cNvPicPr>
      </xdr:nvPicPr>
      <xdr:blipFill>
        <a:blip xmlns:r="http://schemas.openxmlformats.org/officeDocument/2006/relationships" r:embed="rId7"/>
        <a:stretch>
          <a:fillRect/>
        </a:stretch>
      </xdr:blipFill>
      <xdr:spPr>
        <a:xfrm>
          <a:off x="6387353" y="11161059"/>
          <a:ext cx="4500000" cy="1509820"/>
        </a:xfrm>
        <a:prstGeom prst="rect">
          <a:avLst/>
        </a:prstGeom>
        <a:ln>
          <a:solidFill>
            <a:schemeClr val="tx1"/>
          </a:solidFill>
        </a:ln>
      </xdr:spPr>
    </xdr:pic>
    <xdr:clientData/>
  </xdr:twoCellAnchor>
  <xdr:twoCellAnchor editAs="oneCell">
    <xdr:from>
      <xdr:col>8</xdr:col>
      <xdr:colOff>112058</xdr:colOff>
      <xdr:row>52</xdr:row>
      <xdr:rowOff>78440</xdr:rowOff>
    </xdr:from>
    <xdr:to>
      <xdr:col>15</xdr:col>
      <xdr:colOff>12088</xdr:colOff>
      <xdr:row>59</xdr:row>
      <xdr:rowOff>186052</xdr:rowOff>
    </xdr:to>
    <xdr:pic>
      <xdr:nvPicPr>
        <xdr:cNvPr id="24" name="Picture 23"/>
        <xdr:cNvPicPr>
          <a:picLocks noChangeAspect="1"/>
        </xdr:cNvPicPr>
      </xdr:nvPicPr>
      <xdr:blipFill>
        <a:blip xmlns:r="http://schemas.openxmlformats.org/officeDocument/2006/relationships" r:embed="rId8"/>
        <a:stretch>
          <a:fillRect/>
        </a:stretch>
      </xdr:blipFill>
      <xdr:spPr>
        <a:xfrm>
          <a:off x="6420970" y="13200528"/>
          <a:ext cx="5940000" cy="2012612"/>
        </a:xfrm>
        <a:prstGeom prst="rect">
          <a:avLst/>
        </a:prstGeom>
        <a:ln>
          <a:solidFill>
            <a:schemeClr val="tx1"/>
          </a:solidFill>
        </a:ln>
      </xdr:spPr>
    </xdr:pic>
    <xdr:clientData/>
  </xdr:twoCellAnchor>
  <xdr:twoCellAnchor editAs="oneCell">
    <xdr:from>
      <xdr:col>8</xdr:col>
      <xdr:colOff>72329</xdr:colOff>
      <xdr:row>62</xdr:row>
      <xdr:rowOff>63161</xdr:rowOff>
    </xdr:from>
    <xdr:to>
      <xdr:col>13</xdr:col>
      <xdr:colOff>190829</xdr:colOff>
      <xdr:row>69</xdr:row>
      <xdr:rowOff>113096</xdr:rowOff>
    </xdr:to>
    <xdr:pic>
      <xdr:nvPicPr>
        <xdr:cNvPr id="25" name="Picture 24"/>
        <xdr:cNvPicPr>
          <a:picLocks noChangeAspect="1"/>
        </xdr:cNvPicPr>
      </xdr:nvPicPr>
      <xdr:blipFill>
        <a:blip xmlns:r="http://schemas.openxmlformats.org/officeDocument/2006/relationships" r:embed="rId9"/>
        <a:stretch>
          <a:fillRect/>
        </a:stretch>
      </xdr:blipFill>
      <xdr:spPr>
        <a:xfrm>
          <a:off x="6381241" y="18071014"/>
          <a:ext cx="4511206" cy="1495494"/>
        </a:xfrm>
        <a:prstGeom prst="rect">
          <a:avLst/>
        </a:prstGeom>
        <a:ln>
          <a:solidFill>
            <a:schemeClr val="tx1"/>
          </a:solidFill>
        </a:ln>
      </xdr:spPr>
    </xdr:pic>
    <xdr:clientData/>
  </xdr:twoCellAnchor>
  <xdr:twoCellAnchor editAs="oneCell">
    <xdr:from>
      <xdr:col>8</xdr:col>
      <xdr:colOff>86591</xdr:colOff>
      <xdr:row>52</xdr:row>
      <xdr:rowOff>2372591</xdr:rowOff>
    </xdr:from>
    <xdr:to>
      <xdr:col>13</xdr:col>
      <xdr:colOff>205091</xdr:colOff>
      <xdr:row>63</xdr:row>
      <xdr:rowOff>339538</xdr:rowOff>
    </xdr:to>
    <xdr:pic>
      <xdr:nvPicPr>
        <xdr:cNvPr id="26" name="Picture 25"/>
        <xdr:cNvPicPr>
          <a:picLocks noChangeAspect="1"/>
        </xdr:cNvPicPr>
      </xdr:nvPicPr>
      <xdr:blipFill>
        <a:blip xmlns:r="http://schemas.openxmlformats.org/officeDocument/2006/relationships" r:embed="rId10"/>
        <a:stretch>
          <a:fillRect/>
        </a:stretch>
      </xdr:blipFill>
      <xdr:spPr>
        <a:xfrm>
          <a:off x="6390409" y="15672955"/>
          <a:ext cx="4500000" cy="2454545"/>
        </a:xfrm>
        <a:prstGeom prst="rect">
          <a:avLst/>
        </a:prstGeom>
        <a:ln>
          <a:solidFill>
            <a:schemeClr val="tx1"/>
          </a:solidFill>
        </a:ln>
      </xdr:spPr>
    </xdr:pic>
    <xdr:clientData/>
  </xdr:twoCellAnchor>
  <xdr:twoCellAnchor>
    <xdr:from>
      <xdr:col>0</xdr:col>
      <xdr:colOff>254000</xdr:colOff>
      <xdr:row>302</xdr:row>
      <xdr:rowOff>63500</xdr:rowOff>
    </xdr:from>
    <xdr:to>
      <xdr:col>7</xdr:col>
      <xdr:colOff>473718</xdr:colOff>
      <xdr:row>343</xdr:row>
      <xdr:rowOff>100646</xdr:rowOff>
    </xdr:to>
    <xdr:grpSp>
      <xdr:nvGrpSpPr>
        <xdr:cNvPr id="17" name="Group 16"/>
        <xdr:cNvGrpSpPr/>
      </xdr:nvGrpSpPr>
      <xdr:grpSpPr>
        <a:xfrm>
          <a:off x="254000" y="57175400"/>
          <a:ext cx="6074418" cy="8101646"/>
          <a:chOff x="254000" y="57194450"/>
          <a:chExt cx="6074418" cy="8101646"/>
        </a:xfrm>
      </xdr:grpSpPr>
      <xdr:pic>
        <xdr:nvPicPr>
          <xdr:cNvPr id="28" name="Picture 2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073988" y="63496096"/>
            <a:ext cx="2396667" cy="180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4000" y="57194450"/>
            <a:ext cx="2965875" cy="39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62543" y="57194450"/>
            <a:ext cx="2965875" cy="39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463447" y="61245273"/>
            <a:ext cx="1617750"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213606" y="61245273"/>
            <a:ext cx="1617750" cy="216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713288" y="61245273"/>
            <a:ext cx="161775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esacongroup.com/project/mesacon-crown/" TargetMode="External"/><Relationship Id="rId1" Type="http://schemas.openxmlformats.org/officeDocument/2006/relationships/hyperlink" Target="https://maps.app.goo.gl/3yiHvRnGTxv81sC2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8"/>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8" customWidth="1"/>
    <col min="2" max="2" width="12" style="38" customWidth="1"/>
    <col min="3" max="3" width="12.7265625" style="38" customWidth="1"/>
    <col min="4" max="4" width="13.7265625" style="38" customWidth="1"/>
    <col min="5" max="5" width="11.7265625" style="38" customWidth="1"/>
    <col min="6" max="6" width="11.1796875" style="38" customWidth="1"/>
    <col min="7" max="8" width="11" style="38" customWidth="1"/>
    <col min="9" max="9" width="17.453125" style="19" customWidth="1"/>
    <col min="10" max="10" width="11.453125" style="19" customWidth="1"/>
    <col min="11" max="11" width="11.26953125" style="19" bestFit="1" customWidth="1"/>
    <col min="12" max="12" width="13.81640625" style="19" bestFit="1" customWidth="1"/>
    <col min="13" max="13" width="11.81640625" style="19" customWidth="1"/>
    <col min="14" max="14" width="12.54296875" style="19" customWidth="1"/>
    <col min="15" max="15" width="12.1796875" style="19" customWidth="1"/>
    <col min="16" max="16" width="11.7265625" style="19" customWidth="1"/>
    <col min="17" max="18" width="9.1796875" style="19"/>
    <col min="19" max="19" width="10.81640625" style="19" bestFit="1" customWidth="1"/>
    <col min="20" max="20" width="10.7265625" style="19" customWidth="1"/>
    <col min="21" max="247" width="9.1796875" style="19"/>
    <col min="248" max="248" width="8.7265625" style="19" customWidth="1"/>
    <col min="249" max="249" width="9.81640625" style="19" customWidth="1"/>
    <col min="250" max="250" width="14.453125" style="19" customWidth="1"/>
    <col min="251" max="251" width="7.26953125" style="19" customWidth="1"/>
    <col min="252" max="252" width="5.54296875" style="19" customWidth="1"/>
    <col min="253" max="253" width="9" style="19" customWidth="1"/>
    <col min="254" max="255" width="9.81640625" style="19" customWidth="1"/>
    <col min="256" max="256" width="11.1796875" style="19" customWidth="1"/>
    <col min="257" max="257" width="2.81640625" style="19" customWidth="1"/>
    <col min="258" max="258" width="3.54296875" style="19" customWidth="1"/>
    <col min="259" max="503" width="9.1796875" style="19"/>
    <col min="504" max="504" width="8.7265625" style="19" customWidth="1"/>
    <col min="505" max="505" width="9.81640625" style="19" customWidth="1"/>
    <col min="506" max="506" width="14.453125" style="19" customWidth="1"/>
    <col min="507" max="507" width="7.26953125" style="19" customWidth="1"/>
    <col min="508" max="508" width="5.54296875" style="19" customWidth="1"/>
    <col min="509" max="509" width="9" style="19" customWidth="1"/>
    <col min="510" max="511" width="9.81640625" style="19" customWidth="1"/>
    <col min="512" max="512" width="11.1796875" style="19" customWidth="1"/>
    <col min="513" max="513" width="2.81640625" style="19" customWidth="1"/>
    <col min="514" max="514" width="3.54296875" style="19" customWidth="1"/>
    <col min="515" max="759" width="9.1796875" style="19"/>
    <col min="760" max="760" width="8.7265625" style="19" customWidth="1"/>
    <col min="761" max="761" width="9.81640625" style="19" customWidth="1"/>
    <col min="762" max="762" width="14.453125" style="19" customWidth="1"/>
    <col min="763" max="763" width="7.26953125" style="19" customWidth="1"/>
    <col min="764" max="764" width="5.54296875" style="19" customWidth="1"/>
    <col min="765" max="765" width="9" style="19" customWidth="1"/>
    <col min="766" max="767" width="9.81640625" style="19" customWidth="1"/>
    <col min="768" max="768" width="11.1796875" style="19" customWidth="1"/>
    <col min="769" max="769" width="2.81640625" style="19" customWidth="1"/>
    <col min="770" max="770" width="3.54296875" style="19" customWidth="1"/>
    <col min="771" max="1015" width="9.1796875" style="19"/>
    <col min="1016" max="1016" width="8.7265625" style="19" customWidth="1"/>
    <col min="1017" max="1017" width="9.81640625" style="19" customWidth="1"/>
    <col min="1018" max="1018" width="14.453125" style="19" customWidth="1"/>
    <col min="1019" max="1019" width="7.26953125" style="19" customWidth="1"/>
    <col min="1020" max="1020" width="5.54296875" style="19" customWidth="1"/>
    <col min="1021" max="1021" width="9" style="19" customWidth="1"/>
    <col min="1022" max="1023" width="9.81640625" style="19" customWidth="1"/>
    <col min="1024" max="1024" width="11.1796875" style="19" customWidth="1"/>
    <col min="1025" max="1025" width="2.81640625" style="19" customWidth="1"/>
    <col min="1026" max="1026" width="3.54296875" style="19" customWidth="1"/>
    <col min="1027" max="1271" width="9.1796875" style="19"/>
    <col min="1272" max="1272" width="8.7265625" style="19" customWidth="1"/>
    <col min="1273" max="1273" width="9.81640625" style="19" customWidth="1"/>
    <col min="1274" max="1274" width="14.453125" style="19" customWidth="1"/>
    <col min="1275" max="1275" width="7.26953125" style="19" customWidth="1"/>
    <col min="1276" max="1276" width="5.54296875" style="19" customWidth="1"/>
    <col min="1277" max="1277" width="9" style="19" customWidth="1"/>
    <col min="1278" max="1279" width="9.81640625" style="19" customWidth="1"/>
    <col min="1280" max="1280" width="11.1796875" style="19" customWidth="1"/>
    <col min="1281" max="1281" width="2.81640625" style="19" customWidth="1"/>
    <col min="1282" max="1282" width="3.54296875" style="19" customWidth="1"/>
    <col min="1283" max="1527" width="9.1796875" style="19"/>
    <col min="1528" max="1528" width="8.7265625" style="19" customWidth="1"/>
    <col min="1529" max="1529" width="9.81640625" style="19" customWidth="1"/>
    <col min="1530" max="1530" width="14.453125" style="19" customWidth="1"/>
    <col min="1531" max="1531" width="7.26953125" style="19" customWidth="1"/>
    <col min="1532" max="1532" width="5.54296875" style="19" customWidth="1"/>
    <col min="1533" max="1533" width="9" style="19" customWidth="1"/>
    <col min="1534" max="1535" width="9.81640625" style="19" customWidth="1"/>
    <col min="1536" max="1536" width="11.1796875" style="19" customWidth="1"/>
    <col min="1537" max="1537" width="2.81640625" style="19" customWidth="1"/>
    <col min="1538" max="1538" width="3.54296875" style="19" customWidth="1"/>
    <col min="1539" max="1783" width="9.1796875" style="19"/>
    <col min="1784" max="1784" width="8.7265625" style="19" customWidth="1"/>
    <col min="1785" max="1785" width="9.81640625" style="19" customWidth="1"/>
    <col min="1786" max="1786" width="14.453125" style="19" customWidth="1"/>
    <col min="1787" max="1787" width="7.26953125" style="19" customWidth="1"/>
    <col min="1788" max="1788" width="5.54296875" style="19" customWidth="1"/>
    <col min="1789" max="1789" width="9" style="19" customWidth="1"/>
    <col min="1790" max="1791" width="9.81640625" style="19" customWidth="1"/>
    <col min="1792" max="1792" width="11.1796875" style="19" customWidth="1"/>
    <col min="1793" max="1793" width="2.81640625" style="19" customWidth="1"/>
    <col min="1794" max="1794" width="3.54296875" style="19" customWidth="1"/>
    <col min="1795" max="2039" width="9.1796875" style="19"/>
    <col min="2040" max="2040" width="8.7265625" style="19" customWidth="1"/>
    <col min="2041" max="2041" width="9.81640625" style="19" customWidth="1"/>
    <col min="2042" max="2042" width="14.453125" style="19" customWidth="1"/>
    <col min="2043" max="2043" width="7.26953125" style="19" customWidth="1"/>
    <col min="2044" max="2044" width="5.54296875" style="19" customWidth="1"/>
    <col min="2045" max="2045" width="9" style="19" customWidth="1"/>
    <col min="2046" max="2047" width="9.81640625" style="19" customWidth="1"/>
    <col min="2048" max="2048" width="11.1796875" style="19" customWidth="1"/>
    <col min="2049" max="2049" width="2.81640625" style="19" customWidth="1"/>
    <col min="2050" max="2050" width="3.54296875" style="19" customWidth="1"/>
    <col min="2051" max="2295" width="9.1796875" style="19"/>
    <col min="2296" max="2296" width="8.7265625" style="19" customWidth="1"/>
    <col min="2297" max="2297" width="9.81640625" style="19" customWidth="1"/>
    <col min="2298" max="2298" width="14.453125" style="19" customWidth="1"/>
    <col min="2299" max="2299" width="7.26953125" style="19" customWidth="1"/>
    <col min="2300" max="2300" width="5.54296875" style="19" customWidth="1"/>
    <col min="2301" max="2301" width="9" style="19" customWidth="1"/>
    <col min="2302" max="2303" width="9.81640625" style="19" customWidth="1"/>
    <col min="2304" max="2304" width="11.1796875" style="19" customWidth="1"/>
    <col min="2305" max="2305" width="2.81640625" style="19" customWidth="1"/>
    <col min="2306" max="2306" width="3.54296875" style="19" customWidth="1"/>
    <col min="2307" max="2551" width="9.1796875" style="19"/>
    <col min="2552" max="2552" width="8.7265625" style="19" customWidth="1"/>
    <col min="2553" max="2553" width="9.81640625" style="19" customWidth="1"/>
    <col min="2554" max="2554" width="14.453125" style="19" customWidth="1"/>
    <col min="2555" max="2555" width="7.26953125" style="19" customWidth="1"/>
    <col min="2556" max="2556" width="5.54296875" style="19" customWidth="1"/>
    <col min="2557" max="2557" width="9" style="19" customWidth="1"/>
    <col min="2558" max="2559" width="9.81640625" style="19" customWidth="1"/>
    <col min="2560" max="2560" width="11.1796875" style="19" customWidth="1"/>
    <col min="2561" max="2561" width="2.81640625" style="19" customWidth="1"/>
    <col min="2562" max="2562" width="3.54296875" style="19" customWidth="1"/>
    <col min="2563" max="2807" width="9.1796875" style="19"/>
    <col min="2808" max="2808" width="8.7265625" style="19" customWidth="1"/>
    <col min="2809" max="2809" width="9.81640625" style="19" customWidth="1"/>
    <col min="2810" max="2810" width="14.453125" style="19" customWidth="1"/>
    <col min="2811" max="2811" width="7.26953125" style="19" customWidth="1"/>
    <col min="2812" max="2812" width="5.54296875" style="19" customWidth="1"/>
    <col min="2813" max="2813" width="9" style="19" customWidth="1"/>
    <col min="2814" max="2815" width="9.81640625" style="19" customWidth="1"/>
    <col min="2816" max="2816" width="11.1796875" style="19" customWidth="1"/>
    <col min="2817" max="2817" width="2.81640625" style="19" customWidth="1"/>
    <col min="2818" max="2818" width="3.54296875" style="19" customWidth="1"/>
    <col min="2819" max="3063" width="9.1796875" style="19"/>
    <col min="3064" max="3064" width="8.7265625" style="19" customWidth="1"/>
    <col min="3065" max="3065" width="9.81640625" style="19" customWidth="1"/>
    <col min="3066" max="3066" width="14.453125" style="19" customWidth="1"/>
    <col min="3067" max="3067" width="7.26953125" style="19" customWidth="1"/>
    <col min="3068" max="3068" width="5.54296875" style="19" customWidth="1"/>
    <col min="3069" max="3069" width="9" style="19" customWidth="1"/>
    <col min="3070" max="3071" width="9.81640625" style="19" customWidth="1"/>
    <col min="3072" max="3072" width="11.1796875" style="19" customWidth="1"/>
    <col min="3073" max="3073" width="2.81640625" style="19" customWidth="1"/>
    <col min="3074" max="3074" width="3.54296875" style="19" customWidth="1"/>
    <col min="3075" max="3319" width="9.1796875" style="19"/>
    <col min="3320" max="3320" width="8.7265625" style="19" customWidth="1"/>
    <col min="3321" max="3321" width="9.81640625" style="19" customWidth="1"/>
    <col min="3322" max="3322" width="14.453125" style="19" customWidth="1"/>
    <col min="3323" max="3323" width="7.26953125" style="19" customWidth="1"/>
    <col min="3324" max="3324" width="5.54296875" style="19" customWidth="1"/>
    <col min="3325" max="3325" width="9" style="19" customWidth="1"/>
    <col min="3326" max="3327" width="9.81640625" style="19" customWidth="1"/>
    <col min="3328" max="3328" width="11.1796875" style="19" customWidth="1"/>
    <col min="3329" max="3329" width="2.81640625" style="19" customWidth="1"/>
    <col min="3330" max="3330" width="3.54296875" style="19" customWidth="1"/>
    <col min="3331" max="3575" width="9.1796875" style="19"/>
    <col min="3576" max="3576" width="8.7265625" style="19" customWidth="1"/>
    <col min="3577" max="3577" width="9.81640625" style="19" customWidth="1"/>
    <col min="3578" max="3578" width="14.453125" style="19" customWidth="1"/>
    <col min="3579" max="3579" width="7.26953125" style="19" customWidth="1"/>
    <col min="3580" max="3580" width="5.54296875" style="19" customWidth="1"/>
    <col min="3581" max="3581" width="9" style="19" customWidth="1"/>
    <col min="3582" max="3583" width="9.81640625" style="19" customWidth="1"/>
    <col min="3584" max="3584" width="11.1796875" style="19" customWidth="1"/>
    <col min="3585" max="3585" width="2.81640625" style="19" customWidth="1"/>
    <col min="3586" max="3586" width="3.54296875" style="19" customWidth="1"/>
    <col min="3587" max="3831" width="9.1796875" style="19"/>
    <col min="3832" max="3832" width="8.7265625" style="19" customWidth="1"/>
    <col min="3833" max="3833" width="9.81640625" style="19" customWidth="1"/>
    <col min="3834" max="3834" width="14.453125" style="19" customWidth="1"/>
    <col min="3835" max="3835" width="7.26953125" style="19" customWidth="1"/>
    <col min="3836" max="3836" width="5.54296875" style="19" customWidth="1"/>
    <col min="3837" max="3837" width="9" style="19" customWidth="1"/>
    <col min="3838" max="3839" width="9.81640625" style="19" customWidth="1"/>
    <col min="3840" max="3840" width="11.1796875" style="19" customWidth="1"/>
    <col min="3841" max="3841" width="2.81640625" style="19" customWidth="1"/>
    <col min="3842" max="3842" width="3.54296875" style="19" customWidth="1"/>
    <col min="3843" max="4087" width="9.1796875" style="19"/>
    <col min="4088" max="4088" width="8.7265625" style="19" customWidth="1"/>
    <col min="4089" max="4089" width="9.81640625" style="19" customWidth="1"/>
    <col min="4090" max="4090" width="14.453125" style="19" customWidth="1"/>
    <col min="4091" max="4091" width="7.26953125" style="19" customWidth="1"/>
    <col min="4092" max="4092" width="5.54296875" style="19" customWidth="1"/>
    <col min="4093" max="4093" width="9" style="19" customWidth="1"/>
    <col min="4094" max="4095" width="9.81640625" style="19" customWidth="1"/>
    <col min="4096" max="4096" width="11.1796875" style="19" customWidth="1"/>
    <col min="4097" max="4097" width="2.81640625" style="19" customWidth="1"/>
    <col min="4098" max="4098" width="3.54296875" style="19" customWidth="1"/>
    <col min="4099" max="4343" width="9.1796875" style="19"/>
    <col min="4344" max="4344" width="8.7265625" style="19" customWidth="1"/>
    <col min="4345" max="4345" width="9.81640625" style="19" customWidth="1"/>
    <col min="4346" max="4346" width="14.453125" style="19" customWidth="1"/>
    <col min="4347" max="4347" width="7.26953125" style="19" customWidth="1"/>
    <col min="4348" max="4348" width="5.54296875" style="19" customWidth="1"/>
    <col min="4349" max="4349" width="9" style="19" customWidth="1"/>
    <col min="4350" max="4351" width="9.81640625" style="19" customWidth="1"/>
    <col min="4352" max="4352" width="11.1796875" style="19" customWidth="1"/>
    <col min="4353" max="4353" width="2.81640625" style="19" customWidth="1"/>
    <col min="4354" max="4354" width="3.54296875" style="19" customWidth="1"/>
    <col min="4355" max="4599" width="9.1796875" style="19"/>
    <col min="4600" max="4600" width="8.7265625" style="19" customWidth="1"/>
    <col min="4601" max="4601" width="9.81640625" style="19" customWidth="1"/>
    <col min="4602" max="4602" width="14.453125" style="19" customWidth="1"/>
    <col min="4603" max="4603" width="7.26953125" style="19" customWidth="1"/>
    <col min="4604" max="4604" width="5.54296875" style="19" customWidth="1"/>
    <col min="4605" max="4605" width="9" style="19" customWidth="1"/>
    <col min="4606" max="4607" width="9.81640625" style="19" customWidth="1"/>
    <col min="4608" max="4608" width="11.1796875" style="19" customWidth="1"/>
    <col min="4609" max="4609" width="2.81640625" style="19" customWidth="1"/>
    <col min="4610" max="4610" width="3.54296875" style="19" customWidth="1"/>
    <col min="4611" max="4855" width="9.1796875" style="19"/>
    <col min="4856" max="4856" width="8.7265625" style="19" customWidth="1"/>
    <col min="4857" max="4857" width="9.81640625" style="19" customWidth="1"/>
    <col min="4858" max="4858" width="14.453125" style="19" customWidth="1"/>
    <col min="4859" max="4859" width="7.26953125" style="19" customWidth="1"/>
    <col min="4860" max="4860" width="5.54296875" style="19" customWidth="1"/>
    <col min="4861" max="4861" width="9" style="19" customWidth="1"/>
    <col min="4862" max="4863" width="9.81640625" style="19" customWidth="1"/>
    <col min="4864" max="4864" width="11.1796875" style="19" customWidth="1"/>
    <col min="4865" max="4865" width="2.81640625" style="19" customWidth="1"/>
    <col min="4866" max="4866" width="3.54296875" style="19" customWidth="1"/>
    <col min="4867" max="5111" width="9.1796875" style="19"/>
    <col min="5112" max="5112" width="8.7265625" style="19" customWidth="1"/>
    <col min="5113" max="5113" width="9.81640625" style="19" customWidth="1"/>
    <col min="5114" max="5114" width="14.453125" style="19" customWidth="1"/>
    <col min="5115" max="5115" width="7.26953125" style="19" customWidth="1"/>
    <col min="5116" max="5116" width="5.54296875" style="19" customWidth="1"/>
    <col min="5117" max="5117" width="9" style="19" customWidth="1"/>
    <col min="5118" max="5119" width="9.81640625" style="19" customWidth="1"/>
    <col min="5120" max="5120" width="11.1796875" style="19" customWidth="1"/>
    <col min="5121" max="5121" width="2.81640625" style="19" customWidth="1"/>
    <col min="5122" max="5122" width="3.54296875" style="19" customWidth="1"/>
    <col min="5123" max="5367" width="9.1796875" style="19"/>
    <col min="5368" max="5368" width="8.7265625" style="19" customWidth="1"/>
    <col min="5369" max="5369" width="9.81640625" style="19" customWidth="1"/>
    <col min="5370" max="5370" width="14.453125" style="19" customWidth="1"/>
    <col min="5371" max="5371" width="7.26953125" style="19" customWidth="1"/>
    <col min="5372" max="5372" width="5.54296875" style="19" customWidth="1"/>
    <col min="5373" max="5373" width="9" style="19" customWidth="1"/>
    <col min="5374" max="5375" width="9.81640625" style="19" customWidth="1"/>
    <col min="5376" max="5376" width="11.1796875" style="19" customWidth="1"/>
    <col min="5377" max="5377" width="2.81640625" style="19" customWidth="1"/>
    <col min="5378" max="5378" width="3.54296875" style="19" customWidth="1"/>
    <col min="5379" max="5623" width="9.1796875" style="19"/>
    <col min="5624" max="5624" width="8.7265625" style="19" customWidth="1"/>
    <col min="5625" max="5625" width="9.81640625" style="19" customWidth="1"/>
    <col min="5626" max="5626" width="14.453125" style="19" customWidth="1"/>
    <col min="5627" max="5627" width="7.26953125" style="19" customWidth="1"/>
    <col min="5628" max="5628" width="5.54296875" style="19" customWidth="1"/>
    <col min="5629" max="5629" width="9" style="19" customWidth="1"/>
    <col min="5630" max="5631" width="9.81640625" style="19" customWidth="1"/>
    <col min="5632" max="5632" width="11.1796875" style="19" customWidth="1"/>
    <col min="5633" max="5633" width="2.81640625" style="19" customWidth="1"/>
    <col min="5634" max="5634" width="3.54296875" style="19" customWidth="1"/>
    <col min="5635" max="5879" width="9.1796875" style="19"/>
    <col min="5880" max="5880" width="8.7265625" style="19" customWidth="1"/>
    <col min="5881" max="5881" width="9.81640625" style="19" customWidth="1"/>
    <col min="5882" max="5882" width="14.453125" style="19" customWidth="1"/>
    <col min="5883" max="5883" width="7.26953125" style="19" customWidth="1"/>
    <col min="5884" max="5884" width="5.54296875" style="19" customWidth="1"/>
    <col min="5885" max="5885" width="9" style="19" customWidth="1"/>
    <col min="5886" max="5887" width="9.81640625" style="19" customWidth="1"/>
    <col min="5888" max="5888" width="11.1796875" style="19" customWidth="1"/>
    <col min="5889" max="5889" width="2.81640625" style="19" customWidth="1"/>
    <col min="5890" max="5890" width="3.54296875" style="19" customWidth="1"/>
    <col min="5891" max="6135" width="9.1796875" style="19"/>
    <col min="6136" max="6136" width="8.7265625" style="19" customWidth="1"/>
    <col min="6137" max="6137" width="9.81640625" style="19" customWidth="1"/>
    <col min="6138" max="6138" width="14.453125" style="19" customWidth="1"/>
    <col min="6139" max="6139" width="7.26953125" style="19" customWidth="1"/>
    <col min="6140" max="6140" width="5.54296875" style="19" customWidth="1"/>
    <col min="6141" max="6141" width="9" style="19" customWidth="1"/>
    <col min="6142" max="6143" width="9.81640625" style="19" customWidth="1"/>
    <col min="6144" max="6144" width="11.1796875" style="19" customWidth="1"/>
    <col min="6145" max="6145" width="2.81640625" style="19" customWidth="1"/>
    <col min="6146" max="6146" width="3.54296875" style="19" customWidth="1"/>
    <col min="6147" max="6391" width="9.1796875" style="19"/>
    <col min="6392" max="6392" width="8.7265625" style="19" customWidth="1"/>
    <col min="6393" max="6393" width="9.81640625" style="19" customWidth="1"/>
    <col min="6394" max="6394" width="14.453125" style="19" customWidth="1"/>
    <col min="6395" max="6395" width="7.26953125" style="19" customWidth="1"/>
    <col min="6396" max="6396" width="5.54296875" style="19" customWidth="1"/>
    <col min="6397" max="6397" width="9" style="19" customWidth="1"/>
    <col min="6398" max="6399" width="9.81640625" style="19" customWidth="1"/>
    <col min="6400" max="6400" width="11.1796875" style="19" customWidth="1"/>
    <col min="6401" max="6401" width="2.81640625" style="19" customWidth="1"/>
    <col min="6402" max="6402" width="3.54296875" style="19" customWidth="1"/>
    <col min="6403" max="6647" width="9.1796875" style="19"/>
    <col min="6648" max="6648" width="8.7265625" style="19" customWidth="1"/>
    <col min="6649" max="6649" width="9.81640625" style="19" customWidth="1"/>
    <col min="6650" max="6650" width="14.453125" style="19" customWidth="1"/>
    <col min="6651" max="6651" width="7.26953125" style="19" customWidth="1"/>
    <col min="6652" max="6652" width="5.54296875" style="19" customWidth="1"/>
    <col min="6653" max="6653" width="9" style="19" customWidth="1"/>
    <col min="6654" max="6655" width="9.81640625" style="19" customWidth="1"/>
    <col min="6656" max="6656" width="11.1796875" style="19" customWidth="1"/>
    <col min="6657" max="6657" width="2.81640625" style="19" customWidth="1"/>
    <col min="6658" max="6658" width="3.54296875" style="19" customWidth="1"/>
    <col min="6659" max="6903" width="9.1796875" style="19"/>
    <col min="6904" max="6904" width="8.7265625" style="19" customWidth="1"/>
    <col min="6905" max="6905" width="9.81640625" style="19" customWidth="1"/>
    <col min="6906" max="6906" width="14.453125" style="19" customWidth="1"/>
    <col min="6907" max="6907" width="7.26953125" style="19" customWidth="1"/>
    <col min="6908" max="6908" width="5.54296875" style="19" customWidth="1"/>
    <col min="6909" max="6909" width="9" style="19" customWidth="1"/>
    <col min="6910" max="6911" width="9.81640625" style="19" customWidth="1"/>
    <col min="6912" max="6912" width="11.1796875" style="19" customWidth="1"/>
    <col min="6913" max="6913" width="2.81640625" style="19" customWidth="1"/>
    <col min="6914" max="6914" width="3.54296875" style="19" customWidth="1"/>
    <col min="6915" max="7159" width="9.1796875" style="19"/>
    <col min="7160" max="7160" width="8.7265625" style="19" customWidth="1"/>
    <col min="7161" max="7161" width="9.81640625" style="19" customWidth="1"/>
    <col min="7162" max="7162" width="14.453125" style="19" customWidth="1"/>
    <col min="7163" max="7163" width="7.26953125" style="19" customWidth="1"/>
    <col min="7164" max="7164" width="5.54296875" style="19" customWidth="1"/>
    <col min="7165" max="7165" width="9" style="19" customWidth="1"/>
    <col min="7166" max="7167" width="9.81640625" style="19" customWidth="1"/>
    <col min="7168" max="7168" width="11.1796875" style="19" customWidth="1"/>
    <col min="7169" max="7169" width="2.81640625" style="19" customWidth="1"/>
    <col min="7170" max="7170" width="3.54296875" style="19" customWidth="1"/>
    <col min="7171" max="7415" width="9.1796875" style="19"/>
    <col min="7416" max="7416" width="8.7265625" style="19" customWidth="1"/>
    <col min="7417" max="7417" width="9.81640625" style="19" customWidth="1"/>
    <col min="7418" max="7418" width="14.453125" style="19" customWidth="1"/>
    <col min="7419" max="7419" width="7.26953125" style="19" customWidth="1"/>
    <col min="7420" max="7420" width="5.54296875" style="19" customWidth="1"/>
    <col min="7421" max="7421" width="9" style="19" customWidth="1"/>
    <col min="7422" max="7423" width="9.81640625" style="19" customWidth="1"/>
    <col min="7424" max="7424" width="11.1796875" style="19" customWidth="1"/>
    <col min="7425" max="7425" width="2.81640625" style="19" customWidth="1"/>
    <col min="7426" max="7426" width="3.54296875" style="19" customWidth="1"/>
    <col min="7427" max="7671" width="9.1796875" style="19"/>
    <col min="7672" max="7672" width="8.7265625" style="19" customWidth="1"/>
    <col min="7673" max="7673" width="9.81640625" style="19" customWidth="1"/>
    <col min="7674" max="7674" width="14.453125" style="19" customWidth="1"/>
    <col min="7675" max="7675" width="7.26953125" style="19" customWidth="1"/>
    <col min="7676" max="7676" width="5.54296875" style="19" customWidth="1"/>
    <col min="7677" max="7677" width="9" style="19" customWidth="1"/>
    <col min="7678" max="7679" width="9.81640625" style="19" customWidth="1"/>
    <col min="7680" max="7680" width="11.1796875" style="19" customWidth="1"/>
    <col min="7681" max="7681" width="2.81640625" style="19" customWidth="1"/>
    <col min="7682" max="7682" width="3.54296875" style="19" customWidth="1"/>
    <col min="7683" max="7927" width="9.1796875" style="19"/>
    <col min="7928" max="7928" width="8.7265625" style="19" customWidth="1"/>
    <col min="7929" max="7929" width="9.81640625" style="19" customWidth="1"/>
    <col min="7930" max="7930" width="14.453125" style="19" customWidth="1"/>
    <col min="7931" max="7931" width="7.26953125" style="19" customWidth="1"/>
    <col min="7932" max="7932" width="5.54296875" style="19" customWidth="1"/>
    <col min="7933" max="7933" width="9" style="19" customWidth="1"/>
    <col min="7934" max="7935" width="9.81640625" style="19" customWidth="1"/>
    <col min="7936" max="7936" width="11.1796875" style="19" customWidth="1"/>
    <col min="7937" max="7937" width="2.81640625" style="19" customWidth="1"/>
    <col min="7938" max="7938" width="3.54296875" style="19" customWidth="1"/>
    <col min="7939" max="8183" width="9.1796875" style="19"/>
    <col min="8184" max="8184" width="8.7265625" style="19" customWidth="1"/>
    <col min="8185" max="8185" width="9.81640625" style="19" customWidth="1"/>
    <col min="8186" max="8186" width="14.453125" style="19" customWidth="1"/>
    <col min="8187" max="8187" width="7.26953125" style="19" customWidth="1"/>
    <col min="8188" max="8188" width="5.54296875" style="19" customWidth="1"/>
    <col min="8189" max="8189" width="9" style="19" customWidth="1"/>
    <col min="8190" max="8191" width="9.81640625" style="19" customWidth="1"/>
    <col min="8192" max="8192" width="11.1796875" style="19" customWidth="1"/>
    <col min="8193" max="8193" width="2.81640625" style="19" customWidth="1"/>
    <col min="8194" max="8194" width="3.54296875" style="19" customWidth="1"/>
    <col min="8195" max="8439" width="9.1796875" style="19"/>
    <col min="8440" max="8440" width="8.7265625" style="19" customWidth="1"/>
    <col min="8441" max="8441" width="9.81640625" style="19" customWidth="1"/>
    <col min="8442" max="8442" width="14.453125" style="19" customWidth="1"/>
    <col min="8443" max="8443" width="7.26953125" style="19" customWidth="1"/>
    <col min="8444" max="8444" width="5.54296875" style="19" customWidth="1"/>
    <col min="8445" max="8445" width="9" style="19" customWidth="1"/>
    <col min="8446" max="8447" width="9.81640625" style="19" customWidth="1"/>
    <col min="8448" max="8448" width="11.1796875" style="19" customWidth="1"/>
    <col min="8449" max="8449" width="2.81640625" style="19" customWidth="1"/>
    <col min="8450" max="8450" width="3.54296875" style="19" customWidth="1"/>
    <col min="8451" max="8695" width="9.1796875" style="19"/>
    <col min="8696" max="8696" width="8.7265625" style="19" customWidth="1"/>
    <col min="8697" max="8697" width="9.81640625" style="19" customWidth="1"/>
    <col min="8698" max="8698" width="14.453125" style="19" customWidth="1"/>
    <col min="8699" max="8699" width="7.26953125" style="19" customWidth="1"/>
    <col min="8700" max="8700" width="5.54296875" style="19" customWidth="1"/>
    <col min="8701" max="8701" width="9" style="19" customWidth="1"/>
    <col min="8702" max="8703" width="9.81640625" style="19" customWidth="1"/>
    <col min="8704" max="8704" width="11.1796875" style="19" customWidth="1"/>
    <col min="8705" max="8705" width="2.81640625" style="19" customWidth="1"/>
    <col min="8706" max="8706" width="3.54296875" style="19" customWidth="1"/>
    <col min="8707" max="8951" width="9.1796875" style="19"/>
    <col min="8952" max="8952" width="8.7265625" style="19" customWidth="1"/>
    <col min="8953" max="8953" width="9.81640625" style="19" customWidth="1"/>
    <col min="8954" max="8954" width="14.453125" style="19" customWidth="1"/>
    <col min="8955" max="8955" width="7.26953125" style="19" customWidth="1"/>
    <col min="8956" max="8956" width="5.54296875" style="19" customWidth="1"/>
    <col min="8957" max="8957" width="9" style="19" customWidth="1"/>
    <col min="8958" max="8959" width="9.81640625" style="19" customWidth="1"/>
    <col min="8960" max="8960" width="11.1796875" style="19" customWidth="1"/>
    <col min="8961" max="8961" width="2.81640625" style="19" customWidth="1"/>
    <col min="8962" max="8962" width="3.54296875" style="19" customWidth="1"/>
    <col min="8963" max="9207" width="9.1796875" style="19"/>
    <col min="9208" max="9208" width="8.7265625" style="19" customWidth="1"/>
    <col min="9209" max="9209" width="9.81640625" style="19" customWidth="1"/>
    <col min="9210" max="9210" width="14.453125" style="19" customWidth="1"/>
    <col min="9211" max="9211" width="7.26953125" style="19" customWidth="1"/>
    <col min="9212" max="9212" width="5.54296875" style="19" customWidth="1"/>
    <col min="9213" max="9213" width="9" style="19" customWidth="1"/>
    <col min="9214" max="9215" width="9.81640625" style="19" customWidth="1"/>
    <col min="9216" max="9216" width="11.1796875" style="19" customWidth="1"/>
    <col min="9217" max="9217" width="2.81640625" style="19" customWidth="1"/>
    <col min="9218" max="9218" width="3.54296875" style="19" customWidth="1"/>
    <col min="9219" max="9463" width="9.1796875" style="19"/>
    <col min="9464" max="9464" width="8.7265625" style="19" customWidth="1"/>
    <col min="9465" max="9465" width="9.81640625" style="19" customWidth="1"/>
    <col min="9466" max="9466" width="14.453125" style="19" customWidth="1"/>
    <col min="9467" max="9467" width="7.26953125" style="19" customWidth="1"/>
    <col min="9468" max="9468" width="5.54296875" style="19" customWidth="1"/>
    <col min="9469" max="9469" width="9" style="19" customWidth="1"/>
    <col min="9470" max="9471" width="9.81640625" style="19" customWidth="1"/>
    <col min="9472" max="9472" width="11.1796875" style="19" customWidth="1"/>
    <col min="9473" max="9473" width="2.81640625" style="19" customWidth="1"/>
    <col min="9474" max="9474" width="3.54296875" style="19" customWidth="1"/>
    <col min="9475" max="9719" width="9.1796875" style="19"/>
    <col min="9720" max="9720" width="8.7265625" style="19" customWidth="1"/>
    <col min="9721" max="9721" width="9.81640625" style="19" customWidth="1"/>
    <col min="9722" max="9722" width="14.453125" style="19" customWidth="1"/>
    <col min="9723" max="9723" width="7.26953125" style="19" customWidth="1"/>
    <col min="9724" max="9724" width="5.54296875" style="19" customWidth="1"/>
    <col min="9725" max="9725" width="9" style="19" customWidth="1"/>
    <col min="9726" max="9727" width="9.81640625" style="19" customWidth="1"/>
    <col min="9728" max="9728" width="11.1796875" style="19" customWidth="1"/>
    <col min="9729" max="9729" width="2.81640625" style="19" customWidth="1"/>
    <col min="9730" max="9730" width="3.54296875" style="19" customWidth="1"/>
    <col min="9731" max="9975" width="9.1796875" style="19"/>
    <col min="9976" max="9976" width="8.7265625" style="19" customWidth="1"/>
    <col min="9977" max="9977" width="9.81640625" style="19" customWidth="1"/>
    <col min="9978" max="9978" width="14.453125" style="19" customWidth="1"/>
    <col min="9979" max="9979" width="7.26953125" style="19" customWidth="1"/>
    <col min="9980" max="9980" width="5.54296875" style="19" customWidth="1"/>
    <col min="9981" max="9981" width="9" style="19" customWidth="1"/>
    <col min="9982" max="9983" width="9.81640625" style="19" customWidth="1"/>
    <col min="9984" max="9984" width="11.1796875" style="19" customWidth="1"/>
    <col min="9985" max="9985" width="2.81640625" style="19" customWidth="1"/>
    <col min="9986" max="9986" width="3.54296875" style="19" customWidth="1"/>
    <col min="9987" max="10231" width="9.1796875" style="19"/>
    <col min="10232" max="10232" width="8.7265625" style="19" customWidth="1"/>
    <col min="10233" max="10233" width="9.81640625" style="19" customWidth="1"/>
    <col min="10234" max="10234" width="14.453125" style="19" customWidth="1"/>
    <col min="10235" max="10235" width="7.26953125" style="19" customWidth="1"/>
    <col min="10236" max="10236" width="5.54296875" style="19" customWidth="1"/>
    <col min="10237" max="10237" width="9" style="19" customWidth="1"/>
    <col min="10238" max="10239" width="9.81640625" style="19" customWidth="1"/>
    <col min="10240" max="10240" width="11.1796875" style="19" customWidth="1"/>
    <col min="10241" max="10241" width="2.81640625" style="19" customWidth="1"/>
    <col min="10242" max="10242" width="3.54296875" style="19" customWidth="1"/>
    <col min="10243" max="10487" width="9.1796875" style="19"/>
    <col min="10488" max="10488" width="8.7265625" style="19" customWidth="1"/>
    <col min="10489" max="10489" width="9.81640625" style="19" customWidth="1"/>
    <col min="10490" max="10490" width="14.453125" style="19" customWidth="1"/>
    <col min="10491" max="10491" width="7.26953125" style="19" customWidth="1"/>
    <col min="10492" max="10492" width="5.54296875" style="19" customWidth="1"/>
    <col min="10493" max="10493" width="9" style="19" customWidth="1"/>
    <col min="10494" max="10495" width="9.81640625" style="19" customWidth="1"/>
    <col min="10496" max="10496" width="11.1796875" style="19" customWidth="1"/>
    <col min="10497" max="10497" width="2.81640625" style="19" customWidth="1"/>
    <col min="10498" max="10498" width="3.54296875" style="19" customWidth="1"/>
    <col min="10499" max="10743" width="9.1796875" style="19"/>
    <col min="10744" max="10744" width="8.7265625" style="19" customWidth="1"/>
    <col min="10745" max="10745" width="9.81640625" style="19" customWidth="1"/>
    <col min="10746" max="10746" width="14.453125" style="19" customWidth="1"/>
    <col min="10747" max="10747" width="7.26953125" style="19" customWidth="1"/>
    <col min="10748" max="10748" width="5.54296875" style="19" customWidth="1"/>
    <col min="10749" max="10749" width="9" style="19" customWidth="1"/>
    <col min="10750" max="10751" width="9.81640625" style="19" customWidth="1"/>
    <col min="10752" max="10752" width="11.1796875" style="19" customWidth="1"/>
    <col min="10753" max="10753" width="2.81640625" style="19" customWidth="1"/>
    <col min="10754" max="10754" width="3.54296875" style="19" customWidth="1"/>
    <col min="10755" max="10999" width="9.1796875" style="19"/>
    <col min="11000" max="11000" width="8.7265625" style="19" customWidth="1"/>
    <col min="11001" max="11001" width="9.81640625" style="19" customWidth="1"/>
    <col min="11002" max="11002" width="14.453125" style="19" customWidth="1"/>
    <col min="11003" max="11003" width="7.26953125" style="19" customWidth="1"/>
    <col min="11004" max="11004" width="5.54296875" style="19" customWidth="1"/>
    <col min="11005" max="11005" width="9" style="19" customWidth="1"/>
    <col min="11006" max="11007" width="9.81640625" style="19" customWidth="1"/>
    <col min="11008" max="11008" width="11.1796875" style="19" customWidth="1"/>
    <col min="11009" max="11009" width="2.81640625" style="19" customWidth="1"/>
    <col min="11010" max="11010" width="3.54296875" style="19" customWidth="1"/>
    <col min="11011" max="11255" width="9.1796875" style="19"/>
    <col min="11256" max="11256" width="8.7265625" style="19" customWidth="1"/>
    <col min="11257" max="11257" width="9.81640625" style="19" customWidth="1"/>
    <col min="11258" max="11258" width="14.453125" style="19" customWidth="1"/>
    <col min="11259" max="11259" width="7.26953125" style="19" customWidth="1"/>
    <col min="11260" max="11260" width="5.54296875" style="19" customWidth="1"/>
    <col min="11261" max="11261" width="9" style="19" customWidth="1"/>
    <col min="11262" max="11263" width="9.81640625" style="19" customWidth="1"/>
    <col min="11264" max="11264" width="11.1796875" style="19" customWidth="1"/>
    <col min="11265" max="11265" width="2.81640625" style="19" customWidth="1"/>
    <col min="11266" max="11266" width="3.54296875" style="19" customWidth="1"/>
    <col min="11267" max="11511" width="9.1796875" style="19"/>
    <col min="11512" max="11512" width="8.7265625" style="19" customWidth="1"/>
    <col min="11513" max="11513" width="9.81640625" style="19" customWidth="1"/>
    <col min="11514" max="11514" width="14.453125" style="19" customWidth="1"/>
    <col min="11515" max="11515" width="7.26953125" style="19" customWidth="1"/>
    <col min="11516" max="11516" width="5.54296875" style="19" customWidth="1"/>
    <col min="11517" max="11517" width="9" style="19" customWidth="1"/>
    <col min="11518" max="11519" width="9.81640625" style="19" customWidth="1"/>
    <col min="11520" max="11520" width="11.1796875" style="19" customWidth="1"/>
    <col min="11521" max="11521" width="2.81640625" style="19" customWidth="1"/>
    <col min="11522" max="11522" width="3.54296875" style="19" customWidth="1"/>
    <col min="11523" max="11767" width="9.1796875" style="19"/>
    <col min="11768" max="11768" width="8.7265625" style="19" customWidth="1"/>
    <col min="11769" max="11769" width="9.81640625" style="19" customWidth="1"/>
    <col min="11770" max="11770" width="14.453125" style="19" customWidth="1"/>
    <col min="11771" max="11771" width="7.26953125" style="19" customWidth="1"/>
    <col min="11772" max="11772" width="5.54296875" style="19" customWidth="1"/>
    <col min="11773" max="11773" width="9" style="19" customWidth="1"/>
    <col min="11774" max="11775" width="9.81640625" style="19" customWidth="1"/>
    <col min="11776" max="11776" width="11.1796875" style="19" customWidth="1"/>
    <col min="11777" max="11777" width="2.81640625" style="19" customWidth="1"/>
    <col min="11778" max="11778" width="3.54296875" style="19" customWidth="1"/>
    <col min="11779" max="12023" width="9.1796875" style="19"/>
    <col min="12024" max="12024" width="8.7265625" style="19" customWidth="1"/>
    <col min="12025" max="12025" width="9.81640625" style="19" customWidth="1"/>
    <col min="12026" max="12026" width="14.453125" style="19" customWidth="1"/>
    <col min="12027" max="12027" width="7.26953125" style="19" customWidth="1"/>
    <col min="12028" max="12028" width="5.54296875" style="19" customWidth="1"/>
    <col min="12029" max="12029" width="9" style="19" customWidth="1"/>
    <col min="12030" max="12031" width="9.81640625" style="19" customWidth="1"/>
    <col min="12032" max="12032" width="11.1796875" style="19" customWidth="1"/>
    <col min="12033" max="12033" width="2.81640625" style="19" customWidth="1"/>
    <col min="12034" max="12034" width="3.54296875" style="19" customWidth="1"/>
    <col min="12035" max="12279" width="9.1796875" style="19"/>
    <col min="12280" max="12280" width="8.7265625" style="19" customWidth="1"/>
    <col min="12281" max="12281" width="9.81640625" style="19" customWidth="1"/>
    <col min="12282" max="12282" width="14.453125" style="19" customWidth="1"/>
    <col min="12283" max="12283" width="7.26953125" style="19" customWidth="1"/>
    <col min="12284" max="12284" width="5.54296875" style="19" customWidth="1"/>
    <col min="12285" max="12285" width="9" style="19" customWidth="1"/>
    <col min="12286" max="12287" width="9.81640625" style="19" customWidth="1"/>
    <col min="12288" max="12288" width="11.1796875" style="19" customWidth="1"/>
    <col min="12289" max="12289" width="2.81640625" style="19" customWidth="1"/>
    <col min="12290" max="12290" width="3.54296875" style="19" customWidth="1"/>
    <col min="12291" max="12535" width="9.1796875" style="19"/>
    <col min="12536" max="12536" width="8.7265625" style="19" customWidth="1"/>
    <col min="12537" max="12537" width="9.81640625" style="19" customWidth="1"/>
    <col min="12538" max="12538" width="14.453125" style="19" customWidth="1"/>
    <col min="12539" max="12539" width="7.26953125" style="19" customWidth="1"/>
    <col min="12540" max="12540" width="5.54296875" style="19" customWidth="1"/>
    <col min="12541" max="12541" width="9" style="19" customWidth="1"/>
    <col min="12542" max="12543" width="9.81640625" style="19" customWidth="1"/>
    <col min="12544" max="12544" width="11.1796875" style="19" customWidth="1"/>
    <col min="12545" max="12545" width="2.81640625" style="19" customWidth="1"/>
    <col min="12546" max="12546" width="3.54296875" style="19" customWidth="1"/>
    <col min="12547" max="12791" width="9.1796875" style="19"/>
    <col min="12792" max="12792" width="8.7265625" style="19" customWidth="1"/>
    <col min="12793" max="12793" width="9.81640625" style="19" customWidth="1"/>
    <col min="12794" max="12794" width="14.453125" style="19" customWidth="1"/>
    <col min="12795" max="12795" width="7.26953125" style="19" customWidth="1"/>
    <col min="12796" max="12796" width="5.54296875" style="19" customWidth="1"/>
    <col min="12797" max="12797" width="9" style="19" customWidth="1"/>
    <col min="12798" max="12799" width="9.81640625" style="19" customWidth="1"/>
    <col min="12800" max="12800" width="11.1796875" style="19" customWidth="1"/>
    <col min="12801" max="12801" width="2.81640625" style="19" customWidth="1"/>
    <col min="12802" max="12802" width="3.54296875" style="19" customWidth="1"/>
    <col min="12803" max="13047" width="9.1796875" style="19"/>
    <col min="13048" max="13048" width="8.7265625" style="19" customWidth="1"/>
    <col min="13049" max="13049" width="9.81640625" style="19" customWidth="1"/>
    <col min="13050" max="13050" width="14.453125" style="19" customWidth="1"/>
    <col min="13051" max="13051" width="7.26953125" style="19" customWidth="1"/>
    <col min="13052" max="13052" width="5.54296875" style="19" customWidth="1"/>
    <col min="13053" max="13053" width="9" style="19" customWidth="1"/>
    <col min="13054" max="13055" width="9.81640625" style="19" customWidth="1"/>
    <col min="13056" max="13056" width="11.1796875" style="19" customWidth="1"/>
    <col min="13057" max="13057" width="2.81640625" style="19" customWidth="1"/>
    <col min="13058" max="13058" width="3.54296875" style="19" customWidth="1"/>
    <col min="13059" max="13303" width="9.1796875" style="19"/>
    <col min="13304" max="13304" width="8.7265625" style="19" customWidth="1"/>
    <col min="13305" max="13305" width="9.81640625" style="19" customWidth="1"/>
    <col min="13306" max="13306" width="14.453125" style="19" customWidth="1"/>
    <col min="13307" max="13307" width="7.26953125" style="19" customWidth="1"/>
    <col min="13308" max="13308" width="5.54296875" style="19" customWidth="1"/>
    <col min="13309" max="13309" width="9" style="19" customWidth="1"/>
    <col min="13310" max="13311" width="9.81640625" style="19" customWidth="1"/>
    <col min="13312" max="13312" width="11.1796875" style="19" customWidth="1"/>
    <col min="13313" max="13313" width="2.81640625" style="19" customWidth="1"/>
    <col min="13314" max="13314" width="3.54296875" style="19" customWidth="1"/>
    <col min="13315" max="13559" width="9.1796875" style="19"/>
    <col min="13560" max="13560" width="8.7265625" style="19" customWidth="1"/>
    <col min="13561" max="13561" width="9.81640625" style="19" customWidth="1"/>
    <col min="13562" max="13562" width="14.453125" style="19" customWidth="1"/>
    <col min="13563" max="13563" width="7.26953125" style="19" customWidth="1"/>
    <col min="13564" max="13564" width="5.54296875" style="19" customWidth="1"/>
    <col min="13565" max="13565" width="9" style="19" customWidth="1"/>
    <col min="13566" max="13567" width="9.81640625" style="19" customWidth="1"/>
    <col min="13568" max="13568" width="11.1796875" style="19" customWidth="1"/>
    <col min="13569" max="13569" width="2.81640625" style="19" customWidth="1"/>
    <col min="13570" max="13570" width="3.54296875" style="19" customWidth="1"/>
    <col min="13571" max="13815" width="9.1796875" style="19"/>
    <col min="13816" max="13816" width="8.7265625" style="19" customWidth="1"/>
    <col min="13817" max="13817" width="9.81640625" style="19" customWidth="1"/>
    <col min="13818" max="13818" width="14.453125" style="19" customWidth="1"/>
    <col min="13819" max="13819" width="7.26953125" style="19" customWidth="1"/>
    <col min="13820" max="13820" width="5.54296875" style="19" customWidth="1"/>
    <col min="13821" max="13821" width="9" style="19" customWidth="1"/>
    <col min="13822" max="13823" width="9.81640625" style="19" customWidth="1"/>
    <col min="13824" max="13824" width="11.1796875" style="19" customWidth="1"/>
    <col min="13825" max="13825" width="2.81640625" style="19" customWidth="1"/>
    <col min="13826" max="13826" width="3.54296875" style="19" customWidth="1"/>
    <col min="13827" max="14071" width="9.1796875" style="19"/>
    <col min="14072" max="14072" width="8.7265625" style="19" customWidth="1"/>
    <col min="14073" max="14073" width="9.81640625" style="19" customWidth="1"/>
    <col min="14074" max="14074" width="14.453125" style="19" customWidth="1"/>
    <col min="14075" max="14075" width="7.26953125" style="19" customWidth="1"/>
    <col min="14076" max="14076" width="5.54296875" style="19" customWidth="1"/>
    <col min="14077" max="14077" width="9" style="19" customWidth="1"/>
    <col min="14078" max="14079" width="9.81640625" style="19" customWidth="1"/>
    <col min="14080" max="14080" width="11.1796875" style="19" customWidth="1"/>
    <col min="14081" max="14081" width="2.81640625" style="19" customWidth="1"/>
    <col min="14082" max="14082" width="3.54296875" style="19" customWidth="1"/>
    <col min="14083" max="14327" width="9.1796875" style="19"/>
    <col min="14328" max="14328" width="8.7265625" style="19" customWidth="1"/>
    <col min="14329" max="14329" width="9.81640625" style="19" customWidth="1"/>
    <col min="14330" max="14330" width="14.453125" style="19" customWidth="1"/>
    <col min="14331" max="14331" width="7.26953125" style="19" customWidth="1"/>
    <col min="14332" max="14332" width="5.54296875" style="19" customWidth="1"/>
    <col min="14333" max="14333" width="9" style="19" customWidth="1"/>
    <col min="14334" max="14335" width="9.81640625" style="19" customWidth="1"/>
    <col min="14336" max="14336" width="11.1796875" style="19" customWidth="1"/>
    <col min="14337" max="14337" width="2.81640625" style="19" customWidth="1"/>
    <col min="14338" max="14338" width="3.54296875" style="19" customWidth="1"/>
    <col min="14339" max="14583" width="9.1796875" style="19"/>
    <col min="14584" max="14584" width="8.7265625" style="19" customWidth="1"/>
    <col min="14585" max="14585" width="9.81640625" style="19" customWidth="1"/>
    <col min="14586" max="14586" width="14.453125" style="19" customWidth="1"/>
    <col min="14587" max="14587" width="7.26953125" style="19" customWidth="1"/>
    <col min="14588" max="14588" width="5.54296875" style="19" customWidth="1"/>
    <col min="14589" max="14589" width="9" style="19" customWidth="1"/>
    <col min="14590" max="14591" width="9.81640625" style="19" customWidth="1"/>
    <col min="14592" max="14592" width="11.1796875" style="19" customWidth="1"/>
    <col min="14593" max="14593" width="2.81640625" style="19" customWidth="1"/>
    <col min="14594" max="14594" width="3.54296875" style="19" customWidth="1"/>
    <col min="14595" max="14839" width="9.1796875" style="19"/>
    <col min="14840" max="14840" width="8.7265625" style="19" customWidth="1"/>
    <col min="14841" max="14841" width="9.81640625" style="19" customWidth="1"/>
    <col min="14842" max="14842" width="14.453125" style="19" customWidth="1"/>
    <col min="14843" max="14843" width="7.26953125" style="19" customWidth="1"/>
    <col min="14844" max="14844" width="5.54296875" style="19" customWidth="1"/>
    <col min="14845" max="14845" width="9" style="19" customWidth="1"/>
    <col min="14846" max="14847" width="9.81640625" style="19" customWidth="1"/>
    <col min="14848" max="14848" width="11.1796875" style="19" customWidth="1"/>
    <col min="14849" max="14849" width="2.81640625" style="19" customWidth="1"/>
    <col min="14850" max="14850" width="3.54296875" style="19" customWidth="1"/>
    <col min="14851" max="15095" width="9.1796875" style="19"/>
    <col min="15096" max="15096" width="8.7265625" style="19" customWidth="1"/>
    <col min="15097" max="15097" width="9.81640625" style="19" customWidth="1"/>
    <col min="15098" max="15098" width="14.453125" style="19" customWidth="1"/>
    <col min="15099" max="15099" width="7.26953125" style="19" customWidth="1"/>
    <col min="15100" max="15100" width="5.54296875" style="19" customWidth="1"/>
    <col min="15101" max="15101" width="9" style="19" customWidth="1"/>
    <col min="15102" max="15103" width="9.81640625" style="19" customWidth="1"/>
    <col min="15104" max="15104" width="11.1796875" style="19" customWidth="1"/>
    <col min="15105" max="15105" width="2.81640625" style="19" customWidth="1"/>
    <col min="15106" max="15106" width="3.54296875" style="19" customWidth="1"/>
    <col min="15107" max="15351" width="9.1796875" style="19"/>
    <col min="15352" max="15352" width="8.7265625" style="19" customWidth="1"/>
    <col min="15353" max="15353" width="9.81640625" style="19" customWidth="1"/>
    <col min="15354" max="15354" width="14.453125" style="19" customWidth="1"/>
    <col min="15355" max="15355" width="7.26953125" style="19" customWidth="1"/>
    <col min="15356" max="15356" width="5.54296875" style="19" customWidth="1"/>
    <col min="15357" max="15357" width="9" style="19" customWidth="1"/>
    <col min="15358" max="15359" width="9.81640625" style="19" customWidth="1"/>
    <col min="15360" max="15360" width="11.1796875" style="19" customWidth="1"/>
    <col min="15361" max="15361" width="2.81640625" style="19" customWidth="1"/>
    <col min="15362" max="15362" width="3.54296875" style="19" customWidth="1"/>
    <col min="15363" max="15607" width="9.1796875" style="19"/>
    <col min="15608" max="15608" width="8.7265625" style="19" customWidth="1"/>
    <col min="15609" max="15609" width="9.81640625" style="19" customWidth="1"/>
    <col min="15610" max="15610" width="14.453125" style="19" customWidth="1"/>
    <col min="15611" max="15611" width="7.26953125" style="19" customWidth="1"/>
    <col min="15612" max="15612" width="5.54296875" style="19" customWidth="1"/>
    <col min="15613" max="15613" width="9" style="19" customWidth="1"/>
    <col min="15614" max="15615" width="9.81640625" style="19" customWidth="1"/>
    <col min="15616" max="15616" width="11.1796875" style="19" customWidth="1"/>
    <col min="15617" max="15617" width="2.81640625" style="19" customWidth="1"/>
    <col min="15618" max="15618" width="3.54296875" style="19" customWidth="1"/>
    <col min="15619" max="15863" width="9.1796875" style="19"/>
    <col min="15864" max="15864" width="8.7265625" style="19" customWidth="1"/>
    <col min="15865" max="15865" width="9.81640625" style="19" customWidth="1"/>
    <col min="15866" max="15866" width="14.453125" style="19" customWidth="1"/>
    <col min="15867" max="15867" width="7.26953125" style="19" customWidth="1"/>
    <col min="15868" max="15868" width="5.54296875" style="19" customWidth="1"/>
    <col min="15869" max="15869" width="9" style="19" customWidth="1"/>
    <col min="15870" max="15871" width="9.81640625" style="19" customWidth="1"/>
    <col min="15872" max="15872" width="11.1796875" style="19" customWidth="1"/>
    <col min="15873" max="15873" width="2.81640625" style="19" customWidth="1"/>
    <col min="15874" max="15874" width="3.54296875" style="19" customWidth="1"/>
    <col min="15875" max="16119" width="9.1796875" style="19"/>
    <col min="16120" max="16120" width="8.7265625" style="19" customWidth="1"/>
    <col min="16121" max="16121" width="9.81640625" style="19" customWidth="1"/>
    <col min="16122" max="16122" width="14.453125" style="19" customWidth="1"/>
    <col min="16123" max="16123" width="7.26953125" style="19" customWidth="1"/>
    <col min="16124" max="16124" width="5.54296875" style="19" customWidth="1"/>
    <col min="16125" max="16125" width="9" style="19" customWidth="1"/>
    <col min="16126" max="16127" width="9.81640625" style="19" customWidth="1"/>
    <col min="16128" max="16128" width="11.1796875" style="19" customWidth="1"/>
    <col min="16129" max="16129" width="2.81640625" style="19" customWidth="1"/>
    <col min="16130" max="16130" width="3.54296875" style="19" customWidth="1"/>
    <col min="16131" max="16384" width="9.1796875" style="19"/>
  </cols>
  <sheetData>
    <row r="1" spans="1:26" ht="46.5" customHeight="1" x14ac:dyDescent="0.35">
      <c r="A1" s="197" t="s">
        <v>163</v>
      </c>
      <c r="B1" s="197"/>
      <c r="C1" s="197"/>
      <c r="D1" s="197"/>
      <c r="E1" s="197"/>
      <c r="F1" s="197"/>
      <c r="G1" s="197"/>
      <c r="H1" s="197"/>
    </row>
    <row r="2" spans="1:26" ht="16.5" customHeight="1" x14ac:dyDescent="0.35">
      <c r="A2" s="198" t="s">
        <v>0</v>
      </c>
      <c r="B2" s="198"/>
      <c r="C2" s="198"/>
      <c r="D2" s="198"/>
      <c r="E2" s="198"/>
      <c r="F2" s="198"/>
      <c r="G2" s="198"/>
      <c r="H2" s="198"/>
    </row>
    <row r="3" spans="1:26" x14ac:dyDescent="0.35">
      <c r="A3" s="167" t="s">
        <v>1</v>
      </c>
      <c r="B3" s="167"/>
      <c r="C3" s="167"/>
      <c r="D3" s="167"/>
      <c r="E3" s="167" t="str">
        <f ca="1">TEXT(TODAY(),"DD/MM/YYYY")</f>
        <v>20/08/2025</v>
      </c>
      <c r="F3" s="167"/>
      <c r="G3" s="167"/>
      <c r="H3" s="167"/>
      <c r="K3" s="54" t="s">
        <v>235</v>
      </c>
      <c r="L3" s="51" t="s">
        <v>233</v>
      </c>
      <c r="M3" s="51" t="s">
        <v>238</v>
      </c>
      <c r="N3" s="51" t="s">
        <v>236</v>
      </c>
      <c r="O3" s="51" t="s">
        <v>339</v>
      </c>
      <c r="P3" s="51" t="s">
        <v>239</v>
      </c>
    </row>
    <row r="4" spans="1:26" ht="15" customHeight="1" x14ac:dyDescent="0.35">
      <c r="A4" s="167" t="s">
        <v>232</v>
      </c>
      <c r="B4" s="167"/>
      <c r="C4" s="167"/>
      <c r="D4" s="167"/>
      <c r="E4" s="171" t="s">
        <v>233</v>
      </c>
      <c r="F4" s="171"/>
      <c r="G4" s="171"/>
      <c r="H4" s="171"/>
      <c r="K4" s="50" t="s">
        <v>234</v>
      </c>
      <c r="L4" s="51" t="s">
        <v>170</v>
      </c>
      <c r="M4" s="51" t="s">
        <v>243</v>
      </c>
      <c r="N4" s="51" t="s">
        <v>245</v>
      </c>
      <c r="O4" s="51" t="s">
        <v>340</v>
      </c>
      <c r="P4" s="51"/>
    </row>
    <row r="5" spans="1:26" ht="15" customHeight="1" x14ac:dyDescent="0.35">
      <c r="A5" s="167" t="s">
        <v>2</v>
      </c>
      <c r="B5" s="167"/>
      <c r="C5" s="167"/>
      <c r="D5" s="167"/>
      <c r="E5" s="171" t="s">
        <v>240</v>
      </c>
      <c r="F5" s="171"/>
      <c r="G5" s="171"/>
      <c r="H5" s="171"/>
      <c r="K5" s="50"/>
      <c r="L5" s="51" t="s">
        <v>240</v>
      </c>
      <c r="M5" s="51" t="s">
        <v>244</v>
      </c>
      <c r="N5" s="51" t="s">
        <v>246</v>
      </c>
      <c r="O5" s="51" t="s">
        <v>341</v>
      </c>
      <c r="P5" s="51"/>
    </row>
    <row r="6" spans="1:26" x14ac:dyDescent="0.35">
      <c r="A6" s="167" t="s">
        <v>3</v>
      </c>
      <c r="B6" s="167"/>
      <c r="C6" s="167"/>
      <c r="D6" s="167"/>
      <c r="E6" s="199">
        <v>45880</v>
      </c>
      <c r="F6" s="196"/>
      <c r="G6" s="196"/>
      <c r="H6" s="196"/>
      <c r="K6" s="50"/>
      <c r="L6" s="51" t="s">
        <v>241</v>
      </c>
      <c r="M6" s="51"/>
      <c r="N6" s="51"/>
      <c r="O6" s="51" t="s">
        <v>342</v>
      </c>
      <c r="P6" s="51"/>
    </row>
    <row r="7" spans="1:26" ht="16.5" customHeight="1" x14ac:dyDescent="0.35">
      <c r="A7" s="167" t="s">
        <v>4</v>
      </c>
      <c r="B7" s="167"/>
      <c r="C7" s="167"/>
      <c r="D7" s="167"/>
      <c r="E7" s="167" t="s">
        <v>354</v>
      </c>
      <c r="F7" s="167"/>
      <c r="G7" s="167"/>
      <c r="H7" s="167"/>
      <c r="K7" s="50"/>
      <c r="L7" s="51" t="s">
        <v>242</v>
      </c>
      <c r="M7" s="51"/>
      <c r="N7" s="51"/>
      <c r="O7" s="51" t="s">
        <v>342</v>
      </c>
      <c r="P7" s="51"/>
    </row>
    <row r="8" spans="1:26" ht="15" customHeight="1" x14ac:dyDescent="0.35">
      <c r="A8" s="167" t="s">
        <v>5</v>
      </c>
      <c r="B8" s="167"/>
      <c r="C8" s="167"/>
      <c r="D8" s="167"/>
      <c r="E8" s="167" t="str">
        <f>E7</f>
        <v>Mesacon Spaces LLP</v>
      </c>
      <c r="F8" s="167"/>
      <c r="G8" s="167"/>
      <c r="H8" s="167"/>
      <c r="K8" s="50"/>
      <c r="L8" s="51"/>
      <c r="M8" s="51"/>
      <c r="N8" s="51"/>
      <c r="O8" s="51" t="s">
        <v>343</v>
      </c>
      <c r="P8" s="51"/>
    </row>
    <row r="9" spans="1:26" x14ac:dyDescent="0.35">
      <c r="A9" s="167" t="s">
        <v>6</v>
      </c>
      <c r="B9" s="167"/>
      <c r="C9" s="167"/>
      <c r="D9" s="167"/>
      <c r="E9" s="154" t="s">
        <v>355</v>
      </c>
      <c r="F9" s="154"/>
      <c r="G9" s="154"/>
      <c r="H9" s="154"/>
      <c r="K9" s="50"/>
      <c r="L9" s="51"/>
      <c r="M9" s="51"/>
      <c r="N9" s="51"/>
      <c r="O9" s="51" t="s">
        <v>344</v>
      </c>
      <c r="P9" s="51"/>
    </row>
    <row r="10" spans="1:26" x14ac:dyDescent="0.35">
      <c r="A10" s="167" t="s">
        <v>166</v>
      </c>
      <c r="B10" s="167"/>
      <c r="C10" s="167"/>
      <c r="D10" s="167"/>
      <c r="E10" s="167">
        <v>9867112496</v>
      </c>
      <c r="F10" s="167"/>
      <c r="G10" s="167"/>
      <c r="H10" s="167"/>
      <c r="K10" s="50"/>
      <c r="L10" s="51"/>
      <c r="M10" s="51"/>
      <c r="N10" s="51"/>
      <c r="O10" s="51" t="s">
        <v>345</v>
      </c>
      <c r="P10" s="51"/>
    </row>
    <row r="11" spans="1:26" x14ac:dyDescent="0.35">
      <c r="A11" s="167" t="s">
        <v>167</v>
      </c>
      <c r="B11" s="167"/>
      <c r="C11" s="167"/>
      <c r="D11" s="167"/>
      <c r="E11" s="196" t="s">
        <v>413</v>
      </c>
      <c r="F11" s="196"/>
      <c r="G11" s="196"/>
      <c r="H11" s="196"/>
      <c r="O11" s="51" t="s">
        <v>346</v>
      </c>
    </row>
    <row r="12" spans="1:26" x14ac:dyDescent="0.35">
      <c r="A12" s="167" t="s">
        <v>7</v>
      </c>
      <c r="B12" s="167"/>
      <c r="C12" s="167"/>
      <c r="D12" s="167"/>
      <c r="E12" s="167" t="s">
        <v>356</v>
      </c>
      <c r="F12" s="167"/>
      <c r="G12" s="167"/>
      <c r="H12" s="167"/>
    </row>
    <row r="13" spans="1:26" ht="31.5" customHeight="1" x14ac:dyDescent="0.35">
      <c r="A13" s="171" t="s">
        <v>171</v>
      </c>
      <c r="B13" s="171"/>
      <c r="C13" s="171"/>
      <c r="D13" s="171"/>
      <c r="E13" s="141" t="s">
        <v>357</v>
      </c>
      <c r="F13" s="141"/>
      <c r="G13" s="141"/>
      <c r="H13" s="141"/>
      <c r="S13" s="51" t="s">
        <v>180</v>
      </c>
      <c r="T13" s="51" t="s">
        <v>189</v>
      </c>
      <c r="U13" s="51" t="s">
        <v>172</v>
      </c>
      <c r="V13" s="51" t="s">
        <v>194</v>
      </c>
      <c r="W13" s="51" t="s">
        <v>212</v>
      </c>
      <c r="X13"/>
      <c r="Y13" t="s">
        <v>194</v>
      </c>
      <c r="Z13" t="e">
        <f ca="1">OFFSET($S$13,1,MATCH($G20,$S$13:$W$13,0)-1,15,1)</f>
        <v>#VALUE!</v>
      </c>
    </row>
    <row r="14" spans="1:26" x14ac:dyDescent="0.35">
      <c r="A14" s="124" t="s">
        <v>278</v>
      </c>
      <c r="B14" s="124"/>
      <c r="C14" s="124"/>
      <c r="D14" s="124"/>
      <c r="E14" s="159" t="s">
        <v>358</v>
      </c>
      <c r="F14" s="159"/>
      <c r="G14" s="159"/>
      <c r="H14" s="159"/>
      <c r="S14" s="51" t="s">
        <v>180</v>
      </c>
      <c r="T14" s="51" t="s">
        <v>187</v>
      </c>
      <c r="U14" s="51" t="s">
        <v>209</v>
      </c>
      <c r="V14" s="51" t="s">
        <v>195</v>
      </c>
      <c r="W14" s="51" t="s">
        <v>213</v>
      </c>
      <c r="X14"/>
      <c r="Y14"/>
      <c r="Z14"/>
    </row>
    <row r="15" spans="1:26" x14ac:dyDescent="0.35">
      <c r="A15" s="124" t="s">
        <v>8</v>
      </c>
      <c r="B15" s="124"/>
      <c r="C15" s="124"/>
      <c r="D15" s="124"/>
      <c r="E15" s="159" t="s">
        <v>353</v>
      </c>
      <c r="F15" s="171"/>
      <c r="G15" s="171"/>
      <c r="H15" s="171"/>
      <c r="I15" s="225" t="e">
        <f ca="1">OFFSET($D$5,1,MATCH($J13,$D$5:$H$5,0)-1,15,1)</f>
        <v>#N/A</v>
      </c>
      <c r="J15" s="226"/>
      <c r="K15" s="226"/>
      <c r="L15" s="226"/>
      <c r="M15" s="226"/>
      <c r="N15" s="226"/>
      <c r="O15" s="226"/>
      <c r="P15" s="226"/>
      <c r="S15" s="51" t="s">
        <v>181</v>
      </c>
      <c r="T15" s="51" t="s">
        <v>188</v>
      </c>
      <c r="U15" s="51" t="s">
        <v>210</v>
      </c>
      <c r="V15" s="51" t="s">
        <v>196</v>
      </c>
      <c r="W15" s="51" t="s">
        <v>226</v>
      </c>
      <c r="X15"/>
      <c r="Y15"/>
      <c r="Z15"/>
    </row>
    <row r="16" spans="1:26" ht="64.5" customHeight="1" x14ac:dyDescent="0.35">
      <c r="A16" s="165" t="s">
        <v>9</v>
      </c>
      <c r="B16" s="165"/>
      <c r="C16" s="165" t="str">
        <f>CONCATENATE((IF(OR(E9="",E9="NA"),"",E9)),", ",(IF(OR(A17="",A17="NA"),"",A17)),".",(IF(OR(C17="",C17="NA"),"",C17)),", near ",(IF(OR(C22="",C22="NA"),"",C22)),", ",(IF(OR(C19="",C19="NA"),"",C19)),", ",(IF(OR(C18="",C18="NA"),"",C18)),", ",(IF(OR(G19="",G19="NA"),"",G19)),", ",(IF(OR(C20="",C20="NA"),"",C20)),", ",(IF(OR(C21="",C21="NA"),"",C21)),", ",(IF(OR(G20="",G20="NA"),"",G20))," - ",(IF(OR(G21="",G21="NA"),"",G21)),".")</f>
        <v>Mesacon Crown, CTS No.552, 552/1 to 5, Redevelopement of "Shalimar Apartment Co-operative Housing Society Ltd", near Kalpachandra CHS, Swami Vivekananda Road, Zalwad Nagar, Vile Parle, Andheri West, Andheri, Mumbai - 400058.</v>
      </c>
      <c r="D16" s="165"/>
      <c r="E16" s="165"/>
      <c r="F16" s="165"/>
      <c r="G16" s="165"/>
      <c r="H16" s="165"/>
      <c r="S16" s="51" t="s">
        <v>182</v>
      </c>
      <c r="T16" s="51" t="s">
        <v>190</v>
      </c>
      <c r="U16" s="51" t="s">
        <v>211</v>
      </c>
      <c r="V16" s="51" t="s">
        <v>197</v>
      </c>
      <c r="W16" s="51" t="s">
        <v>214</v>
      </c>
      <c r="X16"/>
      <c r="Y16"/>
      <c r="Z16"/>
    </row>
    <row r="17" spans="1:26" ht="31.5" customHeight="1" x14ac:dyDescent="0.35">
      <c r="A17" s="159" t="s">
        <v>176</v>
      </c>
      <c r="B17" s="159"/>
      <c r="C17" s="159" t="s">
        <v>415</v>
      </c>
      <c r="D17" s="159"/>
      <c r="E17" s="159"/>
      <c r="F17" s="159"/>
      <c r="G17" s="159"/>
      <c r="H17" s="159"/>
      <c r="S17" s="51" t="s">
        <v>183</v>
      </c>
      <c r="T17" s="51" t="s">
        <v>191</v>
      </c>
      <c r="U17" s="51" t="s">
        <v>172</v>
      </c>
      <c r="V17" s="51" t="s">
        <v>198</v>
      </c>
      <c r="W17" s="51" t="s">
        <v>215</v>
      </c>
      <c r="X17"/>
      <c r="Y17"/>
      <c r="Z17"/>
    </row>
    <row r="18" spans="1:26" ht="15.75" customHeight="1" x14ac:dyDescent="0.35">
      <c r="A18" s="141" t="s">
        <v>161</v>
      </c>
      <c r="B18" s="141"/>
      <c r="C18" s="141" t="s">
        <v>360</v>
      </c>
      <c r="D18" s="141"/>
      <c r="E18" s="141"/>
      <c r="F18" s="141"/>
      <c r="G18" s="141"/>
      <c r="H18" s="141"/>
      <c r="S18" s="51" t="s">
        <v>184</v>
      </c>
      <c r="T18" s="51" t="s">
        <v>189</v>
      </c>
      <c r="U18" s="51"/>
      <c r="V18" s="51" t="s">
        <v>199</v>
      </c>
      <c r="W18" s="51" t="s">
        <v>216</v>
      </c>
      <c r="X18"/>
      <c r="Y18"/>
      <c r="Z18"/>
    </row>
    <row r="19" spans="1:26" ht="15.75" customHeight="1" x14ac:dyDescent="0.35">
      <c r="A19" s="165" t="s">
        <v>10</v>
      </c>
      <c r="B19" s="165"/>
      <c r="C19" s="167" t="s">
        <v>366</v>
      </c>
      <c r="D19" s="167"/>
      <c r="E19" s="165" t="s">
        <v>70</v>
      </c>
      <c r="F19" s="165"/>
      <c r="G19" s="141" t="s">
        <v>359</v>
      </c>
      <c r="H19" s="141"/>
      <c r="S19" s="51" t="s">
        <v>185</v>
      </c>
      <c r="T19" s="51" t="s">
        <v>192</v>
      </c>
      <c r="U19" s="51"/>
      <c r="V19" s="51" t="s">
        <v>200</v>
      </c>
      <c r="W19" s="51" t="s">
        <v>217</v>
      </c>
      <c r="X19"/>
      <c r="Y19"/>
      <c r="Z19"/>
    </row>
    <row r="20" spans="1:26" x14ac:dyDescent="0.35">
      <c r="A20" s="124" t="s">
        <v>12</v>
      </c>
      <c r="B20" s="124"/>
      <c r="C20" s="141" t="s">
        <v>361</v>
      </c>
      <c r="D20" s="141"/>
      <c r="E20" s="165" t="s">
        <v>11</v>
      </c>
      <c r="F20" s="165"/>
      <c r="G20" s="195" t="s">
        <v>172</v>
      </c>
      <c r="H20" s="195"/>
      <c r="S20" s="51" t="s">
        <v>186</v>
      </c>
      <c r="T20" s="51" t="s">
        <v>193</v>
      </c>
      <c r="U20" s="51"/>
      <c r="V20" s="51" t="s">
        <v>201</v>
      </c>
      <c r="W20" s="51" t="s">
        <v>218</v>
      </c>
      <c r="X20"/>
      <c r="Y20"/>
      <c r="Z20"/>
    </row>
    <row r="21" spans="1:26" x14ac:dyDescent="0.35">
      <c r="A21" s="124" t="s">
        <v>71</v>
      </c>
      <c r="B21" s="124"/>
      <c r="C21" s="159" t="s">
        <v>209</v>
      </c>
      <c r="D21" s="159"/>
      <c r="E21" s="165" t="s">
        <v>13</v>
      </c>
      <c r="F21" s="165"/>
      <c r="G21" s="141">
        <v>400058</v>
      </c>
      <c r="H21" s="141"/>
      <c r="S21" s="51"/>
      <c r="T21" s="51"/>
      <c r="U21" s="51"/>
      <c r="V21" s="51" t="s">
        <v>202</v>
      </c>
      <c r="W21" s="51" t="s">
        <v>219</v>
      </c>
      <c r="X21"/>
      <c r="Y21"/>
      <c r="Z21"/>
    </row>
    <row r="22" spans="1:26" ht="33.75" customHeight="1" x14ac:dyDescent="0.35">
      <c r="A22" s="124" t="s">
        <v>118</v>
      </c>
      <c r="B22" s="124"/>
      <c r="C22" s="141" t="s">
        <v>362</v>
      </c>
      <c r="D22" s="141"/>
      <c r="E22" s="165" t="s">
        <v>14</v>
      </c>
      <c r="F22" s="165"/>
      <c r="G22" s="159" t="s">
        <v>412</v>
      </c>
      <c r="H22" s="159"/>
      <c r="S22" s="51"/>
      <c r="T22" s="51"/>
      <c r="U22" s="51"/>
      <c r="V22" s="51" t="s">
        <v>203</v>
      </c>
      <c r="W22" s="51" t="s">
        <v>220</v>
      </c>
      <c r="X22"/>
      <c r="Y22"/>
      <c r="Z22"/>
    </row>
    <row r="23" spans="1:26" ht="15" customHeight="1" x14ac:dyDescent="0.35">
      <c r="A23" s="165" t="s">
        <v>73</v>
      </c>
      <c r="B23" s="165"/>
      <c r="C23" s="165"/>
      <c r="D23" s="165"/>
      <c r="E23" s="167" t="s">
        <v>15</v>
      </c>
      <c r="F23" s="167"/>
      <c r="G23" s="167"/>
      <c r="H23" s="167"/>
      <c r="S23" s="51"/>
      <c r="T23" s="51"/>
      <c r="U23" s="51"/>
      <c r="V23" s="51" t="s">
        <v>204</v>
      </c>
      <c r="W23" s="51" t="s">
        <v>221</v>
      </c>
      <c r="X23"/>
      <c r="Y23"/>
      <c r="Z23"/>
    </row>
    <row r="24" spans="1:26" ht="18.75" customHeight="1" x14ac:dyDescent="0.35">
      <c r="A24" s="165"/>
      <c r="B24" s="165"/>
      <c r="C24" s="165"/>
      <c r="D24" s="165"/>
      <c r="E24" s="167"/>
      <c r="F24" s="167"/>
      <c r="G24" s="167"/>
      <c r="H24" s="167"/>
      <c r="S24" s="51"/>
      <c r="T24" s="51"/>
      <c r="U24" s="51"/>
      <c r="V24" s="51" t="s">
        <v>205</v>
      </c>
      <c r="W24" s="51" t="s">
        <v>222</v>
      </c>
      <c r="X24"/>
      <c r="Y24"/>
      <c r="Z24"/>
    </row>
    <row r="25" spans="1:26" ht="15" customHeight="1" x14ac:dyDescent="0.35">
      <c r="A25" s="165" t="s">
        <v>16</v>
      </c>
      <c r="B25" s="165"/>
      <c r="C25" s="165"/>
      <c r="D25" s="165"/>
      <c r="E25" s="141" t="s">
        <v>17</v>
      </c>
      <c r="F25" s="141"/>
      <c r="G25" s="141"/>
      <c r="H25" s="141"/>
      <c r="S25" s="51"/>
      <c r="T25" s="51"/>
      <c r="U25" s="51"/>
      <c r="V25" s="51" t="s">
        <v>206</v>
      </c>
      <c r="W25" s="51" t="s">
        <v>223</v>
      </c>
      <c r="X25"/>
      <c r="Y25"/>
      <c r="Z25"/>
    </row>
    <row r="26" spans="1:26" ht="15" customHeight="1" x14ac:dyDescent="0.35">
      <c r="A26" s="124" t="s">
        <v>18</v>
      </c>
      <c r="B26" s="124"/>
      <c r="C26" s="124"/>
      <c r="D26" s="124"/>
      <c r="E26" s="141" t="str">
        <f>IF(AND(G20="Mumbai"),"Upper Class","Middle Class")</f>
        <v>Upper Class</v>
      </c>
      <c r="F26" s="141"/>
      <c r="G26" s="141"/>
      <c r="H26" s="141"/>
      <c r="S26" s="51"/>
      <c r="T26" s="51"/>
      <c r="U26" s="51"/>
      <c r="V26" s="51" t="s">
        <v>207</v>
      </c>
      <c r="W26" s="51" t="s">
        <v>224</v>
      </c>
      <c r="X26"/>
      <c r="Y26"/>
      <c r="Z26"/>
    </row>
    <row r="27" spans="1:26" x14ac:dyDescent="0.35">
      <c r="A27" s="124" t="s">
        <v>19</v>
      </c>
      <c r="B27" s="124"/>
      <c r="C27" s="124"/>
      <c r="D27" s="124"/>
      <c r="E27" s="141" t="s">
        <v>20</v>
      </c>
      <c r="F27" s="141"/>
      <c r="G27" s="141"/>
      <c r="H27" s="141"/>
      <c r="S27" s="51"/>
      <c r="T27" s="51"/>
      <c r="U27" s="51"/>
      <c r="V27" s="51" t="s">
        <v>208</v>
      </c>
      <c r="W27" s="51" t="s">
        <v>225</v>
      </c>
      <c r="X27"/>
      <c r="Y27"/>
      <c r="Z27"/>
    </row>
    <row r="28" spans="1:26" ht="15.75" customHeight="1" x14ac:dyDescent="0.35">
      <c r="A28" s="124" t="s">
        <v>21</v>
      </c>
      <c r="B28" s="124"/>
      <c r="C28" s="124"/>
      <c r="D28" s="124"/>
      <c r="E28" s="141" t="str">
        <f>IF(AND(G20="Mumbai"),"Developed","Developing")</f>
        <v>Developed</v>
      </c>
      <c r="F28" s="141"/>
      <c r="G28" s="141"/>
      <c r="H28" s="141"/>
    </row>
    <row r="29" spans="1:26" x14ac:dyDescent="0.35">
      <c r="A29" s="124" t="s">
        <v>22</v>
      </c>
      <c r="B29" s="124"/>
      <c r="C29" s="124"/>
      <c r="D29" s="124"/>
      <c r="E29" s="141" t="s">
        <v>23</v>
      </c>
      <c r="F29" s="141"/>
      <c r="G29" s="141"/>
      <c r="H29" s="141"/>
    </row>
    <row r="30" spans="1:26" ht="15.75" customHeight="1" x14ac:dyDescent="0.35">
      <c r="A30" s="124" t="s">
        <v>78</v>
      </c>
      <c r="B30" s="124"/>
      <c r="C30" s="124"/>
      <c r="D30" s="124"/>
      <c r="E30" s="141" t="s">
        <v>79</v>
      </c>
      <c r="F30" s="141"/>
      <c r="G30" s="141"/>
      <c r="H30" s="141"/>
    </row>
    <row r="31" spans="1:26" ht="15" customHeight="1" x14ac:dyDescent="0.35">
      <c r="A31" s="124" t="s">
        <v>30</v>
      </c>
      <c r="B31" s="124"/>
      <c r="C31" s="124"/>
      <c r="D31" s="124"/>
      <c r="E31" s="14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1"/>
      <c r="G31" s="141"/>
      <c r="H31" s="141"/>
    </row>
    <row r="32" spans="1:26" ht="15.75" customHeight="1" x14ac:dyDescent="0.35">
      <c r="A32" s="124" t="s">
        <v>90</v>
      </c>
      <c r="B32" s="124"/>
      <c r="C32" s="124"/>
      <c r="D32" s="124"/>
      <c r="E32" s="141" t="s">
        <v>31</v>
      </c>
      <c r="F32" s="141"/>
      <c r="G32" s="141"/>
      <c r="H32" s="141"/>
    </row>
    <row r="33" spans="1:19" s="20" customFormat="1" x14ac:dyDescent="0.35">
      <c r="A33" s="194" t="s">
        <v>91</v>
      </c>
      <c r="B33" s="194"/>
      <c r="C33" s="193" t="s">
        <v>173</v>
      </c>
      <c r="D33" s="193"/>
      <c r="E33" s="193"/>
      <c r="F33" s="193" t="s">
        <v>29</v>
      </c>
      <c r="G33" s="193"/>
      <c r="H33" s="193"/>
      <c r="S33" s="20" t="e">
        <f ca="1">OFFSET($S$13,1,MATCH($G20,$S$13:$W$13,0)-1,15,1)</f>
        <v>#VALUE!</v>
      </c>
    </row>
    <row r="34" spans="1:19" s="20" customFormat="1" x14ac:dyDescent="0.35">
      <c r="A34" s="155" t="s">
        <v>24</v>
      </c>
      <c r="B34" s="155" t="s">
        <v>28</v>
      </c>
      <c r="C34" s="156" t="s">
        <v>367</v>
      </c>
      <c r="D34" s="156"/>
      <c r="E34" s="156"/>
      <c r="F34" s="156" t="s">
        <v>366</v>
      </c>
      <c r="G34" s="156"/>
      <c r="H34" s="156"/>
    </row>
    <row r="35" spans="1:19" x14ac:dyDescent="0.35">
      <c r="A35" s="155" t="s">
        <v>25</v>
      </c>
      <c r="B35" s="155" t="s">
        <v>28</v>
      </c>
      <c r="C35" s="156" t="s">
        <v>368</v>
      </c>
      <c r="D35" s="156"/>
      <c r="E35" s="156"/>
      <c r="F35" s="156" t="s">
        <v>371</v>
      </c>
      <c r="G35" s="156"/>
      <c r="H35" s="156"/>
    </row>
    <row r="36" spans="1:19" s="20" customFormat="1" x14ac:dyDescent="0.35">
      <c r="A36" s="155" t="s">
        <v>27</v>
      </c>
      <c r="B36" s="155" t="s">
        <v>28</v>
      </c>
      <c r="C36" s="156" t="s">
        <v>369</v>
      </c>
      <c r="D36" s="156"/>
      <c r="E36" s="156"/>
      <c r="F36" s="156" t="s">
        <v>362</v>
      </c>
      <c r="G36" s="156"/>
      <c r="H36" s="156"/>
    </row>
    <row r="37" spans="1:19" x14ac:dyDescent="0.35">
      <c r="A37" s="155" t="s">
        <v>26</v>
      </c>
      <c r="B37" s="155" t="s">
        <v>28</v>
      </c>
      <c r="C37" s="156" t="s">
        <v>369</v>
      </c>
      <c r="D37" s="156"/>
      <c r="E37" s="156"/>
      <c r="F37" s="156" t="s">
        <v>370</v>
      </c>
      <c r="G37" s="156"/>
      <c r="H37" s="156"/>
    </row>
    <row r="38" spans="1:19" x14ac:dyDescent="0.35">
      <c r="A38" s="124" t="s">
        <v>279</v>
      </c>
      <c r="B38" s="124"/>
      <c r="C38" s="124"/>
      <c r="D38" s="124"/>
      <c r="E38" s="124"/>
      <c r="F38" s="124"/>
      <c r="G38" s="124"/>
      <c r="H38" s="124"/>
    </row>
    <row r="39" spans="1:19" ht="15.75" customHeight="1" x14ac:dyDescent="0.35">
      <c r="A39" s="124" t="s">
        <v>164</v>
      </c>
      <c r="B39" s="124"/>
      <c r="C39" s="158" t="s">
        <v>363</v>
      </c>
      <c r="D39" s="158"/>
      <c r="E39" s="158"/>
      <c r="F39" s="158"/>
      <c r="G39" s="158"/>
      <c r="H39" s="158"/>
    </row>
    <row r="40" spans="1:19" x14ac:dyDescent="0.35">
      <c r="A40" s="124" t="s">
        <v>160</v>
      </c>
      <c r="B40" s="124"/>
      <c r="C40" s="140" t="s">
        <v>364</v>
      </c>
      <c r="D40" s="141"/>
      <c r="E40" s="141"/>
      <c r="F40" s="141"/>
      <c r="G40" s="141"/>
      <c r="H40" s="141"/>
    </row>
    <row r="41" spans="1:19" x14ac:dyDescent="0.35">
      <c r="A41" s="158" t="s">
        <v>32</v>
      </c>
      <c r="B41" s="158"/>
      <c r="C41" s="158"/>
      <c r="D41" s="158"/>
      <c r="E41" s="158"/>
      <c r="F41" s="158"/>
      <c r="G41" s="158"/>
      <c r="H41" s="158"/>
    </row>
    <row r="42" spans="1:19" x14ac:dyDescent="0.35">
      <c r="A42" s="124" t="s">
        <v>33</v>
      </c>
      <c r="B42" s="124"/>
      <c r="C42" s="124"/>
      <c r="D42" s="124"/>
      <c r="E42" s="157">
        <v>2198.94</v>
      </c>
      <c r="F42" s="157"/>
      <c r="G42" s="157"/>
      <c r="H42" s="157"/>
    </row>
    <row r="43" spans="1:19" x14ac:dyDescent="0.35">
      <c r="A43" s="124" t="s">
        <v>34</v>
      </c>
      <c r="B43" s="124"/>
      <c r="C43" s="124"/>
      <c r="D43" s="124"/>
      <c r="E43" s="169">
        <f>1</f>
        <v>1</v>
      </c>
      <c r="F43" s="169"/>
      <c r="G43" s="169"/>
      <c r="H43" s="169"/>
    </row>
    <row r="44" spans="1:19" x14ac:dyDescent="0.35">
      <c r="A44" s="124" t="s">
        <v>35</v>
      </c>
      <c r="B44" s="124"/>
      <c r="C44" s="124"/>
      <c r="D44" s="124"/>
      <c r="E44" s="169">
        <f>E46/E42-E43</f>
        <v>2.5338799603445294</v>
      </c>
      <c r="F44" s="169"/>
      <c r="G44" s="169"/>
      <c r="H44" s="169"/>
    </row>
    <row r="45" spans="1:19" x14ac:dyDescent="0.35">
      <c r="A45" s="124" t="s">
        <v>36</v>
      </c>
      <c r="B45" s="124"/>
      <c r="C45" s="124"/>
      <c r="D45" s="124"/>
      <c r="E45" s="169">
        <f>E43+E44</f>
        <v>3.5338799603445294</v>
      </c>
      <c r="F45" s="169"/>
      <c r="G45" s="169"/>
      <c r="H45" s="169"/>
    </row>
    <row r="46" spans="1:19" x14ac:dyDescent="0.35">
      <c r="A46" s="124" t="s">
        <v>89</v>
      </c>
      <c r="B46" s="124"/>
      <c r="C46" s="124"/>
      <c r="D46" s="124"/>
      <c r="E46" s="170">
        <v>7770.79</v>
      </c>
      <c r="F46" s="170"/>
      <c r="G46" s="170"/>
      <c r="H46" s="170"/>
    </row>
    <row r="47" spans="1:19" x14ac:dyDescent="0.35">
      <c r="A47" s="167" t="s">
        <v>37</v>
      </c>
      <c r="B47" s="167"/>
      <c r="C47" s="167"/>
      <c r="D47" s="167"/>
      <c r="E47" s="171" t="s">
        <v>365</v>
      </c>
      <c r="F47" s="171"/>
      <c r="G47" s="171"/>
      <c r="H47" s="171"/>
    </row>
    <row r="48" spans="1:19" x14ac:dyDescent="0.35">
      <c r="A48" s="158" t="s">
        <v>38</v>
      </c>
      <c r="B48" s="158"/>
      <c r="C48" s="158"/>
      <c r="D48" s="158"/>
      <c r="E48" s="158"/>
      <c r="F48" s="158"/>
      <c r="G48" s="158"/>
      <c r="H48" s="158"/>
    </row>
    <row r="49" spans="1:24" ht="33.75" customHeight="1" x14ac:dyDescent="0.35">
      <c r="A49" s="160" t="s">
        <v>150</v>
      </c>
      <c r="B49" s="162"/>
      <c r="C49" s="172" t="s">
        <v>254</v>
      </c>
      <c r="D49" s="173"/>
      <c r="E49" s="173"/>
      <c r="F49" s="173"/>
      <c r="G49" s="173"/>
      <c r="H49" s="174"/>
      <c r="R49" t="s">
        <v>252</v>
      </c>
      <c r="S49" s="55" t="s">
        <v>172</v>
      </c>
      <c r="T49" s="55" t="s">
        <v>180</v>
      </c>
      <c r="U49" s="55" t="s">
        <v>194</v>
      </c>
      <c r="V49" s="55" t="s">
        <v>189</v>
      </c>
    </row>
    <row r="50" spans="1:24" ht="31.5" customHeight="1" x14ac:dyDescent="0.35">
      <c r="A50" s="160" t="s">
        <v>39</v>
      </c>
      <c r="B50" s="162"/>
      <c r="C50" s="160" t="s">
        <v>372</v>
      </c>
      <c r="D50" s="161"/>
      <c r="E50" s="162"/>
      <c r="F50" s="17" t="s">
        <v>40</v>
      </c>
      <c r="G50" s="163">
        <v>45386</v>
      </c>
      <c r="H50" s="164"/>
      <c r="R50"/>
      <c r="S50" s="55" t="s">
        <v>253</v>
      </c>
      <c r="T50" s="55" t="s">
        <v>258</v>
      </c>
      <c r="U50" s="55" t="s">
        <v>269</v>
      </c>
      <c r="V50" s="55" t="s">
        <v>274</v>
      </c>
    </row>
    <row r="51" spans="1:24" ht="31.5" customHeight="1" x14ac:dyDescent="0.35">
      <c r="A51" s="160" t="s">
        <v>41</v>
      </c>
      <c r="B51" s="162"/>
      <c r="C51" s="160" t="str">
        <f>C50</f>
        <v>P-8238/2021/(552)/K/W Ward/VILE PARLE-K/W/337/2/Amend</v>
      </c>
      <c r="D51" s="161"/>
      <c r="E51" s="162"/>
      <c r="F51" s="17" t="s">
        <v>40</v>
      </c>
      <c r="G51" s="163">
        <f>G50</f>
        <v>45386</v>
      </c>
      <c r="H51" s="164"/>
      <c r="R51"/>
      <c r="S51" s="55" t="s">
        <v>254</v>
      </c>
      <c r="T51" s="55" t="s">
        <v>259</v>
      </c>
      <c r="U51" s="55" t="s">
        <v>267</v>
      </c>
      <c r="V51" s="55" t="s">
        <v>275</v>
      </c>
    </row>
    <row r="52" spans="1:24" s="21" customFormat="1" ht="51.75" customHeight="1" x14ac:dyDescent="0.35">
      <c r="A52" s="189" t="s">
        <v>154</v>
      </c>
      <c r="B52" s="190"/>
      <c r="C52" s="160" t="s">
        <v>424</v>
      </c>
      <c r="D52" s="161"/>
      <c r="E52" s="162"/>
      <c r="F52" s="17" t="s">
        <v>416</v>
      </c>
      <c r="G52" s="163" t="s">
        <v>425</v>
      </c>
      <c r="H52" s="164"/>
      <c r="I52" s="20" t="str">
        <f ca="1">IF(G52&gt;EDATE(E3,-48),"NO REMARK","CC REMARK FOR CC")</f>
        <v>NO REMARK</v>
      </c>
      <c r="J52" s="81"/>
      <c r="R52"/>
      <c r="S52" s="55" t="s">
        <v>255</v>
      </c>
      <c r="T52" s="55" t="s">
        <v>260</v>
      </c>
      <c r="U52" s="55" t="s">
        <v>257</v>
      </c>
      <c r="V52" s="55" t="s">
        <v>276</v>
      </c>
    </row>
    <row r="53" spans="1:24" s="21" customFormat="1" ht="51" customHeight="1" x14ac:dyDescent="0.35">
      <c r="A53" s="191"/>
      <c r="B53" s="192"/>
      <c r="C53" s="160" t="s">
        <v>426</v>
      </c>
      <c r="D53" s="161"/>
      <c r="E53" s="161"/>
      <c r="F53" s="161"/>
      <c r="G53" s="161"/>
      <c r="H53" s="162"/>
      <c r="R53"/>
      <c r="S53" s="55" t="s">
        <v>256</v>
      </c>
      <c r="T53" s="55" t="s">
        <v>263</v>
      </c>
      <c r="U53" s="55" t="s">
        <v>270</v>
      </c>
      <c r="V53" s="74" t="s">
        <v>348</v>
      </c>
    </row>
    <row r="54" spans="1:24" s="21" customFormat="1" ht="34.5" customHeight="1" x14ac:dyDescent="0.35">
      <c r="A54" s="185" t="s">
        <v>417</v>
      </c>
      <c r="B54" s="186"/>
      <c r="C54" s="160" t="s">
        <v>375</v>
      </c>
      <c r="D54" s="161"/>
      <c r="E54" s="162"/>
      <c r="F54" s="17" t="s">
        <v>40</v>
      </c>
      <c r="G54" s="163">
        <v>45090</v>
      </c>
      <c r="H54" s="164"/>
      <c r="K54" s="82" t="e">
        <f>EDATE(G52,-48)</f>
        <v>#VALUE!</v>
      </c>
      <c r="L54" s="21" t="str">
        <f ca="1">IF(G52&gt;EDATE(E3,-48),"NO REMARK","CC REMARK FOR CC")</f>
        <v>NO REMARK</v>
      </c>
      <c r="R54"/>
      <c r="S54" s="55" t="s">
        <v>255</v>
      </c>
      <c r="T54" s="55" t="s">
        <v>260</v>
      </c>
      <c r="U54" s="55" t="s">
        <v>257</v>
      </c>
      <c r="V54" s="55" t="s">
        <v>276</v>
      </c>
    </row>
    <row r="55" spans="1:24" s="21" customFormat="1" x14ac:dyDescent="0.35">
      <c r="A55" s="187"/>
      <c r="B55" s="188"/>
      <c r="C55" s="144" t="s">
        <v>376</v>
      </c>
      <c r="D55" s="145"/>
      <c r="E55" s="145"/>
      <c r="F55" s="145"/>
      <c r="G55" s="145"/>
      <c r="H55" s="146"/>
      <c r="R55"/>
      <c r="S55" s="55" t="s">
        <v>257</v>
      </c>
      <c r="T55" s="55" t="s">
        <v>261</v>
      </c>
      <c r="U55" s="55" t="s">
        <v>271</v>
      </c>
      <c r="V55" s="75"/>
      <c r="W55" s="19"/>
      <c r="X55" s="19"/>
    </row>
    <row r="56" spans="1:24" s="21" customFormat="1" ht="34.5" hidden="1" customHeight="1" x14ac:dyDescent="0.35">
      <c r="A56" s="185" t="s">
        <v>280</v>
      </c>
      <c r="B56" s="186"/>
      <c r="C56" s="160" t="str">
        <f>C55</f>
        <v>Wing A &amp; B = 2B + G + 1P + 1st to 11th Floor (Height = 42.72m)</v>
      </c>
      <c r="D56" s="161"/>
      <c r="E56" s="162"/>
      <c r="F56" s="17" t="s">
        <v>40</v>
      </c>
      <c r="G56" s="163">
        <f>G55</f>
        <v>0</v>
      </c>
      <c r="H56" s="164"/>
      <c r="R56"/>
      <c r="S56" s="75"/>
      <c r="T56" s="55" t="s">
        <v>262</v>
      </c>
      <c r="U56" s="55" t="s">
        <v>272</v>
      </c>
      <c r="V56" s="75"/>
      <c r="W56" s="19"/>
      <c r="X56" s="19"/>
    </row>
    <row r="57" spans="1:24" s="21" customFormat="1" ht="41.25" hidden="1" customHeight="1" x14ac:dyDescent="0.35">
      <c r="A57" s="187"/>
      <c r="B57" s="188"/>
      <c r="C57" s="160"/>
      <c r="D57" s="161"/>
      <c r="E57" s="161"/>
      <c r="F57" s="161"/>
      <c r="G57" s="161"/>
      <c r="H57" s="162"/>
      <c r="R57"/>
      <c r="S57" s="75"/>
      <c r="T57" s="55" t="s">
        <v>264</v>
      </c>
      <c r="U57" s="55" t="s">
        <v>273</v>
      </c>
      <c r="V57" s="75"/>
      <c r="W57" s="19"/>
      <c r="X57" s="19"/>
    </row>
    <row r="58" spans="1:24" s="21" customFormat="1" ht="15.75" customHeight="1" x14ac:dyDescent="0.35">
      <c r="A58" s="159" t="s">
        <v>351</v>
      </c>
      <c r="B58" s="159"/>
      <c r="C58" s="165" t="s">
        <v>373</v>
      </c>
      <c r="D58" s="165"/>
      <c r="E58" s="165"/>
      <c r="F58" s="17" t="s">
        <v>40</v>
      </c>
      <c r="G58" s="166">
        <v>44467</v>
      </c>
      <c r="H58" s="166"/>
      <c r="R58"/>
      <c r="S58" s="75"/>
      <c r="T58" s="55" t="s">
        <v>265</v>
      </c>
      <c r="U58" s="75" t="s">
        <v>294</v>
      </c>
      <c r="V58" s="75"/>
      <c r="W58" s="19"/>
      <c r="X58" s="19"/>
    </row>
    <row r="59" spans="1:24" s="21" customFormat="1" ht="33.75" customHeight="1" x14ac:dyDescent="0.35">
      <c r="A59" s="159"/>
      <c r="B59" s="159"/>
      <c r="C59" s="165" t="s">
        <v>374</v>
      </c>
      <c r="D59" s="165"/>
      <c r="E59" s="165"/>
      <c r="F59" s="17" t="s">
        <v>352</v>
      </c>
      <c r="G59" s="166">
        <v>47388</v>
      </c>
      <c r="H59" s="166"/>
      <c r="R59"/>
      <c r="S59" s="75"/>
      <c r="T59" s="55" t="s">
        <v>266</v>
      </c>
      <c r="U59" s="75"/>
      <c r="V59" s="75"/>
      <c r="W59" s="19"/>
      <c r="X59" s="19"/>
    </row>
    <row r="60" spans="1:24" x14ac:dyDescent="0.35">
      <c r="A60" s="148" t="s">
        <v>42</v>
      </c>
      <c r="B60" s="148"/>
      <c r="C60" s="148" t="s">
        <v>103</v>
      </c>
      <c r="D60" s="148"/>
      <c r="E60" s="148"/>
      <c r="F60" s="98" t="s">
        <v>40</v>
      </c>
      <c r="G60" s="228" t="s">
        <v>28</v>
      </c>
      <c r="H60" s="228"/>
      <c r="R60"/>
      <c r="S60" s="75"/>
      <c r="T60" s="55" t="s">
        <v>268</v>
      </c>
      <c r="U60" s="75"/>
      <c r="V60" s="75"/>
    </row>
    <row r="61" spans="1:24" x14ac:dyDescent="0.35">
      <c r="A61" s="175" t="s">
        <v>44</v>
      </c>
      <c r="B61" s="175"/>
      <c r="C61" s="175"/>
      <c r="D61" s="175"/>
      <c r="E61" s="175"/>
      <c r="F61" s="175"/>
      <c r="G61" s="175"/>
      <c r="H61" s="175"/>
      <c r="S61" s="75"/>
      <c r="T61" s="55" t="s">
        <v>277</v>
      </c>
      <c r="U61" s="75"/>
      <c r="V61" s="75"/>
    </row>
    <row r="62" spans="1:24" x14ac:dyDescent="0.35">
      <c r="A62" s="165" t="s">
        <v>88</v>
      </c>
      <c r="B62" s="165"/>
      <c r="C62" s="165"/>
      <c r="D62" s="124">
        <f>E46</f>
        <v>7770.79</v>
      </c>
      <c r="E62" s="124"/>
      <c r="F62" s="124"/>
      <c r="G62" s="124"/>
      <c r="H62" s="124"/>
      <c r="R62"/>
    </row>
    <row r="63" spans="1:24" x14ac:dyDescent="0.35">
      <c r="A63" s="141" t="s">
        <v>45</v>
      </c>
      <c r="B63" s="167"/>
      <c r="C63" s="167"/>
      <c r="D63" s="171" t="s">
        <v>410</v>
      </c>
      <c r="E63" s="171"/>
      <c r="F63" s="171"/>
      <c r="G63" s="171"/>
      <c r="H63" s="171"/>
      <c r="I63" s="22"/>
      <c r="R63"/>
    </row>
    <row r="64" spans="1:24" ht="34.5" customHeight="1" x14ac:dyDescent="0.35">
      <c r="A64" s="141" t="s">
        <v>46</v>
      </c>
      <c r="B64" s="141"/>
      <c r="C64" s="141"/>
      <c r="D64" s="159" t="s">
        <v>379</v>
      </c>
      <c r="E64" s="171"/>
      <c r="F64" s="171"/>
      <c r="G64" s="171"/>
      <c r="H64" s="171"/>
      <c r="R64"/>
    </row>
    <row r="65" spans="1:19" ht="15.75" customHeight="1" x14ac:dyDescent="0.35">
      <c r="A65" s="141" t="s">
        <v>86</v>
      </c>
      <c r="B65" s="141"/>
      <c r="C65" s="141"/>
      <c r="D65" s="171" t="s">
        <v>378</v>
      </c>
      <c r="E65" s="171"/>
      <c r="F65" s="171"/>
      <c r="G65" s="171"/>
      <c r="H65" s="171"/>
      <c r="R65"/>
    </row>
    <row r="66" spans="1:19" ht="15.75" customHeight="1" x14ac:dyDescent="0.35">
      <c r="A66" s="141"/>
      <c r="B66" s="141"/>
      <c r="C66" s="141"/>
      <c r="D66" s="171" t="s">
        <v>380</v>
      </c>
      <c r="E66" s="171"/>
      <c r="F66" s="171"/>
      <c r="G66" s="171"/>
      <c r="H66" s="171"/>
      <c r="R66"/>
    </row>
    <row r="67" spans="1:19" ht="15.75" hidden="1" customHeight="1" x14ac:dyDescent="0.35">
      <c r="A67" s="141"/>
      <c r="B67" s="141"/>
      <c r="C67" s="141"/>
      <c r="D67" s="229" t="s">
        <v>168</v>
      </c>
      <c r="E67" s="229"/>
      <c r="F67" s="229"/>
      <c r="G67" s="229"/>
      <c r="H67" s="229"/>
      <c r="S67"/>
    </row>
    <row r="68" spans="1:19" ht="15.75" customHeight="1" x14ac:dyDescent="0.35">
      <c r="A68" s="124" t="s">
        <v>43</v>
      </c>
      <c r="B68" s="124"/>
      <c r="C68" s="124"/>
      <c r="D68" s="159" t="s">
        <v>377</v>
      </c>
      <c r="E68" s="159"/>
      <c r="F68" s="159"/>
      <c r="G68" s="159"/>
      <c r="H68" s="159"/>
      <c r="J68" s="23"/>
      <c r="K68" s="22"/>
      <c r="N68" s="22"/>
      <c r="S68"/>
    </row>
    <row r="69" spans="1:19" ht="15.75" customHeight="1" x14ac:dyDescent="0.35">
      <c r="A69" s="124" t="s">
        <v>84</v>
      </c>
      <c r="B69" s="124"/>
      <c r="C69" s="124"/>
      <c r="D69" s="168" t="str">
        <f>(IF(G60="NA","60 Years After Completion",IF(G60&lt;&gt;"NA",""&amp;60-ROUNDDOWN((E3-G60)/360,0)&amp;" Years"," ")))</f>
        <v>60 Years After Completion</v>
      </c>
      <c r="E69" s="168"/>
      <c r="F69" s="168"/>
      <c r="G69" s="168"/>
      <c r="H69" s="168"/>
      <c r="N69" s="22"/>
      <c r="S69"/>
    </row>
    <row r="70" spans="1:19" ht="15.75" customHeight="1" x14ac:dyDescent="0.35">
      <c r="A70" s="124" t="s">
        <v>85</v>
      </c>
      <c r="B70" s="124"/>
      <c r="C70" s="124"/>
      <c r="D70" s="165" t="s">
        <v>23</v>
      </c>
      <c r="E70" s="165"/>
      <c r="F70" s="165"/>
      <c r="G70" s="165"/>
      <c r="H70" s="165"/>
      <c r="J70" s="24"/>
      <c r="K70" s="24"/>
      <c r="S70"/>
    </row>
    <row r="71" spans="1:19" ht="38.5" customHeight="1" x14ac:dyDescent="0.35">
      <c r="A71" s="171" t="s">
        <v>411</v>
      </c>
      <c r="B71" s="171"/>
      <c r="C71" s="171"/>
      <c r="D71" s="141" t="s">
        <v>381</v>
      </c>
      <c r="E71" s="165"/>
      <c r="F71" s="165"/>
      <c r="G71" s="165"/>
      <c r="H71" s="165"/>
      <c r="I71" s="86" t="s">
        <v>382</v>
      </c>
      <c r="S71"/>
    </row>
    <row r="72" spans="1:19" x14ac:dyDescent="0.35">
      <c r="A72" s="165" t="s">
        <v>146</v>
      </c>
      <c r="B72" s="165"/>
      <c r="C72" s="165"/>
      <c r="D72" s="165" t="s">
        <v>28</v>
      </c>
      <c r="E72" s="165"/>
      <c r="F72" s="165"/>
      <c r="G72" s="165"/>
      <c r="H72" s="165"/>
      <c r="I72" s="25"/>
      <c r="J72" s="25"/>
      <c r="K72" s="25"/>
      <c r="L72" s="25"/>
      <c r="M72" s="25"/>
      <c r="N72" s="25"/>
    </row>
    <row r="73" spans="1:19" ht="15.75" customHeight="1" x14ac:dyDescent="0.35">
      <c r="A73" s="124" t="s">
        <v>83</v>
      </c>
      <c r="B73" s="124"/>
      <c r="C73" s="124"/>
      <c r="D73" s="141" t="str">
        <f ca="1">(IF(G79&gt;95%,"Nothing",IF(G79&gt;0%,"Cement, Aggregate, Steel, etc",IF(G79=0%,"Work not yet Started"))))</f>
        <v>Cement, Aggregate, Steel, etc</v>
      </c>
      <c r="E73" s="141"/>
      <c r="F73" s="141"/>
      <c r="G73" s="141"/>
      <c r="H73" s="141"/>
      <c r="J73" s="24"/>
      <c r="S73"/>
    </row>
    <row r="74" spans="1:19" ht="33.75" customHeight="1" thickBot="1" x14ac:dyDescent="0.4">
      <c r="A74" s="183" t="s">
        <v>116</v>
      </c>
      <c r="B74" s="183"/>
      <c r="C74" s="183"/>
      <c r="D74" s="184" t="str">
        <f ca="1">(IF(D73="Nothing","Yes",IF(D73="Cement, Aggregate, Steel, etc","Under Construction",IF(D73="Work not yet Started","Work not yet Started"))))</f>
        <v>Under Construction</v>
      </c>
      <c r="E74" s="184"/>
      <c r="F74" s="184" t="str">
        <f ca="1">(IF(D73="Nothing","Yes",IF(D73="Cement, Aggregate, Steel, etc","Under Construction",IF(D73="Work not yet Started","Work not yet Started"))))</f>
        <v>Under Construction</v>
      </c>
      <c r="G74" s="184"/>
      <c r="H74" s="184"/>
      <c r="S74"/>
    </row>
    <row r="75" spans="1:19" ht="15.75" customHeight="1" x14ac:dyDescent="0.35">
      <c r="A75" s="177" t="s">
        <v>136</v>
      </c>
      <c r="B75" s="178"/>
      <c r="C75" s="179" t="str">
        <f>D65</f>
        <v>Wing A = 2B + G + 1P + 1st to 11th Floor</v>
      </c>
      <c r="D75" s="180"/>
      <c r="E75" s="180"/>
      <c r="F75" s="180"/>
      <c r="G75" s="180"/>
      <c r="H75" s="181"/>
      <c r="I75" s="45" t="str">
        <f ca="1">IF(D88=100%,"All work Completed. Possession granted to the Building.",IF(D87=100%,"All work Completed, Waiting for OC",I76&amp;""&amp;I77&amp;""&amp;J76&amp;""&amp;J75&amp;" "&amp;J77))</f>
        <v>Excavation, Plinth Completed, RCC upto 3 Slab Completed</v>
      </c>
      <c r="J75" s="46"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3 Slab</v>
      </c>
      <c r="S75"/>
    </row>
    <row r="76" spans="1:19" x14ac:dyDescent="0.35">
      <c r="A76" s="15" t="s">
        <v>138</v>
      </c>
      <c r="B76" s="49">
        <f>IF(AND(ISNUMBER(SEARCH("1B",C75))),1,IF(AND(ISNUMBER(SEARCH("2B",C75))),2,IF(AND(ISNUMBER(SEARCH("3B",C75))),3,IF(AND(ISNUMBER(SEARCH("4B",C75))),4,IF(ISNUMBER(SEARCH("5B",C75)),5,0)))))</f>
        <v>2</v>
      </c>
      <c r="C76" s="43" t="s">
        <v>69</v>
      </c>
      <c r="D76" s="43">
        <v>1</v>
      </c>
      <c r="E76" s="43" t="s">
        <v>68</v>
      </c>
      <c r="F76" s="88">
        <v>1</v>
      </c>
      <c r="G76" s="44" t="s">
        <v>77</v>
      </c>
      <c r="H76" s="16">
        <f ca="1">--TRIM(RIGHT(SUBSTITUTE(LEFT(C75,_xlfn.AGGREGATE(16,6,FIND({0,1,2,3,4,5,6,7,8,9},C75,ROW(INDIRECT("1:"&amp;LEN(C75)))),1))," ",REPT(" ",LEN(C75))),LEN(C75)))</f>
        <v>11</v>
      </c>
      <c r="I76" s="47" t="str">
        <f ca="1">IF(D79=100%,"Excavation","")&amp;IF(D80=100%,", Plinth","")&amp;IF(D81=100%,", RCC Slab","")&amp;IF(D82=100%,", Brickwork","")&amp;IF(D83=100%,", Internal Plaster","")&amp;IF(D84=100%,", External Plaster","")&amp;IF(D85=100%,", Flooring","")&amp;IF(D86=100%,", Painting","")&amp;IF(D87=100%,", Building common Amenities","")</f>
        <v>Excavation, Plinth</v>
      </c>
      <c r="J76" s="48"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5">
      <c r="A77" s="176" t="s">
        <v>87</v>
      </c>
      <c r="B77" s="154"/>
      <c r="C77" s="152" t="str">
        <f ca="1">I75</f>
        <v>Excavation, Plinth Completed, RCC upto 3 Slab Completed</v>
      </c>
      <c r="D77" s="152"/>
      <c r="E77" s="152"/>
      <c r="F77" s="152"/>
      <c r="G77" s="152"/>
      <c r="H77" s="182"/>
      <c r="I77" s="47" t="str">
        <f ca="1">IF(I76&lt;&gt;""," Completed","")</f>
        <v xml:space="preserve"> Completed</v>
      </c>
      <c r="J77" s="48" t="str">
        <f ca="1">IF(J75&lt;&gt;"","Completed","")</f>
        <v>Completed</v>
      </c>
      <c r="S77"/>
    </row>
    <row r="78" spans="1:19" ht="15.75" customHeight="1" x14ac:dyDescent="0.35">
      <c r="A78" s="117" t="s">
        <v>47</v>
      </c>
      <c r="B78" s="115"/>
      <c r="C78" s="41" t="s">
        <v>135</v>
      </c>
      <c r="D78" s="41" t="s">
        <v>80</v>
      </c>
      <c r="E78" s="115" t="s">
        <v>82</v>
      </c>
      <c r="F78" s="115"/>
      <c r="G78" s="115" t="s">
        <v>81</v>
      </c>
      <c r="H78" s="231"/>
      <c r="I78" s="13" t="s">
        <v>137</v>
      </c>
      <c r="J78" s="26">
        <f ca="1">H76*25%</f>
        <v>2.75</v>
      </c>
      <c r="S78"/>
    </row>
    <row r="79" spans="1:19" x14ac:dyDescent="0.35">
      <c r="A79" s="117" t="s">
        <v>124</v>
      </c>
      <c r="B79" s="115"/>
      <c r="C79" s="87">
        <f ca="1">J80</f>
        <v>11</v>
      </c>
      <c r="D79" s="18">
        <f ca="1">((100/H76)*C79)/100</f>
        <v>1.0000000000000002</v>
      </c>
      <c r="E79" s="118">
        <f ca="1">(((C80/H76*10)+(40/(D76+F76+H76)*C81)+(7.5/(H76)*C82)+(7.5/(H76)*C83)+(10/H76*C84)+(10/H76*C85)+(5/H76*C86)+(5/H76*C87)+(5/H76*C88))/100)</f>
        <v>0.19230769230769235</v>
      </c>
      <c r="F79" s="119"/>
      <c r="G79" s="118">
        <f ca="1">((((C79/H76)*20)+((C80/H76)*25)+(30/(H76+F76+D76)*C81)+(5/H76*C82)+(5/H76*C83)+(5/H76*C84)+(5/H76*C85)+(0/H76*C86)+(0/H76*C87)+(5/H76*C88))/100)</f>
        <v>0.51923076923076916</v>
      </c>
      <c r="H79" s="122"/>
      <c r="I79" s="13" t="s">
        <v>98</v>
      </c>
      <c r="J79" s="27">
        <f ca="1">H76*50%</f>
        <v>5.5</v>
      </c>
    </row>
    <row r="80" spans="1:19" x14ac:dyDescent="0.35">
      <c r="A80" s="117" t="s">
        <v>48</v>
      </c>
      <c r="B80" s="115"/>
      <c r="C80" s="89">
        <f ca="1">J88</f>
        <v>11</v>
      </c>
      <c r="D80" s="18">
        <f ca="1">((100/H76)*C80)/100</f>
        <v>1.0000000000000002</v>
      </c>
      <c r="E80" s="120"/>
      <c r="F80" s="121"/>
      <c r="G80" s="120"/>
      <c r="H80" s="123"/>
      <c r="I80" s="13" t="s">
        <v>99</v>
      </c>
      <c r="J80" s="27">
        <f ca="1">H76</f>
        <v>11</v>
      </c>
      <c r="S80"/>
    </row>
    <row r="81" spans="1:19" ht="15.75" customHeight="1" x14ac:dyDescent="0.35">
      <c r="A81" s="117" t="s">
        <v>125</v>
      </c>
      <c r="B81" s="115"/>
      <c r="C81" s="41">
        <v>3</v>
      </c>
      <c r="D81" s="18">
        <f ca="1">((100/(D76+F76+H76))*C81)/100</f>
        <v>0.23076923076923075</v>
      </c>
      <c r="E81" s="120"/>
      <c r="F81" s="121"/>
      <c r="G81" s="120"/>
      <c r="H81" s="123"/>
      <c r="I81" s="13" t="s">
        <v>100</v>
      </c>
      <c r="J81" s="28">
        <f ca="1">(IF(B76&gt;1,(H76/(B76+2)),H76/4))</f>
        <v>2.75</v>
      </c>
      <c r="S81"/>
    </row>
    <row r="82" spans="1:19" ht="15.75" customHeight="1" x14ac:dyDescent="0.35">
      <c r="A82" s="117" t="s">
        <v>132</v>
      </c>
      <c r="B82" s="115" t="s">
        <v>126</v>
      </c>
      <c r="C82" s="41">
        <v>0</v>
      </c>
      <c r="D82" s="18">
        <f ca="1">((100/H76)*C82)/100</f>
        <v>0</v>
      </c>
      <c r="E82" s="120"/>
      <c r="F82" s="121"/>
      <c r="G82" s="120"/>
      <c r="H82" s="123"/>
      <c r="I82" s="13" t="s">
        <v>101</v>
      </c>
      <c r="J82" s="28">
        <f ca="1">(IF(B76&gt;1,(H76/(B76+2)+J81),H76/4+J81))</f>
        <v>5.5</v>
      </c>
    </row>
    <row r="83" spans="1:19" ht="15.75" customHeight="1" x14ac:dyDescent="0.35">
      <c r="A83" s="117" t="s">
        <v>133</v>
      </c>
      <c r="B83" s="115" t="s">
        <v>126</v>
      </c>
      <c r="C83" s="41">
        <v>0</v>
      </c>
      <c r="D83" s="18">
        <f ca="1">((100/H76)*C83)/100</f>
        <v>0</v>
      </c>
      <c r="E83" s="120"/>
      <c r="F83" s="121"/>
      <c r="G83" s="120"/>
      <c r="H83" s="123"/>
      <c r="I83" s="13" t="s">
        <v>144</v>
      </c>
      <c r="J83" s="28">
        <f ca="1">(IF(B76&gt;1,(H76/(B76+2)+J82),0))</f>
        <v>8.25</v>
      </c>
    </row>
    <row r="84" spans="1:19" ht="15" customHeight="1" x14ac:dyDescent="0.35">
      <c r="A84" s="117" t="s">
        <v>131</v>
      </c>
      <c r="B84" s="115" t="s">
        <v>128</v>
      </c>
      <c r="C84" s="59">
        <v>0</v>
      </c>
      <c r="D84" s="18">
        <f ca="1">((100/(H76))*C84)/100</f>
        <v>0</v>
      </c>
      <c r="E84" s="120"/>
      <c r="F84" s="121"/>
      <c r="G84" s="120"/>
      <c r="H84" s="123"/>
      <c r="I84" s="13" t="s">
        <v>139</v>
      </c>
      <c r="J84" s="28">
        <f>(IF(B76&gt;2,(H76/(B76+2)+J83),0))</f>
        <v>0</v>
      </c>
    </row>
    <row r="85" spans="1:19" ht="15.75" customHeight="1" x14ac:dyDescent="0.35">
      <c r="A85" s="117" t="s">
        <v>127</v>
      </c>
      <c r="B85" s="115" t="s">
        <v>127</v>
      </c>
      <c r="C85" s="41">
        <v>0</v>
      </c>
      <c r="D85" s="18">
        <f ca="1">((100/H76)*C85)/100</f>
        <v>0</v>
      </c>
      <c r="E85" s="120"/>
      <c r="F85" s="121"/>
      <c r="G85" s="120"/>
      <c r="H85" s="123"/>
      <c r="I85" s="13" t="s">
        <v>140</v>
      </c>
      <c r="J85" s="29">
        <f>(IF(B76&gt;3,(H76/(B76+2)+J84),0))</f>
        <v>0</v>
      </c>
    </row>
    <row r="86" spans="1:19" ht="15.75" customHeight="1" x14ac:dyDescent="0.35">
      <c r="A86" s="117" t="s">
        <v>134</v>
      </c>
      <c r="B86" s="115"/>
      <c r="C86" s="41">
        <v>0</v>
      </c>
      <c r="D86" s="18">
        <f ca="1">((100/H76)*C86)/100</f>
        <v>0</v>
      </c>
      <c r="E86" s="120"/>
      <c r="F86" s="121"/>
      <c r="G86" s="120"/>
      <c r="H86" s="123"/>
      <c r="I86" s="13" t="s">
        <v>141</v>
      </c>
      <c r="J86" s="28">
        <f>(IF(B76&gt;4,(H76/(B76+2)+J85),0))</f>
        <v>0</v>
      </c>
    </row>
    <row r="87" spans="1:19" ht="15.75" customHeight="1" x14ac:dyDescent="0.35">
      <c r="A87" s="117" t="s">
        <v>129</v>
      </c>
      <c r="B87" s="115" t="s">
        <v>129</v>
      </c>
      <c r="C87" s="41">
        <v>0</v>
      </c>
      <c r="D87" s="18">
        <f ca="1">((100/(H76))*C87)/100</f>
        <v>0</v>
      </c>
      <c r="E87" s="120"/>
      <c r="F87" s="121"/>
      <c r="G87" s="120"/>
      <c r="H87" s="123"/>
      <c r="I87" s="13" t="s">
        <v>145</v>
      </c>
      <c r="J87" s="28">
        <f>(IF(B76=1,(H76/(B76+3)+J82),IF(B76=0,(H76/4+J82),IF(B76&gt;1,0))))</f>
        <v>0</v>
      </c>
    </row>
    <row r="88" spans="1:19" ht="16" thickBot="1" x14ac:dyDescent="0.4">
      <c r="A88" s="232" t="s">
        <v>130</v>
      </c>
      <c r="B88" s="233"/>
      <c r="C88" s="105">
        <v>0</v>
      </c>
      <c r="D88" s="106">
        <f ca="1">((100/(H76))*C88)/100</f>
        <v>0</v>
      </c>
      <c r="E88" s="120"/>
      <c r="F88" s="121"/>
      <c r="G88" s="120"/>
      <c r="H88" s="123"/>
      <c r="I88" s="14" t="s">
        <v>102</v>
      </c>
      <c r="J88" s="30">
        <f ca="1">(IF(B76&gt;1.5,(H76/(B76+2)+J82+MAX(0,J83-J82)+MAX(0,J84-J83)+MAX(0,J85-J84)+MAX(0,J86-J85)+MAX(0,J87-J86)),IF(B76=1,(H76/(B76+3)+J87),IF(B76=0,H76/4+J87))))</f>
        <v>11</v>
      </c>
    </row>
    <row r="89" spans="1:19" ht="15.75" customHeight="1" x14ac:dyDescent="0.35">
      <c r="A89" s="147" t="s">
        <v>136</v>
      </c>
      <c r="B89" s="147"/>
      <c r="C89" s="148" t="str">
        <f>D66</f>
        <v>Wing B = 2B + G + 1P + 1st to 11th Floor</v>
      </c>
      <c r="D89" s="148"/>
      <c r="E89" s="148"/>
      <c r="F89" s="148"/>
      <c r="G89" s="148"/>
      <c r="H89" s="148"/>
      <c r="I89" s="103" t="str">
        <f ca="1">IF(D102=100%,"All work Completed. Possession granted to the Building.",IF(D101=100%,"All work Completed, Waiting for OC",I90&amp;""&amp;I91&amp;""&amp;J90&amp;""&amp;J89&amp;" "&amp;J91))</f>
        <v>Excavation, Plinth Completed, RCC upto 3 Slab Completed</v>
      </c>
      <c r="J89" s="46"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3 Slab</v>
      </c>
      <c r="S89"/>
    </row>
    <row r="90" spans="1:19" x14ac:dyDescent="0.35">
      <c r="A90" s="102" t="s">
        <v>138</v>
      </c>
      <c r="B90" s="102">
        <f>IF(AND(ISNUMBER(SEARCH("1B",C89))),1,IF(AND(ISNUMBER(SEARCH("2B",C89))),2,IF(AND(ISNUMBER(SEARCH("3B",C89))),3,IF(AND(ISNUMBER(SEARCH("4B",C89))),4,IF(ISNUMBER(SEARCH("5B",C89)),5,0)))))</f>
        <v>2</v>
      </c>
      <c r="C90" s="102" t="s">
        <v>69</v>
      </c>
      <c r="D90" s="102">
        <v>1</v>
      </c>
      <c r="E90" s="102" t="s">
        <v>68</v>
      </c>
      <c r="F90" s="88">
        <v>1</v>
      </c>
      <c r="G90" s="44" t="s">
        <v>77</v>
      </c>
      <c r="H90" s="102">
        <f ca="1">--TRIM(RIGHT(SUBSTITUTE(LEFT(C89,_xlfn.AGGREGATE(16,6,FIND({0,1,2,3,4,5,6,7,8,9},C89,ROW(INDIRECT("1:"&amp;LEN(C89)))),1))," ",REPT(" ",LEN(C89))),LEN(C89)))</f>
        <v>11</v>
      </c>
      <c r="I90" s="104" t="str">
        <f ca="1">IF(D93=100%,"Excavation","")&amp;IF(D94=100%,", Plinth","")&amp;IF(D95=100%,", RCC Slab","")&amp;IF(D96=100%,", Brickwork","")&amp;IF(D97=100%,", Internal Plaster","")&amp;IF(D98=100%,", External Plaster","")&amp;IF(D99=100%,", Flooring","")&amp;IF(D100=100%,", Painting","")&amp;IF(D101=100%,", Building common Amenities","")</f>
        <v>Excavation, Plinth</v>
      </c>
      <c r="J90" s="48"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x14ac:dyDescent="0.35">
      <c r="A91" s="154" t="s">
        <v>87</v>
      </c>
      <c r="B91" s="154"/>
      <c r="C91" s="152" t="str">
        <f ca="1">I89</f>
        <v>Excavation, Plinth Completed, RCC upto 3 Slab Completed</v>
      </c>
      <c r="D91" s="152"/>
      <c r="E91" s="152"/>
      <c r="F91" s="152"/>
      <c r="G91" s="152"/>
      <c r="H91" s="152"/>
      <c r="I91" s="104" t="str">
        <f ca="1">IF(I90&lt;&gt;""," Completed","")</f>
        <v xml:space="preserve"> Completed</v>
      </c>
      <c r="J91" s="48" t="str">
        <f ca="1">IF(J89&lt;&gt;"","Completed","")</f>
        <v>Completed</v>
      </c>
      <c r="S91"/>
    </row>
    <row r="92" spans="1:19" ht="15.75" customHeight="1" x14ac:dyDescent="0.35">
      <c r="A92" s="115" t="s">
        <v>47</v>
      </c>
      <c r="B92" s="115"/>
      <c r="C92" s="99" t="s">
        <v>135</v>
      </c>
      <c r="D92" s="99" t="s">
        <v>80</v>
      </c>
      <c r="E92" s="115" t="s">
        <v>82</v>
      </c>
      <c r="F92" s="115"/>
      <c r="G92" s="115" t="s">
        <v>81</v>
      </c>
      <c r="H92" s="115"/>
      <c r="I92" s="13" t="s">
        <v>137</v>
      </c>
      <c r="J92" s="26">
        <f ca="1">H90*25%</f>
        <v>2.75</v>
      </c>
      <c r="S92"/>
    </row>
    <row r="93" spans="1:19" x14ac:dyDescent="0.35">
      <c r="A93" s="115" t="s">
        <v>124</v>
      </c>
      <c r="B93" s="115"/>
      <c r="C93" s="99">
        <f ca="1">J94</f>
        <v>11</v>
      </c>
      <c r="D93" s="18">
        <f ca="1">((100/H90)*C93)/100</f>
        <v>1.0000000000000002</v>
      </c>
      <c r="E93" s="116">
        <f ca="1">(((C94/H90*10)+(40/(D90+F90+H90)*C95)+(7.5/(H90)*C96)+(7.5/(H90)*C97)+(10/H90*C98)+(10/H90*C99)+(5/H90*C100)+(5/H90*C101)+(5/H90*C102))/100)</f>
        <v>0.19230769230769235</v>
      </c>
      <c r="F93" s="116"/>
      <c r="G93" s="116">
        <f ca="1">((((C93/H90)*20)+((C94/H90)*25)+(30/(H90+F90+D90)*C95)+(5/H90*C96)+(5/H90*C97)+(5/H90*C98)+(5/H90*C99)+(0/H90*C100)+(0/H90*C101)+(5/H90*C102))/100)</f>
        <v>0.51923076923076916</v>
      </c>
      <c r="H93" s="116"/>
      <c r="I93" s="13" t="s">
        <v>98</v>
      </c>
      <c r="J93" s="27">
        <f ca="1">H90*50%</f>
        <v>5.5</v>
      </c>
    </row>
    <row r="94" spans="1:19" x14ac:dyDescent="0.35">
      <c r="A94" s="115" t="s">
        <v>48</v>
      </c>
      <c r="B94" s="115"/>
      <c r="C94" s="89">
        <f ca="1">J102</f>
        <v>11</v>
      </c>
      <c r="D94" s="18">
        <f ca="1">((100/H90)*C94)/100</f>
        <v>1.0000000000000002</v>
      </c>
      <c r="E94" s="116"/>
      <c r="F94" s="116"/>
      <c r="G94" s="116"/>
      <c r="H94" s="116"/>
      <c r="I94" s="13" t="s">
        <v>99</v>
      </c>
      <c r="J94" s="27">
        <f ca="1">H90</f>
        <v>11</v>
      </c>
      <c r="S94"/>
    </row>
    <row r="95" spans="1:19" ht="15.75" customHeight="1" x14ac:dyDescent="0.35">
      <c r="A95" s="115" t="s">
        <v>125</v>
      </c>
      <c r="B95" s="115"/>
      <c r="C95" s="99">
        <v>3</v>
      </c>
      <c r="D95" s="18">
        <f ca="1">((100/(D90+F90+H90))*C95)/100</f>
        <v>0.23076923076923075</v>
      </c>
      <c r="E95" s="116"/>
      <c r="F95" s="116"/>
      <c r="G95" s="116"/>
      <c r="H95" s="116"/>
      <c r="I95" s="13" t="s">
        <v>100</v>
      </c>
      <c r="J95" s="28">
        <f ca="1">(IF(B90&gt;1,(H90/(B90+2)),H90/4))</f>
        <v>2.75</v>
      </c>
      <c r="S95"/>
    </row>
    <row r="96" spans="1:19" ht="15.75" customHeight="1" x14ac:dyDescent="0.35">
      <c r="A96" s="115" t="s">
        <v>132</v>
      </c>
      <c r="B96" s="115" t="s">
        <v>126</v>
      </c>
      <c r="C96" s="99">
        <v>0</v>
      </c>
      <c r="D96" s="18">
        <f ca="1">((100/H90)*C96)/100</f>
        <v>0</v>
      </c>
      <c r="E96" s="116"/>
      <c r="F96" s="116"/>
      <c r="G96" s="116"/>
      <c r="H96" s="116"/>
      <c r="I96" s="13" t="s">
        <v>101</v>
      </c>
      <c r="J96" s="28">
        <f ca="1">(IF(B90&gt;1,(H90/(B90+2)+J95),H90/4+J95))</f>
        <v>5.5</v>
      </c>
    </row>
    <row r="97" spans="1:22" ht="15.75" customHeight="1" x14ac:dyDescent="0.35">
      <c r="A97" s="115" t="s">
        <v>133</v>
      </c>
      <c r="B97" s="115" t="s">
        <v>126</v>
      </c>
      <c r="C97" s="99">
        <v>0</v>
      </c>
      <c r="D97" s="18">
        <f ca="1">((100/H90)*C97)/100</f>
        <v>0</v>
      </c>
      <c r="E97" s="116"/>
      <c r="F97" s="116"/>
      <c r="G97" s="116"/>
      <c r="H97" s="116"/>
      <c r="I97" s="13" t="s">
        <v>144</v>
      </c>
      <c r="J97" s="28">
        <f ca="1">(IF(B90&gt;1,(H90/(B90+2)+J96),0))</f>
        <v>8.25</v>
      </c>
    </row>
    <row r="98" spans="1:22" ht="15" customHeight="1" x14ac:dyDescent="0.35">
      <c r="A98" s="115" t="s">
        <v>131</v>
      </c>
      <c r="B98" s="115" t="s">
        <v>128</v>
      </c>
      <c r="C98" s="99">
        <v>0</v>
      </c>
      <c r="D98" s="18">
        <f ca="1">((100/(H90))*C98)/100</f>
        <v>0</v>
      </c>
      <c r="E98" s="116"/>
      <c r="F98" s="116"/>
      <c r="G98" s="116"/>
      <c r="H98" s="116"/>
      <c r="I98" s="13" t="s">
        <v>139</v>
      </c>
      <c r="J98" s="28">
        <f>(IF(B90&gt;2,(H90/(B90+2)+J97),0))</f>
        <v>0</v>
      </c>
    </row>
    <row r="99" spans="1:22" ht="15.75" customHeight="1" x14ac:dyDescent="0.35">
      <c r="A99" s="115" t="s">
        <v>127</v>
      </c>
      <c r="B99" s="115" t="s">
        <v>127</v>
      </c>
      <c r="C99" s="99">
        <v>0</v>
      </c>
      <c r="D99" s="18">
        <f ca="1">((100/H90)*C99)/100</f>
        <v>0</v>
      </c>
      <c r="E99" s="116"/>
      <c r="F99" s="116"/>
      <c r="G99" s="116"/>
      <c r="H99" s="116"/>
      <c r="I99" s="13" t="s">
        <v>140</v>
      </c>
      <c r="J99" s="29">
        <f>(IF(B90&gt;3,(H90/(B90+2)+J98),0))</f>
        <v>0</v>
      </c>
    </row>
    <row r="100" spans="1:22" ht="15.75" customHeight="1" x14ac:dyDescent="0.35">
      <c r="A100" s="115" t="s">
        <v>134</v>
      </c>
      <c r="B100" s="115"/>
      <c r="C100" s="99">
        <v>0</v>
      </c>
      <c r="D100" s="18">
        <f ca="1">((100/H90)*C100)/100</f>
        <v>0</v>
      </c>
      <c r="E100" s="116"/>
      <c r="F100" s="116"/>
      <c r="G100" s="116"/>
      <c r="H100" s="116"/>
      <c r="I100" s="13" t="s">
        <v>141</v>
      </c>
      <c r="J100" s="28">
        <f>(IF(B90&gt;4,(H90/(B90+2)+J99),0))</f>
        <v>0</v>
      </c>
    </row>
    <row r="101" spans="1:22" ht="15.75" customHeight="1" x14ac:dyDescent="0.35">
      <c r="A101" s="115" t="s">
        <v>129</v>
      </c>
      <c r="B101" s="115" t="s">
        <v>129</v>
      </c>
      <c r="C101" s="99">
        <v>0</v>
      </c>
      <c r="D101" s="18">
        <f ca="1">((100/(H90))*C101)/100</f>
        <v>0</v>
      </c>
      <c r="E101" s="116"/>
      <c r="F101" s="116"/>
      <c r="G101" s="116"/>
      <c r="H101" s="116"/>
      <c r="I101" s="13" t="s">
        <v>145</v>
      </c>
      <c r="J101" s="28">
        <f>(IF(B90=1,(H90/(B90+3)+J96),IF(B90=0,(H90/4+J96),IF(B90&gt;1,0))))</f>
        <v>0</v>
      </c>
    </row>
    <row r="102" spans="1:22" ht="16" thickBot="1" x14ac:dyDescent="0.4">
      <c r="A102" s="115" t="s">
        <v>130</v>
      </c>
      <c r="B102" s="115"/>
      <c r="C102" s="99">
        <v>0</v>
      </c>
      <c r="D102" s="18">
        <f ca="1">((100/(H90))*C102)/100</f>
        <v>0</v>
      </c>
      <c r="E102" s="116"/>
      <c r="F102" s="116"/>
      <c r="G102" s="116"/>
      <c r="H102" s="116"/>
      <c r="I102" s="14" t="s">
        <v>102</v>
      </c>
      <c r="J102" s="30">
        <f ca="1">(IF(B90&gt;1.5,(H90/(B90+2)+J96+MAX(0,J97-J96)+MAX(0,J98-J97)+MAX(0,J99-J98)+MAX(0,J100-J99)+MAX(0,J101-J100)),IF(B90=1,(H90/(B90+3)+J101),IF(B90=0,H90/4+J101))))</f>
        <v>11</v>
      </c>
    </row>
    <row r="103" spans="1:22" x14ac:dyDescent="0.35">
      <c r="A103" s="158" t="s">
        <v>155</v>
      </c>
      <c r="B103" s="158"/>
      <c r="C103" s="158"/>
      <c r="D103" s="158"/>
      <c r="E103" s="158"/>
      <c r="F103" s="193" t="s">
        <v>159</v>
      </c>
      <c r="G103" s="193"/>
      <c r="H103" s="193"/>
      <c r="R103" t="s">
        <v>252</v>
      </c>
      <c r="S103" t="s">
        <v>172</v>
      </c>
      <c r="T103" t="s">
        <v>180</v>
      </c>
      <c r="U103" t="s">
        <v>194</v>
      </c>
      <c r="V103" t="s">
        <v>189</v>
      </c>
    </row>
    <row r="104" spans="1:22" x14ac:dyDescent="0.35">
      <c r="A104" s="124" t="s">
        <v>157</v>
      </c>
      <c r="B104" s="124"/>
      <c r="C104" s="124"/>
      <c r="D104" s="124"/>
      <c r="E104" s="124"/>
      <c r="F104" s="153">
        <v>29000</v>
      </c>
      <c r="G104" s="153"/>
      <c r="H104" s="153"/>
      <c r="R104"/>
      <c r="S104">
        <v>800000</v>
      </c>
      <c r="T104">
        <v>150000</v>
      </c>
      <c r="U104">
        <v>100000</v>
      </c>
      <c r="V104">
        <v>100000</v>
      </c>
    </row>
    <row r="105" spans="1:22" hidden="1" x14ac:dyDescent="0.35">
      <c r="A105" s="124" t="s">
        <v>156</v>
      </c>
      <c r="B105" s="124"/>
      <c r="C105" s="124"/>
      <c r="D105" s="124"/>
      <c r="E105" s="124"/>
      <c r="F105" s="153"/>
      <c r="G105" s="153"/>
      <c r="H105" s="153"/>
      <c r="R105"/>
      <c r="S105">
        <v>900000</v>
      </c>
      <c r="T105">
        <v>200000</v>
      </c>
      <c r="U105">
        <v>150000</v>
      </c>
      <c r="V105">
        <v>150000</v>
      </c>
    </row>
    <row r="106" spans="1:22" x14ac:dyDescent="0.35">
      <c r="A106" s="124" t="s">
        <v>158</v>
      </c>
      <c r="B106" s="124"/>
      <c r="C106" s="124"/>
      <c r="D106" s="124"/>
      <c r="E106" s="124"/>
      <c r="F106" s="153">
        <v>40000</v>
      </c>
      <c r="G106" s="153"/>
      <c r="H106" s="153"/>
      <c r="R106"/>
      <c r="S106">
        <v>1000000</v>
      </c>
      <c r="T106">
        <v>250000</v>
      </c>
      <c r="U106">
        <v>200000</v>
      </c>
      <c r="V106">
        <v>200000</v>
      </c>
    </row>
    <row r="107" spans="1:22" s="31" customFormat="1" hidden="1" x14ac:dyDescent="0.35">
      <c r="A107" s="124" t="s">
        <v>175</v>
      </c>
      <c r="B107" s="124"/>
      <c r="C107" s="124"/>
      <c r="D107" s="124"/>
      <c r="E107" s="124"/>
      <c r="F107" s="153"/>
      <c r="G107" s="153"/>
      <c r="H107" s="153"/>
      <c r="R107"/>
      <c r="S107">
        <v>1100000</v>
      </c>
      <c r="T107">
        <v>300000</v>
      </c>
      <c r="U107">
        <v>250000</v>
      </c>
      <c r="V107" s="21">
        <v>250000</v>
      </c>
    </row>
    <row r="108" spans="1:22" s="31" customFormat="1" hidden="1" x14ac:dyDescent="0.35">
      <c r="A108" s="124" t="s">
        <v>92</v>
      </c>
      <c r="B108" s="124"/>
      <c r="C108" s="124"/>
      <c r="D108" s="124"/>
      <c r="E108" s="124"/>
      <c r="F108" s="153"/>
      <c r="G108" s="153"/>
      <c r="H108" s="153"/>
      <c r="R108"/>
      <c r="S108">
        <v>1200000</v>
      </c>
      <c r="T108">
        <v>350000</v>
      </c>
      <c r="U108">
        <v>300000</v>
      </c>
      <c r="V108">
        <v>300000</v>
      </c>
    </row>
    <row r="109" spans="1:22" s="31" customFormat="1" hidden="1" x14ac:dyDescent="0.35">
      <c r="A109" s="124" t="s">
        <v>93</v>
      </c>
      <c r="B109" s="124"/>
      <c r="C109" s="124"/>
      <c r="D109" s="124"/>
      <c r="E109" s="124"/>
      <c r="F109" s="153"/>
      <c r="G109" s="153"/>
      <c r="H109" s="153"/>
      <c r="R109"/>
      <c r="S109">
        <v>1300000</v>
      </c>
      <c r="T109">
        <v>400000</v>
      </c>
      <c r="U109">
        <v>350000</v>
      </c>
      <c r="V109" s="21">
        <v>400000</v>
      </c>
    </row>
    <row r="110" spans="1:22" s="31" customFormat="1" hidden="1" x14ac:dyDescent="0.35">
      <c r="A110" s="124" t="s">
        <v>94</v>
      </c>
      <c r="B110" s="124"/>
      <c r="C110" s="124"/>
      <c r="D110" s="124"/>
      <c r="E110" s="124"/>
      <c r="F110" s="153"/>
      <c r="G110" s="153"/>
      <c r="H110" s="153"/>
      <c r="R110"/>
      <c r="S110">
        <v>1400000</v>
      </c>
      <c r="T110">
        <v>500000</v>
      </c>
      <c r="U110">
        <v>400000</v>
      </c>
      <c r="V110"/>
    </row>
    <row r="111" spans="1:22" s="31" customFormat="1" hidden="1" x14ac:dyDescent="0.35">
      <c r="A111" s="124" t="s">
        <v>95</v>
      </c>
      <c r="B111" s="124"/>
      <c r="C111" s="124"/>
      <c r="D111" s="124"/>
      <c r="E111" s="124"/>
      <c r="F111" s="153"/>
      <c r="G111" s="153"/>
      <c r="H111" s="153"/>
      <c r="R111"/>
      <c r="S111">
        <v>1500000</v>
      </c>
      <c r="T111">
        <v>600000</v>
      </c>
      <c r="U111">
        <v>500000</v>
      </c>
      <c r="V111" s="21"/>
    </row>
    <row r="112" spans="1:22" s="31" customFormat="1" hidden="1" x14ac:dyDescent="0.35">
      <c r="A112" s="124" t="s">
        <v>96</v>
      </c>
      <c r="B112" s="124"/>
      <c r="C112" s="124"/>
      <c r="D112" s="124"/>
      <c r="E112" s="124"/>
      <c r="F112" s="153"/>
      <c r="G112" s="153"/>
      <c r="H112" s="153"/>
      <c r="R112"/>
      <c r="S112">
        <v>1600000</v>
      </c>
      <c r="T112">
        <v>700000</v>
      </c>
      <c r="U112">
        <v>600000</v>
      </c>
      <c r="V112"/>
    </row>
    <row r="113" spans="1:22" s="31" customFormat="1" hidden="1" x14ac:dyDescent="0.35">
      <c r="A113" s="124" t="s">
        <v>97</v>
      </c>
      <c r="B113" s="124"/>
      <c r="C113" s="124"/>
      <c r="D113" s="124"/>
      <c r="E113" s="124"/>
      <c r="F113" s="153"/>
      <c r="G113" s="153"/>
      <c r="H113" s="153"/>
      <c r="R113"/>
      <c r="S113">
        <v>1700000</v>
      </c>
      <c r="T113">
        <v>800000</v>
      </c>
      <c r="U113"/>
      <c r="V113" s="21"/>
    </row>
    <row r="114" spans="1:22" x14ac:dyDescent="0.35">
      <c r="A114" s="124" t="s">
        <v>49</v>
      </c>
      <c r="B114" s="124"/>
      <c r="C114" s="124"/>
      <c r="D114" s="124"/>
      <c r="E114" s="124"/>
      <c r="F114" s="153">
        <v>1200000</v>
      </c>
      <c r="G114" s="153"/>
      <c r="H114" s="153"/>
      <c r="R114"/>
      <c r="S114">
        <v>1800000</v>
      </c>
      <c r="T114">
        <v>900000</v>
      </c>
      <c r="U114"/>
    </row>
    <row r="115" spans="1:22" s="32" customFormat="1" x14ac:dyDescent="0.35">
      <c r="A115" s="158" t="s">
        <v>50</v>
      </c>
      <c r="B115" s="158"/>
      <c r="C115" s="158"/>
      <c r="D115" s="158"/>
      <c r="E115" s="158"/>
      <c r="F115" s="153">
        <f>F104*0.8</f>
        <v>23200</v>
      </c>
      <c r="G115" s="153"/>
      <c r="H115" s="153"/>
      <c r="R115" s="19"/>
      <c r="S115" s="19"/>
      <c r="T115">
        <v>1000000</v>
      </c>
      <c r="U115"/>
      <c r="V115" s="19"/>
    </row>
    <row r="116" spans="1:22" s="33" customFormat="1" ht="15.75" customHeight="1" x14ac:dyDescent="0.35">
      <c r="A116" s="128" t="s">
        <v>72</v>
      </c>
      <c r="B116" s="128"/>
      <c r="C116" s="128"/>
      <c r="D116" s="128"/>
      <c r="E116" s="128"/>
      <c r="F116" s="128"/>
      <c r="G116" s="128"/>
      <c r="H116" s="128"/>
      <c r="R116"/>
      <c r="S116" s="19"/>
      <c r="T116"/>
      <c r="U116"/>
      <c r="V116" s="19"/>
    </row>
    <row r="117" spans="1:22" s="33" customFormat="1" ht="15.75" customHeight="1" x14ac:dyDescent="0.35">
      <c r="A117" s="204" t="s">
        <v>51</v>
      </c>
      <c r="B117" s="204"/>
      <c r="C117" s="130" t="s">
        <v>75</v>
      </c>
      <c r="D117" s="130"/>
      <c r="E117" s="214" t="s">
        <v>52</v>
      </c>
      <c r="F117" s="214"/>
      <c r="G117" s="204" t="s">
        <v>53</v>
      </c>
      <c r="H117" s="204"/>
      <c r="R117"/>
      <c r="S117" s="19"/>
      <c r="T117"/>
      <c r="U117" s="19"/>
      <c r="V117" s="19"/>
    </row>
    <row r="118" spans="1:22" s="33" customFormat="1" x14ac:dyDescent="0.35">
      <c r="A118" s="131" t="s">
        <v>383</v>
      </c>
      <c r="B118" s="131"/>
      <c r="C118" s="132">
        <f>COUNT(D137:D138)</f>
        <v>2</v>
      </c>
      <c r="D118" s="125"/>
      <c r="E118" s="132">
        <f t="shared" ref="E118" si="0">SUM(F137:F138)</f>
        <v>1469.39364</v>
      </c>
      <c r="F118" s="125"/>
      <c r="G118" s="132">
        <f t="shared" ref="G118" si="1">SUM(H137:H138)</f>
        <v>2204.0904600000003</v>
      </c>
      <c r="H118" s="125"/>
      <c r="R118"/>
      <c r="S118" s="19"/>
      <c r="T118"/>
      <c r="U118" s="19"/>
      <c r="V118" s="19"/>
    </row>
    <row r="119" spans="1:22" s="33" customFormat="1" hidden="1" x14ac:dyDescent="0.35">
      <c r="A119" s="131"/>
      <c r="B119" s="131"/>
      <c r="C119" s="125"/>
      <c r="D119" s="125"/>
      <c r="E119" s="126"/>
      <c r="F119" s="126"/>
      <c r="G119" s="127"/>
      <c r="H119" s="127"/>
      <c r="R119"/>
      <c r="S119" s="19"/>
      <c r="T119"/>
      <c r="U119" s="19"/>
      <c r="V119" s="19"/>
    </row>
    <row r="120" spans="1:22" s="33" customFormat="1" x14ac:dyDescent="0.35">
      <c r="A120" s="128" t="s">
        <v>149</v>
      </c>
      <c r="B120" s="128"/>
      <c r="C120" s="129">
        <f>C118</f>
        <v>2</v>
      </c>
      <c r="D120" s="130"/>
      <c r="E120" s="129">
        <f t="shared" ref="E120" si="2">E118</f>
        <v>1469.39364</v>
      </c>
      <c r="F120" s="130"/>
      <c r="G120" s="129">
        <f t="shared" ref="G120" si="3">G118</f>
        <v>2204.0904600000003</v>
      </c>
      <c r="H120" s="130"/>
      <c r="R120"/>
      <c r="S120" s="19"/>
      <c r="T120"/>
      <c r="U120" s="19"/>
      <c r="V120" s="19"/>
    </row>
    <row r="121" spans="1:22" s="33" customFormat="1" x14ac:dyDescent="0.35">
      <c r="A121" s="128" t="s">
        <v>67</v>
      </c>
      <c r="B121" s="128"/>
      <c r="C121" s="128"/>
      <c r="D121" s="128"/>
      <c r="E121" s="128"/>
      <c r="F121" s="128"/>
      <c r="G121" s="128"/>
      <c r="H121" s="128"/>
      <c r="T121"/>
    </row>
    <row r="122" spans="1:22" s="33" customFormat="1" ht="15.75" customHeight="1" x14ac:dyDescent="0.35">
      <c r="A122" s="204" t="s">
        <v>51</v>
      </c>
      <c r="B122" s="204"/>
      <c r="C122" s="130" t="s">
        <v>75</v>
      </c>
      <c r="D122" s="130"/>
      <c r="E122" s="214" t="s">
        <v>52</v>
      </c>
      <c r="F122" s="214"/>
      <c r="G122" s="204" t="s">
        <v>53</v>
      </c>
      <c r="H122" s="204"/>
      <c r="T122"/>
    </row>
    <row r="123" spans="1:22" s="33" customFormat="1" x14ac:dyDescent="0.35">
      <c r="A123" s="131" t="s">
        <v>383</v>
      </c>
      <c r="B123" s="131"/>
      <c r="C123" s="132">
        <f>COUNT(D146:D147)+COUNT(D151:D154)*2+COUNT(D156:D159)+COUNT(D161:D164)+COUNT(D166:D169)+COUNT(D171:D174)+COUNT(D176:D179)+COUNT(D181:D184)+COUNT(D186:D189)+COUNT(D191:D194)</f>
        <v>42</v>
      </c>
      <c r="D123" s="132"/>
      <c r="E123" s="132">
        <f t="shared" ref="E123" si="4">SUM(F146:F147)+SUM(F151:F154)*2+SUM(F156:F159)+SUM(F161:F164)+SUM(F166:F169)+SUM(F171:F174)+SUM(F176:F179)+SUM(F181:F184)+SUM(F186:F189)+SUM(F191:F194)</f>
        <v>37880.991719999991</v>
      </c>
      <c r="F123" s="132"/>
      <c r="G123" s="132">
        <f t="shared" ref="G123" si="5">SUM(H146:H147)+SUM(H151:H154)*2+SUM(H156:H159)+SUM(H161:H164)+SUM(H166:H169)+SUM(H171:H174)+SUM(H176:H179)+SUM(H181:H184)+SUM(H186:H189)+SUM(H191:H194)</f>
        <v>56821.487580000008</v>
      </c>
      <c r="H123" s="132"/>
      <c r="T123"/>
    </row>
    <row r="124" spans="1:22" s="33" customFormat="1" x14ac:dyDescent="0.35">
      <c r="A124" s="131" t="s">
        <v>407</v>
      </c>
      <c r="B124" s="131"/>
      <c r="C124" s="132">
        <f>COUNT(D201:D204)+COUNT(D206:D209)*2+COUNT(D211:D214)+COUNT(D216:D218)+COUNT(D221:D224)+COUNT(D226:D229)+COUNT(D231:D234)+COUNT(D236:D239)+COUNT(D241:D244)+COUNT(D246:D249)</f>
        <v>43</v>
      </c>
      <c r="D124" s="132"/>
      <c r="E124" s="132">
        <f t="shared" ref="E124" si="6">SUM(F201:F204)+SUM(F206:F209)*2+SUM(F211:F214)+SUM(F216:F218)+SUM(F221:F224)+SUM(F226:F229)+SUM(F231:F234)+SUM(F236:F239)+SUM(F241:F244)+SUM(F246:F249)</f>
        <v>40075.340759999992</v>
      </c>
      <c r="F124" s="132"/>
      <c r="G124" s="132">
        <f t="shared" ref="G124" si="7">SUM(H201:H204)+SUM(H206:H209)*2+SUM(H211:H214)+SUM(H216:H218)+SUM(H221:H224)+SUM(H226:H229)+SUM(H231:H234)+SUM(H236:H239)+SUM(H241:H244)+SUM(H246:H249)</f>
        <v>60113.011139999988</v>
      </c>
      <c r="H124" s="132"/>
      <c r="T124"/>
    </row>
    <row r="125" spans="1:22" s="33" customFormat="1" x14ac:dyDescent="0.35">
      <c r="A125" s="128" t="s">
        <v>149</v>
      </c>
      <c r="B125" s="128"/>
      <c r="C125" s="129">
        <f>C123+C124</f>
        <v>85</v>
      </c>
      <c r="D125" s="130"/>
      <c r="E125" s="129">
        <f t="shared" ref="E125" si="8">E123+E124</f>
        <v>77956.332479999983</v>
      </c>
      <c r="F125" s="130"/>
      <c r="G125" s="129">
        <f t="shared" ref="G125" si="9">G123+G124</f>
        <v>116934.49872</v>
      </c>
      <c r="H125" s="130"/>
      <c r="T125"/>
    </row>
    <row r="126" spans="1:22" s="33" customFormat="1" x14ac:dyDescent="0.35">
      <c r="A126" s="128" t="s">
        <v>165</v>
      </c>
      <c r="B126" s="128"/>
      <c r="C126" s="130">
        <f>C120+C125</f>
        <v>87</v>
      </c>
      <c r="D126" s="130"/>
      <c r="E126" s="246">
        <f>E120+E125</f>
        <v>79425.726119999978</v>
      </c>
      <c r="F126" s="246"/>
      <c r="G126" s="204">
        <f>G120+G125</f>
        <v>119138.58918000001</v>
      </c>
      <c r="H126" s="204"/>
      <c r="T126"/>
    </row>
    <row r="127" spans="1:22" s="32" customFormat="1" x14ac:dyDescent="0.35">
      <c r="A127" s="215" t="s">
        <v>54</v>
      </c>
      <c r="B127" s="215"/>
      <c r="C127" s="215"/>
      <c r="D127" s="215"/>
      <c r="E127" s="215"/>
      <c r="F127" s="215"/>
      <c r="G127" s="215"/>
      <c r="H127" s="215"/>
      <c r="T127" s="33"/>
    </row>
    <row r="128" spans="1:22" x14ac:dyDescent="0.35">
      <c r="A128" s="227" t="s">
        <v>174</v>
      </c>
      <c r="B128" s="227"/>
      <c r="C128" s="227"/>
      <c r="D128" s="227"/>
      <c r="E128" s="227"/>
      <c r="F128" s="227"/>
      <c r="G128" s="227"/>
      <c r="H128" s="227"/>
      <c r="T128" s="33"/>
    </row>
    <row r="129" spans="1:20" ht="47.25" customHeight="1" x14ac:dyDescent="0.35">
      <c r="A129" s="113" t="s">
        <v>420</v>
      </c>
      <c r="B129" s="113" t="s">
        <v>177</v>
      </c>
      <c r="C129" s="113" t="s">
        <v>55</v>
      </c>
      <c r="D129" s="113" t="s">
        <v>389</v>
      </c>
      <c r="E129" s="142" t="s">
        <v>392</v>
      </c>
      <c r="F129" s="113" t="s">
        <v>56</v>
      </c>
      <c r="G129" s="142" t="s">
        <v>57</v>
      </c>
      <c r="H129" s="93" t="s">
        <v>147</v>
      </c>
      <c r="K129" s="84">
        <v>10.763999999999999</v>
      </c>
      <c r="T129" s="33"/>
    </row>
    <row r="130" spans="1:20" s="35" customFormat="1" x14ac:dyDescent="0.35">
      <c r="A130" s="114"/>
      <c r="B130" s="114"/>
      <c r="C130" s="114"/>
      <c r="D130" s="114"/>
      <c r="E130" s="143"/>
      <c r="F130" s="114"/>
      <c r="G130" s="143"/>
      <c r="H130" s="94">
        <v>0.5</v>
      </c>
      <c r="T130" s="33"/>
    </row>
    <row r="131" spans="1:20" s="85" customFormat="1" x14ac:dyDescent="0.35">
      <c r="A131" s="234" t="s">
        <v>383</v>
      </c>
      <c r="B131" s="235"/>
      <c r="C131" s="235"/>
      <c r="D131" s="235"/>
      <c r="E131" s="235"/>
      <c r="F131" s="235"/>
      <c r="G131" s="235"/>
      <c r="H131" s="236"/>
      <c r="J131" s="34"/>
    </row>
    <row r="132" spans="1:20" s="85" customFormat="1" x14ac:dyDescent="0.35">
      <c r="A132" s="149" t="s">
        <v>384</v>
      </c>
      <c r="B132" s="150"/>
      <c r="C132" s="150"/>
      <c r="D132" s="150"/>
      <c r="E132" s="150"/>
      <c r="F132" s="150"/>
      <c r="G132" s="150"/>
      <c r="H132" s="151"/>
      <c r="J132" s="34"/>
    </row>
    <row r="133" spans="1:20" s="85" customFormat="1" x14ac:dyDescent="0.35">
      <c r="A133" s="149" t="s">
        <v>385</v>
      </c>
      <c r="B133" s="150"/>
      <c r="C133" s="150"/>
      <c r="D133" s="150"/>
      <c r="E133" s="150"/>
      <c r="F133" s="150"/>
      <c r="G133" s="150"/>
      <c r="H133" s="151"/>
      <c r="J133" s="34"/>
    </row>
    <row r="134" spans="1:20" s="85" customFormat="1" x14ac:dyDescent="0.35">
      <c r="A134" s="149" t="s">
        <v>386</v>
      </c>
      <c r="B134" s="150"/>
      <c r="C134" s="150"/>
      <c r="D134" s="150"/>
      <c r="E134" s="150"/>
      <c r="F134" s="150"/>
      <c r="G134" s="150"/>
      <c r="H134" s="151"/>
      <c r="J134" s="34"/>
    </row>
    <row r="135" spans="1:20" s="85" customFormat="1" x14ac:dyDescent="0.35">
      <c r="A135" s="149" t="s">
        <v>387</v>
      </c>
      <c r="B135" s="150"/>
      <c r="C135" s="150"/>
      <c r="D135" s="150"/>
      <c r="E135" s="150"/>
      <c r="F135" s="150"/>
      <c r="G135" s="150"/>
      <c r="H135" s="151"/>
      <c r="J135" s="34"/>
    </row>
    <row r="136" spans="1:20" s="35" customFormat="1" x14ac:dyDescent="0.35">
      <c r="A136" s="149" t="s">
        <v>390</v>
      </c>
      <c r="B136" s="150"/>
      <c r="C136" s="150"/>
      <c r="D136" s="150"/>
      <c r="E136" s="150"/>
      <c r="F136" s="150"/>
      <c r="G136" s="150"/>
      <c r="H136" s="151"/>
      <c r="J136" s="34"/>
      <c r="T136" s="33"/>
    </row>
    <row r="137" spans="1:20" s="35" customFormat="1" ht="15.75" customHeight="1" x14ac:dyDescent="0.35">
      <c r="A137" s="211">
        <v>3</v>
      </c>
      <c r="B137" s="212"/>
      <c r="C137" s="95" t="s">
        <v>391</v>
      </c>
      <c r="D137" s="95">
        <f>(55.02)*10.764</f>
        <v>592.23527999999999</v>
      </c>
      <c r="E137" s="95">
        <v>0</v>
      </c>
      <c r="F137" s="95">
        <f>D137+(IF(E137&lt;201,E137,IF(E137&lt;301,E137/2,E137/3)))</f>
        <v>592.23527999999999</v>
      </c>
      <c r="G137" s="96">
        <v>0</v>
      </c>
      <c r="H137" s="95">
        <f>(F137+(IF(G137&lt;101,G137,IF(G137&lt;201,G137/2,IF(G137&lt;=301,G137/3,G137/4)))))*(($H$130)+1)</f>
        <v>888.35292000000004</v>
      </c>
      <c r="I137" s="34">
        <f>8.95*3.65+3.05*3.75+1.3*2.2+3.29*1.35+2.11*1.3</f>
        <v>54.149499999999996</v>
      </c>
      <c r="L137" s="136"/>
      <c r="M137" s="136"/>
      <c r="N137" s="34"/>
      <c r="T137" s="33"/>
    </row>
    <row r="138" spans="1:20" s="35" customFormat="1" ht="15.75" customHeight="1" x14ac:dyDescent="0.35">
      <c r="A138" s="211">
        <f>A137+1</f>
        <v>4</v>
      </c>
      <c r="B138" s="212"/>
      <c r="C138" s="95" t="s">
        <v>391</v>
      </c>
      <c r="D138" s="95">
        <f>(76.01)*10.764</f>
        <v>818.17164000000002</v>
      </c>
      <c r="E138" s="95">
        <f>(5.48)*10.764</f>
        <v>58.986719999999998</v>
      </c>
      <c r="F138" s="95">
        <f>D138+(IF(E138&lt;201,E138,IF(E138&lt;301,E138/2,E138/3)))</f>
        <v>877.15836000000002</v>
      </c>
      <c r="G138" s="95">
        <v>0</v>
      </c>
      <c r="H138" s="95">
        <f>(F138+(IF(G138&lt;101,G138,IF(G138&lt;201,G138/2,IF(G138&lt;=301,G138/3,G138/4)))))*(($H$130)+1)</f>
        <v>1315.7375400000001</v>
      </c>
      <c r="I138" s="34">
        <f>3.65*7.22+5.28*3.2+3.48*5.52+1.5*3.22+1.65*2.3+1.58*1.5</f>
        <v>73.453599999999994</v>
      </c>
      <c r="L138" s="136"/>
      <c r="M138" s="136"/>
      <c r="N138" s="34"/>
      <c r="T138" s="32"/>
    </row>
    <row r="139" spans="1:20" s="35" customFormat="1" ht="15.75" hidden="1" customHeight="1" x14ac:dyDescent="0.35">
      <c r="A139" s="211">
        <f>A138+1</f>
        <v>5</v>
      </c>
      <c r="B139" s="212"/>
      <c r="C139" s="95"/>
      <c r="D139" s="95"/>
      <c r="E139" s="95">
        <v>0</v>
      </c>
      <c r="F139" s="95">
        <f>D139+(IF(E139&lt;201,E139,IF(E139&lt;301,E139/2,E139/3)))</f>
        <v>0</v>
      </c>
      <c r="G139" s="95">
        <v>0</v>
      </c>
      <c r="H139" s="95">
        <f>(F139+(IF(G139&lt;101,G139,IF(G139&lt;201,G139/2,IF(G139&lt;=301,G139/3,G139/4)))))*(($H$130)+1)</f>
        <v>0</v>
      </c>
      <c r="I139" s="34"/>
      <c r="L139" s="136"/>
      <c r="M139" s="136"/>
      <c r="N139" s="34"/>
      <c r="T139" s="19"/>
    </row>
    <row r="140" spans="1:20" s="35" customFormat="1" ht="15.75" hidden="1" customHeight="1" x14ac:dyDescent="0.35">
      <c r="A140" s="211">
        <f>A139+1</f>
        <v>6</v>
      </c>
      <c r="B140" s="212"/>
      <c r="C140" s="95"/>
      <c r="D140" s="95"/>
      <c r="E140" s="95">
        <v>0</v>
      </c>
      <c r="F140" s="95">
        <f>D140+(IF(E140&lt;201,E140,IF(E140&lt;301,E140/2,E140/3)))</f>
        <v>0</v>
      </c>
      <c r="G140" s="95">
        <v>0</v>
      </c>
      <c r="H140" s="95">
        <f>(F140+(IF(G140&lt;101,G140,IF(G140&lt;201,G140/2,IF(G140&lt;=301,G140/3,G140/4)))))*(($H$130)+1)</f>
        <v>0</v>
      </c>
      <c r="I140" s="34"/>
      <c r="L140" s="136"/>
      <c r="M140" s="136"/>
      <c r="N140" s="34"/>
      <c r="T140" s="19"/>
    </row>
    <row r="141" spans="1:20" s="35" customFormat="1" x14ac:dyDescent="0.35">
      <c r="A141" s="211"/>
      <c r="B141" s="213"/>
      <c r="C141" s="213"/>
      <c r="D141" s="213"/>
      <c r="E141" s="213"/>
      <c r="F141" s="213"/>
      <c r="G141" s="213"/>
      <c r="H141" s="212"/>
      <c r="I141" s="34"/>
      <c r="N141" s="34"/>
    </row>
    <row r="142" spans="1:20" ht="47.25" customHeight="1" x14ac:dyDescent="0.35">
      <c r="A142" s="216" t="s">
        <v>421</v>
      </c>
      <c r="B142" s="113" t="s">
        <v>395</v>
      </c>
      <c r="C142" s="113" t="s">
        <v>55</v>
      </c>
      <c r="D142" s="113" t="s">
        <v>389</v>
      </c>
      <c r="E142" s="113" t="s">
        <v>394</v>
      </c>
      <c r="F142" s="113" t="s">
        <v>56</v>
      </c>
      <c r="G142" s="142" t="s">
        <v>57</v>
      </c>
      <c r="H142" s="93" t="s">
        <v>147</v>
      </c>
      <c r="I142" s="34"/>
      <c r="T142" s="35"/>
    </row>
    <row r="143" spans="1:20" s="35" customFormat="1" x14ac:dyDescent="0.35">
      <c r="A143" s="217"/>
      <c r="B143" s="114"/>
      <c r="C143" s="114"/>
      <c r="D143" s="114"/>
      <c r="E143" s="114"/>
      <c r="F143" s="114"/>
      <c r="G143" s="143"/>
      <c r="H143" s="94">
        <v>0.5</v>
      </c>
      <c r="I143" s="34"/>
    </row>
    <row r="144" spans="1:20" s="85" customFormat="1" x14ac:dyDescent="0.35">
      <c r="A144" s="218" t="s">
        <v>383</v>
      </c>
      <c r="B144" s="219"/>
      <c r="C144" s="219"/>
      <c r="D144" s="219"/>
      <c r="E144" s="219"/>
      <c r="F144" s="219"/>
      <c r="G144" s="219"/>
      <c r="H144" s="220"/>
      <c r="J144" s="34"/>
    </row>
    <row r="145" spans="1:20" s="85" customFormat="1" x14ac:dyDescent="0.35">
      <c r="A145" s="208" t="s">
        <v>390</v>
      </c>
      <c r="B145" s="209"/>
      <c r="C145" s="209"/>
      <c r="D145" s="209"/>
      <c r="E145" s="209"/>
      <c r="F145" s="209"/>
      <c r="G145" s="209"/>
      <c r="H145" s="210"/>
      <c r="J145" s="34"/>
    </row>
    <row r="146" spans="1:20" s="85" customFormat="1" ht="15.75" customHeight="1" x14ac:dyDescent="0.35">
      <c r="A146" s="138">
        <v>1</v>
      </c>
      <c r="B146" s="139"/>
      <c r="C146" s="84" t="s">
        <v>393</v>
      </c>
      <c r="D146" s="84">
        <f>(68.49)*10.764</f>
        <v>737.22635999999989</v>
      </c>
      <c r="E146" s="84">
        <f>(3.84)*10.764</f>
        <v>41.333759999999998</v>
      </c>
      <c r="F146" s="84">
        <f>D146+E146</f>
        <v>778.56011999999987</v>
      </c>
      <c r="G146" s="84">
        <v>0</v>
      </c>
      <c r="H146" s="84">
        <f>F146*(($H$143)+1)+(IF(G146&lt;101,G146,IF(G146&lt;201,G146/2,IF(G146&lt;=301,G146/3,G146/4))))</f>
        <v>1167.8401799999997</v>
      </c>
      <c r="I146" s="34"/>
      <c r="L146" s="136"/>
      <c r="M146" s="136"/>
      <c r="N146" s="34"/>
    </row>
    <row r="147" spans="1:20" s="85" customFormat="1" ht="15.75" customHeight="1" x14ac:dyDescent="0.35">
      <c r="A147" s="138">
        <f>A146+1</f>
        <v>2</v>
      </c>
      <c r="B147" s="139"/>
      <c r="C147" s="84" t="s">
        <v>393</v>
      </c>
      <c r="D147" s="84">
        <f>(66.07)*10.764</f>
        <v>711.17747999999983</v>
      </c>
      <c r="E147" s="84">
        <f>(3.84)*10.764</f>
        <v>41.333759999999998</v>
      </c>
      <c r="F147" s="84">
        <f>D147+E147</f>
        <v>752.51123999999982</v>
      </c>
      <c r="G147" s="84">
        <v>0</v>
      </c>
      <c r="H147" s="84">
        <f>F147*(($H$143)+1)+(IF(G147&lt;101,G147,IF(G147&lt;201,G147/2,IF(G147&lt;=301,G147/3,G147/4))))</f>
        <v>1128.7668599999997</v>
      </c>
      <c r="I147" s="34"/>
      <c r="L147" s="136"/>
      <c r="M147" s="136"/>
      <c r="N147" s="34"/>
    </row>
    <row r="148" spans="1:20" s="85" customFormat="1" ht="15.75" customHeight="1" x14ac:dyDescent="0.35">
      <c r="A148" s="138">
        <f>A147+1</f>
        <v>3</v>
      </c>
      <c r="B148" s="139"/>
      <c r="C148" s="138" t="s">
        <v>391</v>
      </c>
      <c r="D148" s="237"/>
      <c r="E148" s="237"/>
      <c r="F148" s="237"/>
      <c r="G148" s="237"/>
      <c r="H148" s="139"/>
      <c r="I148" s="34"/>
      <c r="L148" s="136"/>
      <c r="M148" s="136"/>
      <c r="N148" s="34"/>
    </row>
    <row r="149" spans="1:20" s="85" customFormat="1" ht="15.75" customHeight="1" x14ac:dyDescent="0.35">
      <c r="A149" s="138">
        <f>A148+1</f>
        <v>4</v>
      </c>
      <c r="B149" s="139"/>
      <c r="C149" s="138" t="s">
        <v>391</v>
      </c>
      <c r="D149" s="237"/>
      <c r="E149" s="237"/>
      <c r="F149" s="237"/>
      <c r="G149" s="237"/>
      <c r="H149" s="139"/>
      <c r="I149" s="34"/>
      <c r="L149" s="136"/>
      <c r="M149" s="136"/>
      <c r="N149" s="34"/>
      <c r="T149" s="19"/>
    </row>
    <row r="150" spans="1:20" s="85" customFormat="1" x14ac:dyDescent="0.35">
      <c r="A150" s="203" t="s">
        <v>396</v>
      </c>
      <c r="B150" s="203"/>
      <c r="C150" s="203"/>
      <c r="D150" s="203"/>
      <c r="E150" s="203"/>
      <c r="F150" s="203"/>
      <c r="G150" s="203"/>
      <c r="H150" s="203"/>
      <c r="J150" s="34"/>
    </row>
    <row r="151" spans="1:20" s="85" customFormat="1" ht="15.75" customHeight="1" x14ac:dyDescent="0.35">
      <c r="A151" s="137">
        <v>1</v>
      </c>
      <c r="B151" s="137"/>
      <c r="C151" s="97" t="s">
        <v>393</v>
      </c>
      <c r="D151" s="97">
        <f>(68.49)*10.764</f>
        <v>737.22635999999989</v>
      </c>
      <c r="E151" s="97">
        <f>(3.84)*10.764</f>
        <v>41.333759999999998</v>
      </c>
      <c r="F151" s="97">
        <f>D151+E151</f>
        <v>778.56011999999987</v>
      </c>
      <c r="G151" s="97">
        <v>0</v>
      </c>
      <c r="H151" s="97">
        <f>F151*(($H$143)+1)+(IF(G151&lt;101,G151,IF(G151&lt;201,G151/2,IF(G151&lt;=301,G151/3,G151/4))))</f>
        <v>1167.8401799999997</v>
      </c>
      <c r="I151" s="34"/>
      <c r="L151" s="136"/>
      <c r="M151" s="136"/>
      <c r="N151" s="34"/>
    </row>
    <row r="152" spans="1:20" s="85" customFormat="1" ht="15.75" customHeight="1" x14ac:dyDescent="0.35">
      <c r="A152" s="137">
        <f>A151+1</f>
        <v>2</v>
      </c>
      <c r="B152" s="137"/>
      <c r="C152" s="97" t="s">
        <v>393</v>
      </c>
      <c r="D152" s="97">
        <f>(66.07)*10.764</f>
        <v>711.17747999999983</v>
      </c>
      <c r="E152" s="97">
        <f>(3.84)*10.764</f>
        <v>41.333759999999998</v>
      </c>
      <c r="F152" s="97">
        <f>D152+E152</f>
        <v>752.51123999999982</v>
      </c>
      <c r="G152" s="97">
        <v>0</v>
      </c>
      <c r="H152" s="97">
        <f>F152*(($H$143)+1)+(IF(G152&lt;101,G152,IF(G152&lt;201,G152/2,IF(G152&lt;=301,G152/3,G152/4))))</f>
        <v>1128.7668599999997</v>
      </c>
      <c r="I152" s="34"/>
      <c r="L152" s="136"/>
      <c r="M152" s="136"/>
      <c r="N152" s="34"/>
    </row>
    <row r="153" spans="1:20" s="85" customFormat="1" ht="15.75" customHeight="1" x14ac:dyDescent="0.35">
      <c r="A153" s="137">
        <f>A152+1</f>
        <v>3</v>
      </c>
      <c r="B153" s="137"/>
      <c r="C153" s="97" t="s">
        <v>393</v>
      </c>
      <c r="D153" s="97">
        <f>(55.12)*10.764</f>
        <v>593.31167999999991</v>
      </c>
      <c r="E153" s="97">
        <f>(0)*10.764</f>
        <v>0</v>
      </c>
      <c r="F153" s="97">
        <f>D153+E153</f>
        <v>593.31167999999991</v>
      </c>
      <c r="G153" s="97">
        <v>0</v>
      </c>
      <c r="H153" s="97">
        <f>F153*(($H$143)+1)+(IF(G153&lt;101,G153,IF(G153&lt;201,G153/2,IF(G153&lt;=301,G153/3,G153/4))))</f>
        <v>889.96751999999992</v>
      </c>
      <c r="I153" s="34"/>
      <c r="L153" s="136"/>
      <c r="M153" s="136"/>
      <c r="N153" s="34"/>
    </row>
    <row r="154" spans="1:20" s="85" customFormat="1" ht="15.75" customHeight="1" x14ac:dyDescent="0.35">
      <c r="A154" s="137">
        <f>A153+1</f>
        <v>4</v>
      </c>
      <c r="B154" s="137"/>
      <c r="C154" s="97" t="s">
        <v>397</v>
      </c>
      <c r="D154" s="97">
        <f>(119.15)*10.764</f>
        <v>1282.5306</v>
      </c>
      <c r="E154" s="97">
        <f>(5.48)*10.764</f>
        <v>58.986719999999998</v>
      </c>
      <c r="F154" s="97">
        <f>D154+E154</f>
        <v>1341.5173200000002</v>
      </c>
      <c r="G154" s="97">
        <v>0</v>
      </c>
      <c r="H154" s="97">
        <f>F154*(($H$143)+1)+(IF(G154&lt;101,G154,IF(G154&lt;201,G154/2,IF(G154&lt;=301,G154/3,G154/4))))</f>
        <v>2012.2759800000003</v>
      </c>
      <c r="I154" s="34"/>
      <c r="L154" s="136"/>
      <c r="M154" s="136"/>
      <c r="N154" s="34"/>
      <c r="T154" s="19"/>
    </row>
    <row r="155" spans="1:20" s="85" customFormat="1" x14ac:dyDescent="0.35">
      <c r="A155" s="203" t="s">
        <v>398</v>
      </c>
      <c r="B155" s="203"/>
      <c r="C155" s="203"/>
      <c r="D155" s="203"/>
      <c r="E155" s="203"/>
      <c r="F155" s="203"/>
      <c r="G155" s="203"/>
      <c r="H155" s="203"/>
      <c r="J155" s="34"/>
    </row>
    <row r="156" spans="1:20" s="85" customFormat="1" ht="15.75" customHeight="1" x14ac:dyDescent="0.35">
      <c r="A156" s="137">
        <v>1</v>
      </c>
      <c r="B156" s="137"/>
      <c r="C156" s="101" t="s">
        <v>393</v>
      </c>
      <c r="D156" s="101">
        <f>(68.49)*10.764</f>
        <v>737.22635999999989</v>
      </c>
      <c r="E156" s="101">
        <f>(3.84)*10.764</f>
        <v>41.333759999999998</v>
      </c>
      <c r="F156" s="101">
        <f>D156+E156</f>
        <v>778.56011999999987</v>
      </c>
      <c r="G156" s="101">
        <v>0</v>
      </c>
      <c r="H156" s="101">
        <f>F156*(($H$143)+1)+(IF(G156&lt;101,G156,IF(G156&lt;201,G156/2,IF(G156&lt;=301,G156/3,G156/4))))</f>
        <v>1167.8401799999997</v>
      </c>
      <c r="I156" s="34"/>
      <c r="L156" s="136"/>
      <c r="M156" s="136"/>
      <c r="N156" s="34"/>
    </row>
    <row r="157" spans="1:20" s="85" customFormat="1" ht="15.75" customHeight="1" x14ac:dyDescent="0.35">
      <c r="A157" s="137">
        <f>A156+1</f>
        <v>2</v>
      </c>
      <c r="B157" s="137"/>
      <c r="C157" s="101" t="s">
        <v>397</v>
      </c>
      <c r="D157" s="101">
        <f>(81.03)*10.764</f>
        <v>872.20691999999997</v>
      </c>
      <c r="E157" s="101">
        <f>(3.84)*10.764</f>
        <v>41.333759999999998</v>
      </c>
      <c r="F157" s="101">
        <f>D157+E157</f>
        <v>913.54067999999995</v>
      </c>
      <c r="G157" s="101">
        <v>0</v>
      </c>
      <c r="H157" s="101">
        <f>F157*(($H$143)+1)+(IF(G157&lt;101,G157,IF(G157&lt;201,G157/2,IF(G157&lt;=301,G157/3,G157/4))))</f>
        <v>1370.3110199999999</v>
      </c>
      <c r="I157" s="34"/>
      <c r="L157" s="136"/>
      <c r="M157" s="136"/>
      <c r="N157" s="34"/>
    </row>
    <row r="158" spans="1:20" s="85" customFormat="1" ht="15.75" customHeight="1" x14ac:dyDescent="0.35">
      <c r="A158" s="137">
        <f>A157+1</f>
        <v>3</v>
      </c>
      <c r="B158" s="137"/>
      <c r="C158" s="101" t="s">
        <v>399</v>
      </c>
      <c r="D158" s="101">
        <f>(39.93)*10.764</f>
        <v>429.80651999999998</v>
      </c>
      <c r="E158" s="101">
        <v>0</v>
      </c>
      <c r="F158" s="101">
        <f>D158+E158</f>
        <v>429.80651999999998</v>
      </c>
      <c r="G158" s="101">
        <v>0</v>
      </c>
      <c r="H158" s="101">
        <f>F158*(($H$143)+1)+(IF(G158&lt;101,G158,IF(G158&lt;201,G158/2,IF(G158&lt;=301,G158/3,G158/4))))</f>
        <v>644.70977999999991</v>
      </c>
      <c r="I158" s="34"/>
      <c r="L158" s="136"/>
      <c r="M158" s="136"/>
      <c r="N158" s="34"/>
    </row>
    <row r="159" spans="1:20" s="85" customFormat="1" ht="15.75" customHeight="1" x14ac:dyDescent="0.35">
      <c r="A159" s="137">
        <f>A158+1</f>
        <v>4</v>
      </c>
      <c r="B159" s="137"/>
      <c r="C159" s="101" t="s">
        <v>397</v>
      </c>
      <c r="D159" s="101">
        <f>(119.15)*10.764</f>
        <v>1282.5306</v>
      </c>
      <c r="E159" s="101">
        <f>(5.48)*10.764</f>
        <v>58.986719999999998</v>
      </c>
      <c r="F159" s="101">
        <f>D159+E159</f>
        <v>1341.5173200000002</v>
      </c>
      <c r="G159" s="101">
        <v>0</v>
      </c>
      <c r="H159" s="101">
        <f>F159*(($H$143)+1)+(IF(G159&lt;101,G159,IF(G159&lt;201,G159/2,IF(G159&lt;=301,G159/3,G159/4))))</f>
        <v>2012.2759800000003</v>
      </c>
      <c r="I159" s="34"/>
      <c r="L159" s="136"/>
      <c r="M159" s="136"/>
      <c r="N159" s="34"/>
      <c r="T159" s="19"/>
    </row>
    <row r="160" spans="1:20" s="85" customFormat="1" x14ac:dyDescent="0.35">
      <c r="A160" s="203" t="s">
        <v>400</v>
      </c>
      <c r="B160" s="203"/>
      <c r="C160" s="203"/>
      <c r="D160" s="203"/>
      <c r="E160" s="203"/>
      <c r="F160" s="203"/>
      <c r="G160" s="203"/>
      <c r="H160" s="203"/>
      <c r="J160" s="34"/>
    </row>
    <row r="161" spans="1:20" s="85" customFormat="1" ht="15.75" customHeight="1" x14ac:dyDescent="0.35">
      <c r="A161" s="137">
        <v>1</v>
      </c>
      <c r="B161" s="137"/>
      <c r="C161" s="101" t="s">
        <v>393</v>
      </c>
      <c r="D161" s="101">
        <f>(68.49)*10.764</f>
        <v>737.22635999999989</v>
      </c>
      <c r="E161" s="101">
        <f>(3.84)*10.764</f>
        <v>41.333759999999998</v>
      </c>
      <c r="F161" s="101">
        <f>D161+E161</f>
        <v>778.56011999999987</v>
      </c>
      <c r="G161" s="101">
        <v>0</v>
      </c>
      <c r="H161" s="101">
        <f>F161*(($H$143)+1)+(IF(G161&lt;101,G161,IF(G161&lt;201,G161/2,IF(G161&lt;=301,G161/3,G161/4))))</f>
        <v>1167.8401799999997</v>
      </c>
      <c r="I161" s="34"/>
      <c r="L161" s="136"/>
      <c r="M161" s="136"/>
      <c r="N161" s="34"/>
    </row>
    <row r="162" spans="1:20" s="85" customFormat="1" ht="15.75" customHeight="1" x14ac:dyDescent="0.35">
      <c r="A162" s="137">
        <f>A161+1</f>
        <v>2</v>
      </c>
      <c r="B162" s="137"/>
      <c r="C162" s="101" t="s">
        <v>393</v>
      </c>
      <c r="D162" s="101">
        <f>(66.07)*10.764</f>
        <v>711.17747999999983</v>
      </c>
      <c r="E162" s="101">
        <f>(3.84)*10.764</f>
        <v>41.333759999999998</v>
      </c>
      <c r="F162" s="101">
        <f>D162+E162</f>
        <v>752.51123999999982</v>
      </c>
      <c r="G162" s="101">
        <v>0</v>
      </c>
      <c r="H162" s="101">
        <f>F162*(($H$143)+1)+(IF(G162&lt;101,G162,IF(G162&lt;201,G162/2,IF(G162&lt;=301,G162/3,G162/4))))</f>
        <v>1128.7668599999997</v>
      </c>
      <c r="I162" s="34"/>
      <c r="L162" s="136"/>
      <c r="M162" s="136"/>
      <c r="N162" s="34"/>
    </row>
    <row r="163" spans="1:20" s="85" customFormat="1" ht="15.75" customHeight="1" x14ac:dyDescent="0.35">
      <c r="A163" s="137">
        <f>A162+1</f>
        <v>3</v>
      </c>
      <c r="B163" s="137"/>
      <c r="C163" s="101" t="s">
        <v>393</v>
      </c>
      <c r="D163" s="101">
        <f>(55.12)*10.764</f>
        <v>593.31167999999991</v>
      </c>
      <c r="E163" s="101">
        <f>(0)*10.764</f>
        <v>0</v>
      </c>
      <c r="F163" s="101">
        <f>D163+E163</f>
        <v>593.31167999999991</v>
      </c>
      <c r="G163" s="101">
        <v>0</v>
      </c>
      <c r="H163" s="101">
        <f>F163*(($H$143)+1)+(IF(G163&lt;101,G163,IF(G163&lt;201,G163/2,IF(G163&lt;=301,G163/3,G163/4))))</f>
        <v>889.96751999999992</v>
      </c>
      <c r="I163" s="34"/>
      <c r="L163" s="136"/>
      <c r="M163" s="136"/>
      <c r="N163" s="34"/>
    </row>
    <row r="164" spans="1:20" s="85" customFormat="1" ht="15.75" customHeight="1" x14ac:dyDescent="0.35">
      <c r="A164" s="137">
        <f>A163+1</f>
        <v>4</v>
      </c>
      <c r="B164" s="137"/>
      <c r="C164" s="101" t="s">
        <v>397</v>
      </c>
      <c r="D164" s="101">
        <f>(119.15)*10.764</f>
        <v>1282.5306</v>
      </c>
      <c r="E164" s="101">
        <f>(5.48)*10.764</f>
        <v>58.986719999999998</v>
      </c>
      <c r="F164" s="101">
        <f>D164+E164</f>
        <v>1341.5173200000002</v>
      </c>
      <c r="G164" s="101">
        <v>0</v>
      </c>
      <c r="H164" s="101">
        <f>F164*(($H$143)+1)+(IF(G164&lt;101,G164,IF(G164&lt;201,G164/2,IF(G164&lt;=301,G164/3,G164/4))))</f>
        <v>2012.2759800000003</v>
      </c>
      <c r="I164" s="34"/>
      <c r="L164" s="136"/>
      <c r="M164" s="136"/>
      <c r="N164" s="34"/>
      <c r="T164" s="19"/>
    </row>
    <row r="165" spans="1:20" s="85" customFormat="1" ht="15.75" customHeight="1" x14ac:dyDescent="0.35">
      <c r="A165" s="208" t="s">
        <v>401</v>
      </c>
      <c r="B165" s="209"/>
      <c r="C165" s="209"/>
      <c r="D165" s="209"/>
      <c r="E165" s="209"/>
      <c r="F165" s="209"/>
      <c r="G165" s="209"/>
      <c r="H165" s="210"/>
      <c r="J165" s="34"/>
    </row>
    <row r="166" spans="1:20" s="85" customFormat="1" ht="15.75" customHeight="1" x14ac:dyDescent="0.35">
      <c r="A166" s="138">
        <v>1</v>
      </c>
      <c r="B166" s="139"/>
      <c r="C166" s="84" t="s">
        <v>393</v>
      </c>
      <c r="D166" s="84">
        <f>(68.49)*10.764</f>
        <v>737.22635999999989</v>
      </c>
      <c r="E166" s="84">
        <f>(3.84)*10.764</f>
        <v>41.333759999999998</v>
      </c>
      <c r="F166" s="84">
        <f>D166+E166</f>
        <v>778.56011999999987</v>
      </c>
      <c r="G166" s="84">
        <v>0</v>
      </c>
      <c r="H166" s="84">
        <f>F166*(($H$143)+1)+(IF(G166&lt;101,G166,IF(G166&lt;201,G166/2,IF(G166&lt;=301,G166/3,G166/4))))</f>
        <v>1167.8401799999997</v>
      </c>
      <c r="I166" s="34"/>
      <c r="L166" s="136"/>
      <c r="M166" s="136"/>
      <c r="N166" s="34"/>
    </row>
    <row r="167" spans="1:20" s="85" customFormat="1" ht="15.75" customHeight="1" x14ac:dyDescent="0.35">
      <c r="A167" s="138">
        <f>A166+1</f>
        <v>2</v>
      </c>
      <c r="B167" s="139"/>
      <c r="C167" s="84" t="s">
        <v>393</v>
      </c>
      <c r="D167" s="84">
        <f>(66.07)*10.764</f>
        <v>711.17747999999983</v>
      </c>
      <c r="E167" s="84">
        <f>(3.84)*10.764</f>
        <v>41.333759999999998</v>
      </c>
      <c r="F167" s="84">
        <f>D167+E167</f>
        <v>752.51123999999982</v>
      </c>
      <c r="G167" s="84">
        <v>0</v>
      </c>
      <c r="H167" s="84">
        <f>F167*(($H$143)+1)+(IF(G167&lt;101,G167,IF(G167&lt;201,G167/2,IF(G167&lt;=301,G167/3,G167/4))))</f>
        <v>1128.7668599999997</v>
      </c>
      <c r="I167" s="34"/>
      <c r="L167" s="136"/>
      <c r="M167" s="136"/>
      <c r="N167" s="34"/>
    </row>
    <row r="168" spans="1:20" s="85" customFormat="1" ht="15.75" customHeight="1" x14ac:dyDescent="0.35">
      <c r="A168" s="138">
        <f>A167+1</f>
        <v>3</v>
      </c>
      <c r="B168" s="139"/>
      <c r="C168" s="84" t="s">
        <v>393</v>
      </c>
      <c r="D168" s="84">
        <f>(55.12)*10.764</f>
        <v>593.31167999999991</v>
      </c>
      <c r="E168" s="84">
        <f>(0)*10.764</f>
        <v>0</v>
      </c>
      <c r="F168" s="84">
        <f>D168+E168</f>
        <v>593.31167999999991</v>
      </c>
      <c r="G168" s="84">
        <v>0</v>
      </c>
      <c r="H168" s="84">
        <f>F168*(($H$143)+1)+(IF(G168&lt;101,G168,IF(G168&lt;201,G168/2,IF(G168&lt;=301,G168/3,G168/4))))</f>
        <v>889.96751999999992</v>
      </c>
      <c r="I168" s="34"/>
      <c r="L168" s="136"/>
      <c r="M168" s="136"/>
      <c r="N168" s="34"/>
    </row>
    <row r="169" spans="1:20" s="85" customFormat="1" ht="15.75" customHeight="1" x14ac:dyDescent="0.35">
      <c r="A169" s="138">
        <f>A168+1</f>
        <v>4</v>
      </c>
      <c r="B169" s="139"/>
      <c r="C169" s="84" t="s">
        <v>397</v>
      </c>
      <c r="D169" s="84">
        <f>(119.15)*10.764</f>
        <v>1282.5306</v>
      </c>
      <c r="E169" s="84">
        <f>(5.48)*10.764</f>
        <v>58.986719999999998</v>
      </c>
      <c r="F169" s="84">
        <f>D169+E169</f>
        <v>1341.5173200000002</v>
      </c>
      <c r="G169" s="84">
        <v>0</v>
      </c>
      <c r="H169" s="84">
        <f>F169*(($H$143)+1)+(IF(G169&lt;101,G169,IF(G169&lt;201,G169/2,IF(G169&lt;=301,G169/3,G169/4))))</f>
        <v>2012.2759800000003</v>
      </c>
      <c r="I169" s="34"/>
      <c r="L169" s="136"/>
      <c r="M169" s="136"/>
      <c r="N169" s="34"/>
      <c r="T169" s="19"/>
    </row>
    <row r="170" spans="1:20" s="85" customFormat="1" x14ac:dyDescent="0.35">
      <c r="A170" s="208" t="s">
        <v>402</v>
      </c>
      <c r="B170" s="209"/>
      <c r="C170" s="209"/>
      <c r="D170" s="209"/>
      <c r="E170" s="209"/>
      <c r="F170" s="209"/>
      <c r="G170" s="209"/>
      <c r="H170" s="210"/>
      <c r="J170" s="34"/>
    </row>
    <row r="171" spans="1:20" s="85" customFormat="1" ht="15.75" customHeight="1" x14ac:dyDescent="0.35">
      <c r="A171" s="138">
        <v>1</v>
      </c>
      <c r="B171" s="139"/>
      <c r="C171" s="84" t="s">
        <v>393</v>
      </c>
      <c r="D171" s="84">
        <f>(68.49)*10.764</f>
        <v>737.22635999999989</v>
      </c>
      <c r="E171" s="84">
        <f>(3.84)*10.764</f>
        <v>41.333759999999998</v>
      </c>
      <c r="F171" s="84">
        <f>D171+E171</f>
        <v>778.56011999999987</v>
      </c>
      <c r="G171" s="84">
        <v>0</v>
      </c>
      <c r="H171" s="84">
        <f>F171*(($H$143)+1)+(IF(G171&lt;101,G171,IF(G171&lt;201,G171/2,IF(G171&lt;=301,G171/3,G171/4))))</f>
        <v>1167.8401799999997</v>
      </c>
      <c r="I171" s="34"/>
      <c r="L171" s="136"/>
      <c r="M171" s="136"/>
      <c r="N171" s="34"/>
    </row>
    <row r="172" spans="1:20" s="85" customFormat="1" ht="15.75" customHeight="1" x14ac:dyDescent="0.35">
      <c r="A172" s="138">
        <f>A171+1</f>
        <v>2</v>
      </c>
      <c r="B172" s="139"/>
      <c r="C172" s="84" t="s">
        <v>393</v>
      </c>
      <c r="D172" s="84">
        <f>(66.07)*10.764</f>
        <v>711.17747999999983</v>
      </c>
      <c r="E172" s="84">
        <f>(3.84)*10.764</f>
        <v>41.333759999999998</v>
      </c>
      <c r="F172" s="84">
        <f>D172+E172</f>
        <v>752.51123999999982</v>
      </c>
      <c r="G172" s="84">
        <v>0</v>
      </c>
      <c r="H172" s="84">
        <f>F172*(($H$143)+1)+(IF(G172&lt;101,G172,IF(G172&lt;201,G172/2,IF(G172&lt;=301,G172/3,G172/4))))</f>
        <v>1128.7668599999997</v>
      </c>
      <c r="I172" s="34"/>
      <c r="L172" s="136"/>
      <c r="M172" s="136"/>
      <c r="N172" s="34"/>
    </row>
    <row r="173" spans="1:20" s="85" customFormat="1" ht="15.75" customHeight="1" x14ac:dyDescent="0.35">
      <c r="A173" s="138">
        <f>A172+1</f>
        <v>3</v>
      </c>
      <c r="B173" s="139"/>
      <c r="C173" s="84" t="s">
        <v>393</v>
      </c>
      <c r="D173" s="84">
        <f>(67.17)*10.764</f>
        <v>723.01787999999999</v>
      </c>
      <c r="E173" s="84">
        <f>(0)*10.764</f>
        <v>0</v>
      </c>
      <c r="F173" s="84">
        <f>D173+E173</f>
        <v>723.01787999999999</v>
      </c>
      <c r="G173" s="84">
        <v>0</v>
      </c>
      <c r="H173" s="84">
        <f>F173*(($H$143)+1)+(IF(G173&lt;101,G173,IF(G173&lt;201,G173/2,IF(G173&lt;=301,G173/3,G173/4))))</f>
        <v>1084.52682</v>
      </c>
      <c r="I173" s="34"/>
      <c r="L173" s="136"/>
      <c r="M173" s="136"/>
      <c r="N173" s="34"/>
    </row>
    <row r="174" spans="1:20" s="85" customFormat="1" ht="15.75" customHeight="1" x14ac:dyDescent="0.35">
      <c r="A174" s="138">
        <f>A173+1</f>
        <v>4</v>
      </c>
      <c r="B174" s="139"/>
      <c r="C174" s="84" t="s">
        <v>397</v>
      </c>
      <c r="D174" s="84">
        <f>(118.98)*10.764</f>
        <v>1280.70072</v>
      </c>
      <c r="E174" s="84">
        <f>(5.48)*10.764</f>
        <v>58.986719999999998</v>
      </c>
      <c r="F174" s="84">
        <f>D174+E174</f>
        <v>1339.6874400000002</v>
      </c>
      <c r="G174" s="84">
        <v>0</v>
      </c>
      <c r="H174" s="84">
        <f>F174*(($H$143)+1)+(IF(G174&lt;101,G174,IF(G174&lt;201,G174/2,IF(G174&lt;=301,G174/3,G174/4))))</f>
        <v>2009.5311600000002</v>
      </c>
      <c r="I174" s="34"/>
      <c r="L174" s="136"/>
      <c r="M174" s="136"/>
      <c r="N174" s="34"/>
      <c r="T174" s="19"/>
    </row>
    <row r="175" spans="1:20" s="85" customFormat="1" ht="15.75" customHeight="1" x14ac:dyDescent="0.35">
      <c r="A175" s="208" t="s">
        <v>403</v>
      </c>
      <c r="B175" s="209"/>
      <c r="C175" s="209"/>
      <c r="D175" s="209"/>
      <c r="E175" s="209"/>
      <c r="F175" s="209"/>
      <c r="G175" s="209"/>
      <c r="H175" s="210"/>
      <c r="J175" s="34"/>
    </row>
    <row r="176" spans="1:20" s="85" customFormat="1" ht="15.75" customHeight="1" x14ac:dyDescent="0.35">
      <c r="A176" s="138">
        <v>1</v>
      </c>
      <c r="B176" s="139"/>
      <c r="C176" s="84" t="s">
        <v>393</v>
      </c>
      <c r="D176" s="84">
        <f>(68.49)*10.764</f>
        <v>737.22635999999989</v>
      </c>
      <c r="E176" s="84">
        <f>(3.84)*10.764</f>
        <v>41.333759999999998</v>
      </c>
      <c r="F176" s="84">
        <f>D176+E176</f>
        <v>778.56011999999987</v>
      </c>
      <c r="G176" s="84">
        <v>0</v>
      </c>
      <c r="H176" s="84">
        <f>F176*(($H$143)+1)+(IF(G176&lt;101,G176,IF(G176&lt;201,G176/2,IF(G176&lt;=301,G176/3,G176/4))))</f>
        <v>1167.8401799999997</v>
      </c>
      <c r="I176" s="34"/>
      <c r="L176" s="136"/>
      <c r="M176" s="136"/>
      <c r="N176" s="34"/>
    </row>
    <row r="177" spans="1:20" s="85" customFormat="1" ht="15.75" customHeight="1" x14ac:dyDescent="0.35">
      <c r="A177" s="138">
        <f>A176+1</f>
        <v>2</v>
      </c>
      <c r="B177" s="139"/>
      <c r="C177" s="84" t="s">
        <v>393</v>
      </c>
      <c r="D177" s="84">
        <f>(66.07)*10.764</f>
        <v>711.17747999999983</v>
      </c>
      <c r="E177" s="84">
        <f>(3.84)*10.764</f>
        <v>41.333759999999998</v>
      </c>
      <c r="F177" s="84">
        <f>D177+E177</f>
        <v>752.51123999999982</v>
      </c>
      <c r="G177" s="84">
        <v>0</v>
      </c>
      <c r="H177" s="84">
        <f>F177*(($H$143)+1)+(IF(G177&lt;101,G177,IF(G177&lt;201,G177/2,IF(G177&lt;=301,G177/3,G177/4))))</f>
        <v>1128.7668599999997</v>
      </c>
      <c r="I177" s="34"/>
      <c r="L177" s="136"/>
      <c r="M177" s="136"/>
      <c r="N177" s="34"/>
    </row>
    <row r="178" spans="1:20" s="85" customFormat="1" ht="15.75" customHeight="1" x14ac:dyDescent="0.35">
      <c r="A178" s="138">
        <f>A177+1</f>
        <v>3</v>
      </c>
      <c r="B178" s="139"/>
      <c r="C178" s="84" t="s">
        <v>393</v>
      </c>
      <c r="D178" s="84">
        <f>(67.17)*10.764</f>
        <v>723.01787999999999</v>
      </c>
      <c r="E178" s="84">
        <f>(0)*10.764</f>
        <v>0</v>
      </c>
      <c r="F178" s="84">
        <f>D178+E178</f>
        <v>723.01787999999999</v>
      </c>
      <c r="G178" s="84">
        <v>0</v>
      </c>
      <c r="H178" s="84">
        <f>F178*(($H$143)+1)+(IF(G178&lt;101,G178,IF(G178&lt;201,G178/2,IF(G178&lt;=301,G178/3,G178/4))))</f>
        <v>1084.52682</v>
      </c>
      <c r="I178" s="34"/>
      <c r="L178" s="136"/>
      <c r="M178" s="136"/>
      <c r="N178" s="34"/>
    </row>
    <row r="179" spans="1:20" s="85" customFormat="1" ht="15.75" customHeight="1" x14ac:dyDescent="0.35">
      <c r="A179" s="138">
        <f>A178+1</f>
        <v>4</v>
      </c>
      <c r="B179" s="139"/>
      <c r="C179" s="84" t="s">
        <v>397</v>
      </c>
      <c r="D179" s="84">
        <f>(119.4)*10.764</f>
        <v>1285.2216000000001</v>
      </c>
      <c r="E179" s="84">
        <f>(5.48)*10.764</f>
        <v>58.986719999999998</v>
      </c>
      <c r="F179" s="84">
        <f>D179+E179</f>
        <v>1344.2083200000002</v>
      </c>
      <c r="G179" s="84">
        <v>0</v>
      </c>
      <c r="H179" s="84">
        <f>F179*(($H$143)+1)+(IF(G179&lt;101,G179,IF(G179&lt;201,G179/2,IF(G179&lt;=301,G179/3,G179/4))))</f>
        <v>2016.3124800000003</v>
      </c>
      <c r="I179" s="34"/>
      <c r="L179" s="136"/>
      <c r="M179" s="136"/>
      <c r="N179" s="34"/>
      <c r="T179" s="19"/>
    </row>
    <row r="180" spans="1:20" s="85" customFormat="1" x14ac:dyDescent="0.35">
      <c r="A180" s="208" t="s">
        <v>404</v>
      </c>
      <c r="B180" s="209"/>
      <c r="C180" s="209"/>
      <c r="D180" s="209"/>
      <c r="E180" s="209"/>
      <c r="F180" s="209"/>
      <c r="G180" s="209"/>
      <c r="H180" s="210"/>
      <c r="J180" s="34"/>
    </row>
    <row r="181" spans="1:20" s="85" customFormat="1" ht="15.75" customHeight="1" x14ac:dyDescent="0.35">
      <c r="A181" s="138">
        <v>1</v>
      </c>
      <c r="B181" s="139"/>
      <c r="C181" s="84" t="s">
        <v>397</v>
      </c>
      <c r="D181" s="84">
        <f>(93.73)*10.764</f>
        <v>1008.90972</v>
      </c>
      <c r="E181" s="84">
        <f>(3.84+2.1)*10.764</f>
        <v>63.938159999999989</v>
      </c>
      <c r="F181" s="84">
        <f>D181+E181</f>
        <v>1072.84788</v>
      </c>
      <c r="G181" s="84">
        <v>0</v>
      </c>
      <c r="H181" s="84">
        <f>F181*(($H$143)+1)+(IF(G181&lt;101,G181,IF(G181&lt;201,G181/2,IF(G181&lt;=301,G181/3,G181/4))))</f>
        <v>1609.2718199999999</v>
      </c>
      <c r="I181" s="34"/>
      <c r="L181" s="136"/>
      <c r="M181" s="136"/>
      <c r="N181" s="34"/>
    </row>
    <row r="182" spans="1:20" s="85" customFormat="1" ht="15.75" customHeight="1" x14ac:dyDescent="0.35">
      <c r="A182" s="138">
        <f>A181+1</f>
        <v>2</v>
      </c>
      <c r="B182" s="139"/>
      <c r="C182" s="84" t="s">
        <v>393</v>
      </c>
      <c r="D182" s="84">
        <f>(68.81)*10.764</f>
        <v>740.67084</v>
      </c>
      <c r="E182" s="84">
        <f>(3.84+2)*10.764</f>
        <v>62.861759999999997</v>
      </c>
      <c r="F182" s="84">
        <f>D182+E182</f>
        <v>803.5326</v>
      </c>
      <c r="G182" s="84">
        <v>0</v>
      </c>
      <c r="H182" s="84">
        <f>F182*(($H$143)+1)+(IF(G182&lt;101,G182,IF(G182&lt;201,G182/2,IF(G182&lt;=301,G182/3,G182/4))))</f>
        <v>1205.2989</v>
      </c>
      <c r="I182" s="34"/>
      <c r="L182" s="136"/>
      <c r="M182" s="136"/>
      <c r="N182" s="34"/>
    </row>
    <row r="183" spans="1:20" s="85" customFormat="1" ht="15.75" customHeight="1" x14ac:dyDescent="0.35">
      <c r="A183" s="138">
        <f>A182+1</f>
        <v>3</v>
      </c>
      <c r="B183" s="139"/>
      <c r="C183" s="84" t="s">
        <v>393</v>
      </c>
      <c r="D183" s="84">
        <f>(67.17)*10.764</f>
        <v>723.01787999999999</v>
      </c>
      <c r="E183" s="84">
        <v>0</v>
      </c>
      <c r="F183" s="84">
        <f>D183+E183</f>
        <v>723.01787999999999</v>
      </c>
      <c r="G183" s="84">
        <v>0</v>
      </c>
      <c r="H183" s="84">
        <f>F183*(($H$143)+1)+(IF(G183&lt;101,G183,IF(G183&lt;201,G183/2,IF(G183&lt;=301,G183/3,G183/4))))</f>
        <v>1084.52682</v>
      </c>
      <c r="I183" s="34"/>
      <c r="L183" s="136"/>
      <c r="M183" s="136"/>
      <c r="N183" s="34"/>
    </row>
    <row r="184" spans="1:20" s="85" customFormat="1" ht="15.75" customHeight="1" x14ac:dyDescent="0.35">
      <c r="A184" s="138">
        <f>A183+1</f>
        <v>4</v>
      </c>
      <c r="B184" s="139"/>
      <c r="C184" s="84" t="s">
        <v>397</v>
      </c>
      <c r="D184" s="84">
        <f>(119.4)*10.764</f>
        <v>1285.2216000000001</v>
      </c>
      <c r="E184" s="84">
        <f>(5.48)*10.764</f>
        <v>58.986719999999998</v>
      </c>
      <c r="F184" s="84">
        <f>D184+E184</f>
        <v>1344.2083200000002</v>
      </c>
      <c r="G184" s="84">
        <v>0</v>
      </c>
      <c r="H184" s="84">
        <f>F184*(($H$143)+1)+(IF(G184&lt;101,G184,IF(G184&lt;201,G184/2,IF(G184&lt;=301,G184/3,G184/4))))</f>
        <v>2016.3124800000003</v>
      </c>
      <c r="I184" s="34"/>
      <c r="L184" s="136"/>
      <c r="M184" s="136"/>
      <c r="N184" s="34"/>
      <c r="T184" s="19"/>
    </row>
    <row r="185" spans="1:20" s="85" customFormat="1" x14ac:dyDescent="0.35">
      <c r="A185" s="208" t="s">
        <v>405</v>
      </c>
      <c r="B185" s="209"/>
      <c r="C185" s="209"/>
      <c r="D185" s="209"/>
      <c r="E185" s="209"/>
      <c r="F185" s="209"/>
      <c r="G185" s="209"/>
      <c r="H185" s="210"/>
      <c r="J185" s="34"/>
    </row>
    <row r="186" spans="1:20" s="85" customFormat="1" ht="15.75" customHeight="1" x14ac:dyDescent="0.35">
      <c r="A186" s="138">
        <v>1</v>
      </c>
      <c r="B186" s="139"/>
      <c r="C186" s="84" t="s">
        <v>397</v>
      </c>
      <c r="D186" s="84">
        <f>(93.73)*10.764</f>
        <v>1008.90972</v>
      </c>
      <c r="E186" s="84">
        <f>(3.84+2.1)*10.764</f>
        <v>63.938159999999989</v>
      </c>
      <c r="F186" s="84">
        <f>D186+E186</f>
        <v>1072.84788</v>
      </c>
      <c r="G186" s="84">
        <v>0</v>
      </c>
      <c r="H186" s="84">
        <f>F186*(($H$143)+1)+(IF(G186&lt;101,G186,IF(G186&lt;201,G186/2,IF(G186&lt;=301,G186/3,G186/4))))</f>
        <v>1609.2718199999999</v>
      </c>
      <c r="I186" s="34"/>
      <c r="L186" s="136"/>
      <c r="M186" s="136"/>
      <c r="N186" s="34"/>
    </row>
    <row r="187" spans="1:20" s="85" customFormat="1" ht="15.75" customHeight="1" x14ac:dyDescent="0.35">
      <c r="A187" s="138">
        <f>A186+1</f>
        <v>2</v>
      </c>
      <c r="B187" s="139"/>
      <c r="C187" s="84" t="s">
        <v>393</v>
      </c>
      <c r="D187" s="84">
        <f>(68.81)*10.764</f>
        <v>740.67084</v>
      </c>
      <c r="E187" s="84">
        <f>(3.84+2)*10.764</f>
        <v>62.861759999999997</v>
      </c>
      <c r="F187" s="84">
        <f>D187+E187</f>
        <v>803.5326</v>
      </c>
      <c r="G187" s="84">
        <v>0</v>
      </c>
      <c r="H187" s="84">
        <f>F187*(($H$143)+1)+(IF(G187&lt;101,G187,IF(G187&lt;201,G187/2,IF(G187&lt;=301,G187/3,G187/4))))</f>
        <v>1205.2989</v>
      </c>
      <c r="I187" s="34"/>
      <c r="L187" s="136"/>
      <c r="M187" s="136"/>
      <c r="N187" s="34"/>
    </row>
    <row r="188" spans="1:20" s="85" customFormat="1" ht="15.75" customHeight="1" x14ac:dyDescent="0.35">
      <c r="A188" s="138">
        <f>A187+1</f>
        <v>3</v>
      </c>
      <c r="B188" s="139"/>
      <c r="C188" s="84" t="s">
        <v>393</v>
      </c>
      <c r="D188" s="84">
        <f>(67.17)*10.764</f>
        <v>723.01787999999999</v>
      </c>
      <c r="E188" s="84">
        <v>0</v>
      </c>
      <c r="F188" s="84">
        <f>D188+E188</f>
        <v>723.01787999999999</v>
      </c>
      <c r="G188" s="84">
        <v>0</v>
      </c>
      <c r="H188" s="84">
        <f>F188*(($H$143)+1)+(IF(G188&lt;101,G188,IF(G188&lt;201,G188/2,IF(G188&lt;=301,G188/3,G188/4))))</f>
        <v>1084.52682</v>
      </c>
      <c r="I188" s="34"/>
      <c r="L188" s="136"/>
      <c r="M188" s="136"/>
      <c r="N188" s="34"/>
    </row>
    <row r="189" spans="1:20" s="85" customFormat="1" ht="15.75" customHeight="1" x14ac:dyDescent="0.35">
      <c r="A189" s="138">
        <f>A188+1</f>
        <v>4</v>
      </c>
      <c r="B189" s="139"/>
      <c r="C189" s="84" t="s">
        <v>397</v>
      </c>
      <c r="D189" s="84">
        <f>(119.4)*10.764</f>
        <v>1285.2216000000001</v>
      </c>
      <c r="E189" s="84">
        <f>(5.48)*10.764</f>
        <v>58.986719999999998</v>
      </c>
      <c r="F189" s="84">
        <f>D189+E189</f>
        <v>1344.2083200000002</v>
      </c>
      <c r="G189" s="84">
        <v>0</v>
      </c>
      <c r="H189" s="84">
        <f>F189*(($H$143)+1)+(IF(G189&lt;101,G189,IF(G189&lt;201,G189/2,IF(G189&lt;=301,G189/3,G189/4))))</f>
        <v>2016.3124800000003</v>
      </c>
      <c r="I189" s="34"/>
      <c r="L189" s="136"/>
      <c r="M189" s="136"/>
      <c r="N189" s="34"/>
      <c r="T189" s="19"/>
    </row>
    <row r="190" spans="1:20" s="85" customFormat="1" x14ac:dyDescent="0.35">
      <c r="A190" s="208" t="s">
        <v>406</v>
      </c>
      <c r="B190" s="209"/>
      <c r="C190" s="209"/>
      <c r="D190" s="209"/>
      <c r="E190" s="209"/>
      <c r="F190" s="209"/>
      <c r="G190" s="209"/>
      <c r="H190" s="210"/>
      <c r="J190" s="34"/>
    </row>
    <row r="191" spans="1:20" s="85" customFormat="1" ht="15.75" customHeight="1" x14ac:dyDescent="0.35">
      <c r="A191" s="138">
        <v>1</v>
      </c>
      <c r="B191" s="139"/>
      <c r="C191" s="84" t="s">
        <v>397</v>
      </c>
      <c r="D191" s="84">
        <f>(93.73)*10.764</f>
        <v>1008.90972</v>
      </c>
      <c r="E191" s="84">
        <f>(3.84+2.1)*10.764</f>
        <v>63.938159999999989</v>
      </c>
      <c r="F191" s="84">
        <f>D191+E191</f>
        <v>1072.84788</v>
      </c>
      <c r="G191" s="84">
        <v>0</v>
      </c>
      <c r="H191" s="84">
        <f>F191*(($H$143)+1)+(IF(G191&lt;101,G191,IF(G191&lt;201,G191/2,IF(G191&lt;=301,G191/3,G191/4))))</f>
        <v>1609.2718199999999</v>
      </c>
      <c r="I191" s="34"/>
      <c r="L191" s="136"/>
      <c r="M191" s="136"/>
      <c r="N191" s="34"/>
    </row>
    <row r="192" spans="1:20" s="85" customFormat="1" ht="15.75" customHeight="1" x14ac:dyDescent="0.35">
      <c r="A192" s="137">
        <f>A191+1</f>
        <v>2</v>
      </c>
      <c r="B192" s="137"/>
      <c r="C192" s="97" t="s">
        <v>393</v>
      </c>
      <c r="D192" s="97">
        <f>(68.81)*10.764</f>
        <v>740.67084</v>
      </c>
      <c r="E192" s="97">
        <f>(3.84+2)*10.764</f>
        <v>62.861759999999997</v>
      </c>
      <c r="F192" s="97">
        <f>D192+E192</f>
        <v>803.5326</v>
      </c>
      <c r="G192" s="97">
        <v>0</v>
      </c>
      <c r="H192" s="97">
        <f>F192*(($H$143)+1)+(IF(G192&lt;101,G192,IF(G192&lt;201,G192/2,IF(G192&lt;=301,G192/3,G192/4))))</f>
        <v>1205.2989</v>
      </c>
      <c r="I192" s="34"/>
      <c r="L192" s="136"/>
      <c r="M192" s="136"/>
      <c r="N192" s="34"/>
    </row>
    <row r="193" spans="1:20" s="85" customFormat="1" ht="15.75" customHeight="1" x14ac:dyDescent="0.35">
      <c r="A193" s="137">
        <f>A192+1</f>
        <v>3</v>
      </c>
      <c r="B193" s="137"/>
      <c r="C193" s="97" t="s">
        <v>393</v>
      </c>
      <c r="D193" s="97">
        <f>(67.17)*10.764</f>
        <v>723.01787999999999</v>
      </c>
      <c r="E193" s="97">
        <v>0</v>
      </c>
      <c r="F193" s="97">
        <f>D193+E193</f>
        <v>723.01787999999999</v>
      </c>
      <c r="G193" s="97">
        <v>0</v>
      </c>
      <c r="H193" s="97">
        <f>F193*(($H$143)+1)+(IF(G193&lt;101,G193,IF(G193&lt;201,G193/2,IF(G193&lt;=301,G193/3,G193/4))))</f>
        <v>1084.52682</v>
      </c>
      <c r="I193" s="34"/>
      <c r="L193" s="136"/>
      <c r="M193" s="136"/>
      <c r="N193" s="34"/>
    </row>
    <row r="194" spans="1:20" s="85" customFormat="1" ht="15.75" customHeight="1" x14ac:dyDescent="0.35">
      <c r="A194" s="137">
        <f>A193+1</f>
        <v>4</v>
      </c>
      <c r="B194" s="137"/>
      <c r="C194" s="97" t="s">
        <v>397</v>
      </c>
      <c r="D194" s="97">
        <f>(119.4)*10.764</f>
        <v>1285.2216000000001</v>
      </c>
      <c r="E194" s="97">
        <f>(5.48)*10.764</f>
        <v>58.986719999999998</v>
      </c>
      <c r="F194" s="97">
        <f>D194+E194</f>
        <v>1344.2083200000002</v>
      </c>
      <c r="G194" s="97">
        <v>0</v>
      </c>
      <c r="H194" s="97">
        <f>F194*(($H$143)+1)+(IF(G194&lt;101,G194,IF(G194&lt;201,G194/2,IF(G194&lt;=301,G194/3,G194/4))))</f>
        <v>2016.3124800000003</v>
      </c>
      <c r="I194" s="34"/>
      <c r="L194" s="136"/>
      <c r="M194" s="136"/>
      <c r="N194" s="34"/>
      <c r="T194" s="19"/>
    </row>
    <row r="195" spans="1:20" s="85" customFormat="1" x14ac:dyDescent="0.35">
      <c r="A195" s="238" t="s">
        <v>407</v>
      </c>
      <c r="B195" s="238"/>
      <c r="C195" s="238"/>
      <c r="D195" s="238"/>
      <c r="E195" s="238"/>
      <c r="F195" s="238"/>
      <c r="G195" s="238"/>
      <c r="H195" s="238"/>
      <c r="J195" s="34"/>
      <c r="K195" s="84">
        <v>10.763999999999999</v>
      </c>
    </row>
    <row r="196" spans="1:20" s="85" customFormat="1" x14ac:dyDescent="0.35">
      <c r="A196" s="203" t="s">
        <v>384</v>
      </c>
      <c r="B196" s="203"/>
      <c r="C196" s="203"/>
      <c r="D196" s="203"/>
      <c r="E196" s="203"/>
      <c r="F196" s="203"/>
      <c r="G196" s="203"/>
      <c r="H196" s="203"/>
      <c r="J196" s="34"/>
    </row>
    <row r="197" spans="1:20" s="85" customFormat="1" x14ac:dyDescent="0.35">
      <c r="A197" s="203" t="s">
        <v>385</v>
      </c>
      <c r="B197" s="203"/>
      <c r="C197" s="203"/>
      <c r="D197" s="203"/>
      <c r="E197" s="203"/>
      <c r="F197" s="203"/>
      <c r="G197" s="203"/>
      <c r="H197" s="203"/>
      <c r="J197" s="34"/>
    </row>
    <row r="198" spans="1:20" s="85" customFormat="1" x14ac:dyDescent="0.35">
      <c r="A198" s="203" t="s">
        <v>386</v>
      </c>
      <c r="B198" s="203"/>
      <c r="C198" s="203"/>
      <c r="D198" s="203"/>
      <c r="E198" s="203"/>
      <c r="F198" s="203"/>
      <c r="G198" s="203"/>
      <c r="H198" s="203"/>
      <c r="J198" s="34"/>
    </row>
    <row r="199" spans="1:20" s="85" customFormat="1" x14ac:dyDescent="0.35">
      <c r="A199" s="203" t="s">
        <v>387</v>
      </c>
      <c r="B199" s="203"/>
      <c r="C199" s="203"/>
      <c r="D199" s="203"/>
      <c r="E199" s="203"/>
      <c r="F199" s="203"/>
      <c r="G199" s="203"/>
      <c r="H199" s="203"/>
      <c r="J199" s="34"/>
    </row>
    <row r="200" spans="1:20" s="85" customFormat="1" x14ac:dyDescent="0.35">
      <c r="A200" s="203" t="s">
        <v>388</v>
      </c>
      <c r="B200" s="203"/>
      <c r="C200" s="203"/>
      <c r="D200" s="203"/>
      <c r="E200" s="203"/>
      <c r="F200" s="203"/>
      <c r="G200" s="203"/>
      <c r="H200" s="203"/>
      <c r="J200" s="34"/>
    </row>
    <row r="201" spans="1:20" s="85" customFormat="1" ht="15.75" customHeight="1" x14ac:dyDescent="0.35">
      <c r="A201" s="137">
        <v>5</v>
      </c>
      <c r="B201" s="137"/>
      <c r="C201" s="101" t="s">
        <v>397</v>
      </c>
      <c r="D201" s="101">
        <f>(123.81)*10.764</f>
        <v>1332.69084</v>
      </c>
      <c r="E201" s="101">
        <f>(5.48)*10.764</f>
        <v>58.986719999999998</v>
      </c>
      <c r="F201" s="101">
        <f>D201+E201</f>
        <v>1391.6775600000001</v>
      </c>
      <c r="G201" s="101">
        <v>0</v>
      </c>
      <c r="H201" s="101">
        <f>F201*(($H$143)+1)+(IF(G201&lt;101,G201,IF(G201&lt;201,G201/2,IF(G201&lt;=301,G201/3,G201/4))))</f>
        <v>2087.5163400000001</v>
      </c>
      <c r="I201" s="34"/>
      <c r="L201" s="136"/>
      <c r="M201" s="136"/>
      <c r="N201" s="34"/>
    </row>
    <row r="202" spans="1:20" s="85" customFormat="1" ht="15.75" customHeight="1" x14ac:dyDescent="0.35">
      <c r="A202" s="137">
        <f>A201+1</f>
        <v>6</v>
      </c>
      <c r="B202" s="137"/>
      <c r="C202" s="101" t="s">
        <v>393</v>
      </c>
      <c r="D202" s="101">
        <f>(55.21)*10.764</f>
        <v>594.28044</v>
      </c>
      <c r="E202" s="101">
        <f>(0)*10.764</f>
        <v>0</v>
      </c>
      <c r="F202" s="101">
        <f>D202+E202</f>
        <v>594.28044</v>
      </c>
      <c r="G202" s="101">
        <v>0</v>
      </c>
      <c r="H202" s="101">
        <f>F202*(($H$143)+1)+(IF(G202&lt;101,G202,IF(G202&lt;201,G202/2,IF(G202&lt;=301,G202/3,G202/4))))</f>
        <v>891.42066</v>
      </c>
      <c r="I202" s="34"/>
      <c r="L202" s="136"/>
      <c r="M202" s="136"/>
      <c r="N202" s="34"/>
    </row>
    <row r="203" spans="1:20" s="85" customFormat="1" ht="15.75" customHeight="1" x14ac:dyDescent="0.35">
      <c r="A203" s="137">
        <f>A202+1</f>
        <v>7</v>
      </c>
      <c r="B203" s="137"/>
      <c r="C203" s="101" t="s">
        <v>393</v>
      </c>
      <c r="D203" s="101">
        <f>(65.65)*10.764</f>
        <v>706.65660000000003</v>
      </c>
      <c r="E203" s="101">
        <f>(0)*10.764</f>
        <v>0</v>
      </c>
      <c r="F203" s="101">
        <f>D203+E203</f>
        <v>706.65660000000003</v>
      </c>
      <c r="G203" s="101">
        <v>0</v>
      </c>
      <c r="H203" s="101">
        <f>F203*(($H$143)+1)+(IF(G203&lt;101,G203,IF(G203&lt;201,G203/2,IF(G203&lt;=301,G203/3,G203/4))))</f>
        <v>1059.9848999999999</v>
      </c>
      <c r="I203" s="34"/>
      <c r="L203" s="136"/>
      <c r="M203" s="136"/>
      <c r="N203" s="34"/>
    </row>
    <row r="204" spans="1:20" s="85" customFormat="1" ht="15.75" customHeight="1" x14ac:dyDescent="0.35">
      <c r="A204" s="137">
        <f>A203+1</f>
        <v>8</v>
      </c>
      <c r="B204" s="137"/>
      <c r="C204" s="101" t="s">
        <v>393</v>
      </c>
      <c r="D204" s="101">
        <f>(68.49)*10.764</f>
        <v>737.22635999999989</v>
      </c>
      <c r="E204" s="101">
        <f>(3.74)*10.764</f>
        <v>40.257359999999998</v>
      </c>
      <c r="F204" s="101">
        <f>D204+E204</f>
        <v>777.48371999999983</v>
      </c>
      <c r="G204" s="101">
        <v>0</v>
      </c>
      <c r="H204" s="101">
        <f>F204*(($H$143)+1)+(IF(G204&lt;101,G204,IF(G204&lt;201,G204/2,IF(G204&lt;=301,G204/3,G204/4))))</f>
        <v>1166.2255799999998</v>
      </c>
      <c r="I204" s="34"/>
      <c r="L204" s="136"/>
      <c r="M204" s="136"/>
      <c r="N204" s="34"/>
      <c r="T204" s="19"/>
    </row>
    <row r="205" spans="1:20" s="85" customFormat="1" ht="15.75" customHeight="1" x14ac:dyDescent="0.35">
      <c r="A205" s="203" t="s">
        <v>396</v>
      </c>
      <c r="B205" s="203"/>
      <c r="C205" s="203"/>
      <c r="D205" s="203"/>
      <c r="E205" s="203"/>
      <c r="F205" s="203"/>
      <c r="G205" s="203"/>
      <c r="H205" s="203"/>
      <c r="J205" s="34"/>
    </row>
    <row r="206" spans="1:20" s="85" customFormat="1" ht="15.75" customHeight="1" x14ac:dyDescent="0.35">
      <c r="A206" s="137">
        <v>5</v>
      </c>
      <c r="B206" s="137"/>
      <c r="C206" s="101" t="s">
        <v>397</v>
      </c>
      <c r="D206" s="101">
        <f>(119.15)*10.764</f>
        <v>1282.5306</v>
      </c>
      <c r="E206" s="101">
        <f>(5.48)*10.764</f>
        <v>58.986719999999998</v>
      </c>
      <c r="F206" s="101">
        <f>D206+E206</f>
        <v>1341.5173200000002</v>
      </c>
      <c r="G206" s="101">
        <v>0</v>
      </c>
      <c r="H206" s="101">
        <f>F206*(($H$143)+1)+(IF(G206&lt;101,G206,IF(G206&lt;201,G206/2,IF(G206&lt;=301,G206/3,G206/4))))</f>
        <v>2012.2759800000003</v>
      </c>
      <c r="I206" s="34"/>
      <c r="L206" s="136"/>
      <c r="M206" s="136"/>
      <c r="N206" s="34"/>
    </row>
    <row r="207" spans="1:20" s="85" customFormat="1" ht="15.75" customHeight="1" x14ac:dyDescent="0.35">
      <c r="A207" s="137">
        <f>A206+1</f>
        <v>6</v>
      </c>
      <c r="B207" s="137"/>
      <c r="C207" s="101" t="s">
        <v>393</v>
      </c>
      <c r="D207" s="101">
        <f>(55.21)*10.764</f>
        <v>594.28044</v>
      </c>
      <c r="E207" s="101">
        <v>0</v>
      </c>
      <c r="F207" s="101">
        <f>D207+E207</f>
        <v>594.28044</v>
      </c>
      <c r="G207" s="101">
        <v>0</v>
      </c>
      <c r="H207" s="101">
        <f>F207*(($H$143)+1)+(IF(G207&lt;101,G207,IF(G207&lt;201,G207/2,IF(G207&lt;=301,G207/3,G207/4))))</f>
        <v>891.42066</v>
      </c>
      <c r="I207" s="34"/>
      <c r="L207" s="136"/>
      <c r="M207" s="136"/>
      <c r="N207" s="34"/>
    </row>
    <row r="208" spans="1:20" s="85" customFormat="1" ht="15.75" customHeight="1" x14ac:dyDescent="0.35">
      <c r="A208" s="138">
        <f>A207+1</f>
        <v>7</v>
      </c>
      <c r="B208" s="139"/>
      <c r="C208" s="84" t="s">
        <v>393</v>
      </c>
      <c r="D208" s="84">
        <f>(66.12)*10.764</f>
        <v>711.71568000000002</v>
      </c>
      <c r="E208" s="84">
        <f>(3.74)*10.764</f>
        <v>40.257359999999998</v>
      </c>
      <c r="F208" s="84">
        <f>D208+E208</f>
        <v>751.97303999999997</v>
      </c>
      <c r="G208" s="84">
        <v>0</v>
      </c>
      <c r="H208" s="84">
        <f>F208*(($H$143)+1)+(IF(G208&lt;101,G208,IF(G208&lt;201,G208/2,IF(G208&lt;=301,G208/3,G208/4))))</f>
        <v>1127.95956</v>
      </c>
      <c r="I208" s="34"/>
      <c r="L208" s="136"/>
      <c r="M208" s="136"/>
      <c r="N208" s="34"/>
    </row>
    <row r="209" spans="1:20" s="85" customFormat="1" ht="15.75" customHeight="1" x14ac:dyDescent="0.35">
      <c r="A209" s="138">
        <f>A208+1</f>
        <v>8</v>
      </c>
      <c r="B209" s="139"/>
      <c r="C209" s="84" t="s">
        <v>393</v>
      </c>
      <c r="D209" s="84">
        <f>(68.49)*10.764</f>
        <v>737.22635999999989</v>
      </c>
      <c r="E209" s="84">
        <f>(3.74)*10.764</f>
        <v>40.257359999999998</v>
      </c>
      <c r="F209" s="84">
        <f>D209+E209</f>
        <v>777.48371999999983</v>
      </c>
      <c r="G209" s="84">
        <v>0</v>
      </c>
      <c r="H209" s="84">
        <f>F209*(($H$143)+1)+(IF(G209&lt;101,G209,IF(G209&lt;201,G209/2,IF(G209&lt;=301,G209/3,G209/4))))</f>
        <v>1166.2255799999998</v>
      </c>
      <c r="I209" s="34"/>
      <c r="L209" s="136"/>
      <c r="M209" s="136"/>
      <c r="N209" s="34"/>
      <c r="T209" s="19"/>
    </row>
    <row r="210" spans="1:20" s="85" customFormat="1" ht="15.75" customHeight="1" x14ac:dyDescent="0.35">
      <c r="A210" s="208" t="s">
        <v>398</v>
      </c>
      <c r="B210" s="209"/>
      <c r="C210" s="209"/>
      <c r="D210" s="209"/>
      <c r="E210" s="209"/>
      <c r="F210" s="209"/>
      <c r="G210" s="209"/>
      <c r="H210" s="210"/>
      <c r="J210" s="34"/>
    </row>
    <row r="211" spans="1:20" s="85" customFormat="1" ht="15.75" customHeight="1" x14ac:dyDescent="0.35">
      <c r="A211" s="138">
        <v>5</v>
      </c>
      <c r="B211" s="139"/>
      <c r="C211" s="84" t="s">
        <v>397</v>
      </c>
      <c r="D211" s="84">
        <f>(119.15)*10.764</f>
        <v>1282.5306</v>
      </c>
      <c r="E211" s="84">
        <f>(5.48)*10.764</f>
        <v>58.986719999999998</v>
      </c>
      <c r="F211" s="84">
        <f>D211+E211</f>
        <v>1341.5173200000002</v>
      </c>
      <c r="G211" s="84">
        <v>0</v>
      </c>
      <c r="H211" s="84">
        <f>F211*(($H$143)+1)+(IF(G211&lt;101,G211,IF(G211&lt;201,G211/2,IF(G211&lt;=301,G211/3,G211/4))))</f>
        <v>2012.2759800000003</v>
      </c>
      <c r="I211" s="34"/>
      <c r="L211" s="136"/>
      <c r="M211" s="136"/>
      <c r="N211" s="34"/>
    </row>
    <row r="212" spans="1:20" s="85" customFormat="1" ht="15.75" customHeight="1" x14ac:dyDescent="0.35">
      <c r="A212" s="138">
        <f>A211+1</f>
        <v>6</v>
      </c>
      <c r="B212" s="139"/>
      <c r="C212" s="84" t="s">
        <v>393</v>
      </c>
      <c r="D212" s="84">
        <f>(55.21)*10.764</f>
        <v>594.28044</v>
      </c>
      <c r="E212" s="84">
        <v>0</v>
      </c>
      <c r="F212" s="84">
        <f>D212+E212</f>
        <v>594.28044</v>
      </c>
      <c r="G212" s="84">
        <v>0</v>
      </c>
      <c r="H212" s="84">
        <f>F212*(($H$143)+1)+(IF(G212&lt;101,G212,IF(G212&lt;201,G212/2,IF(G212&lt;=301,G212/3,G212/4))))</f>
        <v>891.42066</v>
      </c>
      <c r="I212" s="34"/>
      <c r="L212" s="136"/>
      <c r="M212" s="136"/>
      <c r="N212" s="34"/>
    </row>
    <row r="213" spans="1:20" s="85" customFormat="1" ht="15.75" customHeight="1" x14ac:dyDescent="0.35">
      <c r="A213" s="138">
        <f>A212+1</f>
        <v>7</v>
      </c>
      <c r="B213" s="139"/>
      <c r="C213" s="84" t="s">
        <v>393</v>
      </c>
      <c r="D213" s="84">
        <f>(66.12)*10.764</f>
        <v>711.71568000000002</v>
      </c>
      <c r="E213" s="84">
        <f>(3.74)*10.764</f>
        <v>40.257359999999998</v>
      </c>
      <c r="F213" s="84">
        <f>D213+E213</f>
        <v>751.97303999999997</v>
      </c>
      <c r="G213" s="84">
        <v>0</v>
      </c>
      <c r="H213" s="84">
        <f>F213*(($H$143)+1)+(IF(G213&lt;101,G213,IF(G213&lt;201,G213/2,IF(G213&lt;=301,G213/3,G213/4))))</f>
        <v>1127.95956</v>
      </c>
      <c r="I213" s="34"/>
      <c r="L213" s="136"/>
      <c r="M213" s="136"/>
      <c r="N213" s="34"/>
    </row>
    <row r="214" spans="1:20" s="85" customFormat="1" ht="15.75" customHeight="1" x14ac:dyDescent="0.35">
      <c r="A214" s="138">
        <f>A213+1</f>
        <v>8</v>
      </c>
      <c r="B214" s="139"/>
      <c r="C214" s="84" t="s">
        <v>393</v>
      </c>
      <c r="D214" s="84">
        <f>(68.49)*10.764</f>
        <v>737.22635999999989</v>
      </c>
      <c r="E214" s="84">
        <f>(3.74)*10.764</f>
        <v>40.257359999999998</v>
      </c>
      <c r="F214" s="84">
        <f>D214+E214</f>
        <v>777.48371999999983</v>
      </c>
      <c r="G214" s="84">
        <v>0</v>
      </c>
      <c r="H214" s="84">
        <f>F214*(($H$143)+1)+(IF(G214&lt;101,G214,IF(G214&lt;201,G214/2,IF(G214&lt;=301,G214/3,G214/4))))</f>
        <v>1166.2255799999998</v>
      </c>
      <c r="I214" s="34"/>
      <c r="L214" s="136"/>
      <c r="M214" s="136"/>
      <c r="N214" s="34"/>
      <c r="T214" s="19"/>
    </row>
    <row r="215" spans="1:20" s="85" customFormat="1" ht="15.75" customHeight="1" x14ac:dyDescent="0.35">
      <c r="A215" s="208" t="s">
        <v>400</v>
      </c>
      <c r="B215" s="209"/>
      <c r="C215" s="209"/>
      <c r="D215" s="209"/>
      <c r="E215" s="209"/>
      <c r="F215" s="209"/>
      <c r="G215" s="209"/>
      <c r="H215" s="210"/>
      <c r="J215" s="34"/>
    </row>
    <row r="216" spans="1:20" s="85" customFormat="1" ht="15.75" customHeight="1" x14ac:dyDescent="0.35">
      <c r="A216" s="138">
        <v>5</v>
      </c>
      <c r="B216" s="139"/>
      <c r="C216" s="84" t="s">
        <v>397</v>
      </c>
      <c r="D216" s="84">
        <f>(118.9)*10.764</f>
        <v>1279.8396</v>
      </c>
      <c r="E216" s="84">
        <f>(5.48)*10.764</f>
        <v>58.986719999999998</v>
      </c>
      <c r="F216" s="84">
        <f>D216+E216</f>
        <v>1338.8263200000001</v>
      </c>
      <c r="G216" s="84">
        <v>0</v>
      </c>
      <c r="H216" s="84">
        <f>F216*(($H$143)+1)+(IF(G216&lt;101,G216,IF(G216&lt;201,G216/2,IF(G216&lt;=301,G216/3,G216/4))))</f>
        <v>2008.2394800000002</v>
      </c>
      <c r="I216" s="34"/>
      <c r="L216" s="136"/>
      <c r="M216" s="136"/>
      <c r="N216" s="34"/>
    </row>
    <row r="217" spans="1:20" s="85" customFormat="1" ht="15.75" customHeight="1" x14ac:dyDescent="0.35">
      <c r="A217" s="138" t="s">
        <v>418</v>
      </c>
      <c r="B217" s="139"/>
      <c r="C217" s="84" t="s">
        <v>419</v>
      </c>
      <c r="D217" s="84">
        <f>(133.72)*10.764</f>
        <v>1439.3620799999999</v>
      </c>
      <c r="E217" s="84">
        <f>(3.74)*10.764</f>
        <v>40.257359999999998</v>
      </c>
      <c r="F217" s="84">
        <f>D217+E217</f>
        <v>1479.6194399999999</v>
      </c>
      <c r="G217" s="84">
        <v>0</v>
      </c>
      <c r="H217" s="84">
        <f>F217*(($H$143)+1)+(IF(G217&lt;101,G217,IF(G217&lt;201,G217/2,IF(G217&lt;=301,G217/3,G217/4))))</f>
        <v>2219.4291599999997</v>
      </c>
      <c r="I217" s="239" t="s">
        <v>408</v>
      </c>
      <c r="J217" s="240"/>
      <c r="L217" s="136"/>
      <c r="M217" s="136"/>
      <c r="N217" s="34"/>
    </row>
    <row r="218" spans="1:20" s="85" customFormat="1" ht="15.75" customHeight="1" x14ac:dyDescent="0.35">
      <c r="A218" s="138">
        <v>8</v>
      </c>
      <c r="B218" s="139"/>
      <c r="C218" s="84" t="s">
        <v>393</v>
      </c>
      <c r="D218" s="84">
        <f>(68.49)*10.764</f>
        <v>737.22635999999989</v>
      </c>
      <c r="E218" s="84">
        <f>(3.74)*10.764</f>
        <v>40.257359999999998</v>
      </c>
      <c r="F218" s="84">
        <f>D218+E218</f>
        <v>777.48371999999983</v>
      </c>
      <c r="G218" s="84">
        <v>0</v>
      </c>
      <c r="H218" s="84">
        <f>F218*(($H$143)+1)+(IF(G218&lt;101,G218,IF(G218&lt;201,G218/2,IF(G218&lt;=301,G218/3,G218/4))))</f>
        <v>1166.2255799999998</v>
      </c>
      <c r="I218" s="34"/>
      <c r="L218" s="136"/>
      <c r="M218" s="136"/>
      <c r="N218" s="34"/>
    </row>
    <row r="219" spans="1:20" s="85" customFormat="1" ht="15.75" hidden="1" customHeight="1" x14ac:dyDescent="0.35">
      <c r="A219" s="138">
        <f>A218+1</f>
        <v>9</v>
      </c>
      <c r="B219" s="139"/>
      <c r="C219" s="84"/>
      <c r="D219" s="84"/>
      <c r="E219" s="84">
        <v>0</v>
      </c>
      <c r="F219" s="84">
        <f>D219+E219</f>
        <v>0</v>
      </c>
      <c r="G219" s="84">
        <v>0</v>
      </c>
      <c r="H219" s="84">
        <f>F219*(($H$143)+1)+(IF(G219&lt;101,G219,IF(G219&lt;201,G219/2,IF(G219&lt;=301,G219/3,G219/4))))</f>
        <v>0</v>
      </c>
      <c r="I219" s="34"/>
      <c r="L219" s="136"/>
      <c r="M219" s="136"/>
      <c r="N219" s="34"/>
      <c r="T219" s="19"/>
    </row>
    <row r="220" spans="1:20" s="85" customFormat="1" ht="15.75" customHeight="1" x14ac:dyDescent="0.35">
      <c r="A220" s="208" t="s">
        <v>401</v>
      </c>
      <c r="B220" s="209"/>
      <c r="C220" s="209"/>
      <c r="D220" s="209"/>
      <c r="E220" s="209"/>
      <c r="F220" s="209"/>
      <c r="G220" s="209"/>
      <c r="H220" s="210"/>
      <c r="J220" s="34"/>
    </row>
    <row r="221" spans="1:20" s="85" customFormat="1" ht="15.75" customHeight="1" x14ac:dyDescent="0.35">
      <c r="A221" s="138">
        <v>5</v>
      </c>
      <c r="B221" s="139"/>
      <c r="C221" s="84" t="s">
        <v>397</v>
      </c>
      <c r="D221" s="84">
        <f>(118.9)*10.764</f>
        <v>1279.8396</v>
      </c>
      <c r="E221" s="84">
        <f>(5.48)*10.764</f>
        <v>58.986719999999998</v>
      </c>
      <c r="F221" s="84">
        <f>D221+E221</f>
        <v>1338.8263200000001</v>
      </c>
      <c r="G221" s="84">
        <v>0</v>
      </c>
      <c r="H221" s="84">
        <f>F221*(($H$143)+1)+(IF(G221&lt;101,G221,IF(G221&lt;201,G221/2,IF(G221&lt;=301,G221/3,G221/4))))</f>
        <v>2008.2394800000002</v>
      </c>
      <c r="I221" s="34"/>
      <c r="L221" s="136"/>
      <c r="M221" s="136"/>
      <c r="N221" s="34"/>
    </row>
    <row r="222" spans="1:20" s="85" customFormat="1" ht="15.75" customHeight="1" x14ac:dyDescent="0.35">
      <c r="A222" s="138">
        <f>A221+1</f>
        <v>6</v>
      </c>
      <c r="B222" s="139"/>
      <c r="C222" s="84" t="s">
        <v>393</v>
      </c>
      <c r="D222" s="84">
        <f>(67.2)*10.764</f>
        <v>723.34079999999994</v>
      </c>
      <c r="E222" s="84">
        <v>0</v>
      </c>
      <c r="F222" s="84">
        <f>D222+E222</f>
        <v>723.34079999999994</v>
      </c>
      <c r="G222" s="84">
        <v>0</v>
      </c>
      <c r="H222" s="84">
        <f>F222*(($H$143)+1)+(IF(G222&lt;101,G222,IF(G222&lt;201,G222/2,IF(G222&lt;=301,G222/3,G222/4))))</f>
        <v>1085.0111999999999</v>
      </c>
      <c r="I222" s="34"/>
      <c r="L222" s="136"/>
      <c r="M222" s="136"/>
      <c r="N222" s="34"/>
    </row>
    <row r="223" spans="1:20" s="85" customFormat="1" ht="15.75" customHeight="1" x14ac:dyDescent="0.35">
      <c r="A223" s="138">
        <f>A222+1</f>
        <v>7</v>
      </c>
      <c r="B223" s="139"/>
      <c r="C223" s="84" t="s">
        <v>393</v>
      </c>
      <c r="D223" s="84">
        <f>(66.12)*10.764</f>
        <v>711.71568000000002</v>
      </c>
      <c r="E223" s="84">
        <f>(3.74)*10.764</f>
        <v>40.257359999999998</v>
      </c>
      <c r="F223" s="84">
        <f>D223+E223</f>
        <v>751.97303999999997</v>
      </c>
      <c r="G223" s="84">
        <v>0</v>
      </c>
      <c r="H223" s="84">
        <f>F223*(($H$143)+1)+(IF(G223&lt;101,G223,IF(G223&lt;201,G223/2,IF(G223&lt;=301,G223/3,G223/4))))</f>
        <v>1127.95956</v>
      </c>
      <c r="I223" s="34"/>
      <c r="L223" s="136"/>
      <c r="M223" s="136"/>
      <c r="N223" s="34"/>
    </row>
    <row r="224" spans="1:20" s="85" customFormat="1" ht="15.75" customHeight="1" x14ac:dyDescent="0.35">
      <c r="A224" s="138">
        <f>A223+1</f>
        <v>8</v>
      </c>
      <c r="B224" s="139"/>
      <c r="C224" s="84" t="s">
        <v>393</v>
      </c>
      <c r="D224" s="84">
        <f>(68.49)*10.764</f>
        <v>737.22635999999989</v>
      </c>
      <c r="E224" s="84">
        <f>(3.74)*10.764</f>
        <v>40.257359999999998</v>
      </c>
      <c r="F224" s="84">
        <f>D224+E224</f>
        <v>777.48371999999983</v>
      </c>
      <c r="G224" s="84">
        <v>0</v>
      </c>
      <c r="H224" s="84">
        <f>F224*(($H$143)+1)+(IF(G224&lt;101,G224,IF(G224&lt;201,G224/2,IF(G224&lt;=301,G224/3,G224/4))))</f>
        <v>1166.2255799999998</v>
      </c>
      <c r="I224" s="34"/>
      <c r="L224" s="136"/>
      <c r="M224" s="136"/>
      <c r="N224" s="34"/>
      <c r="T224" s="19"/>
    </row>
    <row r="225" spans="1:20" s="85" customFormat="1" ht="15.75" customHeight="1" x14ac:dyDescent="0.35">
      <c r="A225" s="208" t="s">
        <v>402</v>
      </c>
      <c r="B225" s="209"/>
      <c r="C225" s="209"/>
      <c r="D225" s="209"/>
      <c r="E225" s="209"/>
      <c r="F225" s="209"/>
      <c r="G225" s="209"/>
      <c r="H225" s="210"/>
      <c r="J225" s="34"/>
    </row>
    <row r="226" spans="1:20" s="85" customFormat="1" ht="15.75" customHeight="1" x14ac:dyDescent="0.35">
      <c r="A226" s="138">
        <v>5</v>
      </c>
      <c r="B226" s="139"/>
      <c r="C226" s="84" t="s">
        <v>397</v>
      </c>
      <c r="D226" s="84">
        <f>(118.9)*10.764</f>
        <v>1279.8396</v>
      </c>
      <c r="E226" s="84">
        <f>(5.48)*10.764</f>
        <v>58.986719999999998</v>
      </c>
      <c r="F226" s="84">
        <f>D226+E226</f>
        <v>1338.8263200000001</v>
      </c>
      <c r="G226" s="84">
        <v>0</v>
      </c>
      <c r="H226" s="84">
        <f>F226*(($H$143)+1)+(IF(G226&lt;101,G226,IF(G226&lt;201,G226/2,IF(G226&lt;=301,G226/3,G226/4))))</f>
        <v>2008.2394800000002</v>
      </c>
      <c r="I226" s="34"/>
      <c r="L226" s="136"/>
      <c r="M226" s="136"/>
      <c r="N226" s="34"/>
    </row>
    <row r="227" spans="1:20" s="85" customFormat="1" ht="15.75" customHeight="1" x14ac:dyDescent="0.35">
      <c r="A227" s="138">
        <f>A226+1</f>
        <v>6</v>
      </c>
      <c r="B227" s="139"/>
      <c r="C227" s="84" t="s">
        <v>393</v>
      </c>
      <c r="D227" s="84">
        <f>(67.2)*10.764</f>
        <v>723.34079999999994</v>
      </c>
      <c r="E227" s="84">
        <v>0</v>
      </c>
      <c r="F227" s="84">
        <f>D227+E227</f>
        <v>723.34079999999994</v>
      </c>
      <c r="G227" s="84">
        <v>0</v>
      </c>
      <c r="H227" s="84">
        <f>F227*(($H$143)+1)+(IF(G227&lt;101,G227,IF(G227&lt;201,G227/2,IF(G227&lt;=301,G227/3,G227/4))))</f>
        <v>1085.0111999999999</v>
      </c>
      <c r="I227" s="34"/>
      <c r="L227" s="136"/>
      <c r="M227" s="136"/>
      <c r="N227" s="34"/>
    </row>
    <row r="228" spans="1:20" s="85" customFormat="1" ht="15.75" customHeight="1" x14ac:dyDescent="0.35">
      <c r="A228" s="138">
        <f>A227+1</f>
        <v>7</v>
      </c>
      <c r="B228" s="139"/>
      <c r="C228" s="84" t="s">
        <v>393</v>
      </c>
      <c r="D228" s="84">
        <f>(66.12)*10.764</f>
        <v>711.71568000000002</v>
      </c>
      <c r="E228" s="84">
        <f>(3.74)*10.764</f>
        <v>40.257359999999998</v>
      </c>
      <c r="F228" s="84">
        <f>D228+E228</f>
        <v>751.97303999999997</v>
      </c>
      <c r="G228" s="84">
        <v>0</v>
      </c>
      <c r="H228" s="84">
        <f>F228*(($H$143)+1)+(IF(G228&lt;101,G228,IF(G228&lt;201,G228/2,IF(G228&lt;=301,G228/3,G228/4))))</f>
        <v>1127.95956</v>
      </c>
      <c r="I228" s="34"/>
      <c r="L228" s="136"/>
      <c r="M228" s="136"/>
      <c r="N228" s="34"/>
    </row>
    <row r="229" spans="1:20" s="85" customFormat="1" ht="15.75" customHeight="1" x14ac:dyDescent="0.35">
      <c r="A229" s="138">
        <f>A228+1</f>
        <v>8</v>
      </c>
      <c r="B229" s="139"/>
      <c r="C229" s="84" t="s">
        <v>393</v>
      </c>
      <c r="D229" s="84">
        <f>(68.49)*10.764</f>
        <v>737.22635999999989</v>
      </c>
      <c r="E229" s="84">
        <f>(3.74)*10.764</f>
        <v>40.257359999999998</v>
      </c>
      <c r="F229" s="84">
        <f>D229+E229</f>
        <v>777.48371999999983</v>
      </c>
      <c r="G229" s="84">
        <v>0</v>
      </c>
      <c r="H229" s="84">
        <f>F229*(($H$143)+1)+(IF(G229&lt;101,G229,IF(G229&lt;201,G229/2,IF(G229&lt;=301,G229/3,G229/4))))</f>
        <v>1166.2255799999998</v>
      </c>
      <c r="I229" s="34"/>
      <c r="L229" s="136"/>
      <c r="M229" s="136"/>
      <c r="N229" s="34"/>
      <c r="T229" s="19"/>
    </row>
    <row r="230" spans="1:20" s="85" customFormat="1" ht="15.75" customHeight="1" x14ac:dyDescent="0.35">
      <c r="A230" s="208" t="s">
        <v>403</v>
      </c>
      <c r="B230" s="209"/>
      <c r="C230" s="209"/>
      <c r="D230" s="209"/>
      <c r="E230" s="209"/>
      <c r="F230" s="209"/>
      <c r="G230" s="209"/>
      <c r="H230" s="210"/>
      <c r="J230" s="34"/>
    </row>
    <row r="231" spans="1:20" s="85" customFormat="1" ht="15.75" customHeight="1" x14ac:dyDescent="0.35">
      <c r="A231" s="138">
        <v>5</v>
      </c>
      <c r="B231" s="139"/>
      <c r="C231" s="84" t="s">
        <v>397</v>
      </c>
      <c r="D231" s="84">
        <f>(119.39)*10.764</f>
        <v>1285.1139599999999</v>
      </c>
      <c r="E231" s="84">
        <f>(5.48)*10.764</f>
        <v>58.986719999999998</v>
      </c>
      <c r="F231" s="84">
        <f>D231+E231</f>
        <v>1344.10068</v>
      </c>
      <c r="G231" s="84">
        <v>0</v>
      </c>
      <c r="H231" s="84">
        <f>F231*(($H$143)+1)+(IF(G231&lt;101,G231,IF(G231&lt;201,G231/2,IF(G231&lt;=301,G231/3,G231/4))))</f>
        <v>2016.15102</v>
      </c>
      <c r="I231" s="34"/>
      <c r="L231" s="136"/>
      <c r="M231" s="136"/>
      <c r="N231" s="34"/>
    </row>
    <row r="232" spans="1:20" s="85" customFormat="1" ht="15.75" customHeight="1" x14ac:dyDescent="0.35">
      <c r="A232" s="138">
        <f>A231+1</f>
        <v>6</v>
      </c>
      <c r="B232" s="139"/>
      <c r="C232" s="84" t="s">
        <v>393</v>
      </c>
      <c r="D232" s="84">
        <f>(67.2)*10.764</f>
        <v>723.34079999999994</v>
      </c>
      <c r="E232" s="84">
        <v>0</v>
      </c>
      <c r="F232" s="84">
        <f>D232+E232</f>
        <v>723.34079999999994</v>
      </c>
      <c r="G232" s="84">
        <v>0</v>
      </c>
      <c r="H232" s="84">
        <f>F232*(($H$143)+1)+(IF(G232&lt;101,G232,IF(G232&lt;201,G232/2,IF(G232&lt;=301,G232/3,G232/4))))</f>
        <v>1085.0111999999999</v>
      </c>
      <c r="I232" s="34"/>
      <c r="L232" s="136"/>
      <c r="M232" s="136"/>
      <c r="N232" s="34"/>
    </row>
    <row r="233" spans="1:20" s="85" customFormat="1" ht="15.75" customHeight="1" x14ac:dyDescent="0.35">
      <c r="A233" s="138">
        <f>A232+1</f>
        <v>7</v>
      </c>
      <c r="B233" s="139"/>
      <c r="C233" s="84" t="s">
        <v>393</v>
      </c>
      <c r="D233" s="84">
        <f>(66.12)*10.764</f>
        <v>711.71568000000002</v>
      </c>
      <c r="E233" s="84">
        <f>(3.74)*10.764</f>
        <v>40.257359999999998</v>
      </c>
      <c r="F233" s="84">
        <f>D233+E233</f>
        <v>751.97303999999997</v>
      </c>
      <c r="G233" s="84">
        <v>0</v>
      </c>
      <c r="H233" s="84">
        <f>F233*(($H$143)+1)+(IF(G233&lt;101,G233,IF(G233&lt;201,G233/2,IF(G233&lt;=301,G233/3,G233/4))))</f>
        <v>1127.95956</v>
      </c>
      <c r="I233" s="34"/>
      <c r="L233" s="136"/>
      <c r="M233" s="136"/>
      <c r="N233" s="34"/>
    </row>
    <row r="234" spans="1:20" s="85" customFormat="1" ht="15.75" customHeight="1" x14ac:dyDescent="0.35">
      <c r="A234" s="138">
        <f>A233+1</f>
        <v>8</v>
      </c>
      <c r="B234" s="139"/>
      <c r="C234" s="84" t="s">
        <v>393</v>
      </c>
      <c r="D234" s="84">
        <f>(68.49)*10.764</f>
        <v>737.22635999999989</v>
      </c>
      <c r="E234" s="84">
        <f>(3.74)*10.764</f>
        <v>40.257359999999998</v>
      </c>
      <c r="F234" s="84">
        <f>D234+E234</f>
        <v>777.48371999999983</v>
      </c>
      <c r="G234" s="84">
        <v>0</v>
      </c>
      <c r="H234" s="84">
        <f>F234*(($H$143)+1)+(IF(G234&lt;101,G234,IF(G234&lt;201,G234/2,IF(G234&lt;=301,G234/3,G234/4))))</f>
        <v>1166.2255799999998</v>
      </c>
      <c r="I234" s="34"/>
      <c r="L234" s="136"/>
      <c r="M234" s="136"/>
      <c r="N234" s="34"/>
      <c r="T234" s="19"/>
    </row>
    <row r="235" spans="1:20" s="85" customFormat="1" ht="15.75" customHeight="1" x14ac:dyDescent="0.35">
      <c r="A235" s="203" t="s">
        <v>404</v>
      </c>
      <c r="B235" s="203"/>
      <c r="C235" s="203"/>
      <c r="D235" s="203"/>
      <c r="E235" s="203"/>
      <c r="F235" s="203"/>
      <c r="G235" s="203"/>
      <c r="H235" s="203"/>
      <c r="J235" s="34"/>
    </row>
    <row r="236" spans="1:20" s="85" customFormat="1" ht="15.75" customHeight="1" x14ac:dyDescent="0.35">
      <c r="A236" s="137">
        <v>5</v>
      </c>
      <c r="B236" s="137"/>
      <c r="C236" s="97" t="s">
        <v>397</v>
      </c>
      <c r="D236" s="97">
        <f>(119.39)*10.764</f>
        <v>1285.1139599999999</v>
      </c>
      <c r="E236" s="97">
        <f>(5.48)*10.764</f>
        <v>58.986719999999998</v>
      </c>
      <c r="F236" s="97">
        <f>D236+E236</f>
        <v>1344.10068</v>
      </c>
      <c r="G236" s="97">
        <v>0</v>
      </c>
      <c r="H236" s="97">
        <f>F236*(($H$143)+1)+(IF(G236&lt;101,G236,IF(G236&lt;201,G236/2,IF(G236&lt;=301,G236/3,G236/4))))</f>
        <v>2016.15102</v>
      </c>
      <c r="I236" s="34"/>
      <c r="L236" s="136"/>
      <c r="M236" s="136"/>
      <c r="N236" s="34"/>
    </row>
    <row r="237" spans="1:20" s="85" customFormat="1" ht="15.75" customHeight="1" x14ac:dyDescent="0.35">
      <c r="A237" s="137">
        <f>A236+1</f>
        <v>6</v>
      </c>
      <c r="B237" s="137"/>
      <c r="C237" s="97" t="s">
        <v>393</v>
      </c>
      <c r="D237" s="97">
        <f>(67.2)*10.764</f>
        <v>723.34079999999994</v>
      </c>
      <c r="E237" s="97">
        <v>0</v>
      </c>
      <c r="F237" s="97">
        <f>D237+E237</f>
        <v>723.34079999999994</v>
      </c>
      <c r="G237" s="97">
        <v>0</v>
      </c>
      <c r="H237" s="97">
        <f>F237*(($H$143)+1)+(IF(G237&lt;101,G237,IF(G237&lt;201,G237/2,IF(G237&lt;=301,G237/3,G237/4))))</f>
        <v>1085.0111999999999</v>
      </c>
      <c r="I237" s="34"/>
      <c r="L237" s="136"/>
      <c r="M237" s="136"/>
      <c r="N237" s="34"/>
    </row>
    <row r="238" spans="1:20" s="85" customFormat="1" ht="15.75" customHeight="1" x14ac:dyDescent="0.35">
      <c r="A238" s="137">
        <f>A237+1</f>
        <v>7</v>
      </c>
      <c r="B238" s="137"/>
      <c r="C238" s="97" t="s">
        <v>393</v>
      </c>
      <c r="D238" s="97">
        <f>(68.89)*10.764</f>
        <v>741.53195999999991</v>
      </c>
      <c r="E238" s="97">
        <f>(3.74+2.1)*10.764</f>
        <v>62.861759999999997</v>
      </c>
      <c r="F238" s="97">
        <f>D238+E238</f>
        <v>804.39371999999992</v>
      </c>
      <c r="G238" s="97">
        <v>0</v>
      </c>
      <c r="H238" s="97">
        <f>F238*(($H$143)+1)+(IF(G238&lt;101,G238,IF(G238&lt;201,G238/2,IF(G238&lt;=301,G238/3,G238/4))))</f>
        <v>1206.5905799999998</v>
      </c>
      <c r="I238" s="34"/>
      <c r="L238" s="136"/>
      <c r="M238" s="136"/>
      <c r="N238" s="34"/>
    </row>
    <row r="239" spans="1:20" s="85" customFormat="1" ht="15.75" customHeight="1" x14ac:dyDescent="0.35">
      <c r="A239" s="137">
        <f>A238+1</f>
        <v>8</v>
      </c>
      <c r="B239" s="137"/>
      <c r="C239" s="97" t="s">
        <v>397</v>
      </c>
      <c r="D239" s="97">
        <f>(93.81)*10.764</f>
        <v>1009.7708399999999</v>
      </c>
      <c r="E239" s="97">
        <f>(3.74+2.1)*10.764</f>
        <v>62.861759999999997</v>
      </c>
      <c r="F239" s="97">
        <f>D239+E239</f>
        <v>1072.6325999999999</v>
      </c>
      <c r="G239" s="97">
        <v>0</v>
      </c>
      <c r="H239" s="97">
        <f>F239*(($H$143)+1)+(IF(G239&lt;101,G239,IF(G239&lt;201,G239/2,IF(G239&lt;=301,G239/3,G239/4))))</f>
        <v>1608.9488999999999</v>
      </c>
      <c r="I239" s="34"/>
      <c r="L239" s="136"/>
      <c r="M239" s="136"/>
      <c r="N239" s="34"/>
      <c r="T239" s="19"/>
    </row>
    <row r="240" spans="1:20" s="85" customFormat="1" ht="15.75" customHeight="1" x14ac:dyDescent="0.35">
      <c r="A240" s="203" t="s">
        <v>405</v>
      </c>
      <c r="B240" s="203"/>
      <c r="C240" s="203"/>
      <c r="D240" s="203"/>
      <c r="E240" s="203"/>
      <c r="F240" s="203"/>
      <c r="G240" s="203"/>
      <c r="H240" s="203"/>
      <c r="J240" s="34"/>
    </row>
    <row r="241" spans="1:20" s="85" customFormat="1" ht="15.75" customHeight="1" x14ac:dyDescent="0.35">
      <c r="A241" s="137">
        <v>5</v>
      </c>
      <c r="B241" s="137"/>
      <c r="C241" s="101" t="s">
        <v>397</v>
      </c>
      <c r="D241" s="101">
        <f>(119.39)*10.764</f>
        <v>1285.1139599999999</v>
      </c>
      <c r="E241" s="101">
        <f>(5.48)*10.764</f>
        <v>58.986719999999998</v>
      </c>
      <c r="F241" s="101">
        <f>D241+E241</f>
        <v>1344.10068</v>
      </c>
      <c r="G241" s="101">
        <v>0</v>
      </c>
      <c r="H241" s="101">
        <f>F241*(($H$143)+1)+(IF(G241&lt;101,G241,IF(G241&lt;201,G241/2,IF(G241&lt;=301,G241/3,G241/4))))</f>
        <v>2016.15102</v>
      </c>
      <c r="I241" s="34"/>
      <c r="L241" s="136"/>
      <c r="M241" s="136"/>
      <c r="N241" s="34"/>
    </row>
    <row r="242" spans="1:20" s="85" customFormat="1" ht="15.75" customHeight="1" x14ac:dyDescent="0.35">
      <c r="A242" s="137">
        <f>A241+1</f>
        <v>6</v>
      </c>
      <c r="B242" s="137"/>
      <c r="C242" s="101" t="s">
        <v>393</v>
      </c>
      <c r="D242" s="101">
        <f>(67.2)*10.764</f>
        <v>723.34079999999994</v>
      </c>
      <c r="E242" s="101">
        <v>0</v>
      </c>
      <c r="F242" s="101">
        <f>D242+E242</f>
        <v>723.34079999999994</v>
      </c>
      <c r="G242" s="101">
        <v>0</v>
      </c>
      <c r="H242" s="101">
        <f>F242*(($H$143)+1)+(IF(G242&lt;101,G242,IF(G242&lt;201,G242/2,IF(G242&lt;=301,G242/3,G242/4))))</f>
        <v>1085.0111999999999</v>
      </c>
      <c r="I242" s="34"/>
      <c r="L242" s="136"/>
      <c r="M242" s="136"/>
      <c r="N242" s="34"/>
    </row>
    <row r="243" spans="1:20" s="85" customFormat="1" ht="15.75" customHeight="1" x14ac:dyDescent="0.35">
      <c r="A243" s="137">
        <f>A242+1</f>
        <v>7</v>
      </c>
      <c r="B243" s="137"/>
      <c r="C243" s="101" t="s">
        <v>393</v>
      </c>
      <c r="D243" s="101">
        <f>(68.89)*10.764</f>
        <v>741.53195999999991</v>
      </c>
      <c r="E243" s="101">
        <f>(3.74+2.1)*10.764</f>
        <v>62.861759999999997</v>
      </c>
      <c r="F243" s="101">
        <f>D243+E243</f>
        <v>804.39371999999992</v>
      </c>
      <c r="G243" s="101">
        <v>0</v>
      </c>
      <c r="H243" s="101">
        <f>F243*(($H$143)+1)+(IF(G243&lt;101,G243,IF(G243&lt;201,G243/2,IF(G243&lt;=301,G243/3,G243/4))))</f>
        <v>1206.5905799999998</v>
      </c>
      <c r="I243" s="34"/>
      <c r="L243" s="136"/>
      <c r="M243" s="136"/>
      <c r="N243" s="34"/>
    </row>
    <row r="244" spans="1:20" s="85" customFormat="1" ht="15.75" customHeight="1" x14ac:dyDescent="0.35">
      <c r="A244" s="137">
        <f>A243+1</f>
        <v>8</v>
      </c>
      <c r="B244" s="137"/>
      <c r="C244" s="101" t="s">
        <v>397</v>
      </c>
      <c r="D244" s="101">
        <f>(93.81)*10.764</f>
        <v>1009.7708399999999</v>
      </c>
      <c r="E244" s="101">
        <f>(3.74+2.1)*10.764</f>
        <v>62.861759999999997</v>
      </c>
      <c r="F244" s="101">
        <f>D244+E244</f>
        <v>1072.6325999999999</v>
      </c>
      <c r="G244" s="101">
        <v>0</v>
      </c>
      <c r="H244" s="101">
        <f>F244*(($H$143)+1)+(IF(G244&lt;101,G244,IF(G244&lt;201,G244/2,IF(G244&lt;=301,G244/3,G244/4))))</f>
        <v>1608.9488999999999</v>
      </c>
      <c r="I244" s="34"/>
      <c r="L244" s="136"/>
      <c r="M244" s="136"/>
      <c r="N244" s="34"/>
      <c r="T244" s="19"/>
    </row>
    <row r="245" spans="1:20" s="35" customFormat="1" ht="15.75" customHeight="1" x14ac:dyDescent="0.35">
      <c r="A245" s="203" t="s">
        <v>406</v>
      </c>
      <c r="B245" s="203"/>
      <c r="C245" s="203"/>
      <c r="D245" s="203"/>
      <c r="E245" s="203"/>
      <c r="F245" s="203"/>
      <c r="G245" s="203"/>
      <c r="H245" s="203"/>
      <c r="J245" s="34"/>
    </row>
    <row r="246" spans="1:20" s="35" customFormat="1" ht="15.75" customHeight="1" x14ac:dyDescent="0.35">
      <c r="A246" s="137">
        <v>5</v>
      </c>
      <c r="B246" s="137"/>
      <c r="C246" s="101" t="s">
        <v>397</v>
      </c>
      <c r="D246" s="101">
        <f>(119.39)*10.764</f>
        <v>1285.1139599999999</v>
      </c>
      <c r="E246" s="101">
        <f>(5.48)*10.764</f>
        <v>58.986719999999998</v>
      </c>
      <c r="F246" s="101">
        <f>D246+E246</f>
        <v>1344.10068</v>
      </c>
      <c r="G246" s="101">
        <v>0</v>
      </c>
      <c r="H246" s="101">
        <f>F246*(($H$143)+1)+(IF(G246&lt;101,G246,IF(G246&lt;201,G246/2,IF(G246&lt;=301,G246/3,G246/4))))</f>
        <v>2016.15102</v>
      </c>
      <c r="I246" s="34"/>
      <c r="L246" s="136"/>
      <c r="M246" s="136"/>
      <c r="N246" s="34"/>
    </row>
    <row r="247" spans="1:20" s="35" customFormat="1" ht="15.75" customHeight="1" x14ac:dyDescent="0.35">
      <c r="A247" s="138">
        <f>A246+1</f>
        <v>6</v>
      </c>
      <c r="B247" s="139"/>
      <c r="C247" s="84" t="s">
        <v>393</v>
      </c>
      <c r="D247" s="84">
        <f>(67.2)*10.764</f>
        <v>723.34079999999994</v>
      </c>
      <c r="E247" s="84">
        <v>0</v>
      </c>
      <c r="F247" s="52">
        <f>D247+E247</f>
        <v>723.34079999999994</v>
      </c>
      <c r="G247" s="52">
        <v>0</v>
      </c>
      <c r="H247" s="52">
        <f>F247*(($H$143)+1)+(IF(G247&lt;101,G247,IF(G247&lt;201,G247/2,IF(G247&lt;=301,G247/3,G247/4))))</f>
        <v>1085.0111999999999</v>
      </c>
      <c r="I247" s="34"/>
      <c r="L247" s="136"/>
      <c r="M247" s="136"/>
      <c r="N247" s="34"/>
    </row>
    <row r="248" spans="1:20" s="35" customFormat="1" ht="15.75" customHeight="1" x14ac:dyDescent="0.35">
      <c r="A248" s="138">
        <f>A247+1</f>
        <v>7</v>
      </c>
      <c r="B248" s="139"/>
      <c r="C248" s="84" t="s">
        <v>393</v>
      </c>
      <c r="D248" s="84">
        <f>(68.89)*10.764</f>
        <v>741.53195999999991</v>
      </c>
      <c r="E248" s="84">
        <f>(3.74+2.1)*10.764</f>
        <v>62.861759999999997</v>
      </c>
      <c r="F248" s="52">
        <f>D248+E248</f>
        <v>804.39371999999992</v>
      </c>
      <c r="G248" s="52">
        <v>0</v>
      </c>
      <c r="H248" s="52">
        <f>F248*(($H$143)+1)+(IF(G248&lt;101,G248,IF(G248&lt;201,G248/2,IF(G248&lt;=301,G248/3,G248/4))))</f>
        <v>1206.5905799999998</v>
      </c>
      <c r="I248" s="34"/>
      <c r="L248" s="136"/>
      <c r="M248" s="136"/>
      <c r="N248" s="34"/>
    </row>
    <row r="249" spans="1:20" s="35" customFormat="1" ht="15.75" customHeight="1" x14ac:dyDescent="0.35">
      <c r="A249" s="138">
        <f>A248+1</f>
        <v>8</v>
      </c>
      <c r="B249" s="139"/>
      <c r="C249" s="84" t="s">
        <v>397</v>
      </c>
      <c r="D249" s="84">
        <f>(93.81)*10.764</f>
        <v>1009.7708399999999</v>
      </c>
      <c r="E249" s="84">
        <f>(3.74+2.1)*10.764</f>
        <v>62.861759999999997</v>
      </c>
      <c r="F249" s="52">
        <f>D249+E249</f>
        <v>1072.6325999999999</v>
      </c>
      <c r="G249" s="52">
        <v>0</v>
      </c>
      <c r="H249" s="52">
        <f>F249*(($H$143)+1)+(IF(G249&lt;101,G249,IF(G249&lt;201,G249/2,IF(G249&lt;=301,G249/3,G249/4))))</f>
        <v>1608.9488999999999</v>
      </c>
      <c r="I249" s="34"/>
      <c r="L249" s="136"/>
      <c r="M249" s="136"/>
      <c r="N249" s="34"/>
      <c r="T249" s="19"/>
    </row>
    <row r="250" spans="1:20" s="35" customFormat="1" hidden="1" x14ac:dyDescent="0.35">
      <c r="A250" s="203" t="s">
        <v>117</v>
      </c>
      <c r="B250" s="203"/>
      <c r="C250" s="203"/>
      <c r="D250" s="203"/>
      <c r="E250" s="203"/>
      <c r="F250" s="203"/>
      <c r="G250" s="203"/>
      <c r="H250" s="203"/>
      <c r="I250" s="34"/>
      <c r="L250" s="136"/>
      <c r="M250" s="136"/>
    </row>
    <row r="251" spans="1:20" s="35" customFormat="1" hidden="1" x14ac:dyDescent="0.35">
      <c r="A251" s="137">
        <f>LEFT(A250,SUM(LEN(A250)-LEN(SUBSTITUTE(A250,{"0","1","2","3","4","5","6","7","8","9"},""))))*100+1</f>
        <v>201</v>
      </c>
      <c r="B251" s="137"/>
      <c r="C251" s="40"/>
      <c r="D251" s="40"/>
      <c r="E251" s="52">
        <v>0</v>
      </c>
      <c r="F251" s="52">
        <f>D251+E251</f>
        <v>0</v>
      </c>
      <c r="G251" s="52">
        <v>0</v>
      </c>
      <c r="H251" s="52">
        <f>F251*(($H$143)+1)+(IF(G251&lt;101,G251,IF(G251&lt;201,G251/2,IF(G251&lt;=301,G251/3,G251/4))))</f>
        <v>0</v>
      </c>
      <c r="I251" s="34"/>
      <c r="N251" s="34"/>
    </row>
    <row r="252" spans="1:20" s="35" customFormat="1" hidden="1" x14ac:dyDescent="0.35">
      <c r="A252" s="137">
        <f>A251+1</f>
        <v>202</v>
      </c>
      <c r="B252" s="137"/>
      <c r="C252" s="40"/>
      <c r="D252" s="40"/>
      <c r="E252" s="52">
        <v>0</v>
      </c>
      <c r="F252" s="52">
        <f>D252+E252</f>
        <v>0</v>
      </c>
      <c r="G252" s="52">
        <v>0</v>
      </c>
      <c r="H252" s="52">
        <f>F252*(($H$143)+1)+(IF(G252&lt;101,G252,IF(G252&lt;201,G252/2,IF(G252&lt;=301,G252/3,G252/4))))</f>
        <v>0</v>
      </c>
      <c r="I252" s="34"/>
      <c r="N252" s="34"/>
    </row>
    <row r="253" spans="1:20" s="35" customFormat="1" hidden="1" x14ac:dyDescent="0.35">
      <c r="A253" s="137">
        <f>A252+1</f>
        <v>203</v>
      </c>
      <c r="B253" s="137"/>
      <c r="C253" s="40"/>
      <c r="D253" s="40"/>
      <c r="E253" s="52">
        <v>0</v>
      </c>
      <c r="F253" s="52">
        <f>D253+E253</f>
        <v>0</v>
      </c>
      <c r="G253" s="52">
        <v>0</v>
      </c>
      <c r="H253" s="52">
        <f>F253*(($H$143)+1)+(IF(G253&lt;101,G253,IF(G253&lt;201,G253/2,IF(G253&lt;=301,G253/3,G253/4))))</f>
        <v>0</v>
      </c>
      <c r="I253" s="34"/>
      <c r="N253" s="34"/>
    </row>
    <row r="254" spans="1:20" s="35" customFormat="1" hidden="1" x14ac:dyDescent="0.35">
      <c r="A254" s="137">
        <f>A253+1</f>
        <v>204</v>
      </c>
      <c r="B254" s="137"/>
      <c r="C254" s="40"/>
      <c r="D254" s="40"/>
      <c r="E254" s="52">
        <v>0</v>
      </c>
      <c r="F254" s="52">
        <f>D254+E254</f>
        <v>0</v>
      </c>
      <c r="G254" s="52">
        <v>0</v>
      </c>
      <c r="H254" s="52">
        <f>F254*(($H$143)+1)+(IF(G254&lt;101,G254,IF(G254&lt;201,G254/2,IF(G254&lt;=301,G254/3,G254/4))))</f>
        <v>0</v>
      </c>
      <c r="I254" s="34"/>
      <c r="N254" s="34"/>
    </row>
    <row r="255" spans="1:20" s="35" customFormat="1" hidden="1" x14ac:dyDescent="0.35">
      <c r="A255" s="137">
        <f>A254+1</f>
        <v>205</v>
      </c>
      <c r="B255" s="137"/>
      <c r="C255" s="40"/>
      <c r="D255" s="40"/>
      <c r="E255" s="52">
        <v>0</v>
      </c>
      <c r="F255" s="52">
        <f>D255+E255</f>
        <v>0</v>
      </c>
      <c r="G255" s="52">
        <v>0</v>
      </c>
      <c r="H255" s="52">
        <f>F255*(($H$143)+1)+(IF(G255&lt;101,G255,IF(G255&lt;201,G255/2,IF(G255&lt;=301,G255/3,G255/4))))</f>
        <v>0</v>
      </c>
      <c r="I255" s="34"/>
      <c r="N255" s="34"/>
    </row>
    <row r="256" spans="1:20" s="35" customFormat="1" ht="15.75" hidden="1" customHeight="1" x14ac:dyDescent="0.35">
      <c r="A256" s="208" t="s">
        <v>148</v>
      </c>
      <c r="B256" s="209"/>
      <c r="C256" s="209"/>
      <c r="D256" s="209"/>
      <c r="E256" s="209"/>
      <c r="F256" s="209"/>
      <c r="G256" s="209"/>
      <c r="H256" s="210"/>
      <c r="I256" s="34"/>
    </row>
    <row r="257" spans="1:9" s="35" customFormat="1" ht="15.75" hidden="1" customHeight="1" x14ac:dyDescent="0.35">
      <c r="A257" s="138"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10^ROW(INDIRECT("1:"&amp;LEN((LEFT(A256,SUM(LEN(A256)-LEN(SUBSTITUTE(A256,{"0","1","2"},""))))))))/10))*100+1&amp;""&amp;" ,..,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",LEN(A256))),LEN(A256)))))))/10))*100+1</f>
        <v>301 ,.., 1501</v>
      </c>
      <c r="B257" s="139"/>
      <c r="C257" s="40"/>
      <c r="D257" s="40"/>
      <c r="E257" s="52">
        <v>0</v>
      </c>
      <c r="F257" s="52">
        <f>D257+E257</f>
        <v>0</v>
      </c>
      <c r="G257" s="52">
        <v>0</v>
      </c>
      <c r="H257" s="52">
        <f>F257*(($H$143)+1)+(IF(G257&lt;101,G257,IF(G257&lt;201,G257/2,IF(G257&lt;=301,G257/3,G257/4))))</f>
        <v>0</v>
      </c>
      <c r="I257" s="34"/>
    </row>
    <row r="258" spans="1:9" s="35" customFormat="1" ht="15.75" hidden="1" customHeight="1" x14ac:dyDescent="0.35">
      <c r="A258" s="138"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302 ,.., 1502</v>
      </c>
      <c r="B258" s="139"/>
      <c r="C258" s="40"/>
      <c r="D258" s="40"/>
      <c r="E258" s="52">
        <v>0</v>
      </c>
      <c r="F258" s="52">
        <f>D258+E258</f>
        <v>0</v>
      </c>
      <c r="G258" s="52">
        <v>0</v>
      </c>
      <c r="H258" s="52">
        <f>F258*(($H$143)+1)+(IF(G258&lt;101,G258,IF(G258&lt;201,G258/2,IF(G258&lt;=301,G258/3,G258/4))))</f>
        <v>0</v>
      </c>
      <c r="I258" s="34"/>
    </row>
    <row r="259" spans="1:9" s="35" customFormat="1" ht="15.75" hidden="1" customHeight="1" x14ac:dyDescent="0.35">
      <c r="A259" s="138"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10^ROW(INDIRECT("1:"&amp;LEN((LEFT(A258,SUM(LEN(A258)-LEN(SUBSTITUTE(A258,{"0","1","2"},""))))))))/10))*1+1&amp;""&amp;" ,..,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",LEN(A258))),LEN(A258)))))))/10))*1+1</f>
        <v>303 ,.., 1503</v>
      </c>
      <c r="B259" s="139"/>
      <c r="C259" s="40"/>
      <c r="D259" s="40"/>
      <c r="E259" s="52">
        <v>0</v>
      </c>
      <c r="F259" s="52">
        <f>D259+E259</f>
        <v>0</v>
      </c>
      <c r="G259" s="52">
        <v>0</v>
      </c>
      <c r="H259" s="52">
        <f>F259*(($H$143)+1)+(IF(G259&lt;101,G259,IF(G259&lt;201,G259/2,IF(G259&lt;=301,G259/3,G259/4))))</f>
        <v>0</v>
      </c>
      <c r="I259" s="34"/>
    </row>
    <row r="260" spans="1:9" s="35" customFormat="1" ht="15.75" hidden="1" customHeight="1" x14ac:dyDescent="0.35">
      <c r="A260" s="138"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10^ROW(INDIRECT("1:"&amp;LEN((LEFT(A259,SUM(LEN(A259)-LEN(SUBSTITUTE(A259,{"0","1","2"},""))))))))/10))*1+1&amp;""&amp;" ,..,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",LEN(A259))),LEN(A259)))))))/10))*1+1</f>
        <v>304 ,.., 1504</v>
      </c>
      <c r="B260" s="139"/>
      <c r="C260" s="40"/>
      <c r="D260" s="40"/>
      <c r="E260" s="52">
        <v>0</v>
      </c>
      <c r="F260" s="52">
        <f>D260+E260</f>
        <v>0</v>
      </c>
      <c r="G260" s="52">
        <v>0</v>
      </c>
      <c r="H260" s="52">
        <f>F260*(($H$143)+1)+(IF(G260&lt;101,G260,IF(G260&lt;201,G260/2,IF(G260&lt;=301,G260/3,G260/4))))</f>
        <v>0</v>
      </c>
      <c r="I260" s="34"/>
    </row>
    <row r="261" spans="1:9" s="35" customFormat="1" ht="15.75" hidden="1" customHeight="1" x14ac:dyDescent="0.35">
      <c r="A261" s="138"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10^ROW(INDIRECT("1:"&amp;LEN((LEFT(A260,SUM(LEN(A260)-LEN(SUBSTITUTE(A260,{"0","1","2"},""))))))))/10))*1+1&amp;""&amp;" ,..,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",LEN(A260))),LEN(A260)))))))/10))*1+1</f>
        <v>305 ,.., 1505</v>
      </c>
      <c r="B261" s="139"/>
      <c r="C261" s="40"/>
      <c r="D261" s="40"/>
      <c r="E261" s="52">
        <v>0</v>
      </c>
      <c r="F261" s="52">
        <f>D261+E261</f>
        <v>0</v>
      </c>
      <c r="G261" s="52">
        <v>0</v>
      </c>
      <c r="H261" s="52">
        <f>F261*(($H$143)+1)+(IF(G261&lt;101,G261,IF(G261&lt;201,G261/2,IF(G261&lt;=301,G261/3,G261/4))))</f>
        <v>0</v>
      </c>
      <c r="I261" s="34"/>
    </row>
    <row r="262" spans="1:9" s="35" customFormat="1" hidden="1" x14ac:dyDescent="0.35">
      <c r="A262" s="208" t="s">
        <v>142</v>
      </c>
      <c r="B262" s="209"/>
      <c r="C262" s="209"/>
      <c r="D262" s="209"/>
      <c r="E262" s="209"/>
      <c r="F262" s="209"/>
      <c r="G262" s="209"/>
      <c r="H262" s="210"/>
      <c r="I262" s="34"/>
    </row>
    <row r="263" spans="1:9" s="35" customFormat="1" ht="15.75" hidden="1" customHeight="1" x14ac:dyDescent="0.35">
      <c r="A263" s="138"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10^ROW(INDIRECT("1:"&amp;LEN((LEFT(A262,SUM(LEN(A262)-LEN(SUBSTITUTE(A262,{"0","1","2"},""))))))))/10))*100+1&amp;""&amp;" to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",LEN(A262))),LEN(A262)))))))/10))*100+1</f>
        <v>201 to 501</v>
      </c>
      <c r="B263" s="139"/>
      <c r="C263" s="40"/>
      <c r="D263" s="40"/>
      <c r="E263" s="52">
        <v>0</v>
      </c>
      <c r="F263" s="52">
        <f>D263+E263</f>
        <v>0</v>
      </c>
      <c r="G263" s="52">
        <v>0</v>
      </c>
      <c r="H263" s="52">
        <f>F263*(($H$143)+1)+(IF(G263&lt;101,G263,IF(G263&lt;201,G263/2,IF(G263&lt;=301,G263/3,G263/4))))</f>
        <v>0</v>
      </c>
      <c r="I263" s="34"/>
    </row>
    <row r="264" spans="1:9" s="35" customFormat="1" ht="15.75" hidden="1" customHeight="1" x14ac:dyDescent="0.35">
      <c r="A264" s="138"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to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202 to 502</v>
      </c>
      <c r="B264" s="139"/>
      <c r="C264" s="40"/>
      <c r="D264" s="40"/>
      <c r="E264" s="52">
        <v>0</v>
      </c>
      <c r="F264" s="52">
        <f>D264+E264</f>
        <v>0</v>
      </c>
      <c r="G264" s="52">
        <v>0</v>
      </c>
      <c r="H264" s="52">
        <f>F264*(($H$143)+1)+(IF(G264&lt;101,G264,IF(G264&lt;201,G264/2,IF(G264&lt;=301,G264/3,G264/4))))</f>
        <v>0</v>
      </c>
      <c r="I264" s="34"/>
    </row>
    <row r="265" spans="1:9" s="35" customFormat="1" ht="15.75" hidden="1" customHeight="1" x14ac:dyDescent="0.35">
      <c r="A265" s="138"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10^ROW(INDIRECT("1:"&amp;LEN((LEFT(A264,SUM(LEN(A264)-LEN(SUBSTITUTE(A264,{"0","1","2"},""))))))))/10))*1+1&amp;""&amp;" to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",LEN(A264))),LEN(A264)))))))/10))*1+1</f>
        <v>203 to 503</v>
      </c>
      <c r="B265" s="139"/>
      <c r="C265" s="40"/>
      <c r="D265" s="40"/>
      <c r="E265" s="52">
        <v>0</v>
      </c>
      <c r="F265" s="52">
        <f>D265+E265</f>
        <v>0</v>
      </c>
      <c r="G265" s="52">
        <v>0</v>
      </c>
      <c r="H265" s="52">
        <f>F265*(($H$143)+1)+(IF(G265&lt;101,G265,IF(G265&lt;201,G265/2,IF(G265&lt;=301,G265/3,G265/4))))</f>
        <v>0</v>
      </c>
      <c r="I265" s="34"/>
    </row>
    <row r="266" spans="1:9" s="35" customFormat="1" ht="15.75" hidden="1" customHeight="1" x14ac:dyDescent="0.35">
      <c r="A266" s="138"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10^ROW(INDIRECT("1:"&amp;LEN((LEFT(A265,SUM(LEN(A265)-LEN(SUBSTITUTE(A265,{"0","1","2"},""))))))))/10))*1+1&amp;""&amp;" to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",LEN(A265))),LEN(A265)))))))/10))*1+1</f>
        <v>204 to 504</v>
      </c>
      <c r="B266" s="139"/>
      <c r="C266" s="40"/>
      <c r="D266" s="40"/>
      <c r="E266" s="52">
        <v>0</v>
      </c>
      <c r="F266" s="52">
        <f>D266+E266</f>
        <v>0</v>
      </c>
      <c r="G266" s="52">
        <v>0</v>
      </c>
      <c r="H266" s="52">
        <f>F266*(($H$143)+1)+(IF(G266&lt;101,G266,IF(G266&lt;201,G266/2,IF(G266&lt;=301,G266/3,G266/4))))</f>
        <v>0</v>
      </c>
      <c r="I266" s="34"/>
    </row>
    <row r="267" spans="1:9" s="35" customFormat="1" ht="15.75" hidden="1" customHeight="1" x14ac:dyDescent="0.35">
      <c r="A267" s="138"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10^ROW(INDIRECT("1:"&amp;LEN((LEFT(A266,SUM(LEN(A266)-LEN(SUBSTITUTE(A266,{"0","1","2"},""))))))))/10))*1+1&amp;""&amp;" to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",LEN(A266))),LEN(A266)))))))/10))*1+1</f>
        <v>205 to 505</v>
      </c>
      <c r="B267" s="139"/>
      <c r="C267" s="40"/>
      <c r="D267" s="40"/>
      <c r="E267" s="52">
        <v>0</v>
      </c>
      <c r="F267" s="52">
        <f>D267+E267</f>
        <v>0</v>
      </c>
      <c r="G267" s="52">
        <v>0</v>
      </c>
      <c r="H267" s="52">
        <f>F267*(($H$143)+1)+(IF(G267&lt;101,G267,IF(G267&lt;201,G267/2,IF(G267&lt;=301,G267/3,G267/4))))</f>
        <v>0</v>
      </c>
      <c r="I267" s="34"/>
    </row>
    <row r="268" spans="1:9" s="35" customFormat="1" hidden="1" x14ac:dyDescent="0.35">
      <c r="A268" s="208" t="s">
        <v>143</v>
      </c>
      <c r="B268" s="209"/>
      <c r="C268" s="209"/>
      <c r="D268" s="209"/>
      <c r="E268" s="209"/>
      <c r="F268" s="209"/>
      <c r="G268" s="209"/>
      <c r="H268" s="210"/>
      <c r="I268" s="34"/>
    </row>
    <row r="269" spans="1:9" s="35" customFormat="1" ht="15.75" hidden="1" customHeight="1" x14ac:dyDescent="0.35">
      <c r="A269" s="138"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10^ROW(INDIRECT("1:"&amp;LEN((LEFT(A268,SUM(LEN(A268)-LEN(SUBSTITUTE(A268,{"0","1","2"},""))))))))/10))*100+1&amp;""&amp;" &amp;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",LEN(A268))),LEN(A268)))))))/10))*100+1</f>
        <v>201 &amp; 501</v>
      </c>
      <c r="B269" s="139"/>
      <c r="C269" s="40"/>
      <c r="D269" s="40"/>
      <c r="E269" s="52">
        <v>0</v>
      </c>
      <c r="F269" s="52">
        <f>D269+E269</f>
        <v>0</v>
      </c>
      <c r="G269" s="52">
        <v>0</v>
      </c>
      <c r="H269" s="52">
        <f>F269*(($H$143)+1)+(IF(G269&lt;101,G269,IF(G269&lt;201,G269/2,IF(G269&lt;=301,G269/3,G269/4))))</f>
        <v>0</v>
      </c>
      <c r="I269" s="34"/>
    </row>
    <row r="270" spans="1:9" s="35" customFormat="1" ht="15.75" hidden="1" customHeight="1" x14ac:dyDescent="0.35">
      <c r="A270" s="138"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&amp;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202 &amp; 502</v>
      </c>
      <c r="B270" s="139"/>
      <c r="C270" s="40"/>
      <c r="D270" s="40"/>
      <c r="E270" s="52">
        <v>0</v>
      </c>
      <c r="F270" s="52">
        <f>D270+E270</f>
        <v>0</v>
      </c>
      <c r="G270" s="52">
        <v>0</v>
      </c>
      <c r="H270" s="52">
        <f>F270*(($H$143)+1)+(IF(G270&lt;101,G270,IF(G270&lt;201,G270/2,IF(G270&lt;=301,G270/3,G270/4))))</f>
        <v>0</v>
      </c>
      <c r="I270" s="34"/>
    </row>
    <row r="271" spans="1:9" s="35" customFormat="1" ht="15.75" hidden="1" customHeight="1" x14ac:dyDescent="0.35">
      <c r="A271" s="138"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&amp;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203 &amp; 503</v>
      </c>
      <c r="B271" s="139"/>
      <c r="C271" s="40"/>
      <c r="D271" s="40"/>
      <c r="E271" s="52">
        <v>0</v>
      </c>
      <c r="F271" s="52">
        <f>D271+E271</f>
        <v>0</v>
      </c>
      <c r="G271" s="52">
        <v>0</v>
      </c>
      <c r="H271" s="52">
        <f>F271*(($H$143)+1)+(IF(G271&lt;101,G271,IF(G271&lt;201,G271/2,IF(G271&lt;=301,G271/3,G271/4))))</f>
        <v>0</v>
      </c>
      <c r="I271" s="34"/>
    </row>
    <row r="272" spans="1:9" s="35" customFormat="1" ht="15.75" hidden="1" customHeight="1" x14ac:dyDescent="0.35">
      <c r="A272" s="138"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10^ROW(INDIRECT("1:"&amp;LEN((LEFT(A271,SUM(LEN(A271)-LEN(SUBSTITUTE(A271,{"0","1","2"},""))))))))/10))*1+1&amp;""&amp;" &amp;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",LEN(A271))),LEN(A271)))))))/10))*1+1</f>
        <v>204 &amp; 504</v>
      </c>
      <c r="B272" s="139"/>
      <c r="C272" s="40"/>
      <c r="D272" s="40"/>
      <c r="E272" s="52">
        <v>0</v>
      </c>
      <c r="F272" s="52">
        <f>D272+E272</f>
        <v>0</v>
      </c>
      <c r="G272" s="52">
        <v>0</v>
      </c>
      <c r="H272" s="52">
        <f>F272*(($H$143)+1)+(IF(G272&lt;101,G272,IF(G272&lt;201,G272/2,IF(G272&lt;=301,G272/3,G272/4))))</f>
        <v>0</v>
      </c>
      <c r="I272" s="34"/>
    </row>
    <row r="273" spans="1:20" s="35" customFormat="1" ht="15.75" hidden="1" customHeight="1" x14ac:dyDescent="0.35">
      <c r="A273" s="138" t="str">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10^ROW(INDIRECT("1:"&amp;LEN((LEFT(A272,SUM(LEN(A272)-LEN(SUBSTITUTE(A272,{"0","1","2"},""))))))))/10))*1+1&amp;""&amp;" &amp; "&amp;""&amp;(SUMPRODUCT(MID(0&amp;(--TRIM(RIGHT(SUBSTITUTE(LEFT(A272,_xlfn.AGGREGATE(16,6,FIND({0,1,2,3,4,5,6,7,8,9},A272,ROW(INDIRECT("1:"&amp;LEN(A272)))),1)),"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",LEN(A272))),LEN(A272)))))))/10))*1+1</f>
        <v>205 &amp; 505</v>
      </c>
      <c r="B273" s="139"/>
      <c r="C273" s="40"/>
      <c r="D273" s="40"/>
      <c r="E273" s="52">
        <v>0</v>
      </c>
      <c r="F273" s="52">
        <f>D273+E273</f>
        <v>0</v>
      </c>
      <c r="G273" s="52">
        <v>0</v>
      </c>
      <c r="H273" s="52">
        <f>F273*(($H$143)+1)+(IF(G273&lt;101,G273,IF(G273&lt;201,G273/2,IF(G273&lt;=301,G273/3,G273/4))))</f>
        <v>0</v>
      </c>
      <c r="I273" s="34"/>
    </row>
    <row r="274" spans="1:20" s="33" customFormat="1" x14ac:dyDescent="0.35">
      <c r="A274" s="230" t="s">
        <v>65</v>
      </c>
      <c r="B274" s="230"/>
      <c r="C274" s="230"/>
      <c r="D274" s="230"/>
      <c r="E274" s="230"/>
      <c r="F274" s="230"/>
      <c r="G274" s="230"/>
      <c r="H274" s="230"/>
      <c r="T274" s="35"/>
    </row>
    <row r="275" spans="1:20" s="33" customFormat="1" x14ac:dyDescent="0.35">
      <c r="A275" s="42" t="s">
        <v>152</v>
      </c>
      <c r="B275" s="205" t="s">
        <v>428</v>
      </c>
      <c r="C275" s="206"/>
      <c r="D275" s="206"/>
      <c r="E275" s="206"/>
      <c r="F275" s="206"/>
      <c r="G275" s="206"/>
      <c r="H275" s="207"/>
      <c r="T275" s="35"/>
    </row>
    <row r="276" spans="1:20" s="33" customFormat="1" x14ac:dyDescent="0.35">
      <c r="A276" s="42" t="s">
        <v>152</v>
      </c>
      <c r="B276" s="107" t="str">
        <f>(IF(H142="Saleable area Loading :","We have considered Saleable area of Flats as per our Calculation.","We considered Saleable area of Flat as per Builder area Sheet."))</f>
        <v>We have considered Saleable area of Flats as per our Calculation.</v>
      </c>
      <c r="C276" s="108"/>
      <c r="D276" s="108"/>
      <c r="E276" s="108"/>
      <c r="F276" s="108"/>
      <c r="G276" s="108"/>
      <c r="H276" s="109"/>
      <c r="T276" s="35"/>
    </row>
    <row r="277" spans="1:20" s="91" customFormat="1" x14ac:dyDescent="0.35">
      <c r="A277" s="90" t="s">
        <v>152</v>
      </c>
      <c r="B277" s="107" t="str">
        <f>(IF(H129="Saleable area Loading :","We have considered Saleable area of Commercial as per our Calculation.","We considered Saleable area of Commercial as per Builder area Sheet."))</f>
        <v>We have considered Saleable area of Commercial as per our Calculation.</v>
      </c>
      <c r="C277" s="108"/>
      <c r="D277" s="108"/>
      <c r="E277" s="108"/>
      <c r="F277" s="108"/>
      <c r="G277" s="108"/>
      <c r="H277" s="109"/>
      <c r="T277" s="92"/>
    </row>
    <row r="278" spans="1:20" s="33" customFormat="1" x14ac:dyDescent="0.35">
      <c r="A278" s="42" t="s">
        <v>152</v>
      </c>
      <c r="B278" s="133" t="s">
        <v>119</v>
      </c>
      <c r="C278" s="134"/>
      <c r="D278" s="134"/>
      <c r="E278" s="134"/>
      <c r="F278" s="134"/>
      <c r="G278" s="134"/>
      <c r="H278" s="135"/>
      <c r="T278" s="35"/>
    </row>
    <row r="279" spans="1:20" s="33" customFormat="1" x14ac:dyDescent="0.35">
      <c r="A279" s="42" t="s">
        <v>152</v>
      </c>
      <c r="B279" s="222" t="s">
        <v>409</v>
      </c>
      <c r="C279" s="223"/>
      <c r="D279" s="223"/>
      <c r="E279" s="223"/>
      <c r="F279" s="223"/>
      <c r="G279" s="223"/>
      <c r="H279" s="224"/>
      <c r="T279" s="35"/>
    </row>
    <row r="280" spans="1:20" s="33" customFormat="1" x14ac:dyDescent="0.35">
      <c r="A280" s="42" t="s">
        <v>152</v>
      </c>
      <c r="B280" s="133" t="s">
        <v>151</v>
      </c>
      <c r="C280" s="134"/>
      <c r="D280" s="134"/>
      <c r="E280" s="134"/>
      <c r="F280" s="134"/>
      <c r="G280" s="134"/>
      <c r="H280" s="135"/>
    </row>
    <row r="281" spans="1:20" s="33" customFormat="1" x14ac:dyDescent="0.35">
      <c r="A281" s="42" t="s">
        <v>152</v>
      </c>
      <c r="B281" s="133" t="s">
        <v>120</v>
      </c>
      <c r="C281" s="134"/>
      <c r="D281" s="134"/>
      <c r="E281" s="134"/>
      <c r="F281" s="134"/>
      <c r="G281" s="134"/>
      <c r="H281" s="135"/>
    </row>
    <row r="282" spans="1:20" s="91" customFormat="1" ht="34.5" customHeight="1" x14ac:dyDescent="0.35">
      <c r="A282" s="90" t="s">
        <v>152</v>
      </c>
      <c r="B282" s="107" t="s">
        <v>153</v>
      </c>
      <c r="C282" s="108"/>
      <c r="D282" s="108"/>
      <c r="E282" s="108"/>
      <c r="F282" s="108"/>
      <c r="G282" s="108"/>
      <c r="H282" s="109"/>
    </row>
    <row r="283" spans="1:20" s="91" customFormat="1" x14ac:dyDescent="0.35">
      <c r="A283" s="90" t="s">
        <v>152</v>
      </c>
      <c r="B283" s="107" t="s">
        <v>121</v>
      </c>
      <c r="C283" s="108"/>
      <c r="D283" s="108"/>
      <c r="E283" s="108"/>
      <c r="F283" s="108"/>
      <c r="G283" s="108"/>
      <c r="H283" s="109"/>
    </row>
    <row r="284" spans="1:20" s="91" customFormat="1" ht="32.25" customHeight="1" x14ac:dyDescent="0.35">
      <c r="A284" s="90" t="s">
        <v>152</v>
      </c>
      <c r="B284" s="107" t="s">
        <v>178</v>
      </c>
      <c r="C284" s="108"/>
      <c r="D284" s="108"/>
      <c r="E284" s="108"/>
      <c r="F284" s="108"/>
      <c r="G284" s="108"/>
      <c r="H284" s="109"/>
    </row>
    <row r="285" spans="1:20" s="33" customFormat="1" x14ac:dyDescent="0.35">
      <c r="A285" s="53" t="s">
        <v>152</v>
      </c>
      <c r="B285" s="107" t="s">
        <v>422</v>
      </c>
      <c r="C285" s="108"/>
      <c r="D285" s="108"/>
      <c r="E285" s="108"/>
      <c r="F285" s="108"/>
      <c r="G285" s="108"/>
      <c r="H285" s="109"/>
    </row>
    <row r="286" spans="1:20" s="33" customFormat="1" hidden="1" x14ac:dyDescent="0.35">
      <c r="A286" s="79" t="s">
        <v>152</v>
      </c>
      <c r="B286" s="110" t="s">
        <v>349</v>
      </c>
      <c r="C286" s="111"/>
      <c r="D286" s="111"/>
      <c r="E286" s="111"/>
      <c r="F286" s="111"/>
      <c r="G286" s="111"/>
      <c r="H286" s="112"/>
    </row>
    <row r="287" spans="1:20" s="33" customFormat="1" hidden="1" x14ac:dyDescent="0.35">
      <c r="A287" s="79" t="s">
        <v>152</v>
      </c>
      <c r="B287" s="110" t="str">
        <f ca="1">IF(G52&gt;EDATE(E3,-48),"NO REMARK FOR CC","REMARK FOR CC")</f>
        <v>NO REMARK FOR CC</v>
      </c>
      <c r="C287" s="111"/>
      <c r="D287" s="111"/>
      <c r="E287" s="111"/>
      <c r="F287" s="111"/>
      <c r="G287" s="111"/>
      <c r="H287" s="112"/>
    </row>
    <row r="288" spans="1:20" s="33" customFormat="1" ht="81.75" hidden="1" customHeight="1" x14ac:dyDescent="0.35">
      <c r="A288" s="80" t="s">
        <v>152</v>
      </c>
      <c r="B288" s="110" t="s">
        <v>350</v>
      </c>
      <c r="C288" s="111"/>
      <c r="D288" s="111"/>
      <c r="E288" s="111"/>
      <c r="F288" s="111"/>
      <c r="G288" s="111"/>
      <c r="H288" s="112"/>
    </row>
    <row r="289" spans="1:20" s="33" customFormat="1" x14ac:dyDescent="0.35">
      <c r="A289" s="100" t="s">
        <v>152</v>
      </c>
      <c r="B289" s="107" t="s">
        <v>427</v>
      </c>
      <c r="C289" s="108"/>
      <c r="D289" s="108"/>
      <c r="E289" s="108"/>
      <c r="F289" s="108"/>
      <c r="G289" s="108"/>
      <c r="H289" s="109"/>
    </row>
    <row r="290" spans="1:20" x14ac:dyDescent="0.35">
      <c r="A290" s="175" t="s">
        <v>58</v>
      </c>
      <c r="B290" s="175"/>
      <c r="C290" s="175"/>
      <c r="D290" s="175"/>
      <c r="E290" s="175"/>
      <c r="F290" s="175"/>
      <c r="G290" s="175"/>
      <c r="H290" s="175"/>
      <c r="T290" s="33"/>
    </row>
    <row r="291" spans="1:20" x14ac:dyDescent="0.35">
      <c r="A291" s="124" t="s">
        <v>59</v>
      </c>
      <c r="B291" s="124"/>
      <c r="C291" s="124"/>
      <c r="D291" s="124"/>
      <c r="E291" s="124"/>
      <c r="F291" s="124"/>
      <c r="G291" s="124"/>
      <c r="H291" s="124"/>
      <c r="T291" s="33"/>
    </row>
    <row r="292" spans="1:20" ht="15.75" customHeight="1" x14ac:dyDescent="0.35">
      <c r="A292" s="221" t="s">
        <v>60</v>
      </c>
      <c r="B292" s="221"/>
      <c r="C292" s="221"/>
      <c r="D292" s="221"/>
      <c r="E292" s="221"/>
      <c r="F292" s="221"/>
      <c r="G292" s="221"/>
      <c r="H292" s="221"/>
      <c r="T292" s="33"/>
    </row>
    <row r="293" spans="1:20" x14ac:dyDescent="0.35">
      <c r="A293" s="124" t="s">
        <v>61</v>
      </c>
      <c r="B293" s="124"/>
      <c r="C293" s="124"/>
      <c r="D293" s="124"/>
      <c r="E293" s="124"/>
      <c r="F293" s="124"/>
      <c r="G293" s="124"/>
      <c r="H293" s="124"/>
      <c r="T293" s="33"/>
    </row>
    <row r="294" spans="1:20" x14ac:dyDescent="0.35">
      <c r="A294" s="124" t="s">
        <v>62</v>
      </c>
      <c r="B294" s="124"/>
      <c r="C294" s="124"/>
      <c r="D294" s="124"/>
      <c r="E294" s="124"/>
      <c r="F294" s="124"/>
      <c r="G294" s="124"/>
      <c r="H294" s="124"/>
      <c r="T294" s="33"/>
    </row>
    <row r="295" spans="1:20" x14ac:dyDescent="0.35">
      <c r="A295" s="124" t="s">
        <v>122</v>
      </c>
      <c r="B295" s="124"/>
      <c r="C295" s="124"/>
      <c r="D295" s="124"/>
      <c r="E295" s="124"/>
      <c r="F295" s="124"/>
      <c r="G295" s="124"/>
      <c r="H295" s="124"/>
      <c r="T295" s="33"/>
    </row>
    <row r="296" spans="1:20" ht="34" customHeight="1" x14ac:dyDescent="0.35">
      <c r="A296" s="165" t="s">
        <v>123</v>
      </c>
      <c r="B296" s="165"/>
      <c r="C296" s="165"/>
      <c r="D296" s="165"/>
      <c r="E296" s="165"/>
      <c r="F296" s="165"/>
      <c r="G296" s="165"/>
      <c r="H296" s="165"/>
    </row>
    <row r="297" spans="1:20" x14ac:dyDescent="0.35">
      <c r="A297" s="201" t="s">
        <v>74</v>
      </c>
      <c r="B297" s="201"/>
      <c r="C297" s="201" t="s">
        <v>414</v>
      </c>
      <c r="D297" s="201"/>
      <c r="E297" s="201" t="s">
        <v>104</v>
      </c>
      <c r="F297" s="201"/>
      <c r="G297" s="202" t="s">
        <v>423</v>
      </c>
      <c r="H297" s="202"/>
    </row>
    <row r="298" spans="1:20" x14ac:dyDescent="0.35">
      <c r="A298" s="200" t="s">
        <v>76</v>
      </c>
      <c r="B298" s="200"/>
      <c r="C298" s="200"/>
      <c r="D298" s="200"/>
      <c r="E298" s="200"/>
      <c r="F298" s="200"/>
      <c r="G298" s="200"/>
      <c r="H298" s="200"/>
    </row>
    <row r="299" spans="1:20" x14ac:dyDescent="0.35">
      <c r="A299" s="200"/>
      <c r="B299" s="200"/>
      <c r="C299" s="200"/>
      <c r="D299" s="200"/>
      <c r="E299" s="200"/>
      <c r="F299" s="200"/>
      <c r="G299" s="200"/>
      <c r="H299" s="200"/>
    </row>
    <row r="300" spans="1:20" x14ac:dyDescent="0.35">
      <c r="A300" s="200"/>
      <c r="B300" s="200"/>
      <c r="C300" s="200"/>
      <c r="D300" s="200"/>
      <c r="E300" s="200"/>
      <c r="F300" s="200"/>
      <c r="G300" s="200"/>
      <c r="H300" s="200"/>
    </row>
    <row r="301" spans="1:20" x14ac:dyDescent="0.35">
      <c r="A301" s="200"/>
      <c r="B301" s="200"/>
      <c r="C301" s="200"/>
      <c r="D301" s="200"/>
      <c r="E301" s="200"/>
      <c r="F301" s="200"/>
      <c r="G301" s="200"/>
      <c r="H301" s="200"/>
    </row>
    <row r="302" spans="1:20" x14ac:dyDescent="0.35">
      <c r="A302" s="36" t="s">
        <v>63</v>
      </c>
      <c r="B302" s="37"/>
      <c r="C302" s="37"/>
      <c r="D302" s="36" t="str">
        <f>E9</f>
        <v>Mesacon Crown</v>
      </c>
      <c r="F302" s="37"/>
      <c r="G302" s="37"/>
      <c r="H302" s="37"/>
    </row>
    <row r="303" spans="1:20" x14ac:dyDescent="0.35">
      <c r="A303" s="37"/>
      <c r="B303" s="37"/>
      <c r="C303" s="37"/>
      <c r="D303" s="37"/>
      <c r="E303" s="37"/>
      <c r="F303" s="37"/>
      <c r="G303" s="37"/>
      <c r="H303" s="37"/>
    </row>
    <row r="304" spans="1:20" x14ac:dyDescent="0.35">
      <c r="A304" s="37"/>
      <c r="B304" s="37"/>
      <c r="C304" s="37"/>
      <c r="D304" s="37"/>
      <c r="E304" s="37"/>
      <c r="F304" s="37"/>
      <c r="G304" s="37"/>
      <c r="H304" s="37"/>
    </row>
    <row r="305" ht="15" customHeight="1" x14ac:dyDescent="0.35"/>
    <row r="345" spans="1:1" x14ac:dyDescent="0.35">
      <c r="A345" s="39" t="s">
        <v>162</v>
      </c>
    </row>
    <row r="388" spans="1:1" x14ac:dyDescent="0.35">
      <c r="A388" s="39" t="s">
        <v>64</v>
      </c>
    </row>
  </sheetData>
  <mergeCells count="531">
    <mergeCell ref="A243:B243"/>
    <mergeCell ref="L243:M243"/>
    <mergeCell ref="A244:B244"/>
    <mergeCell ref="L244:M244"/>
    <mergeCell ref="A235:H235"/>
    <mergeCell ref="A236:B236"/>
    <mergeCell ref="L236:M236"/>
    <mergeCell ref="A237:B237"/>
    <mergeCell ref="L237:M237"/>
    <mergeCell ref="A238:B238"/>
    <mergeCell ref="L238:M238"/>
    <mergeCell ref="A239:B239"/>
    <mergeCell ref="L239:M239"/>
    <mergeCell ref="A226:B226"/>
    <mergeCell ref="L226:M226"/>
    <mergeCell ref="A227:B227"/>
    <mergeCell ref="L227:M227"/>
    <mergeCell ref="A228:B228"/>
    <mergeCell ref="L228:M228"/>
    <mergeCell ref="A229:B229"/>
    <mergeCell ref="L229:M229"/>
    <mergeCell ref="A242:B242"/>
    <mergeCell ref="L242:M242"/>
    <mergeCell ref="A240:H240"/>
    <mergeCell ref="A241:B241"/>
    <mergeCell ref="L241:M241"/>
    <mergeCell ref="A230:H230"/>
    <mergeCell ref="A231:B231"/>
    <mergeCell ref="L231:M231"/>
    <mergeCell ref="A232:B232"/>
    <mergeCell ref="L232:M232"/>
    <mergeCell ref="A233:B233"/>
    <mergeCell ref="L233:M233"/>
    <mergeCell ref="A234:B234"/>
    <mergeCell ref="L234:M234"/>
    <mergeCell ref="A220:H220"/>
    <mergeCell ref="A221:B221"/>
    <mergeCell ref="L221:M221"/>
    <mergeCell ref="A222:B222"/>
    <mergeCell ref="L222:M222"/>
    <mergeCell ref="A223:B223"/>
    <mergeCell ref="L223:M223"/>
    <mergeCell ref="A224:B224"/>
    <mergeCell ref="L224:M224"/>
    <mergeCell ref="A216:B216"/>
    <mergeCell ref="L216:M216"/>
    <mergeCell ref="A217:B217"/>
    <mergeCell ref="L217:M217"/>
    <mergeCell ref="A218:B218"/>
    <mergeCell ref="L218:M218"/>
    <mergeCell ref="A219:B219"/>
    <mergeCell ref="L219:M219"/>
    <mergeCell ref="A210:H210"/>
    <mergeCell ref="A211:B211"/>
    <mergeCell ref="L211:M211"/>
    <mergeCell ref="A212:B212"/>
    <mergeCell ref="L212:M212"/>
    <mergeCell ref="A213:B213"/>
    <mergeCell ref="L213:M213"/>
    <mergeCell ref="A214:B214"/>
    <mergeCell ref="L214:M214"/>
    <mergeCell ref="I217:J217"/>
    <mergeCell ref="L184:M184"/>
    <mergeCell ref="A200:H200"/>
    <mergeCell ref="A201:B201"/>
    <mergeCell ref="L201:M201"/>
    <mergeCell ref="A202:B202"/>
    <mergeCell ref="L202:M202"/>
    <mergeCell ref="A203:B203"/>
    <mergeCell ref="L203:M203"/>
    <mergeCell ref="A204:B204"/>
    <mergeCell ref="L204:M204"/>
    <mergeCell ref="A195:H195"/>
    <mergeCell ref="A196:H196"/>
    <mergeCell ref="A197:H197"/>
    <mergeCell ref="A198:H198"/>
    <mergeCell ref="A199:H199"/>
    <mergeCell ref="L171:M171"/>
    <mergeCell ref="A172:B172"/>
    <mergeCell ref="L172:M172"/>
    <mergeCell ref="A173:B173"/>
    <mergeCell ref="L173:M173"/>
    <mergeCell ref="A174:B174"/>
    <mergeCell ref="L174:M174"/>
    <mergeCell ref="A190:H190"/>
    <mergeCell ref="A185:H185"/>
    <mergeCell ref="A186:B186"/>
    <mergeCell ref="L186:M186"/>
    <mergeCell ref="A187:B187"/>
    <mergeCell ref="L187:M187"/>
    <mergeCell ref="A188:B188"/>
    <mergeCell ref="L188:M188"/>
    <mergeCell ref="A189:B189"/>
    <mergeCell ref="L189:M189"/>
    <mergeCell ref="A180:H180"/>
    <mergeCell ref="A181:B181"/>
    <mergeCell ref="L181:M181"/>
    <mergeCell ref="A182:B182"/>
    <mergeCell ref="L182:M182"/>
    <mergeCell ref="A183:B183"/>
    <mergeCell ref="L183:M183"/>
    <mergeCell ref="L206:M206"/>
    <mergeCell ref="A207:B207"/>
    <mergeCell ref="L207:M207"/>
    <mergeCell ref="A208:B208"/>
    <mergeCell ref="L208:M208"/>
    <mergeCell ref="A209:B209"/>
    <mergeCell ref="L209:M209"/>
    <mergeCell ref="A175:H175"/>
    <mergeCell ref="A176:B176"/>
    <mergeCell ref="L176:M176"/>
    <mergeCell ref="A177:B177"/>
    <mergeCell ref="L177:M177"/>
    <mergeCell ref="A178:B178"/>
    <mergeCell ref="L178:M178"/>
    <mergeCell ref="A179:B179"/>
    <mergeCell ref="L179:M179"/>
    <mergeCell ref="A191:B191"/>
    <mergeCell ref="L191:M191"/>
    <mergeCell ref="A192:B192"/>
    <mergeCell ref="L192:M192"/>
    <mergeCell ref="A193:B193"/>
    <mergeCell ref="L193:M193"/>
    <mergeCell ref="A194:B194"/>
    <mergeCell ref="L194:M194"/>
    <mergeCell ref="L168:M168"/>
    <mergeCell ref="A169:B169"/>
    <mergeCell ref="L169:M169"/>
    <mergeCell ref="A160:H160"/>
    <mergeCell ref="A161:B161"/>
    <mergeCell ref="L161:M161"/>
    <mergeCell ref="A162:B162"/>
    <mergeCell ref="L162:M162"/>
    <mergeCell ref="A163:B163"/>
    <mergeCell ref="L163:M163"/>
    <mergeCell ref="A164:B164"/>
    <mergeCell ref="L164:M164"/>
    <mergeCell ref="L157:M157"/>
    <mergeCell ref="A158:B158"/>
    <mergeCell ref="L158:M158"/>
    <mergeCell ref="A159:B159"/>
    <mergeCell ref="L159:M159"/>
    <mergeCell ref="A165:H165"/>
    <mergeCell ref="A166:B166"/>
    <mergeCell ref="L166:M166"/>
    <mergeCell ref="A167:B167"/>
    <mergeCell ref="L167:M167"/>
    <mergeCell ref="L151:M151"/>
    <mergeCell ref="A152:B152"/>
    <mergeCell ref="L152:M152"/>
    <mergeCell ref="A153:B153"/>
    <mergeCell ref="L153:M153"/>
    <mergeCell ref="A154:B154"/>
    <mergeCell ref="L154:M154"/>
    <mergeCell ref="A155:H155"/>
    <mergeCell ref="A156:B156"/>
    <mergeCell ref="L156:M156"/>
    <mergeCell ref="L146:M146"/>
    <mergeCell ref="A147:B147"/>
    <mergeCell ref="L147:M147"/>
    <mergeCell ref="A148:B148"/>
    <mergeCell ref="L148:M148"/>
    <mergeCell ref="A149:B149"/>
    <mergeCell ref="L149:M149"/>
    <mergeCell ref="C148:H148"/>
    <mergeCell ref="C149:H149"/>
    <mergeCell ref="E43:H43"/>
    <mergeCell ref="A43:D43"/>
    <mergeCell ref="A84:B84"/>
    <mergeCell ref="A50:B50"/>
    <mergeCell ref="D67:H67"/>
    <mergeCell ref="C52:E52"/>
    <mergeCell ref="A274:H274"/>
    <mergeCell ref="A266:B266"/>
    <mergeCell ref="A267:B267"/>
    <mergeCell ref="A262:H262"/>
    <mergeCell ref="A256:H256"/>
    <mergeCell ref="A271:B271"/>
    <mergeCell ref="A268:H268"/>
    <mergeCell ref="A72:C72"/>
    <mergeCell ref="D73:H73"/>
    <mergeCell ref="A79:B79"/>
    <mergeCell ref="G78:H78"/>
    <mergeCell ref="A87:B87"/>
    <mergeCell ref="A88:B88"/>
    <mergeCell ref="A83:B83"/>
    <mergeCell ref="A133:H133"/>
    <mergeCell ref="A171:B171"/>
    <mergeCell ref="A184:B184"/>
    <mergeCell ref="A131:H131"/>
    <mergeCell ref="A80:B80"/>
    <mergeCell ref="A82:B82"/>
    <mergeCell ref="E78:F78"/>
    <mergeCell ref="A85:B85"/>
    <mergeCell ref="I15:P15"/>
    <mergeCell ref="F113:H113"/>
    <mergeCell ref="F111:H111"/>
    <mergeCell ref="A258:B258"/>
    <mergeCell ref="A128:H128"/>
    <mergeCell ref="G117:H117"/>
    <mergeCell ref="A112:E112"/>
    <mergeCell ref="A138:B138"/>
    <mergeCell ref="A60:B60"/>
    <mergeCell ref="C60:E60"/>
    <mergeCell ref="D62:H62"/>
    <mergeCell ref="F112:H112"/>
    <mergeCell ref="E117:F117"/>
    <mergeCell ref="A117:B117"/>
    <mergeCell ref="A119:B119"/>
    <mergeCell ref="C122:D122"/>
    <mergeCell ref="D72:H72"/>
    <mergeCell ref="D63:H63"/>
    <mergeCell ref="G60:H60"/>
    <mergeCell ref="A54:B55"/>
    <mergeCell ref="A295:H295"/>
    <mergeCell ref="A292:H292"/>
    <mergeCell ref="A251:B251"/>
    <mergeCell ref="A122:B122"/>
    <mergeCell ref="D142:D143"/>
    <mergeCell ref="E142:E143"/>
    <mergeCell ref="A97:B97"/>
    <mergeCell ref="A99:B99"/>
    <mergeCell ref="F104:H104"/>
    <mergeCell ref="G118:H118"/>
    <mergeCell ref="A102:B102"/>
    <mergeCell ref="F110:H110"/>
    <mergeCell ref="C117:D117"/>
    <mergeCell ref="C125:D125"/>
    <mergeCell ref="A245:H245"/>
    <mergeCell ref="A260:B260"/>
    <mergeCell ref="B279:H279"/>
    <mergeCell ref="A269:B269"/>
    <mergeCell ref="A270:B270"/>
    <mergeCell ref="A273:B273"/>
    <mergeCell ref="B287:H287"/>
    <mergeCell ref="B286:H286"/>
    <mergeCell ref="A225:H225"/>
    <mergeCell ref="A215:H215"/>
    <mergeCell ref="A291:H291"/>
    <mergeCell ref="F103:H103"/>
    <mergeCell ref="F108:H108"/>
    <mergeCell ref="A246:B246"/>
    <mergeCell ref="A140:B140"/>
    <mergeCell ref="A139:B139"/>
    <mergeCell ref="A109:E109"/>
    <mergeCell ref="F109:H109"/>
    <mergeCell ref="A111:E111"/>
    <mergeCell ref="F106:H106"/>
    <mergeCell ref="A110:E110"/>
    <mergeCell ref="A141:H141"/>
    <mergeCell ref="E122:F122"/>
    <mergeCell ref="A127:H127"/>
    <mergeCell ref="A142:A143"/>
    <mergeCell ref="F142:F143"/>
    <mergeCell ref="A257:B257"/>
    <mergeCell ref="A137:B137"/>
    <mergeCell ref="B284:H284"/>
    <mergeCell ref="A126:B126"/>
    <mergeCell ref="A144:H144"/>
    <mergeCell ref="A134:H134"/>
    <mergeCell ref="A132:H132"/>
    <mergeCell ref="A135:H135"/>
    <mergeCell ref="A100:B100"/>
    <mergeCell ref="A101:B101"/>
    <mergeCell ref="A106:E106"/>
    <mergeCell ref="A103:E103"/>
    <mergeCell ref="F107:H107"/>
    <mergeCell ref="A261:B261"/>
    <mergeCell ref="A107:E107"/>
    <mergeCell ref="A249:B249"/>
    <mergeCell ref="B282:H282"/>
    <mergeCell ref="G129:G130"/>
    <mergeCell ref="A264:B264"/>
    <mergeCell ref="A272:B272"/>
    <mergeCell ref="B275:H275"/>
    <mergeCell ref="B276:H276"/>
    <mergeCell ref="B278:H278"/>
    <mergeCell ref="A145:H145"/>
    <mergeCell ref="A146:B146"/>
    <mergeCell ref="A150:H150"/>
    <mergeCell ref="A151:B151"/>
    <mergeCell ref="A157:B157"/>
    <mergeCell ref="A168:B168"/>
    <mergeCell ref="A205:H205"/>
    <mergeCell ref="A206:B206"/>
    <mergeCell ref="A170:H170"/>
    <mergeCell ref="A298:H301"/>
    <mergeCell ref="A297:B297"/>
    <mergeCell ref="E297:F297"/>
    <mergeCell ref="C297:D297"/>
    <mergeCell ref="G297:H297"/>
    <mergeCell ref="A116:H116"/>
    <mergeCell ref="A114:E114"/>
    <mergeCell ref="F114:H114"/>
    <mergeCell ref="A115:E115"/>
    <mergeCell ref="F115:H115"/>
    <mergeCell ref="A250:H250"/>
    <mergeCell ref="A123:B123"/>
    <mergeCell ref="A259:B259"/>
    <mergeCell ref="A118:B118"/>
    <mergeCell ref="A293:H293"/>
    <mergeCell ref="A121:H121"/>
    <mergeCell ref="A296:H296"/>
    <mergeCell ref="A294:H294"/>
    <mergeCell ref="A290:H290"/>
    <mergeCell ref="G122:H122"/>
    <mergeCell ref="B280:H280"/>
    <mergeCell ref="A265:B265"/>
    <mergeCell ref="A254:B254"/>
    <mergeCell ref="C126:D12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G52:H52"/>
    <mergeCell ref="A61:H61"/>
    <mergeCell ref="A62:C62"/>
    <mergeCell ref="A77:B77"/>
    <mergeCell ref="A75:B75"/>
    <mergeCell ref="C75:H75"/>
    <mergeCell ref="A70:C70"/>
    <mergeCell ref="D70:H70"/>
    <mergeCell ref="C77:H77"/>
    <mergeCell ref="A71:C71"/>
    <mergeCell ref="D71:H71"/>
    <mergeCell ref="A74:C74"/>
    <mergeCell ref="D74:H74"/>
    <mergeCell ref="A73:C73"/>
    <mergeCell ref="G54:H54"/>
    <mergeCell ref="A56:B57"/>
    <mergeCell ref="C56:E56"/>
    <mergeCell ref="C59:E59"/>
    <mergeCell ref="G59:H59"/>
    <mergeCell ref="C53:H53"/>
    <mergeCell ref="A52:B53"/>
    <mergeCell ref="A39:B39"/>
    <mergeCell ref="C39:H39"/>
    <mergeCell ref="A63:C63"/>
    <mergeCell ref="C54:E54"/>
    <mergeCell ref="A78:B78"/>
    <mergeCell ref="A46:D46"/>
    <mergeCell ref="A47:D47"/>
    <mergeCell ref="D69:H69"/>
    <mergeCell ref="A44:D44"/>
    <mergeCell ref="E44:H44"/>
    <mergeCell ref="E45:H45"/>
    <mergeCell ref="E46:H46"/>
    <mergeCell ref="E47:H47"/>
    <mergeCell ref="C57:H57"/>
    <mergeCell ref="A48:H48"/>
    <mergeCell ref="D64:H64"/>
    <mergeCell ref="A64:C64"/>
    <mergeCell ref="A45:D45"/>
    <mergeCell ref="A49:B49"/>
    <mergeCell ref="C49:H49"/>
    <mergeCell ref="A65:C67"/>
    <mergeCell ref="D65:H65"/>
    <mergeCell ref="D66:H66"/>
    <mergeCell ref="A40:B40"/>
    <mergeCell ref="F105:H105"/>
    <mergeCell ref="A105:E105"/>
    <mergeCell ref="D129:D130"/>
    <mergeCell ref="G124:H124"/>
    <mergeCell ref="A91:B91"/>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C40:H40"/>
    <mergeCell ref="F129:F130"/>
    <mergeCell ref="C118:D118"/>
    <mergeCell ref="E118:F118"/>
    <mergeCell ref="B129:B130"/>
    <mergeCell ref="A129:A130"/>
    <mergeCell ref="C142:C143"/>
    <mergeCell ref="G142:G143"/>
    <mergeCell ref="G126:H126"/>
    <mergeCell ref="C55:H55"/>
    <mergeCell ref="A86:B86"/>
    <mergeCell ref="C123:D123"/>
    <mergeCell ref="E123:F123"/>
    <mergeCell ref="G123:H123"/>
    <mergeCell ref="A104:E104"/>
    <mergeCell ref="A89:B89"/>
    <mergeCell ref="C89:H89"/>
    <mergeCell ref="A136:H136"/>
    <mergeCell ref="E129:E130"/>
    <mergeCell ref="A93:B93"/>
    <mergeCell ref="C91:H91"/>
    <mergeCell ref="A94:B94"/>
    <mergeCell ref="A95:B95"/>
    <mergeCell ref="C124:D124"/>
    <mergeCell ref="A124:B124"/>
    <mergeCell ref="E124:F124"/>
    <mergeCell ref="A98:B98"/>
    <mergeCell ref="G92:H92"/>
    <mergeCell ref="E126:F126"/>
    <mergeCell ref="B283:H283"/>
    <mergeCell ref="B281:H281"/>
    <mergeCell ref="L250:M250"/>
    <mergeCell ref="A255:B255"/>
    <mergeCell ref="A252:B252"/>
    <mergeCell ref="A253:B253"/>
    <mergeCell ref="A263:B263"/>
    <mergeCell ref="L249:M249"/>
    <mergeCell ref="L246:M246"/>
    <mergeCell ref="A247:B247"/>
    <mergeCell ref="L247:M247"/>
    <mergeCell ref="A248:B248"/>
    <mergeCell ref="L248:M248"/>
    <mergeCell ref="L140:M140"/>
    <mergeCell ref="L139:M139"/>
    <mergeCell ref="L138:M138"/>
    <mergeCell ref="L137:M137"/>
    <mergeCell ref="G93:H102"/>
    <mergeCell ref="A96:B96"/>
    <mergeCell ref="B289:H289"/>
    <mergeCell ref="B288:H288"/>
    <mergeCell ref="C129:C130"/>
    <mergeCell ref="B142:B143"/>
    <mergeCell ref="B277:H277"/>
    <mergeCell ref="A92:B92"/>
    <mergeCell ref="E92:F92"/>
    <mergeCell ref="E93:F102"/>
    <mergeCell ref="A81:B81"/>
    <mergeCell ref="E79:F88"/>
    <mergeCell ref="G79:H88"/>
    <mergeCell ref="B285:H285"/>
    <mergeCell ref="A108:E108"/>
    <mergeCell ref="A125:B125"/>
    <mergeCell ref="E125:F125"/>
    <mergeCell ref="A113:E113"/>
    <mergeCell ref="G125:H125"/>
    <mergeCell ref="C119:D119"/>
    <mergeCell ref="E119:F119"/>
    <mergeCell ref="G119:H119"/>
    <mergeCell ref="A120:B120"/>
    <mergeCell ref="C120:D120"/>
    <mergeCell ref="E120:F120"/>
    <mergeCell ref="G120:H120"/>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9:E130">
      <formula1>"Balcony Area,Attached Otla area,Attached Mezzanine area"</formula1>
    </dataValidation>
    <dataValidation type="list" allowBlank="1" showInputMessage="1" showErrorMessage="1" sqref="G297:H297">
      <formula1>"Kunal Kadam,Pranita Mhatre,Shruti Fule,Pooja Kawale,Gaurav Panchal,Shruti Tathare, Hitakshi Mhatre,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9:B130">
      <formula1>"Shop No. (Sale Plan),Sale / Rehab,Sale / Mhada"</formula1>
    </dataValidation>
    <dataValidation type="list" allowBlank="1" showInputMessage="1" showErrorMessage="1" sqref="B142:B14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2:E143">
      <formula1>"Balcony Deck Area,Balcony Area,Chajja Area,Cornice Area,AP Area,WS Area"</formula1>
    </dataValidation>
    <dataValidation type="list" allowBlank="1" showInputMessage="1" showErrorMessage="1" sqref="H143 H13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9 H142">
      <formula1>"Saleable area Loading :,Builder Saleable Area"</formula1>
    </dataValidation>
    <dataValidation type="list" allowBlank="1" showInputMessage="1" showErrorMessage="1" sqref="D142:D143 D129:D130">
      <formula1>"Carpet area,RERA Carpet area"</formula1>
    </dataValidation>
  </dataValidations>
  <hyperlinks>
    <hyperlink ref="C40" r:id="rId1"/>
    <hyperlink ref="I71"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115" max="16383" man="1"/>
    <brk id="301" max="16383" man="1"/>
    <brk id="344" max="16383" man="1"/>
    <brk id="387"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1" t="s">
        <v>105</v>
      </c>
      <c r="C3" s="241"/>
      <c r="D3" s="241"/>
      <c r="E3" s="241"/>
      <c r="F3" s="241"/>
      <c r="G3" s="241"/>
      <c r="H3" s="241"/>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0"/>
      <c r="C4" s="50" t="s">
        <v>11</v>
      </c>
      <c r="D4" s="51" t="s">
        <v>179</v>
      </c>
      <c r="E4" s="51" t="s">
        <v>189</v>
      </c>
      <c r="F4" s="51" t="s">
        <v>172</v>
      </c>
      <c r="G4" s="51" t="s">
        <v>194</v>
      </c>
      <c r="H4" s="51" t="s">
        <v>212</v>
      </c>
      <c r="J4" t="s">
        <v>194</v>
      </c>
      <c r="K4" t="s">
        <v>210</v>
      </c>
    </row>
    <row r="5" spans="2:11" x14ac:dyDescent="0.35">
      <c r="B5" s="50"/>
      <c r="C5" s="50"/>
      <c r="D5" s="51" t="s">
        <v>180</v>
      </c>
      <c r="E5" s="51" t="s">
        <v>187</v>
      </c>
      <c r="F5" s="51" t="s">
        <v>209</v>
      </c>
      <c r="G5" s="51" t="s">
        <v>195</v>
      </c>
      <c r="H5" s="51" t="s">
        <v>213</v>
      </c>
    </row>
    <row r="6" spans="2:11" x14ac:dyDescent="0.35">
      <c r="B6" s="50"/>
      <c r="C6" s="50"/>
      <c r="D6" s="51" t="s">
        <v>181</v>
      </c>
      <c r="E6" s="51" t="s">
        <v>188</v>
      </c>
      <c r="F6" s="51" t="s">
        <v>210</v>
      </c>
      <c r="G6" s="51" t="s">
        <v>196</v>
      </c>
      <c r="H6" s="51" t="s">
        <v>226</v>
      </c>
    </row>
    <row r="7" spans="2:11" x14ac:dyDescent="0.35">
      <c r="B7" s="50"/>
      <c r="C7" s="50"/>
      <c r="D7" s="51" t="s">
        <v>182</v>
      </c>
      <c r="E7" s="51" t="s">
        <v>190</v>
      </c>
      <c r="F7" s="51" t="s">
        <v>211</v>
      </c>
      <c r="G7" s="51" t="s">
        <v>197</v>
      </c>
      <c r="H7" s="51" t="s">
        <v>214</v>
      </c>
    </row>
    <row r="8" spans="2:11" x14ac:dyDescent="0.35">
      <c r="B8" s="50"/>
      <c r="C8" s="50"/>
      <c r="D8" s="51" t="s">
        <v>183</v>
      </c>
      <c r="E8" s="51" t="s">
        <v>191</v>
      </c>
      <c r="F8" s="51"/>
      <c r="G8" s="51" t="s">
        <v>198</v>
      </c>
      <c r="H8" s="51" t="s">
        <v>215</v>
      </c>
    </row>
    <row r="9" spans="2:11" x14ac:dyDescent="0.35">
      <c r="B9" s="50"/>
      <c r="C9" s="50"/>
      <c r="D9" s="51" t="s">
        <v>184</v>
      </c>
      <c r="E9" s="51" t="s">
        <v>189</v>
      </c>
      <c r="F9" s="51"/>
      <c r="G9" s="51" t="s">
        <v>199</v>
      </c>
      <c r="H9" s="51" t="s">
        <v>216</v>
      </c>
    </row>
    <row r="10" spans="2:11" x14ac:dyDescent="0.35">
      <c r="B10" s="50"/>
      <c r="C10" s="50"/>
      <c r="D10" s="51" t="s">
        <v>185</v>
      </c>
      <c r="E10" s="51" t="s">
        <v>192</v>
      </c>
      <c r="F10" s="51"/>
      <c r="G10" s="51" t="s">
        <v>200</v>
      </c>
      <c r="H10" s="51" t="s">
        <v>217</v>
      </c>
    </row>
    <row r="11" spans="2:11" x14ac:dyDescent="0.35">
      <c r="B11" s="50"/>
      <c r="C11" s="50"/>
      <c r="D11" s="51" t="s">
        <v>186</v>
      </c>
      <c r="E11" s="51" t="s">
        <v>193</v>
      </c>
      <c r="F11" s="51"/>
      <c r="G11" s="51" t="s">
        <v>201</v>
      </c>
      <c r="H11" s="51" t="s">
        <v>218</v>
      </c>
    </row>
    <row r="12" spans="2:11" x14ac:dyDescent="0.35">
      <c r="B12" s="50"/>
      <c r="C12" s="50"/>
      <c r="D12" s="51"/>
      <c r="E12" s="51"/>
      <c r="F12" s="51"/>
      <c r="G12" s="51" t="s">
        <v>202</v>
      </c>
      <c r="H12" s="51" t="s">
        <v>219</v>
      </c>
    </row>
    <row r="13" spans="2:11" x14ac:dyDescent="0.35">
      <c r="B13" s="50"/>
      <c r="C13" s="50"/>
      <c r="D13" s="51"/>
      <c r="E13" s="51"/>
      <c r="F13" s="51"/>
      <c r="G13" s="51" t="s">
        <v>203</v>
      </c>
      <c r="H13" s="51" t="s">
        <v>220</v>
      </c>
    </row>
    <row r="14" spans="2:11" x14ac:dyDescent="0.35">
      <c r="B14" s="50"/>
      <c r="C14" s="50"/>
      <c r="D14" s="51"/>
      <c r="E14" s="51"/>
      <c r="F14" s="51"/>
      <c r="G14" s="51" t="s">
        <v>204</v>
      </c>
      <c r="H14" s="51" t="s">
        <v>221</v>
      </c>
    </row>
    <row r="15" spans="2:11" x14ac:dyDescent="0.35">
      <c r="B15" s="50"/>
      <c r="C15" s="50"/>
      <c r="D15" s="51"/>
      <c r="E15" s="51"/>
      <c r="F15" s="51"/>
      <c r="G15" s="51" t="s">
        <v>205</v>
      </c>
      <c r="H15" s="51" t="s">
        <v>222</v>
      </c>
    </row>
    <row r="16" spans="2:11" x14ac:dyDescent="0.35">
      <c r="B16" s="50"/>
      <c r="C16" s="50"/>
      <c r="D16" s="51"/>
      <c r="E16" s="51"/>
      <c r="F16" s="51"/>
      <c r="G16" s="51" t="s">
        <v>206</v>
      </c>
      <c r="H16" s="51" t="s">
        <v>223</v>
      </c>
    </row>
    <row r="17" spans="2:8" x14ac:dyDescent="0.35">
      <c r="B17" s="50"/>
      <c r="C17" s="50"/>
      <c r="D17" s="51"/>
      <c r="E17" s="51"/>
      <c r="F17" s="51"/>
      <c r="G17" s="51" t="s">
        <v>207</v>
      </c>
      <c r="H17" s="51" t="s">
        <v>224</v>
      </c>
    </row>
    <row r="18" spans="2:8" x14ac:dyDescent="0.35">
      <c r="B18" s="50"/>
      <c r="C18" s="50"/>
      <c r="D18" s="51"/>
      <c r="E18" s="51"/>
      <c r="F18" s="51"/>
      <c r="G18" s="51" t="s">
        <v>208</v>
      </c>
      <c r="H18" s="51" t="s">
        <v>225</v>
      </c>
    </row>
    <row r="24" spans="2:8" x14ac:dyDescent="0.35">
      <c r="C24" t="s">
        <v>169</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169</v>
      </c>
    </row>
    <row r="33" spans="3:11" x14ac:dyDescent="0.35">
      <c r="J33">
        <v>1</v>
      </c>
      <c r="K33">
        <v>2</v>
      </c>
    </row>
    <row r="34" spans="3:11" x14ac:dyDescent="0.35">
      <c r="C34" s="54" t="s">
        <v>235</v>
      </c>
      <c r="D34" s="51" t="s">
        <v>233</v>
      </c>
      <c r="E34" s="51" t="s">
        <v>238</v>
      </c>
      <c r="F34" s="51" t="s">
        <v>236</v>
      </c>
      <c r="G34" s="51" t="s">
        <v>237</v>
      </c>
      <c r="H34" s="51" t="s">
        <v>239</v>
      </c>
      <c r="J34" t="s">
        <v>194</v>
      </c>
      <c r="K34" t="s">
        <v>210</v>
      </c>
    </row>
    <row r="35" spans="3:11" x14ac:dyDescent="0.35">
      <c r="C35" s="50" t="s">
        <v>234</v>
      </c>
      <c r="D35" s="51" t="s">
        <v>170</v>
      </c>
      <c r="E35" s="51" t="s">
        <v>243</v>
      </c>
      <c r="F35" s="51" t="s">
        <v>245</v>
      </c>
      <c r="G35" s="51" t="s">
        <v>247</v>
      </c>
      <c r="H35" s="51"/>
    </row>
    <row r="36" spans="3:11" x14ac:dyDescent="0.35">
      <c r="C36" s="50"/>
      <c r="D36" s="51" t="s">
        <v>240</v>
      </c>
      <c r="E36" s="51" t="s">
        <v>244</v>
      </c>
      <c r="F36" s="51" t="s">
        <v>246</v>
      </c>
      <c r="G36" s="51" t="s">
        <v>248</v>
      </c>
      <c r="H36" s="51"/>
    </row>
    <row r="37" spans="3:11" x14ac:dyDescent="0.35">
      <c r="C37" s="50"/>
      <c r="D37" s="51" t="s">
        <v>241</v>
      </c>
      <c r="E37" s="51"/>
      <c r="F37" s="51"/>
      <c r="G37" s="51" t="s">
        <v>249</v>
      </c>
      <c r="H37" s="51"/>
    </row>
    <row r="38" spans="3:11" x14ac:dyDescent="0.35">
      <c r="C38" s="50"/>
      <c r="D38" s="51" t="s">
        <v>242</v>
      </c>
      <c r="E38" s="51"/>
      <c r="F38" s="51"/>
      <c r="G38" s="51" t="s">
        <v>249</v>
      </c>
      <c r="H38" s="51"/>
    </row>
    <row r="39" spans="3:11" x14ac:dyDescent="0.35">
      <c r="C39" s="50"/>
      <c r="D39" s="51"/>
      <c r="E39" s="51"/>
      <c r="F39" s="51"/>
      <c r="G39" s="51" t="s">
        <v>250</v>
      </c>
      <c r="H39" s="51"/>
    </row>
    <row r="40" spans="3:11" x14ac:dyDescent="0.35">
      <c r="C40" s="50"/>
      <c r="D40" s="51"/>
      <c r="E40" s="51"/>
      <c r="F40" s="51"/>
      <c r="G40" s="51" t="s">
        <v>251</v>
      </c>
      <c r="H40" s="51"/>
    </row>
    <row r="41" spans="3:11" x14ac:dyDescent="0.35">
      <c r="C41" s="50"/>
      <c r="D41" s="51"/>
      <c r="E41" s="51"/>
      <c r="F41" s="51"/>
      <c r="G41" s="51"/>
      <c r="H41" s="51"/>
    </row>
    <row r="43" spans="3:11" x14ac:dyDescent="0.35">
      <c r="C43" t="s">
        <v>252</v>
      </c>
    </row>
    <row r="44" spans="3:11" x14ac:dyDescent="0.35">
      <c r="C44" t="s">
        <v>172</v>
      </c>
      <c r="D44" t="s">
        <v>253</v>
      </c>
    </row>
    <row r="45" spans="3:11" x14ac:dyDescent="0.35">
      <c r="D45" t="s">
        <v>254</v>
      </c>
    </row>
    <row r="46" spans="3:11" x14ac:dyDescent="0.35">
      <c r="D46" t="s">
        <v>255</v>
      </c>
    </row>
    <row r="47" spans="3:11" x14ac:dyDescent="0.35">
      <c r="D47" t="s">
        <v>256</v>
      </c>
    </row>
    <row r="48" spans="3:11" x14ac:dyDescent="0.35">
      <c r="D48" t="s">
        <v>257</v>
      </c>
    </row>
    <row r="49" spans="3:4" x14ac:dyDescent="0.35">
      <c r="C49" t="s">
        <v>179</v>
      </c>
      <c r="D49" t="s">
        <v>258</v>
      </c>
    </row>
    <row r="50" spans="3:4" x14ac:dyDescent="0.35">
      <c r="D50" t="s">
        <v>259</v>
      </c>
    </row>
    <row r="51" spans="3:4" x14ac:dyDescent="0.35">
      <c r="D51" t="s">
        <v>260</v>
      </c>
    </row>
    <row r="52" spans="3:4" x14ac:dyDescent="0.35">
      <c r="D52" t="s">
        <v>263</v>
      </c>
    </row>
    <row r="53" spans="3:4" x14ac:dyDescent="0.35">
      <c r="D53" t="s">
        <v>261</v>
      </c>
    </row>
    <row r="54" spans="3:4" x14ac:dyDescent="0.35">
      <c r="D54" t="s">
        <v>262</v>
      </c>
    </row>
    <row r="55" spans="3:4" x14ac:dyDescent="0.35">
      <c r="D55" t="s">
        <v>264</v>
      </c>
    </row>
    <row r="56" spans="3:4" x14ac:dyDescent="0.35">
      <c r="D56" t="s">
        <v>265</v>
      </c>
    </row>
    <row r="57" spans="3:4" x14ac:dyDescent="0.35">
      <c r="D57" t="s">
        <v>266</v>
      </c>
    </row>
    <row r="58" spans="3:4" x14ac:dyDescent="0.35">
      <c r="D58" t="s">
        <v>268</v>
      </c>
    </row>
    <row r="59" spans="3:4" x14ac:dyDescent="0.35">
      <c r="D59" t="s">
        <v>277</v>
      </c>
    </row>
    <row r="60" spans="3:4" x14ac:dyDescent="0.35">
      <c r="C60" t="s">
        <v>194</v>
      </c>
      <c r="D60" t="s">
        <v>269</v>
      </c>
    </row>
    <row r="61" spans="3:4" x14ac:dyDescent="0.35">
      <c r="D61" t="s">
        <v>267</v>
      </c>
    </row>
    <row r="62" spans="3:4" x14ac:dyDescent="0.35">
      <c r="D62" t="s">
        <v>257</v>
      </c>
    </row>
    <row r="63" spans="3:4" x14ac:dyDescent="0.35">
      <c r="D63" t="s">
        <v>270</v>
      </c>
    </row>
    <row r="64" spans="3:4" x14ac:dyDescent="0.35">
      <c r="D64" t="s">
        <v>271</v>
      </c>
    </row>
    <row r="65" spans="3:4" x14ac:dyDescent="0.35">
      <c r="D65" t="s">
        <v>272</v>
      </c>
    </row>
    <row r="66" spans="3:4" x14ac:dyDescent="0.35">
      <c r="D66" t="s">
        <v>273</v>
      </c>
    </row>
    <row r="67" spans="3:4" x14ac:dyDescent="0.35">
      <c r="C67" t="s">
        <v>189</v>
      </c>
      <c r="D67" t="s">
        <v>274</v>
      </c>
    </row>
    <row r="68" spans="3:4" x14ac:dyDescent="0.35">
      <c r="D68" t="s">
        <v>275</v>
      </c>
    </row>
    <row r="69" spans="3:4" x14ac:dyDescent="0.3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5">
        <v>1</v>
      </c>
      <c r="C2" s="58" t="s">
        <v>281</v>
      </c>
    </row>
    <row r="3" spans="2:3" x14ac:dyDescent="0.35">
      <c r="B3" s="55">
        <v>2</v>
      </c>
      <c r="C3" s="56" t="s">
        <v>282</v>
      </c>
    </row>
    <row r="4" spans="2:3" x14ac:dyDescent="0.35">
      <c r="B4" s="55">
        <v>3</v>
      </c>
      <c r="C4" s="57" t="s">
        <v>283</v>
      </c>
    </row>
    <row r="5" spans="2:3" x14ac:dyDescent="0.35">
      <c r="B5" s="55">
        <v>4</v>
      </c>
      <c r="C5" s="56" t="s">
        <v>284</v>
      </c>
    </row>
    <row r="6" spans="2:3" x14ac:dyDescent="0.35">
      <c r="B6" s="55">
        <v>5</v>
      </c>
      <c r="C6" s="57" t="s">
        <v>285</v>
      </c>
    </row>
    <row r="7" spans="2:3" ht="29" x14ac:dyDescent="0.35">
      <c r="B7" s="55">
        <v>6</v>
      </c>
      <c r="C7" s="56" t="s">
        <v>286</v>
      </c>
    </row>
    <row r="8" spans="2:3" ht="72.5" x14ac:dyDescent="0.35">
      <c r="B8" s="55">
        <v>7</v>
      </c>
      <c r="C8" s="56" t="s">
        <v>287</v>
      </c>
    </row>
    <row r="9" spans="2:3" x14ac:dyDescent="0.35">
      <c r="B9" s="55">
        <v>8</v>
      </c>
      <c r="C9" s="57" t="s">
        <v>288</v>
      </c>
    </row>
    <row r="10" spans="2:3" x14ac:dyDescent="0.35">
      <c r="B10" s="55">
        <v>9</v>
      </c>
      <c r="C10" s="57" t="s">
        <v>289</v>
      </c>
    </row>
    <row r="11" spans="2:3" x14ac:dyDescent="0.35">
      <c r="B11" s="55">
        <v>10</v>
      </c>
      <c r="C11" s="57" t="s">
        <v>290</v>
      </c>
    </row>
    <row r="12" spans="2:3" x14ac:dyDescent="0.35">
      <c r="B12" s="55">
        <v>11</v>
      </c>
      <c r="C12" s="57" t="s">
        <v>291</v>
      </c>
    </row>
    <row r="13" spans="2:3" x14ac:dyDescent="0.35">
      <c r="B13" s="55">
        <v>12</v>
      </c>
      <c r="C13" s="57" t="s">
        <v>292</v>
      </c>
    </row>
    <row r="14" spans="2:3" x14ac:dyDescent="0.35">
      <c r="B14" s="55">
        <v>13</v>
      </c>
      <c r="C14" s="57" t="s">
        <v>293</v>
      </c>
    </row>
    <row r="15" spans="2:3" x14ac:dyDescent="0.35">
      <c r="B15" s="55">
        <v>14</v>
      </c>
      <c r="C15" s="57" t="s">
        <v>283</v>
      </c>
    </row>
    <row r="16" spans="2:3" x14ac:dyDescent="0.35">
      <c r="B16" s="55">
        <v>15</v>
      </c>
      <c r="C16" s="57" t="s">
        <v>295</v>
      </c>
    </row>
    <row r="17" spans="2:3" x14ac:dyDescent="0.35">
      <c r="B17" s="77">
        <v>16</v>
      </c>
      <c r="C17" s="62" t="s">
        <v>296</v>
      </c>
    </row>
    <row r="18" spans="2:3" x14ac:dyDescent="0.35">
      <c r="B18" s="61">
        <v>17</v>
      </c>
      <c r="C18" s="62" t="s">
        <v>297</v>
      </c>
    </row>
    <row r="19" spans="2:3" x14ac:dyDescent="0.35">
      <c r="B19" s="60">
        <v>18</v>
      </c>
      <c r="C19" s="55" t="s">
        <v>298</v>
      </c>
    </row>
    <row r="20" spans="2:3" x14ac:dyDescent="0.35">
      <c r="B20" s="61">
        <v>19</v>
      </c>
      <c r="C20" s="55" t="s">
        <v>334</v>
      </c>
    </row>
    <row r="21" spans="2:3" x14ac:dyDescent="0.35">
      <c r="B21" s="63">
        <v>20</v>
      </c>
      <c r="C21" s="55" t="s">
        <v>299</v>
      </c>
    </row>
    <row r="22" spans="2:3" x14ac:dyDescent="0.35">
      <c r="B22" s="61">
        <v>21</v>
      </c>
      <c r="C22" s="55" t="s">
        <v>298</v>
      </c>
    </row>
    <row r="23" spans="2:3" s="71" customFormat="1" ht="29.25" customHeight="1" x14ac:dyDescent="0.35">
      <c r="B23" s="70">
        <v>22</v>
      </c>
      <c r="C23" s="58" t="s">
        <v>326</v>
      </c>
    </row>
    <row r="24" spans="2:3" s="71" customFormat="1" ht="30.75" customHeight="1" x14ac:dyDescent="0.35">
      <c r="B24" s="72">
        <v>23</v>
      </c>
      <c r="C24" s="58" t="s">
        <v>327</v>
      </c>
    </row>
    <row r="25" spans="2:3" x14ac:dyDescent="0.35">
      <c r="B25" s="63">
        <v>24</v>
      </c>
      <c r="C25" s="55" t="s">
        <v>330</v>
      </c>
    </row>
    <row r="26" spans="2:3" x14ac:dyDescent="0.35">
      <c r="B26" s="61">
        <v>25</v>
      </c>
      <c r="C26" s="55" t="s">
        <v>328</v>
      </c>
    </row>
    <row r="27" spans="2:3" x14ac:dyDescent="0.35">
      <c r="B27" s="72">
        <v>26</v>
      </c>
      <c r="C27" s="63" t="s">
        <v>329</v>
      </c>
    </row>
    <row r="28" spans="2:3" x14ac:dyDescent="0.35">
      <c r="B28" s="73">
        <v>27</v>
      </c>
      <c r="C28" s="55" t="s">
        <v>331</v>
      </c>
    </row>
    <row r="29" spans="2:3" ht="43.5" x14ac:dyDescent="0.35">
      <c r="B29" s="76">
        <v>28</v>
      </c>
      <c r="C29" s="56" t="s">
        <v>332</v>
      </c>
    </row>
    <row r="30" spans="2:3" x14ac:dyDescent="0.35">
      <c r="B30" s="72">
        <v>29</v>
      </c>
      <c r="C30" s="55" t="s">
        <v>333</v>
      </c>
    </row>
    <row r="31" spans="2:3" ht="29" x14ac:dyDescent="0.35">
      <c r="B31" s="78">
        <v>30</v>
      </c>
      <c r="C31" s="56" t="s">
        <v>335</v>
      </c>
    </row>
    <row r="32" spans="2:3" x14ac:dyDescent="0.35">
      <c r="B32" s="72">
        <v>31</v>
      </c>
      <c r="C32" s="55" t="s">
        <v>336</v>
      </c>
    </row>
    <row r="33" spans="2:3" x14ac:dyDescent="0.35">
      <c r="B33" s="72">
        <v>32</v>
      </c>
      <c r="C33" s="55" t="s">
        <v>337</v>
      </c>
    </row>
    <row r="34" spans="2:3" ht="36.75" customHeight="1" x14ac:dyDescent="0.35">
      <c r="B34" s="78">
        <v>33</v>
      </c>
      <c r="C34" s="62" t="s">
        <v>338</v>
      </c>
    </row>
    <row r="35" spans="2:3" x14ac:dyDescent="0.35">
      <c r="B35" s="83">
        <v>34</v>
      </c>
      <c r="C35" s="55" t="s">
        <v>347</v>
      </c>
    </row>
    <row r="36" spans="2:3" ht="58" x14ac:dyDescent="0.35">
      <c r="B36" s="70">
        <v>35</v>
      </c>
      <c r="C36" s="56" t="s">
        <v>350</v>
      </c>
    </row>
    <row r="37" spans="2:3" x14ac:dyDescent="0.35">
      <c r="B37" s="55"/>
      <c r="C37" s="55"/>
    </row>
    <row r="38" spans="2:3" x14ac:dyDescent="0.35">
      <c r="B38" s="55"/>
      <c r="C38" s="55"/>
    </row>
    <row r="39" spans="2:3" x14ac:dyDescent="0.35">
      <c r="B39" s="55"/>
      <c r="C39" s="55"/>
    </row>
    <row r="40" spans="2:3" x14ac:dyDescent="0.35">
      <c r="B40" s="55"/>
      <c r="C40" s="55"/>
    </row>
    <row r="41" spans="2:3" x14ac:dyDescent="0.35">
      <c r="B41" s="55"/>
      <c r="C41" s="55"/>
    </row>
    <row r="42" spans="2:3" x14ac:dyDescent="0.35">
      <c r="B42" s="55"/>
      <c r="C42" s="55"/>
    </row>
    <row r="43" spans="2:3" x14ac:dyDescent="0.35">
      <c r="B43" s="55"/>
      <c r="C43" s="55"/>
    </row>
    <row r="44" spans="2:3" x14ac:dyDescent="0.35">
      <c r="B44" s="55"/>
      <c r="C44"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0"/>
    <col min="2" max="2" width="12.26953125" style="50" customWidth="1"/>
    <col min="3" max="16384" width="9.1796875" style="50"/>
  </cols>
  <sheetData>
    <row r="2" spans="1:12" x14ac:dyDescent="0.35">
      <c r="B2" s="64" t="s">
        <v>300</v>
      </c>
      <c r="C2" s="242"/>
      <c r="D2" s="242"/>
    </row>
    <row r="3" spans="1:12" x14ac:dyDescent="0.35">
      <c r="D3" s="65"/>
      <c r="E3" s="65"/>
      <c r="F3" s="65"/>
      <c r="G3" s="65"/>
      <c r="H3" s="65"/>
      <c r="I3" s="65"/>
    </row>
    <row r="4" spans="1:12" x14ac:dyDescent="0.35">
      <c r="A4" s="64" t="s">
        <v>66</v>
      </c>
      <c r="B4" s="66" t="s">
        <v>301</v>
      </c>
      <c r="C4" s="243" t="s">
        <v>302</v>
      </c>
      <c r="D4" s="243"/>
      <c r="E4" s="243"/>
      <c r="F4" s="66"/>
      <c r="G4" s="244" t="s">
        <v>303</v>
      </c>
      <c r="H4" s="244"/>
      <c r="I4" s="244"/>
      <c r="J4" s="245" t="s">
        <v>304</v>
      </c>
      <c r="K4" s="245"/>
      <c r="L4" s="245"/>
    </row>
    <row r="5" spans="1:12" x14ac:dyDescent="0.35">
      <c r="A5" s="64"/>
      <c r="B5" s="66"/>
      <c r="C5" s="66" t="s">
        <v>305</v>
      </c>
      <c r="D5" s="66" t="s">
        <v>306</v>
      </c>
      <c r="E5" s="66" t="s">
        <v>307</v>
      </c>
      <c r="F5" s="66"/>
      <c r="G5" s="66" t="s">
        <v>305</v>
      </c>
      <c r="H5" s="66" t="s">
        <v>306</v>
      </c>
      <c r="I5" s="66" t="s">
        <v>307</v>
      </c>
      <c r="J5" s="66" t="s">
        <v>305</v>
      </c>
      <c r="K5" s="66" t="s">
        <v>306</v>
      </c>
      <c r="L5" s="66" t="s">
        <v>307</v>
      </c>
    </row>
    <row r="6" spans="1:12" x14ac:dyDescent="0.35">
      <c r="B6" s="51" t="s">
        <v>308</v>
      </c>
      <c r="C6" s="51"/>
      <c r="D6" s="51"/>
      <c r="E6" s="51">
        <f>C6*D6</f>
        <v>0</v>
      </c>
      <c r="F6" s="51" t="s">
        <v>325</v>
      </c>
      <c r="G6" s="51"/>
      <c r="H6" s="51"/>
      <c r="I6" s="51">
        <f>G6*H6</f>
        <v>0</v>
      </c>
      <c r="J6" s="51"/>
      <c r="K6" s="51"/>
      <c r="L6" s="51">
        <f>J6*K6</f>
        <v>0</v>
      </c>
    </row>
    <row r="7" spans="1:12" x14ac:dyDescent="0.35">
      <c r="B7" s="51"/>
      <c r="C7" s="51"/>
      <c r="D7" s="51"/>
      <c r="E7" s="51">
        <f t="shared" ref="E7:E41" si="0">C7*D7</f>
        <v>0</v>
      </c>
      <c r="F7" s="51" t="s">
        <v>325</v>
      </c>
      <c r="G7" s="51"/>
      <c r="H7" s="51"/>
      <c r="I7" s="51">
        <f t="shared" ref="I7:I35" si="1">G7*H7</f>
        <v>0</v>
      </c>
      <c r="J7" s="51"/>
      <c r="K7" s="51"/>
      <c r="L7" s="51">
        <f t="shared" ref="L7:L35" si="2">J7*K7</f>
        <v>0</v>
      </c>
    </row>
    <row r="8" spans="1:12" x14ac:dyDescent="0.35">
      <c r="B8" s="51"/>
      <c r="C8" s="51"/>
      <c r="D8" s="51"/>
      <c r="E8" s="51">
        <f t="shared" si="0"/>
        <v>0</v>
      </c>
      <c r="F8" s="51"/>
      <c r="G8" s="51"/>
      <c r="H8" s="51"/>
      <c r="I8" s="51">
        <f t="shared" si="1"/>
        <v>0</v>
      </c>
      <c r="J8" s="51"/>
      <c r="K8" s="51"/>
      <c r="L8" s="51">
        <f t="shared" si="2"/>
        <v>0</v>
      </c>
    </row>
    <row r="9" spans="1:12" x14ac:dyDescent="0.35">
      <c r="B9" s="51"/>
      <c r="C9" s="51"/>
      <c r="D9" s="51"/>
      <c r="E9" s="51">
        <f t="shared" si="0"/>
        <v>0</v>
      </c>
      <c r="F9" s="51" t="s">
        <v>309</v>
      </c>
      <c r="G9" s="51"/>
      <c r="H9" s="51"/>
      <c r="I9" s="51">
        <f t="shared" si="1"/>
        <v>0</v>
      </c>
      <c r="J9" s="51"/>
      <c r="K9" s="51"/>
      <c r="L9" s="51">
        <f t="shared" si="2"/>
        <v>0</v>
      </c>
    </row>
    <row r="10" spans="1:12" x14ac:dyDescent="0.35">
      <c r="B10" s="51" t="s">
        <v>310</v>
      </c>
      <c r="C10" s="51"/>
      <c r="D10" s="51"/>
      <c r="E10" s="51">
        <f t="shared" si="0"/>
        <v>0</v>
      </c>
      <c r="F10" s="51" t="s">
        <v>309</v>
      </c>
      <c r="G10" s="51"/>
      <c r="H10" s="51"/>
      <c r="I10" s="51">
        <f t="shared" si="1"/>
        <v>0</v>
      </c>
      <c r="J10" s="51"/>
      <c r="K10" s="51"/>
      <c r="L10" s="51">
        <f t="shared" si="2"/>
        <v>0</v>
      </c>
    </row>
    <row r="11" spans="1:12" x14ac:dyDescent="0.35">
      <c r="B11" s="51"/>
      <c r="C11" s="51"/>
      <c r="D11" s="51"/>
      <c r="E11" s="51">
        <f t="shared" si="0"/>
        <v>0</v>
      </c>
      <c r="F11" s="51" t="s">
        <v>311</v>
      </c>
      <c r="G11" s="51"/>
      <c r="H11" s="51"/>
      <c r="I11" s="51">
        <f t="shared" si="1"/>
        <v>0</v>
      </c>
      <c r="J11" s="51"/>
      <c r="K11" s="51"/>
      <c r="L11" s="51">
        <f t="shared" si="2"/>
        <v>0</v>
      </c>
    </row>
    <row r="12" spans="1:12" x14ac:dyDescent="0.35">
      <c r="B12" s="51"/>
      <c r="C12" s="51"/>
      <c r="D12" s="51"/>
      <c r="E12" s="51">
        <f t="shared" si="0"/>
        <v>0</v>
      </c>
      <c r="F12" s="51"/>
      <c r="G12" s="51"/>
      <c r="H12" s="51"/>
      <c r="I12" s="51">
        <f t="shared" si="1"/>
        <v>0</v>
      </c>
      <c r="J12" s="51"/>
      <c r="K12" s="51"/>
      <c r="L12" s="51">
        <f t="shared" si="2"/>
        <v>0</v>
      </c>
    </row>
    <row r="13" spans="1:12" x14ac:dyDescent="0.35">
      <c r="B13" s="51"/>
      <c r="C13" s="51"/>
      <c r="D13" s="51"/>
      <c r="E13" s="51">
        <f t="shared" si="0"/>
        <v>0</v>
      </c>
      <c r="F13" s="51"/>
      <c r="G13" s="51"/>
      <c r="H13" s="51"/>
      <c r="I13" s="51">
        <f t="shared" si="1"/>
        <v>0</v>
      </c>
      <c r="J13" s="51"/>
      <c r="K13" s="51"/>
      <c r="L13" s="51">
        <f t="shared" si="2"/>
        <v>0</v>
      </c>
    </row>
    <row r="14" spans="1:12" x14ac:dyDescent="0.35">
      <c r="B14" s="51" t="s">
        <v>312</v>
      </c>
      <c r="C14" s="51"/>
      <c r="D14" s="51"/>
      <c r="E14" s="51">
        <f t="shared" si="0"/>
        <v>0</v>
      </c>
      <c r="F14" s="51" t="s">
        <v>309</v>
      </c>
      <c r="G14" s="51"/>
      <c r="H14" s="51"/>
      <c r="I14" s="51">
        <f t="shared" si="1"/>
        <v>0</v>
      </c>
      <c r="J14" s="51"/>
      <c r="K14" s="51"/>
      <c r="L14" s="51">
        <f t="shared" si="2"/>
        <v>0</v>
      </c>
    </row>
    <row r="15" spans="1:12" x14ac:dyDescent="0.35">
      <c r="B15" s="51"/>
      <c r="C15" s="51"/>
      <c r="D15" s="51"/>
      <c r="E15" s="51">
        <f t="shared" si="0"/>
        <v>0</v>
      </c>
      <c r="F15" s="51" t="s">
        <v>311</v>
      </c>
      <c r="G15" s="51"/>
      <c r="H15" s="51"/>
      <c r="I15" s="51">
        <f t="shared" si="1"/>
        <v>0</v>
      </c>
      <c r="J15" s="51"/>
      <c r="K15" s="51"/>
      <c r="L15" s="51">
        <f t="shared" si="2"/>
        <v>0</v>
      </c>
    </row>
    <row r="16" spans="1:12" x14ac:dyDescent="0.35">
      <c r="B16" s="51"/>
      <c r="C16" s="51"/>
      <c r="D16" s="51"/>
      <c r="E16" s="51">
        <f t="shared" si="0"/>
        <v>0</v>
      </c>
      <c r="F16" s="51"/>
      <c r="G16" s="51"/>
      <c r="H16" s="51"/>
      <c r="I16" s="51">
        <f t="shared" si="1"/>
        <v>0</v>
      </c>
      <c r="J16" s="51"/>
      <c r="K16" s="51"/>
      <c r="L16" s="51">
        <f t="shared" si="2"/>
        <v>0</v>
      </c>
    </row>
    <row r="17" spans="2:12" x14ac:dyDescent="0.35">
      <c r="B17" s="51"/>
      <c r="C17" s="51"/>
      <c r="D17" s="51"/>
      <c r="E17" s="51">
        <f t="shared" si="0"/>
        <v>0</v>
      </c>
      <c r="F17" s="51"/>
      <c r="G17" s="51"/>
      <c r="H17" s="51"/>
      <c r="I17" s="51">
        <f t="shared" si="1"/>
        <v>0</v>
      </c>
      <c r="J17" s="51"/>
      <c r="K17" s="51"/>
      <c r="L17" s="51">
        <f t="shared" si="2"/>
        <v>0</v>
      </c>
    </row>
    <row r="18" spans="2:12" x14ac:dyDescent="0.35">
      <c r="B18" s="51" t="s">
        <v>313</v>
      </c>
      <c r="C18" s="51"/>
      <c r="D18" s="51"/>
      <c r="E18" s="51">
        <f t="shared" si="0"/>
        <v>0</v>
      </c>
      <c r="F18" s="51" t="s">
        <v>309</v>
      </c>
      <c r="G18" s="51"/>
      <c r="H18" s="51"/>
      <c r="I18" s="51">
        <f t="shared" si="1"/>
        <v>0</v>
      </c>
      <c r="J18" s="51"/>
      <c r="K18" s="51"/>
      <c r="L18" s="51">
        <f t="shared" si="2"/>
        <v>0</v>
      </c>
    </row>
    <row r="19" spans="2:12" x14ac:dyDescent="0.35">
      <c r="B19" s="51"/>
      <c r="C19" s="51"/>
      <c r="D19" s="51"/>
      <c r="E19" s="51">
        <f t="shared" si="0"/>
        <v>0</v>
      </c>
      <c r="F19" s="51" t="s">
        <v>311</v>
      </c>
      <c r="G19" s="51"/>
      <c r="H19" s="51"/>
      <c r="I19" s="51">
        <f t="shared" si="1"/>
        <v>0</v>
      </c>
      <c r="J19" s="51"/>
      <c r="K19" s="51"/>
      <c r="L19" s="51">
        <f t="shared" si="2"/>
        <v>0</v>
      </c>
    </row>
    <row r="20" spans="2:12" x14ac:dyDescent="0.35">
      <c r="B20" s="51"/>
      <c r="C20" s="51"/>
      <c r="D20" s="51"/>
      <c r="E20" s="51">
        <f t="shared" si="0"/>
        <v>0</v>
      </c>
      <c r="F20" s="51"/>
      <c r="G20" s="51"/>
      <c r="H20" s="51"/>
      <c r="I20" s="51">
        <f t="shared" si="1"/>
        <v>0</v>
      </c>
      <c r="J20" s="51"/>
      <c r="K20" s="51"/>
      <c r="L20" s="51">
        <f t="shared" si="2"/>
        <v>0</v>
      </c>
    </row>
    <row r="21" spans="2:12" x14ac:dyDescent="0.35">
      <c r="B21" s="51" t="s">
        <v>314</v>
      </c>
      <c r="C21" s="51"/>
      <c r="D21" s="51"/>
      <c r="E21" s="51">
        <f t="shared" si="0"/>
        <v>0</v>
      </c>
      <c r="F21" s="51" t="s">
        <v>309</v>
      </c>
      <c r="G21" s="51"/>
      <c r="H21" s="51"/>
      <c r="I21" s="51">
        <f t="shared" si="1"/>
        <v>0</v>
      </c>
      <c r="J21" s="51"/>
      <c r="K21" s="51"/>
      <c r="L21" s="51">
        <f t="shared" si="2"/>
        <v>0</v>
      </c>
    </row>
    <row r="22" spans="2:12" x14ac:dyDescent="0.35">
      <c r="B22" s="51"/>
      <c r="C22" s="51"/>
      <c r="D22" s="51"/>
      <c r="E22" s="51">
        <f t="shared" si="0"/>
        <v>0</v>
      </c>
      <c r="F22" s="51" t="s">
        <v>311</v>
      </c>
      <c r="G22" s="51"/>
      <c r="H22" s="51"/>
      <c r="I22" s="51">
        <f t="shared" si="1"/>
        <v>0</v>
      </c>
      <c r="J22" s="51"/>
      <c r="K22" s="51"/>
      <c r="L22" s="51">
        <f t="shared" si="2"/>
        <v>0</v>
      </c>
    </row>
    <row r="23" spans="2:12" x14ac:dyDescent="0.35">
      <c r="B23" s="51"/>
      <c r="C23" s="51"/>
      <c r="D23" s="51"/>
      <c r="E23" s="51">
        <f t="shared" si="0"/>
        <v>0</v>
      </c>
      <c r="F23" s="51"/>
      <c r="G23" s="51"/>
      <c r="H23" s="51"/>
      <c r="I23" s="51">
        <f t="shared" si="1"/>
        <v>0</v>
      </c>
      <c r="J23" s="51"/>
      <c r="K23" s="51"/>
      <c r="L23" s="51">
        <f t="shared" si="2"/>
        <v>0</v>
      </c>
    </row>
    <row r="24" spans="2:12" x14ac:dyDescent="0.35">
      <c r="B24" s="51" t="s">
        <v>315</v>
      </c>
      <c r="C24" s="51"/>
      <c r="D24" s="51"/>
      <c r="E24" s="51">
        <f t="shared" si="0"/>
        <v>0</v>
      </c>
      <c r="F24" s="51" t="s">
        <v>316</v>
      </c>
      <c r="G24" s="51"/>
      <c r="H24" s="51"/>
      <c r="I24" s="51">
        <f t="shared" si="1"/>
        <v>0</v>
      </c>
      <c r="J24" s="51"/>
      <c r="K24" s="51"/>
      <c r="L24" s="51">
        <f t="shared" si="2"/>
        <v>0</v>
      </c>
    </row>
    <row r="25" spans="2:12" x14ac:dyDescent="0.35">
      <c r="B25" s="51"/>
      <c r="C25" s="51"/>
      <c r="D25" s="51"/>
      <c r="E25" s="51">
        <f>C25*D25</f>
        <v>0</v>
      </c>
      <c r="F25" s="51" t="s">
        <v>316</v>
      </c>
      <c r="G25" s="51"/>
      <c r="H25" s="51"/>
      <c r="I25" s="51">
        <f>G25*H25</f>
        <v>0</v>
      </c>
      <c r="J25" s="51"/>
      <c r="K25" s="51"/>
      <c r="L25" s="51">
        <f>J25*K25</f>
        <v>0</v>
      </c>
    </row>
    <row r="26" spans="2:12" x14ac:dyDescent="0.35">
      <c r="B26" s="51"/>
      <c r="C26" s="51"/>
      <c r="D26" s="51"/>
      <c r="E26" s="51">
        <f>C26*D26</f>
        <v>0</v>
      </c>
      <c r="F26" s="51" t="s">
        <v>316</v>
      </c>
      <c r="G26" s="51"/>
      <c r="H26" s="51"/>
      <c r="I26" s="51">
        <f>G26*H26</f>
        <v>0</v>
      </c>
      <c r="J26" s="51"/>
      <c r="K26" s="51"/>
      <c r="L26" s="51">
        <f>J26*K26</f>
        <v>0</v>
      </c>
    </row>
    <row r="27" spans="2:12" x14ac:dyDescent="0.35">
      <c r="B27" s="51"/>
      <c r="C27" s="51"/>
      <c r="D27" s="51"/>
      <c r="E27" s="51">
        <f>C27*D27</f>
        <v>0</v>
      </c>
      <c r="F27" s="51" t="s">
        <v>316</v>
      </c>
      <c r="G27" s="51"/>
      <c r="H27" s="51"/>
      <c r="I27" s="51">
        <f>G27*H27</f>
        <v>0</v>
      </c>
      <c r="J27" s="51"/>
      <c r="K27" s="51"/>
      <c r="L27" s="51">
        <f>J27*K27</f>
        <v>0</v>
      </c>
    </row>
    <row r="28" spans="2:12" x14ac:dyDescent="0.35">
      <c r="B28" s="51" t="s">
        <v>317</v>
      </c>
      <c r="C28" s="51"/>
      <c r="D28" s="51"/>
      <c r="E28" s="51">
        <f t="shared" si="0"/>
        <v>0</v>
      </c>
      <c r="F28" s="51" t="s">
        <v>316</v>
      </c>
      <c r="G28" s="51"/>
      <c r="H28" s="51"/>
      <c r="I28" s="51">
        <f t="shared" si="1"/>
        <v>0</v>
      </c>
      <c r="J28" s="51"/>
      <c r="K28" s="51"/>
      <c r="L28" s="51">
        <f t="shared" si="2"/>
        <v>0</v>
      </c>
    </row>
    <row r="29" spans="2:12" x14ac:dyDescent="0.35">
      <c r="B29" s="51" t="s">
        <v>318</v>
      </c>
      <c r="C29" s="51"/>
      <c r="D29" s="51"/>
      <c r="E29" s="51">
        <f t="shared" si="0"/>
        <v>0</v>
      </c>
      <c r="F29" s="51" t="s">
        <v>316</v>
      </c>
      <c r="G29" s="51"/>
      <c r="H29" s="51"/>
      <c r="I29" s="51">
        <f t="shared" si="1"/>
        <v>0</v>
      </c>
      <c r="J29" s="51"/>
      <c r="K29" s="51"/>
      <c r="L29" s="51">
        <f t="shared" si="2"/>
        <v>0</v>
      </c>
    </row>
    <row r="30" spans="2:12" x14ac:dyDescent="0.35">
      <c r="B30" s="51" t="s">
        <v>322</v>
      </c>
      <c r="C30" s="51"/>
      <c r="D30" s="51"/>
      <c r="E30" s="51">
        <f t="shared" si="0"/>
        <v>0</v>
      </c>
      <c r="F30" s="51"/>
      <c r="G30" s="51"/>
      <c r="H30" s="51"/>
      <c r="I30" s="51">
        <f t="shared" si="1"/>
        <v>0</v>
      </c>
      <c r="J30" s="51"/>
      <c r="K30" s="51"/>
      <c r="L30" s="51">
        <f t="shared" si="2"/>
        <v>0</v>
      </c>
    </row>
    <row r="31" spans="2:12" x14ac:dyDescent="0.35">
      <c r="B31" s="51"/>
      <c r="C31" s="51"/>
      <c r="D31" s="51"/>
      <c r="E31" s="51">
        <f>C31*D31</f>
        <v>0</v>
      </c>
      <c r="F31" s="51"/>
      <c r="G31" s="51"/>
      <c r="H31" s="51"/>
      <c r="I31" s="51">
        <f>G31*H31</f>
        <v>0</v>
      </c>
      <c r="J31" s="51"/>
      <c r="K31" s="51"/>
      <c r="L31" s="51">
        <f>J31*K31</f>
        <v>0</v>
      </c>
    </row>
    <row r="32" spans="2:12" x14ac:dyDescent="0.35">
      <c r="B32" s="51"/>
      <c r="C32" s="51"/>
      <c r="D32" s="51"/>
      <c r="E32" s="51">
        <f>C32*D32</f>
        <v>0</v>
      </c>
      <c r="F32" s="51"/>
      <c r="G32" s="51"/>
      <c r="H32" s="51"/>
      <c r="I32" s="51">
        <f>G32*H32</f>
        <v>0</v>
      </c>
      <c r="J32" s="51"/>
      <c r="K32" s="51"/>
      <c r="L32" s="51">
        <f>J32*K32</f>
        <v>0</v>
      </c>
    </row>
    <row r="33" spans="2:12" x14ac:dyDescent="0.35">
      <c r="B33" s="51" t="s">
        <v>319</v>
      </c>
      <c r="C33" s="51"/>
      <c r="D33" s="51"/>
      <c r="E33" s="51">
        <f t="shared" si="0"/>
        <v>0</v>
      </c>
      <c r="F33" s="51"/>
      <c r="G33" s="51"/>
      <c r="H33" s="51"/>
      <c r="I33" s="51">
        <f t="shared" si="1"/>
        <v>0</v>
      </c>
      <c r="J33" s="51"/>
      <c r="K33" s="51"/>
      <c r="L33" s="51">
        <f t="shared" si="2"/>
        <v>0</v>
      </c>
    </row>
    <row r="34" spans="2:12" x14ac:dyDescent="0.35">
      <c r="B34" s="51" t="s">
        <v>323</v>
      </c>
      <c r="C34" s="51"/>
      <c r="D34" s="51"/>
      <c r="E34" s="51">
        <f t="shared" si="0"/>
        <v>0</v>
      </c>
      <c r="F34" s="51"/>
      <c r="G34" s="51"/>
      <c r="H34" s="51"/>
      <c r="I34" s="51">
        <f t="shared" si="1"/>
        <v>0</v>
      </c>
      <c r="J34" s="51"/>
      <c r="K34" s="51"/>
      <c r="L34" s="51">
        <f t="shared" si="2"/>
        <v>0</v>
      </c>
    </row>
    <row r="35" spans="2:12" x14ac:dyDescent="0.35">
      <c r="B35" s="51" t="s">
        <v>320</v>
      </c>
      <c r="C35" s="51"/>
      <c r="D35" s="51"/>
      <c r="E35" s="51">
        <f t="shared" si="0"/>
        <v>0</v>
      </c>
      <c r="F35" s="51"/>
      <c r="G35" s="51"/>
      <c r="H35" s="51"/>
      <c r="I35" s="51">
        <f t="shared" si="1"/>
        <v>0</v>
      </c>
      <c r="J35" s="51"/>
      <c r="K35" s="51"/>
      <c r="L35" s="51">
        <f t="shared" si="2"/>
        <v>0</v>
      </c>
    </row>
    <row r="36" spans="2:12" x14ac:dyDescent="0.35">
      <c r="B36" s="51" t="s">
        <v>321</v>
      </c>
      <c r="C36" s="51"/>
      <c r="D36" s="51"/>
      <c r="E36" s="51">
        <f t="shared" si="0"/>
        <v>0</v>
      </c>
      <c r="F36" s="51"/>
      <c r="G36" s="51"/>
      <c r="H36" s="51"/>
      <c r="I36" s="51">
        <f t="shared" ref="I36:I41" si="3">G36*H36</f>
        <v>0</v>
      </c>
      <c r="J36" s="51"/>
      <c r="K36" s="51"/>
      <c r="L36" s="51">
        <f t="shared" ref="L36:L41" si="4">J36*K36</f>
        <v>0</v>
      </c>
    </row>
    <row r="37" spans="2:12" x14ac:dyDescent="0.35">
      <c r="B37" s="51"/>
      <c r="C37" s="51"/>
      <c r="D37" s="51"/>
      <c r="E37" s="51">
        <f>C37*D37</f>
        <v>0</v>
      </c>
      <c r="F37" s="51"/>
      <c r="G37" s="51"/>
      <c r="H37" s="51"/>
      <c r="I37" s="51">
        <f t="shared" si="3"/>
        <v>0</v>
      </c>
      <c r="J37" s="51"/>
      <c r="K37" s="51"/>
      <c r="L37" s="51">
        <f t="shared" si="4"/>
        <v>0</v>
      </c>
    </row>
    <row r="38" spans="2:12" x14ac:dyDescent="0.35">
      <c r="B38" s="51" t="s">
        <v>324</v>
      </c>
      <c r="C38" s="51"/>
      <c r="D38" s="51"/>
      <c r="E38" s="51">
        <f>C38*D38</f>
        <v>0</v>
      </c>
      <c r="F38" s="51"/>
      <c r="G38" s="51"/>
      <c r="H38" s="51"/>
      <c r="I38" s="51">
        <f t="shared" si="3"/>
        <v>0</v>
      </c>
      <c r="J38" s="51"/>
      <c r="K38" s="51"/>
      <c r="L38" s="51">
        <f t="shared" si="4"/>
        <v>0</v>
      </c>
    </row>
    <row r="39" spans="2:12" x14ac:dyDescent="0.35">
      <c r="B39" s="51"/>
      <c r="C39" s="51"/>
      <c r="D39" s="51"/>
      <c r="E39" s="51">
        <f t="shared" si="0"/>
        <v>0</v>
      </c>
      <c r="F39" s="51"/>
      <c r="G39" s="51"/>
      <c r="H39" s="51"/>
      <c r="I39" s="51">
        <f t="shared" si="3"/>
        <v>0</v>
      </c>
      <c r="J39" s="51"/>
      <c r="K39" s="51"/>
      <c r="L39" s="51">
        <f t="shared" si="4"/>
        <v>0</v>
      </c>
    </row>
    <row r="40" spans="2:12" x14ac:dyDescent="0.35">
      <c r="B40" s="51"/>
      <c r="C40" s="51"/>
      <c r="D40" s="51"/>
      <c r="E40" s="51">
        <f t="shared" si="0"/>
        <v>0</v>
      </c>
      <c r="F40" s="51"/>
      <c r="G40" s="51"/>
      <c r="H40" s="51"/>
      <c r="I40" s="51">
        <f t="shared" si="3"/>
        <v>0</v>
      </c>
      <c r="J40" s="51"/>
      <c r="K40" s="51"/>
      <c r="L40" s="51">
        <f t="shared" si="4"/>
        <v>0</v>
      </c>
    </row>
    <row r="41" spans="2:12" x14ac:dyDescent="0.35">
      <c r="B41" s="51"/>
      <c r="C41" s="51"/>
      <c r="D41" s="51"/>
      <c r="E41" s="51">
        <f t="shared" si="0"/>
        <v>0</v>
      </c>
      <c r="F41" s="51"/>
      <c r="G41" s="51"/>
      <c r="H41" s="51"/>
      <c r="I41" s="51">
        <f t="shared" si="3"/>
        <v>0</v>
      </c>
      <c r="J41" s="51"/>
      <c r="K41" s="51"/>
      <c r="L41" s="51">
        <f t="shared" si="4"/>
        <v>0</v>
      </c>
    </row>
    <row r="42" spans="2:12" x14ac:dyDescent="0.35">
      <c r="B42" s="51" t="s">
        <v>149</v>
      </c>
      <c r="C42" s="51"/>
      <c r="D42" s="51">
        <f>E42*10.764</f>
        <v>0</v>
      </c>
      <c r="E42" s="69">
        <f>SUM(E6:E41)</f>
        <v>0</v>
      </c>
      <c r="F42" s="51"/>
      <c r="G42" s="51"/>
      <c r="H42" s="51">
        <f>I42*10.764</f>
        <v>0</v>
      </c>
      <c r="I42" s="68">
        <f>SUM(I6:I41)</f>
        <v>0</v>
      </c>
      <c r="J42" s="51"/>
      <c r="K42" s="51">
        <f>L42*10.764</f>
        <v>0</v>
      </c>
      <c r="L42" s="67">
        <f>SUM(L6:L41)</f>
        <v>0</v>
      </c>
    </row>
    <row r="44" spans="2:12" x14ac:dyDescent="0.35">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2025-02-17T11:16:12Z</cp:lastPrinted>
  <dcterms:created xsi:type="dcterms:W3CDTF">2019-07-16T09:29:46Z</dcterms:created>
  <dcterms:modified xsi:type="dcterms:W3CDTF">2025-08-20T11:28:05Z</dcterms:modified>
</cp:coreProperties>
</file>