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6" i="1" l="1"/>
  <c r="J105" i="1"/>
  <c r="J104" i="1"/>
  <c r="J103" i="1"/>
  <c r="H96" i="1"/>
  <c r="D107" i="1" l="1"/>
  <c r="D103" i="1"/>
  <c r="J99" i="1"/>
  <c r="J101" i="1"/>
  <c r="J102" i="1" s="1"/>
  <c r="D106" i="1"/>
  <c r="D102" i="1"/>
  <c r="D105" i="1"/>
  <c r="D101" i="1"/>
  <c r="J95" i="1"/>
  <c r="J97" i="1" s="1"/>
  <c r="J100" i="1"/>
  <c r="C99" i="1" s="1"/>
  <c r="D99" i="1" s="1"/>
  <c r="J98" i="1"/>
  <c r="D108" i="1"/>
  <c r="D104" i="1"/>
  <c r="B174" i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J107" i="1" l="1"/>
  <c r="C100" i="1"/>
  <c r="G99" i="1" s="1"/>
  <c r="G156" i="1"/>
  <c r="D159" i="1"/>
  <c r="F159" i="1" s="1"/>
  <c r="D158" i="1"/>
  <c r="F158" i="1" s="1"/>
  <c r="D157" i="1"/>
  <c r="F157" i="1" s="1"/>
  <c r="D156" i="1"/>
  <c r="F156" i="1" s="1"/>
  <c r="J158" i="1"/>
  <c r="A157" i="1"/>
  <c r="A158" i="1" s="1"/>
  <c r="A159" i="1" s="1"/>
  <c r="J156" i="1"/>
  <c r="J155" i="1"/>
  <c r="D152" i="1"/>
  <c r="D153" i="1"/>
  <c r="D151" i="1"/>
  <c r="D150" i="1"/>
  <c r="J150" i="1"/>
  <c r="D148" i="1"/>
  <c r="E131" i="1" s="1"/>
  <c r="J148" i="1"/>
  <c r="J92" i="1"/>
  <c r="J91" i="1"/>
  <c r="J90" i="1"/>
  <c r="J89" i="1"/>
  <c r="J96" i="1" l="1"/>
  <c r="J108" i="1"/>
  <c r="E99" i="1"/>
  <c r="D100" i="1"/>
  <c r="I96" i="1" s="1"/>
  <c r="C132" i="1"/>
  <c r="C131" i="1"/>
  <c r="C133" i="1" s="1"/>
  <c r="G132" i="1"/>
  <c r="E132" i="1"/>
  <c r="E133" i="1" s="1"/>
  <c r="J147" i="1"/>
  <c r="I97" i="1" l="1"/>
  <c r="I95" i="1" s="1"/>
  <c r="C97" i="1" s="1"/>
  <c r="F152" i="1"/>
  <c r="F151" i="1"/>
  <c r="F150" i="1"/>
  <c r="J152" i="1"/>
  <c r="F153" i="1"/>
  <c r="A151" i="1"/>
  <c r="A152" i="1" s="1"/>
  <c r="A153" i="1" s="1"/>
  <c r="G150" i="1"/>
  <c r="C14" i="1" l="1"/>
  <c r="E29" i="1" l="1"/>
  <c r="F148" i="1" l="1"/>
  <c r="G131" i="1" s="1"/>
  <c r="G133" i="1" s="1"/>
  <c r="G148" i="1"/>
  <c r="F123" i="1" l="1"/>
  <c r="F140" i="1" l="1"/>
  <c r="F141" i="1"/>
  <c r="F142" i="1"/>
  <c r="F139" i="1"/>
  <c r="B162" i="1" l="1"/>
  <c r="B16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9" i="1"/>
  <c r="A140" i="1"/>
  <c r="A141" i="1" s="1"/>
  <c r="A142" i="1" s="1"/>
  <c r="G139" i="1"/>
  <c r="J78" i="1"/>
  <c r="J77" i="1"/>
  <c r="J76" i="1"/>
  <c r="J75" i="1"/>
  <c r="C67" i="1"/>
  <c r="D56" i="1"/>
  <c r="G49" i="1"/>
  <c r="C49" i="1"/>
  <c r="E42" i="1"/>
  <c r="E43" i="1" s="1"/>
  <c r="E26" i="1"/>
  <c r="E24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J70" i="1"/>
  <c r="J73" i="1"/>
  <c r="J74" i="1" l="1"/>
  <c r="J79" i="1" s="1"/>
  <c r="J80" i="1" s="1"/>
  <c r="D73" i="1"/>
  <c r="J69" i="1"/>
  <c r="H82" i="1"/>
  <c r="D94" i="1" l="1"/>
  <c r="D88" i="1"/>
  <c r="J87" i="1"/>
  <c r="D91" i="1"/>
  <c r="J81" i="1"/>
  <c r="J83" i="1" s="1"/>
  <c r="J84" i="1"/>
  <c r="D93" i="1"/>
  <c r="D87" i="1"/>
  <c r="J86" i="1"/>
  <c r="C85" i="1" s="1"/>
  <c r="D92" i="1"/>
  <c r="J85" i="1"/>
  <c r="D90" i="1"/>
  <c r="D89" i="1"/>
  <c r="C72" i="1"/>
  <c r="D72" i="1" s="1"/>
  <c r="C71" i="1"/>
  <c r="D71" i="1" s="1"/>
  <c r="J88" i="1" l="1"/>
  <c r="I68" i="1"/>
  <c r="I69" i="1" s="1"/>
  <c r="J68" i="1"/>
  <c r="G71" i="1"/>
  <c r="D65" i="1" s="1"/>
  <c r="D66" i="1" s="1"/>
  <c r="E71" i="1"/>
  <c r="J93" i="1" l="1"/>
  <c r="I67" i="1"/>
  <c r="C69" i="1" s="1"/>
  <c r="F66" i="1"/>
  <c r="D85" i="1"/>
  <c r="J94" i="1" l="1"/>
  <c r="C86" i="1"/>
  <c r="J82" i="1" s="1"/>
  <c r="E85" i="1" l="1"/>
  <c r="C109" i="1" s="1"/>
  <c r="G85" i="1"/>
  <c r="G109" i="1" s="1"/>
  <c r="D86" i="1"/>
  <c r="I82" i="1" s="1"/>
  <c r="I83" i="1" s="1"/>
  <c r="I81" i="1" s="1"/>
  <c r="C83" i="1" s="1"/>
</calcChain>
</file>

<file path=xl/sharedStrings.xml><?xml version="1.0" encoding="utf-8"?>
<sst xmlns="http://schemas.openxmlformats.org/spreadsheetml/2006/main" count="370" uniqueCount="250">
  <si>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</si>
  <si>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</si>
  <si>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</si>
  <si>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</si>
  <si>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</si>
  <si>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</si>
  <si>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</si>
  <si>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</si>
  <si>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</si>
  <si>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</si>
  <si>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</si>
  <si>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</si>
  <si>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</si>
  <si>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</si>
  <si>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</si>
  <si>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</si>
  <si>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</si>
  <si>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</si>
  <si>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</si>
  <si>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</si>
  <si>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</si>
  <si>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</si>
  <si>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</si>
  <si>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</si>
  <si>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</si>
  <si>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</si>
  <si>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</si>
  <si>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</si>
  <si>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</si>
  <si>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</si>
  <si>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</si>
  <si>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</si>
  <si>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</si>
  <si>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</si>
  <si>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</si>
  <si>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</si>
  <si>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</si>
  <si>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</si>
  <si>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</si>
  <si>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</si>
  <si>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</si>
  <si>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</si>
  <si>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</si>
  <si>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</si>
  <si>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</si>
  <si>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</si>
  <si>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</si>
  <si>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</si>
  <si>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</si>
  <si>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</si>
  <si>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</si>
  <si>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</si>
  <si>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</si>
  <si>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</si>
  <si>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</si>
  <si>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</si>
  <si>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</si>
  <si>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</si>
  <si>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</si>
  <si>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</si>
  <si>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</si>
  <si>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</si>
  <si>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</si>
  <si>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</si>
  <si>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</si>
  <si>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</si>
  <si>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</si>
  <si>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</si>
  <si>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</si>
  <si>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</si>
  <si>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</si>
  <si>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</si>
  <si>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</si>
  <si>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</si>
  <si>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</si>
  <si>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</si>
  <si>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</si>
  <si>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</si>
  <si>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</si>
  <si>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</si>
  <si>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</si>
  <si>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</si>
  <si>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</si>
  <si>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</si>
  <si>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</si>
  <si>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</si>
  <si>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</si>
  <si>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</si>
  <si>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</si>
  <si>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</si>
  <si>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</si>
  <si>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</si>
  <si>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</si>
  <si>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</si>
  <si>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</si>
  <si>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</si>
  <si>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</si>
  <si>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</si>
  <si>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</si>
  <si>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</si>
  <si>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</si>
  <si>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</si>
  <si>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</si>
  <si>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</si>
  <si>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</si>
  <si>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</si>
  <si>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</si>
  <si>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</si>
  <si>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</si>
  <si>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</si>
  <si>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</si>
  <si>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</si>
  <si>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</si>
  <si>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</si>
  <si>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</si>
  <si>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</si>
  <si>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</si>
  <si>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</si>
  <si>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</si>
  <si>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</si>
  <si>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</si>
  <si>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</si>
  <si>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</si>
  <si>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</si>
  <si>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</si>
  <si>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</si>
  <si>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</si>
  <si>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</si>
  <si>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</si>
  <si>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</si>
  <si>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</si>
  <si>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</si>
  <si>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</si>
  <si>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</si>
  <si>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</si>
  <si>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</si>
  <si>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</si>
  <si>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</si>
  <si>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</si>
  <si>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</si>
  <si>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</si>
  <si>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</si>
  <si>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</si>
  <si>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</si>
  <si>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</si>
  <si>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</si>
  <si>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</si>
  <si>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</si>
  <si>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</si>
  <si>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</si>
  <si>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</si>
  <si>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</si>
  <si>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</si>
  <si>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</si>
  <si>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</si>
  <si>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</si>
  <si>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</si>
  <si>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</si>
  <si>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</si>
  <si>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</si>
  <si>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</si>
  <si>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</si>
  <si>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</si>
  <si>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</si>
  <si>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</si>
  <si>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</si>
  <si>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</si>
  <si>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</si>
  <si>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</si>
  <si>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</si>
  <si>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</si>
  <si>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</si>
  <si>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</si>
  <si>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Name of the builder</t>
  </si>
  <si>
    <t>Amrita Sandip Barmera</t>
  </si>
  <si>
    <t>Triveni Builders</t>
  </si>
  <si>
    <t>Tripura Residency</t>
  </si>
  <si>
    <t>P99000047358</t>
  </si>
  <si>
    <t>Builder Documents</t>
  </si>
  <si>
    <t>Survey No</t>
  </si>
  <si>
    <t>10 H.No.6</t>
  </si>
  <si>
    <t>Chandrapada</t>
  </si>
  <si>
    <t>Palghar</t>
  </si>
  <si>
    <t>Vasai</t>
  </si>
  <si>
    <t>1.1KM from Juchandra Railway Station</t>
  </si>
  <si>
    <t>Chandika Heritage</t>
  </si>
  <si>
    <t>Internal Road</t>
  </si>
  <si>
    <t>Building</t>
  </si>
  <si>
    <t>Open Plot</t>
  </si>
  <si>
    <t>Chawl</t>
  </si>
  <si>
    <t>Internal Road / Building</t>
  </si>
  <si>
    <t>https://goo.gl/maps/Nf86vG22i6cfYSua6</t>
  </si>
  <si>
    <t>Vasai-Virar City Municipal Corporation</t>
  </si>
  <si>
    <t>VVCMC/TP/CC/SPA VP-0064/21/2022-23</t>
  </si>
  <si>
    <t>We considered Gross carpet area = Net carpet + Enclose balcony + E.P Area.</t>
  </si>
  <si>
    <t>Society Formation &amp; Maintenance Charges</t>
  </si>
  <si>
    <t>Infra &amp; Development Charges</t>
  </si>
  <si>
    <t>Approved Plans, CC, Cost Sheet</t>
  </si>
  <si>
    <t>Naigaon East</t>
  </si>
  <si>
    <t>Latitude, Longitude</t>
  </si>
  <si>
    <t>19.362995, 72.878565</t>
  </si>
  <si>
    <t>Office No. 1031, Wing J, Akshar Business Park, Plot No. 03 Sector 25, Near APMC Market, 
Vashi, Navi Mumbai, Maharashtra 400703 TEL: 022-46090378/79/8
E mail : vsjcapf@gmail.com. Web site : www.vsjadon.com</t>
  </si>
  <si>
    <t>Navnath Bhatkar</t>
  </si>
  <si>
    <t>Phase I (Building No. 1)
Phase II (Building No. 2)</t>
  </si>
  <si>
    <t>Phase I (Building No. 1) = Gr + 1st to 3rd Floor</t>
  </si>
  <si>
    <t>VVCMC/TP/AMEND/SPA/VP/0064/35/2023-24</t>
  </si>
  <si>
    <t xml:space="preserve">Commencement-CC No
Valid Up to: </t>
  </si>
  <si>
    <t>02 Buildings</t>
  </si>
  <si>
    <t>Phase I (Building No. 1) = Gr + 1st to 7th Floor
Phase II (Building No. 2) = Ground Floor</t>
  </si>
  <si>
    <t>Phase I (Building No. 1) = Gr + 1st to 7th Floor
Phase II (Building No. 2) = Gr + 1st to 7th Floor</t>
  </si>
  <si>
    <t>Phase I (Building No. 1)</t>
  </si>
  <si>
    <t>Ground Floor For Part Residental, Lobby &amp; Parking</t>
  </si>
  <si>
    <t>1st to 7th Floor For Residential</t>
  </si>
  <si>
    <t>Phase II (Building No. 2)</t>
  </si>
  <si>
    <t>We have updated revised plans &amp; CC of Building No. 1 &amp; 2 (on 14/05/2024).</t>
  </si>
  <si>
    <t xml:space="preserve">Total </t>
  </si>
  <si>
    <t>Building No. 1</t>
  </si>
  <si>
    <t>Building No. 2</t>
  </si>
  <si>
    <t>Flats - 33</t>
  </si>
  <si>
    <t>Building No.1 = Gr/Stilt + 1st to 7th Floor
Building No. 2 = Ground Floor</t>
  </si>
  <si>
    <t>VVCMC/TP/RDP/SPA/VP-0064/35/2023-24</t>
  </si>
  <si>
    <t>We have updated latest CC from Rera (On 07/08/2024).</t>
  </si>
  <si>
    <t>Visit Date</t>
  </si>
  <si>
    <t>Sr No.</t>
  </si>
  <si>
    <t xml:space="preserve"> 04/01/2023</t>
  </si>
  <si>
    <t>Phase I (Bldg No. 1) = Excavation work in process</t>
  </si>
  <si>
    <t xml:space="preserve"> 12/06/2023</t>
  </si>
  <si>
    <t xml:space="preserve"> 13/05/2024</t>
  </si>
  <si>
    <t xml:space="preserve"> 07/08/2024</t>
  </si>
  <si>
    <t>Stage Of Construction (Phase I (Bldg No. 1) )</t>
  </si>
  <si>
    <t>Excavation Completed, Footing work is process</t>
  </si>
  <si>
    <t xml:space="preserve">Plinth Completed </t>
  </si>
  <si>
    <t xml:space="preserve">Same work progess as last visit dtd. 12/06/2023 i.e. Plinth Completed </t>
  </si>
  <si>
    <t xml:space="preserve">RCC work upto 1 Slab Completed </t>
  </si>
  <si>
    <t xml:space="preserve">RCC work upto 2 Slab Completed
</t>
  </si>
  <si>
    <t xml:space="preserve">RCC work upto 3 Slab Completed
</t>
  </si>
  <si>
    <t>Phase II(Bldg No. 2) =Excavation work in process(Work is same as last visit 13/05/2024).</t>
  </si>
  <si>
    <t xml:space="preserve">RCC work upto 4 Slab, Brickwork upto 2 Floor Completed
</t>
  </si>
  <si>
    <t>RCC work upto 4 Slab, Brickwork upto 2 Floor Completed</t>
  </si>
  <si>
    <t>RCC work upto 5 Slab, Brickwork upto 2 Floor Completed</t>
  </si>
  <si>
    <t>Therefore, the overall speed of construction work of building no. 1 seems to be slow.</t>
  </si>
  <si>
    <t>Pooja</t>
  </si>
  <si>
    <t>Construction work of phase I (Bldg No. 1) is from the 1st visit dtd.04/01/2023 to 14/01/2025 (i.e 24 months time span); 5 slabs and up to 2nd floor brick work are completed.</t>
  </si>
  <si>
    <t>Mr. Zakir : 9971817399</t>
  </si>
  <si>
    <t>As per RERA - 31/12/2027</t>
  </si>
  <si>
    <t>Part 1 = Phase II (Building No. 2) = Gr + 1st to 7th Floor</t>
  </si>
  <si>
    <t>Part 2 = Phase II (Building No. 2) = Gr + 1st to 7th Floor</t>
  </si>
  <si>
    <t>Average Disbursement %</t>
  </si>
  <si>
    <t>Average Progress %</t>
  </si>
  <si>
    <t>Building No.1 = Construction work is in process at the time of visit.
Building No. 2 = Construction work is in process at the time of visit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</si>
</sst>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2" xfId="0" applyFont="1" applyFill="1" applyBorder="1"/>
    <xf numFmtId="0" fontId="25" fillId="0" borderId="23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2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25" fillId="0" borderId="6" xfId="0" applyFont="1" applyFill="1" applyBorder="1"/>
    <xf numFmtId="0" fontId="13" fillId="3" borderId="1" xfId="1" applyFont="1" applyFill="1" applyBorder="1" applyAlignment="1" applyProtection="1">
      <alignment horizontal="center" vertical="center"/>
      <protection locked="0"/>
    </xf>
    <xf numFmtId="9" fontId="13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1" applyFont="1" applyFill="1" applyBorder="1" applyAlignment="1" applyProtection="1">
      <alignment horizontal="center" vertical="center" wrapText="1"/>
      <protection locked="0"/>
    </xf>
    <xf numFmtId="0" fontId="13" fillId="3" borderId="5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10" fillId="0" borderId="5" xfId="0" applyNumberFormat="1" applyFont="1" applyFill="1" applyBorder="1" applyAlignment="1" applyProtection="1">
      <alignment vertical="top" wrapText="1"/>
      <protection locked="0"/>
    </xf>
    <xf numFmtId="1" fontId="10" fillId="0" borderId="18" xfId="0" applyNumberFormat="1" applyFont="1" applyFill="1" applyBorder="1" applyAlignment="1" applyProtection="1">
      <alignment vertical="top" wrapText="1"/>
      <protection locked="0"/>
    </xf>
    <xf numFmtId="1" fontId="10" fillId="0" borderId="6" xfId="0" applyNumberFormat="1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4" xfId="0" applyNumberFormat="1" applyFont="1" applyFill="1" applyBorder="1" applyAlignment="1" applyProtection="1">
      <alignment horizontal="center" vertical="top" wrapText="1"/>
      <protection locked="0"/>
    </xf>
    <xf numFmtId="1" fontId="6" fillId="0" borderId="13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14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403416</xdr:colOff>
      <xdr:row>286</xdr:row>
      <xdr:rowOff>33618</xdr:rowOff>
    </xdr:from>
    <xdr:to>
      <xdr:col>7</xdr:col>
      <xdr:colOff>445998</xdr:colOff>
      <xdr:row>326</xdr:row>
      <xdr:rowOff>88901</xdr:rowOff>
    </xdr:to>
    <xdr:grpSp>
      <xdr:nvGrpSpPr>
        <xdr:cNvPr id="6" name="Group 5"/>
        <xdr:cNvGrpSpPr/>
      </xdr:nvGrpSpPr>
      <xdr:grpSpPr>
        <a:xfrm>
          <a:off x="403416" y="52440168"/>
          <a:ext cx="6017932" cy="7929283"/>
          <a:chOff x="403416" y="48334893"/>
          <a:chExt cx="5738532" cy="8056283"/>
        </a:xfrm>
      </xdr:grpSpPr>
      <xdr:pic>
        <xdr:nvPicPr>
          <xdr:cNvPr id="10" name="Picture 9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3416" y="48334893"/>
            <a:ext cx="5738532" cy="36273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" name="Group 4"/>
          <xdr:cNvGrpSpPr/>
        </xdr:nvGrpSpPr>
        <xdr:grpSpPr>
          <a:xfrm>
            <a:off x="403416" y="52081020"/>
            <a:ext cx="5738532" cy="4310156"/>
            <a:chOff x="403416" y="52081020"/>
            <a:chExt cx="5738532" cy="4310156"/>
          </a:xfrm>
        </xdr:grpSpPr>
        <xdr:pic>
          <xdr:nvPicPr>
            <xdr:cNvPr id="11" name="Picture 1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03416" y="52081020"/>
              <a:ext cx="5738532" cy="431015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Rectangle 13"/>
            <xdr:cNvSpPr/>
          </xdr:nvSpPr>
          <xdr:spPr>
            <a:xfrm>
              <a:off x="2765978" y="52884043"/>
              <a:ext cx="911795" cy="1217957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</xdr:grpSp>
    <xdr:clientData/>
  </xdr:twoCellAnchor>
  <xdr:oneCellAnchor>
    <xdr:from>
      <xdr:col>9</xdr:col>
      <xdr:colOff>424928</xdr:colOff>
      <xdr:row>199</xdr:row>
      <xdr:rowOff>69850</xdr:rowOff>
    </xdr:from>
    <xdr:ext cx="845809" cy="342786"/>
    <xdr:sp macro="" textlink="">
      <xdr:nvSpPr>
        <xdr:cNvPr id="27" name="TextBox 26"/>
        <xdr:cNvSpPr txBox="1"/>
      </xdr:nvSpPr>
      <xdr:spPr>
        <a:xfrm>
          <a:off x="8111603" y="26006425"/>
          <a:ext cx="845809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PHASE I</a:t>
          </a:r>
        </a:p>
      </xdr:txBody>
    </xdr:sp>
    <xdr:clientData/>
  </xdr:oneCellAnchor>
  <xdr:twoCellAnchor>
    <xdr:from>
      <xdr:col>0</xdr:col>
      <xdr:colOff>666750</xdr:colOff>
      <xdr:row>243</xdr:row>
      <xdr:rowOff>28575</xdr:rowOff>
    </xdr:from>
    <xdr:to>
      <xdr:col>7</xdr:col>
      <xdr:colOff>133350</xdr:colOff>
      <xdr:row>282</xdr:row>
      <xdr:rowOff>180975</xdr:rowOff>
    </xdr:to>
    <xdr:grpSp>
      <xdr:nvGrpSpPr>
        <xdr:cNvPr id="4" name="Group 3"/>
        <xdr:cNvGrpSpPr/>
      </xdr:nvGrpSpPr>
      <xdr:grpSpPr>
        <a:xfrm>
          <a:off x="666750" y="43970575"/>
          <a:ext cx="5441950" cy="7829550"/>
          <a:chOff x="666750" y="39728775"/>
          <a:chExt cx="5162550" cy="7953375"/>
        </a:xfrm>
      </xdr:grpSpPr>
      <xdr:pic>
        <xdr:nvPicPr>
          <xdr:cNvPr id="18" name="Picture 1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690687" y="44472225"/>
            <a:ext cx="3276521" cy="3209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" name="Group 2"/>
          <xdr:cNvGrpSpPr/>
        </xdr:nvGrpSpPr>
        <xdr:grpSpPr>
          <a:xfrm>
            <a:off x="666750" y="39728775"/>
            <a:ext cx="5162550" cy="4587053"/>
            <a:chOff x="666750" y="39728775"/>
            <a:chExt cx="5162550" cy="4587053"/>
          </a:xfrm>
        </xdr:grpSpPr>
        <xdr:pic>
          <xdr:nvPicPr>
            <xdr:cNvPr id="17" name="Picture 16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66750" y="39728775"/>
              <a:ext cx="5162550" cy="458705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9" name="Rectangle 18"/>
            <xdr:cNvSpPr/>
          </xdr:nvSpPr>
          <xdr:spPr>
            <a:xfrm rot="20108520">
              <a:off x="1984701" y="41411834"/>
              <a:ext cx="869298" cy="2082182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3" name="Rectangle 22"/>
            <xdr:cNvSpPr/>
          </xdr:nvSpPr>
          <xdr:spPr>
            <a:xfrm rot="20526684">
              <a:off x="2800817" y="41262994"/>
              <a:ext cx="975618" cy="992281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" name="TextBox 1"/>
            <xdr:cNvSpPr txBox="1"/>
          </xdr:nvSpPr>
          <xdr:spPr>
            <a:xfrm rot="20819839">
              <a:off x="2590799" y="40871774"/>
              <a:ext cx="122681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Building No. 1</a:t>
              </a:r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20131892">
              <a:off x="1181101" y="41128950"/>
              <a:ext cx="122681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400" b="1"/>
                <a:t>Building No. 2</a:t>
              </a:r>
            </a:p>
          </xdr:txBody>
        </xdr:sp>
      </xdr:grpSp>
    </xdr:grpSp>
    <xdr:clientData/>
  </xdr:twoCellAnchor>
  <xdr:oneCellAnchor>
    <xdr:from>
      <xdr:col>11</xdr:col>
      <xdr:colOff>265189</xdr:colOff>
      <xdr:row>209</xdr:row>
      <xdr:rowOff>50800</xdr:rowOff>
    </xdr:from>
    <xdr:ext cx="1226811" cy="311496"/>
    <xdr:sp macro="" textlink="">
      <xdr:nvSpPr>
        <xdr:cNvPr id="32" name="TextBox 31"/>
        <xdr:cNvSpPr txBox="1"/>
      </xdr:nvSpPr>
      <xdr:spPr>
        <a:xfrm>
          <a:off x="9866389" y="33712150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FF00"/>
              </a:solidFill>
            </a:rPr>
            <a:t>Building No. 1</a:t>
          </a:r>
        </a:p>
      </xdr:txBody>
    </xdr:sp>
    <xdr:clientData/>
  </xdr:oneCellAnchor>
  <xdr:oneCellAnchor>
    <xdr:from>
      <xdr:col>8</xdr:col>
      <xdr:colOff>781051</xdr:colOff>
      <xdr:row>203</xdr:row>
      <xdr:rowOff>47625</xdr:rowOff>
    </xdr:from>
    <xdr:ext cx="1226811" cy="311496"/>
    <xdr:sp macro="" textlink="">
      <xdr:nvSpPr>
        <xdr:cNvPr id="43" name="TextBox 42"/>
        <xdr:cNvSpPr txBox="1"/>
      </xdr:nvSpPr>
      <xdr:spPr>
        <a:xfrm>
          <a:off x="7705726" y="33337500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Building No. 1</a:t>
          </a:r>
        </a:p>
      </xdr:txBody>
    </xdr:sp>
    <xdr:clientData/>
  </xdr:oneCellAnchor>
  <xdr:oneCellAnchor>
    <xdr:from>
      <xdr:col>11</xdr:col>
      <xdr:colOff>408532</xdr:colOff>
      <xdr:row>202</xdr:row>
      <xdr:rowOff>123825</xdr:rowOff>
    </xdr:from>
    <xdr:ext cx="1226811" cy="311496"/>
    <xdr:sp macro="" textlink="">
      <xdr:nvSpPr>
        <xdr:cNvPr id="44" name="TextBox 43"/>
        <xdr:cNvSpPr txBox="1"/>
      </xdr:nvSpPr>
      <xdr:spPr>
        <a:xfrm>
          <a:off x="9562057" y="33213675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FF00"/>
              </a:solidFill>
            </a:rPr>
            <a:t>Building No.</a:t>
          </a:r>
          <a:r>
            <a:rPr lang="en-IN" sz="1400" b="1" baseline="0">
              <a:solidFill>
                <a:srgbClr val="FFFF00"/>
              </a:solidFill>
            </a:rPr>
            <a:t> 2</a:t>
          </a:r>
          <a:endParaRPr lang="en-IN" sz="1400" b="1">
            <a:solidFill>
              <a:srgbClr val="FFFF00"/>
            </a:solidFill>
          </a:endParaRPr>
        </a:p>
      </xdr:txBody>
    </xdr:sp>
    <xdr:clientData/>
  </xdr:oneCellAnchor>
  <xdr:oneCellAnchor>
    <xdr:from>
      <xdr:col>9</xdr:col>
      <xdr:colOff>704851</xdr:colOff>
      <xdr:row>196</xdr:row>
      <xdr:rowOff>152400</xdr:rowOff>
    </xdr:from>
    <xdr:ext cx="1226811" cy="311496"/>
    <xdr:sp macro="" textlink="">
      <xdr:nvSpPr>
        <xdr:cNvPr id="50" name="TextBox 49"/>
        <xdr:cNvSpPr txBox="1"/>
      </xdr:nvSpPr>
      <xdr:spPr>
        <a:xfrm>
          <a:off x="8791576" y="34890075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Building No. 1</a:t>
          </a:r>
        </a:p>
      </xdr:txBody>
    </xdr:sp>
    <xdr:clientData/>
  </xdr:oneCellAnchor>
  <xdr:oneCellAnchor>
    <xdr:from>
      <xdr:col>10</xdr:col>
      <xdr:colOff>247651</xdr:colOff>
      <xdr:row>230</xdr:row>
      <xdr:rowOff>142875</xdr:rowOff>
    </xdr:from>
    <xdr:ext cx="1226811" cy="311496"/>
    <xdr:sp macro="" textlink="">
      <xdr:nvSpPr>
        <xdr:cNvPr id="51" name="TextBox 50"/>
        <xdr:cNvSpPr txBox="1"/>
      </xdr:nvSpPr>
      <xdr:spPr>
        <a:xfrm>
          <a:off x="9096376" y="41671875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Building No. 2</a:t>
          </a:r>
        </a:p>
      </xdr:txBody>
    </xdr:sp>
    <xdr:clientData/>
  </xdr:oneCellAnchor>
  <xdr:oneCellAnchor>
    <xdr:from>
      <xdr:col>10</xdr:col>
      <xdr:colOff>504826</xdr:colOff>
      <xdr:row>198</xdr:row>
      <xdr:rowOff>114300</xdr:rowOff>
    </xdr:from>
    <xdr:ext cx="1226811" cy="311496"/>
    <xdr:sp macro="" textlink="">
      <xdr:nvSpPr>
        <xdr:cNvPr id="52" name="TextBox 51"/>
        <xdr:cNvSpPr txBox="1"/>
      </xdr:nvSpPr>
      <xdr:spPr>
        <a:xfrm>
          <a:off x="9353551" y="35252025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Building No. 1</a:t>
          </a:r>
        </a:p>
      </xdr:txBody>
    </xdr:sp>
    <xdr:clientData/>
  </xdr:oneCellAnchor>
  <xdr:oneCellAnchor>
    <xdr:from>
      <xdr:col>8</xdr:col>
      <xdr:colOff>209551</xdr:colOff>
      <xdr:row>197</xdr:row>
      <xdr:rowOff>190500</xdr:rowOff>
    </xdr:from>
    <xdr:ext cx="1226811" cy="311496"/>
    <xdr:sp macro="" textlink="">
      <xdr:nvSpPr>
        <xdr:cNvPr id="42" name="TextBox 41"/>
        <xdr:cNvSpPr txBox="1"/>
      </xdr:nvSpPr>
      <xdr:spPr>
        <a:xfrm>
          <a:off x="7134226" y="35128200"/>
          <a:ext cx="12268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Building No. 1</a:t>
          </a:r>
        </a:p>
      </xdr:txBody>
    </xdr:sp>
    <xdr:clientData/>
  </xdr:oneCellAnchor>
  <xdr:oneCellAnchor>
    <xdr:from>
      <xdr:col>9</xdr:col>
      <xdr:colOff>142875</xdr:colOff>
      <xdr:row>217</xdr:row>
      <xdr:rowOff>171450</xdr:rowOff>
    </xdr:from>
    <xdr:ext cx="858184" cy="311496"/>
    <xdr:sp macro="" textlink="">
      <xdr:nvSpPr>
        <xdr:cNvPr id="56" name="TextBox 55"/>
        <xdr:cNvSpPr txBox="1"/>
      </xdr:nvSpPr>
      <xdr:spPr>
        <a:xfrm>
          <a:off x="8229600" y="39100125"/>
          <a:ext cx="85818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4th Floor</a:t>
          </a:r>
        </a:p>
      </xdr:txBody>
    </xdr:sp>
    <xdr:clientData/>
  </xdr:oneCellAnchor>
  <xdr:twoCellAnchor>
    <xdr:from>
      <xdr:col>8</xdr:col>
      <xdr:colOff>552450</xdr:colOff>
      <xdr:row>199</xdr:row>
      <xdr:rowOff>19050</xdr:rowOff>
    </xdr:from>
    <xdr:to>
      <xdr:col>15</xdr:col>
      <xdr:colOff>464973</xdr:colOff>
      <xdr:row>240</xdr:row>
      <xdr:rowOff>51274</xdr:rowOff>
    </xdr:to>
    <xdr:grpSp>
      <xdr:nvGrpSpPr>
        <xdr:cNvPr id="7" name="Group 6"/>
        <xdr:cNvGrpSpPr/>
      </xdr:nvGrpSpPr>
      <xdr:grpSpPr>
        <a:xfrm>
          <a:off x="7816850" y="35306000"/>
          <a:ext cx="5792623" cy="8096724"/>
          <a:chOff x="638175" y="35318700"/>
          <a:chExt cx="5532273" cy="8223724"/>
        </a:xfrm>
      </xdr:grpSpPr>
      <xdr:pic>
        <xdr:nvPicPr>
          <xdr:cNvPr id="34" name="Picture 33" descr="insp-202459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31702" y="41382424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insp-202459-84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4949" y="41382424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insp-202459-844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0" y="353568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02459-849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73261" y="353568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02459-86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96508" y="41382424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02459-88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31702" y="39089612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4820" y="39089612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3261" y="39089612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3" name="TextBox 52"/>
          <xdr:cNvSpPr txBox="1"/>
        </xdr:nvSpPr>
        <xdr:spPr>
          <a:xfrm>
            <a:off x="638175" y="35375850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No. 1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4924425" y="35318700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No. 1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1076325" y="39071550"/>
            <a:ext cx="78880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5th Slab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1085851" y="41367075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Building No. 2</a:t>
            </a:r>
          </a:p>
        </xdr:txBody>
      </xdr:sp>
      <xdr:cxnSp macro="">
        <xdr:nvCxnSpPr>
          <xdr:cNvPr id="9" name="Straight Arrow Connector 8"/>
          <xdr:cNvCxnSpPr/>
        </xdr:nvCxnSpPr>
        <xdr:spPr>
          <a:xfrm>
            <a:off x="1676400" y="39319200"/>
            <a:ext cx="438150" cy="24765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8" name="TextBox 57"/>
          <xdr:cNvSpPr txBox="1"/>
        </xdr:nvSpPr>
        <xdr:spPr>
          <a:xfrm>
            <a:off x="2638425" y="39071550"/>
            <a:ext cx="156818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4th Floor Staircase</a:t>
            </a:r>
          </a:p>
        </xdr:txBody>
      </xdr:sp>
      <xdr:cxnSp macro="">
        <xdr:nvCxnSpPr>
          <xdr:cNvPr id="59" name="Straight Arrow Connector 58"/>
          <xdr:cNvCxnSpPr/>
        </xdr:nvCxnSpPr>
        <xdr:spPr>
          <a:xfrm flipH="1">
            <a:off x="3171825" y="39290625"/>
            <a:ext cx="276226" cy="1533525"/>
          </a:xfrm>
          <a:prstGeom prst="straightConnector1">
            <a:avLst/>
          </a:prstGeom>
          <a:ln w="285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444500</xdr:colOff>
      <xdr:row>199</xdr:row>
      <xdr:rowOff>133350</xdr:rowOff>
    </xdr:from>
    <xdr:to>
      <xdr:col>7</xdr:col>
      <xdr:colOff>881803</xdr:colOff>
      <xdr:row>237</xdr:row>
      <xdr:rowOff>92930</xdr:rowOff>
    </xdr:to>
    <xdr:grpSp>
      <xdr:nvGrpSpPr>
        <xdr:cNvPr id="13" name="Group 12"/>
        <xdr:cNvGrpSpPr/>
      </xdr:nvGrpSpPr>
      <xdr:grpSpPr>
        <a:xfrm>
          <a:off x="444500" y="35420300"/>
          <a:ext cx="6412653" cy="7433530"/>
          <a:chOff x="444500" y="35420300"/>
          <a:chExt cx="6412653" cy="7433530"/>
        </a:xfrm>
      </xdr:grpSpPr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7809" y="4069383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7854" y="35420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12160" y="3841706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0148" y="4069383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3841706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0976" y="354203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8840" y="3841706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" name="TextBox 7"/>
          <xdr:cNvSpPr txBox="1"/>
        </xdr:nvSpPr>
        <xdr:spPr>
          <a:xfrm>
            <a:off x="3625850" y="37014150"/>
            <a:ext cx="52642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5854700" y="37344350"/>
            <a:ext cx="56746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  <xdr:sp macro="" textlink="">
        <xdr:nvSpPr>
          <xdr:cNvPr id="81" name="TextBox 80"/>
          <xdr:cNvSpPr txBox="1"/>
        </xdr:nvSpPr>
        <xdr:spPr>
          <a:xfrm>
            <a:off x="1202054" y="37541200"/>
            <a:ext cx="80220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f86vG22i6cfYSua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8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9" ht="46.5" customHeight="1" x14ac:dyDescent="0.35">
      <c r="A1" s="121" t="s">
        <v>201</v>
      </c>
      <c r="B1" s="121"/>
      <c r="C1" s="121"/>
      <c r="D1" s="121"/>
      <c r="E1" s="121"/>
      <c r="F1" s="121"/>
      <c r="G1" s="121"/>
      <c r="H1" s="121"/>
    </row>
    <row r="2" spans="1:9" ht="16.5" customHeight="1" x14ac:dyDescent="0.3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9" x14ac:dyDescent="0.35">
      <c r="A3" s="123" t="s">
        <v>1</v>
      </c>
      <c r="B3" s="123"/>
      <c r="C3" s="123"/>
      <c r="D3" s="123"/>
      <c r="E3" s="123" t="str">
        <f ca="1">TEXT(TODAY(),"DD/MM/YYYY")</f>
        <v>12/08/2025</v>
      </c>
      <c r="F3" s="123"/>
      <c r="G3" s="123"/>
      <c r="H3" s="123"/>
    </row>
    <row r="4" spans="1:9" ht="15" customHeight="1" x14ac:dyDescent="0.35">
      <c r="A4" s="123" t="s">
        <v>2</v>
      </c>
      <c r="B4" s="123"/>
      <c r="C4" s="123"/>
      <c r="D4" s="123"/>
      <c r="E4" s="123" t="s">
        <v>172</v>
      </c>
      <c r="F4" s="123"/>
      <c r="G4" s="123"/>
      <c r="H4" s="123"/>
    </row>
    <row r="5" spans="1:9" x14ac:dyDescent="0.35">
      <c r="A5" s="123" t="s">
        <v>3</v>
      </c>
      <c r="B5" s="123"/>
      <c r="C5" s="123"/>
      <c r="D5" s="123"/>
      <c r="E5" s="124">
        <v>45880</v>
      </c>
      <c r="F5" s="123"/>
      <c r="G5" s="123"/>
      <c r="H5" s="123"/>
    </row>
    <row r="6" spans="1:9" ht="16.5" customHeight="1" x14ac:dyDescent="0.35">
      <c r="A6" s="123" t="s">
        <v>173</v>
      </c>
      <c r="B6" s="123"/>
      <c r="C6" s="123"/>
      <c r="D6" s="123"/>
      <c r="E6" s="123" t="s">
        <v>174</v>
      </c>
      <c r="F6" s="123"/>
      <c r="G6" s="123"/>
      <c r="H6" s="123"/>
    </row>
    <row r="7" spans="1:9" ht="15" customHeight="1" x14ac:dyDescent="0.35">
      <c r="A7" s="123" t="s">
        <v>4</v>
      </c>
      <c r="B7" s="123"/>
      <c r="C7" s="123"/>
      <c r="D7" s="123"/>
      <c r="E7" s="123" t="s">
        <v>175</v>
      </c>
      <c r="F7" s="123"/>
      <c r="G7" s="123"/>
      <c r="H7" s="123"/>
      <c r="I7" s="21" t="s">
        <v>178</v>
      </c>
    </row>
    <row r="8" spans="1:9" x14ac:dyDescent="0.35">
      <c r="A8" s="123" t="s">
        <v>5</v>
      </c>
      <c r="B8" s="123"/>
      <c r="C8" s="123"/>
      <c r="D8" s="123"/>
      <c r="E8" s="75" t="s">
        <v>176</v>
      </c>
      <c r="F8" s="75"/>
      <c r="G8" s="75"/>
      <c r="H8" s="75"/>
    </row>
    <row r="9" spans="1:9" x14ac:dyDescent="0.35">
      <c r="A9" s="123" t="s">
        <v>169</v>
      </c>
      <c r="B9" s="123"/>
      <c r="C9" s="123"/>
      <c r="D9" s="123"/>
      <c r="E9" s="123">
        <v>9892224281</v>
      </c>
      <c r="F9" s="123"/>
      <c r="G9" s="123"/>
      <c r="H9" s="123"/>
    </row>
    <row r="10" spans="1:9" hidden="1" x14ac:dyDescent="0.35">
      <c r="A10" s="123" t="s">
        <v>170</v>
      </c>
      <c r="B10" s="123"/>
      <c r="C10" s="123"/>
      <c r="D10" s="123"/>
      <c r="E10" s="123" t="s">
        <v>243</v>
      </c>
      <c r="F10" s="123"/>
      <c r="G10" s="123"/>
      <c r="H10" s="123"/>
    </row>
    <row r="11" spans="1:9" ht="33" customHeight="1" x14ac:dyDescent="0.35">
      <c r="A11" s="123" t="s">
        <v>6</v>
      </c>
      <c r="B11" s="123"/>
      <c r="C11" s="123"/>
      <c r="D11" s="123"/>
      <c r="E11" s="105" t="s">
        <v>203</v>
      </c>
      <c r="F11" s="123"/>
      <c r="G11" s="123"/>
      <c r="H11" s="123"/>
    </row>
    <row r="12" spans="1:9" x14ac:dyDescent="0.35">
      <c r="A12" s="90" t="s">
        <v>7</v>
      </c>
      <c r="B12" s="90"/>
      <c r="C12" s="90"/>
      <c r="D12" s="90"/>
      <c r="E12" s="105" t="s">
        <v>197</v>
      </c>
      <c r="F12" s="105"/>
      <c r="G12" s="105"/>
      <c r="H12" s="105"/>
    </row>
    <row r="13" spans="1:9" x14ac:dyDescent="0.35">
      <c r="A13" s="90" t="s">
        <v>8</v>
      </c>
      <c r="B13" s="90"/>
      <c r="C13" s="90"/>
      <c r="D13" s="90"/>
      <c r="E13" s="105" t="s">
        <v>177</v>
      </c>
      <c r="F13" s="123"/>
      <c r="G13" s="123"/>
      <c r="H13" s="123"/>
    </row>
    <row r="14" spans="1:9" ht="34.5" customHeight="1" x14ac:dyDescent="0.35">
      <c r="A14" s="116" t="s">
        <v>9</v>
      </c>
      <c r="B14" s="116"/>
      <c r="C14" s="11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Tripura Residency, Survey No.10 H.No.6, near Chandika Heritage, Internal Road, , Chandrapada, Naigaon East, Vasai, Palghar - 401208.</v>
      </c>
      <c r="D14" s="116"/>
      <c r="E14" s="116"/>
      <c r="F14" s="116"/>
      <c r="G14" s="116"/>
      <c r="H14" s="116"/>
    </row>
    <row r="15" spans="1:9" x14ac:dyDescent="0.35">
      <c r="A15" s="105" t="s">
        <v>179</v>
      </c>
      <c r="B15" s="105"/>
      <c r="C15" s="105" t="s">
        <v>180</v>
      </c>
      <c r="D15" s="105"/>
      <c r="E15" s="105"/>
      <c r="F15" s="105"/>
      <c r="G15" s="105"/>
      <c r="H15" s="105"/>
    </row>
    <row r="16" spans="1:9" ht="15.75" customHeight="1" x14ac:dyDescent="0.35">
      <c r="A16" s="105" t="s">
        <v>168</v>
      </c>
      <c r="B16" s="105"/>
      <c r="C16" s="105" t="s">
        <v>29</v>
      </c>
      <c r="D16" s="105"/>
      <c r="E16" s="105"/>
      <c r="F16" s="105"/>
      <c r="G16" s="105"/>
      <c r="H16" s="105"/>
    </row>
    <row r="17" spans="1:8" ht="15.75" customHeight="1" x14ac:dyDescent="0.35">
      <c r="A17" s="116" t="s">
        <v>10</v>
      </c>
      <c r="B17" s="116"/>
      <c r="C17" s="123" t="s">
        <v>186</v>
      </c>
      <c r="D17" s="123"/>
      <c r="E17" s="116" t="s">
        <v>74</v>
      </c>
      <c r="F17" s="116"/>
      <c r="G17" s="105" t="s">
        <v>181</v>
      </c>
      <c r="H17" s="105"/>
    </row>
    <row r="18" spans="1:8" x14ac:dyDescent="0.35">
      <c r="A18" s="90" t="s">
        <v>12</v>
      </c>
      <c r="B18" s="90"/>
      <c r="C18" s="105" t="s">
        <v>198</v>
      </c>
      <c r="D18" s="105"/>
      <c r="E18" s="116" t="s">
        <v>11</v>
      </c>
      <c r="F18" s="116"/>
      <c r="G18" s="125" t="s">
        <v>182</v>
      </c>
      <c r="H18" s="125"/>
    </row>
    <row r="19" spans="1:8" x14ac:dyDescent="0.35">
      <c r="A19" s="90" t="s">
        <v>75</v>
      </c>
      <c r="B19" s="90"/>
      <c r="C19" s="105" t="s">
        <v>183</v>
      </c>
      <c r="D19" s="105"/>
      <c r="E19" s="116" t="s">
        <v>13</v>
      </c>
      <c r="F19" s="116"/>
      <c r="G19" s="105">
        <v>401208</v>
      </c>
      <c r="H19" s="105"/>
    </row>
    <row r="20" spans="1:8" ht="32.25" customHeight="1" x14ac:dyDescent="0.35">
      <c r="A20" s="90" t="s">
        <v>125</v>
      </c>
      <c r="B20" s="90"/>
      <c r="C20" s="105" t="s">
        <v>185</v>
      </c>
      <c r="D20" s="105"/>
      <c r="E20" s="116" t="s">
        <v>14</v>
      </c>
      <c r="F20" s="116"/>
      <c r="G20" s="105" t="s">
        <v>184</v>
      </c>
      <c r="H20" s="105"/>
    </row>
    <row r="21" spans="1:8" ht="15" customHeight="1" x14ac:dyDescent="0.35">
      <c r="A21" s="116" t="s">
        <v>78</v>
      </c>
      <c r="B21" s="116"/>
      <c r="C21" s="116"/>
      <c r="D21" s="116"/>
      <c r="E21" s="123" t="s">
        <v>15</v>
      </c>
      <c r="F21" s="123"/>
      <c r="G21" s="123"/>
      <c r="H21" s="123"/>
    </row>
    <row r="22" spans="1:8" ht="18.75" customHeight="1" x14ac:dyDescent="0.35">
      <c r="A22" s="116"/>
      <c r="B22" s="116"/>
      <c r="C22" s="116"/>
      <c r="D22" s="116"/>
      <c r="E22" s="123"/>
      <c r="F22" s="123"/>
      <c r="G22" s="123"/>
      <c r="H22" s="123"/>
    </row>
    <row r="23" spans="1:8" ht="15" customHeight="1" x14ac:dyDescent="0.35">
      <c r="A23" s="116" t="s">
        <v>16</v>
      </c>
      <c r="B23" s="116"/>
      <c r="C23" s="116"/>
      <c r="D23" s="116"/>
      <c r="E23" s="105" t="s">
        <v>17</v>
      </c>
      <c r="F23" s="105"/>
      <c r="G23" s="105"/>
      <c r="H23" s="105"/>
    </row>
    <row r="24" spans="1:8" ht="15" customHeight="1" x14ac:dyDescent="0.35">
      <c r="A24" s="90" t="s">
        <v>18</v>
      </c>
      <c r="B24" s="90"/>
      <c r="C24" s="90"/>
      <c r="D24" s="90"/>
      <c r="E24" s="105" t="str">
        <f>IF(AND(G18="Mumbai"),"Upper Class","Middle Class")</f>
        <v>Middle Class</v>
      </c>
      <c r="F24" s="105"/>
      <c r="G24" s="105"/>
      <c r="H24" s="105"/>
    </row>
    <row r="25" spans="1:8" x14ac:dyDescent="0.35">
      <c r="A25" s="90" t="s">
        <v>19</v>
      </c>
      <c r="B25" s="90"/>
      <c r="C25" s="90"/>
      <c r="D25" s="90"/>
      <c r="E25" s="105" t="s">
        <v>20</v>
      </c>
      <c r="F25" s="105"/>
      <c r="G25" s="105"/>
      <c r="H25" s="105"/>
    </row>
    <row r="26" spans="1:8" ht="15.75" customHeight="1" x14ac:dyDescent="0.35">
      <c r="A26" s="90" t="s">
        <v>21</v>
      </c>
      <c r="B26" s="90"/>
      <c r="C26" s="90"/>
      <c r="D26" s="90"/>
      <c r="E26" s="105" t="str">
        <f>IF(AND(G18="Mumbai"),"Developed","Developing")</f>
        <v>Developing</v>
      </c>
      <c r="F26" s="105"/>
      <c r="G26" s="105"/>
      <c r="H26" s="105"/>
    </row>
    <row r="27" spans="1:8" x14ac:dyDescent="0.35">
      <c r="A27" s="90" t="s">
        <v>22</v>
      </c>
      <c r="B27" s="90"/>
      <c r="C27" s="90"/>
      <c r="D27" s="90"/>
      <c r="E27" s="105" t="s">
        <v>23</v>
      </c>
      <c r="F27" s="105"/>
      <c r="G27" s="105"/>
      <c r="H27" s="105"/>
    </row>
    <row r="28" spans="1:8" ht="15.75" customHeight="1" x14ac:dyDescent="0.35">
      <c r="A28" s="90" t="s">
        <v>83</v>
      </c>
      <c r="B28" s="90"/>
      <c r="C28" s="90"/>
      <c r="D28" s="90"/>
      <c r="E28" s="105" t="s">
        <v>84</v>
      </c>
      <c r="F28" s="105"/>
      <c r="G28" s="105"/>
      <c r="H28" s="105"/>
    </row>
    <row r="29" spans="1:8" ht="15" customHeight="1" x14ac:dyDescent="0.35">
      <c r="A29" s="90" t="s">
        <v>32</v>
      </c>
      <c r="B29" s="90"/>
      <c r="C29" s="90"/>
      <c r="D29" s="90"/>
      <c r="E29" s="10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05"/>
      <c r="G29" s="105"/>
      <c r="H29" s="105"/>
    </row>
    <row r="30" spans="1:8" ht="15.75" customHeight="1" x14ac:dyDescent="0.35">
      <c r="A30" s="90" t="s">
        <v>95</v>
      </c>
      <c r="B30" s="90"/>
      <c r="C30" s="90"/>
      <c r="D30" s="90"/>
      <c r="E30" s="105" t="s">
        <v>33</v>
      </c>
      <c r="F30" s="105"/>
      <c r="G30" s="105"/>
      <c r="H30" s="105"/>
    </row>
    <row r="31" spans="1:8" s="22" customFormat="1" x14ac:dyDescent="0.35">
      <c r="A31" s="132" t="s">
        <v>96</v>
      </c>
      <c r="B31" s="132"/>
      <c r="C31" s="131" t="s">
        <v>28</v>
      </c>
      <c r="D31" s="131"/>
      <c r="E31" s="131"/>
      <c r="F31" s="131" t="s">
        <v>30</v>
      </c>
      <c r="G31" s="131"/>
      <c r="H31" s="131"/>
    </row>
    <row r="32" spans="1:8" s="22" customFormat="1" x14ac:dyDescent="0.35">
      <c r="A32" s="126" t="s">
        <v>24</v>
      </c>
      <c r="B32" s="126" t="s">
        <v>29</v>
      </c>
      <c r="C32" s="127" t="s">
        <v>29</v>
      </c>
      <c r="D32" s="127"/>
      <c r="E32" s="127"/>
      <c r="F32" s="127" t="s">
        <v>187</v>
      </c>
      <c r="G32" s="127"/>
      <c r="H32" s="127"/>
    </row>
    <row r="33" spans="1:8" x14ac:dyDescent="0.35">
      <c r="A33" s="126" t="s">
        <v>25</v>
      </c>
      <c r="B33" s="126" t="s">
        <v>29</v>
      </c>
      <c r="C33" s="127" t="s">
        <v>29</v>
      </c>
      <c r="D33" s="127"/>
      <c r="E33" s="127"/>
      <c r="F33" s="127" t="s">
        <v>188</v>
      </c>
      <c r="G33" s="127"/>
      <c r="H33" s="127"/>
    </row>
    <row r="34" spans="1:8" s="22" customFormat="1" x14ac:dyDescent="0.35">
      <c r="A34" s="126" t="s">
        <v>27</v>
      </c>
      <c r="B34" s="126" t="s">
        <v>29</v>
      </c>
      <c r="C34" s="127" t="s">
        <v>29</v>
      </c>
      <c r="D34" s="127"/>
      <c r="E34" s="127"/>
      <c r="F34" s="127" t="s">
        <v>189</v>
      </c>
      <c r="G34" s="127"/>
      <c r="H34" s="127"/>
    </row>
    <row r="35" spans="1:8" x14ac:dyDescent="0.35">
      <c r="A35" s="126" t="s">
        <v>26</v>
      </c>
      <c r="B35" s="126" t="s">
        <v>29</v>
      </c>
      <c r="C35" s="127" t="s">
        <v>29</v>
      </c>
      <c r="D35" s="127"/>
      <c r="E35" s="127"/>
      <c r="F35" s="127" t="s">
        <v>190</v>
      </c>
      <c r="G35" s="127"/>
      <c r="H35" s="127"/>
    </row>
    <row r="36" spans="1:8" x14ac:dyDescent="0.35">
      <c r="A36" s="90" t="s">
        <v>31</v>
      </c>
      <c r="B36" s="90"/>
      <c r="C36" s="90"/>
      <c r="D36" s="90"/>
      <c r="E36" s="90"/>
      <c r="F36" s="90"/>
      <c r="G36" s="90"/>
      <c r="H36" s="90"/>
    </row>
    <row r="37" spans="1:8" x14ac:dyDescent="0.35">
      <c r="A37" s="122" t="s">
        <v>167</v>
      </c>
      <c r="B37" s="122"/>
      <c r="C37" s="134" t="s">
        <v>191</v>
      </c>
      <c r="D37" s="105"/>
      <c r="E37" s="105"/>
      <c r="F37" s="105"/>
      <c r="G37" s="105"/>
      <c r="H37" s="105"/>
    </row>
    <row r="38" spans="1:8" ht="15.75" customHeight="1" x14ac:dyDescent="0.35">
      <c r="A38" s="122" t="s">
        <v>199</v>
      </c>
      <c r="B38" s="122"/>
      <c r="C38" s="144" t="s">
        <v>200</v>
      </c>
      <c r="D38" s="144"/>
      <c r="E38" s="144"/>
      <c r="F38" s="144"/>
      <c r="G38" s="144"/>
      <c r="H38" s="144"/>
    </row>
    <row r="39" spans="1:8" x14ac:dyDescent="0.35">
      <c r="A39" s="120" t="s">
        <v>34</v>
      </c>
      <c r="B39" s="120"/>
      <c r="C39" s="120"/>
      <c r="D39" s="120"/>
      <c r="E39" s="120"/>
      <c r="F39" s="120"/>
      <c r="G39" s="120"/>
      <c r="H39" s="120"/>
    </row>
    <row r="40" spans="1:8" x14ac:dyDescent="0.35">
      <c r="A40" s="90" t="s">
        <v>35</v>
      </c>
      <c r="B40" s="90"/>
      <c r="C40" s="90"/>
      <c r="D40" s="90"/>
      <c r="E40" s="133">
        <v>1357.82</v>
      </c>
      <c r="F40" s="133"/>
      <c r="G40" s="133"/>
      <c r="H40" s="133"/>
    </row>
    <row r="41" spans="1:8" x14ac:dyDescent="0.35">
      <c r="A41" s="90" t="s">
        <v>36</v>
      </c>
      <c r="B41" s="90"/>
      <c r="C41" s="90"/>
      <c r="D41" s="90"/>
      <c r="E41" s="106">
        <v>1.1000000000000001</v>
      </c>
      <c r="F41" s="106"/>
      <c r="G41" s="106"/>
      <c r="H41" s="106"/>
    </row>
    <row r="42" spans="1:8" x14ac:dyDescent="0.35">
      <c r="A42" s="90" t="s">
        <v>37</v>
      </c>
      <c r="B42" s="90"/>
      <c r="C42" s="90"/>
      <c r="D42" s="90"/>
      <c r="E42" s="106">
        <f>E44/E40-E41</f>
        <v>2.9067608372243741</v>
      </c>
      <c r="F42" s="106"/>
      <c r="G42" s="106"/>
      <c r="H42" s="106"/>
    </row>
    <row r="43" spans="1:8" x14ac:dyDescent="0.35">
      <c r="A43" s="90" t="s">
        <v>38</v>
      </c>
      <c r="B43" s="90"/>
      <c r="C43" s="90"/>
      <c r="D43" s="90"/>
      <c r="E43" s="106">
        <f>E41+E42</f>
        <v>4.0067608372243741</v>
      </c>
      <c r="F43" s="106"/>
      <c r="G43" s="106"/>
      <c r="H43" s="106"/>
    </row>
    <row r="44" spans="1:8" x14ac:dyDescent="0.35">
      <c r="A44" s="90" t="s">
        <v>94</v>
      </c>
      <c r="B44" s="90"/>
      <c r="C44" s="90"/>
      <c r="D44" s="90"/>
      <c r="E44" s="145">
        <v>5440.46</v>
      </c>
      <c r="F44" s="145"/>
      <c r="G44" s="145"/>
      <c r="H44" s="145"/>
    </row>
    <row r="45" spans="1:8" x14ac:dyDescent="0.35">
      <c r="A45" s="123" t="s">
        <v>39</v>
      </c>
      <c r="B45" s="123"/>
      <c r="C45" s="123"/>
      <c r="D45" s="123"/>
      <c r="E45" s="123" t="s">
        <v>207</v>
      </c>
      <c r="F45" s="123"/>
      <c r="G45" s="123"/>
      <c r="H45" s="123"/>
    </row>
    <row r="46" spans="1:8" x14ac:dyDescent="0.35">
      <c r="A46" s="120" t="s">
        <v>40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35">
      <c r="A47" s="107" t="s">
        <v>155</v>
      </c>
      <c r="B47" s="108"/>
      <c r="C47" s="154" t="s">
        <v>192</v>
      </c>
      <c r="D47" s="155"/>
      <c r="E47" s="155"/>
      <c r="F47" s="155"/>
      <c r="G47" s="155"/>
      <c r="H47" s="156"/>
    </row>
    <row r="48" spans="1:8" ht="34.5" customHeight="1" x14ac:dyDescent="0.35">
      <c r="A48" s="107" t="s">
        <v>41</v>
      </c>
      <c r="B48" s="108"/>
      <c r="C48" s="107" t="s">
        <v>205</v>
      </c>
      <c r="D48" s="109"/>
      <c r="E48" s="108"/>
      <c r="F48" s="19" t="s">
        <v>42</v>
      </c>
      <c r="G48" s="110">
        <v>45338</v>
      </c>
      <c r="H48" s="108"/>
    </row>
    <row r="49" spans="1:14" ht="35.25" customHeight="1" x14ac:dyDescent="0.35">
      <c r="A49" s="107" t="s">
        <v>43</v>
      </c>
      <c r="B49" s="108"/>
      <c r="C49" s="107" t="str">
        <f>C48</f>
        <v>VVCMC/TP/AMEND/SPA/VP/0064/35/2023-24</v>
      </c>
      <c r="D49" s="109"/>
      <c r="E49" s="108"/>
      <c r="F49" s="19" t="s">
        <v>42</v>
      </c>
      <c r="G49" s="110">
        <f>G48</f>
        <v>45338</v>
      </c>
      <c r="H49" s="111"/>
    </row>
    <row r="50" spans="1:14" s="23" customFormat="1" ht="30.75" hidden="1" customHeight="1" x14ac:dyDescent="0.35">
      <c r="A50" s="140" t="s">
        <v>206</v>
      </c>
      <c r="B50" s="141"/>
      <c r="C50" s="107" t="s">
        <v>193</v>
      </c>
      <c r="D50" s="109"/>
      <c r="E50" s="108"/>
      <c r="F50" s="19" t="s">
        <v>42</v>
      </c>
      <c r="G50" s="110">
        <v>44742</v>
      </c>
      <c r="H50" s="111"/>
    </row>
    <row r="51" spans="1:14" s="23" customFormat="1" hidden="1" x14ac:dyDescent="0.35">
      <c r="A51" s="142"/>
      <c r="B51" s="143"/>
      <c r="C51" s="107" t="s">
        <v>204</v>
      </c>
      <c r="D51" s="109"/>
      <c r="E51" s="109"/>
      <c r="F51" s="109"/>
      <c r="G51" s="109"/>
      <c r="H51" s="108"/>
    </row>
    <row r="52" spans="1:14" s="23" customFormat="1" ht="33" customHeight="1" x14ac:dyDescent="0.35">
      <c r="A52" s="140" t="s">
        <v>206</v>
      </c>
      <c r="B52" s="141"/>
      <c r="C52" s="107" t="s">
        <v>220</v>
      </c>
      <c r="D52" s="109"/>
      <c r="E52" s="108"/>
      <c r="F52" s="19" t="s">
        <v>42</v>
      </c>
      <c r="G52" s="110">
        <v>45338</v>
      </c>
      <c r="H52" s="108"/>
    </row>
    <row r="53" spans="1:14" s="23" customFormat="1" ht="31" customHeight="1" x14ac:dyDescent="0.35">
      <c r="A53" s="142"/>
      <c r="B53" s="143"/>
      <c r="C53" s="107" t="s">
        <v>219</v>
      </c>
      <c r="D53" s="109"/>
      <c r="E53" s="109"/>
      <c r="F53" s="109"/>
      <c r="G53" s="109"/>
      <c r="H53" s="108"/>
    </row>
    <row r="54" spans="1:14" x14ac:dyDescent="0.35">
      <c r="A54" s="128" t="s">
        <v>44</v>
      </c>
      <c r="B54" s="129"/>
      <c r="C54" s="128" t="s">
        <v>106</v>
      </c>
      <c r="D54" s="130"/>
      <c r="E54" s="129"/>
      <c r="F54" s="43" t="s">
        <v>42</v>
      </c>
      <c r="G54" s="151" t="s">
        <v>29</v>
      </c>
      <c r="H54" s="152"/>
    </row>
    <row r="55" spans="1:14" x14ac:dyDescent="0.35">
      <c r="A55" s="117" t="s">
        <v>46</v>
      </c>
      <c r="B55" s="117"/>
      <c r="C55" s="117"/>
      <c r="D55" s="117"/>
      <c r="E55" s="117"/>
      <c r="F55" s="117"/>
      <c r="G55" s="117"/>
      <c r="H55" s="117"/>
    </row>
    <row r="56" spans="1:14" x14ac:dyDescent="0.35">
      <c r="A56" s="116" t="s">
        <v>93</v>
      </c>
      <c r="B56" s="116"/>
      <c r="C56" s="116"/>
      <c r="D56" s="90">
        <f>E44</f>
        <v>5440.46</v>
      </c>
      <c r="E56" s="90"/>
      <c r="F56" s="90"/>
      <c r="G56" s="90"/>
      <c r="H56" s="90"/>
    </row>
    <row r="57" spans="1:14" x14ac:dyDescent="0.35">
      <c r="A57" s="105" t="s">
        <v>47</v>
      </c>
      <c r="B57" s="123"/>
      <c r="C57" s="123"/>
      <c r="D57" s="123" t="s">
        <v>218</v>
      </c>
      <c r="E57" s="123"/>
      <c r="F57" s="123"/>
      <c r="G57" s="123"/>
      <c r="H57" s="123"/>
      <c r="I57" s="24"/>
    </row>
    <row r="58" spans="1:14" ht="33.75" customHeight="1" x14ac:dyDescent="0.35">
      <c r="A58" s="137" t="s">
        <v>48</v>
      </c>
      <c r="B58" s="138"/>
      <c r="C58" s="139"/>
      <c r="D58" s="135" t="s">
        <v>208</v>
      </c>
      <c r="E58" s="136"/>
      <c r="F58" s="136"/>
      <c r="G58" s="136"/>
      <c r="H58" s="136"/>
      <c r="I58" s="25"/>
    </row>
    <row r="59" spans="1:14" ht="33.75" customHeight="1" x14ac:dyDescent="0.35">
      <c r="A59" s="137" t="s">
        <v>91</v>
      </c>
      <c r="B59" s="138"/>
      <c r="C59" s="138"/>
      <c r="D59" s="105" t="s">
        <v>209</v>
      </c>
      <c r="E59" s="123"/>
      <c r="F59" s="123"/>
      <c r="G59" s="123"/>
      <c r="H59" s="123"/>
      <c r="I59" s="25"/>
    </row>
    <row r="60" spans="1:14" ht="15.75" customHeight="1" x14ac:dyDescent="0.35">
      <c r="A60" s="90" t="s">
        <v>45</v>
      </c>
      <c r="B60" s="90"/>
      <c r="C60" s="90"/>
      <c r="D60" s="153" t="s">
        <v>244</v>
      </c>
      <c r="E60" s="153"/>
      <c r="F60" s="153"/>
      <c r="G60" s="153"/>
      <c r="H60" s="153"/>
      <c r="J60" s="26"/>
      <c r="K60" s="24"/>
      <c r="N60" s="24"/>
    </row>
    <row r="61" spans="1:14" ht="15.75" customHeight="1" x14ac:dyDescent="0.35">
      <c r="A61" s="90" t="s">
        <v>89</v>
      </c>
      <c r="B61" s="90"/>
      <c r="C61" s="90"/>
      <c r="D61" s="165" t="str">
        <f>(IF(G54="NA","60 Years After Completion",IF(G54&lt;&gt;"NA",""&amp;60-ROUNDDOWN((E3-G54)/360,0)&amp;" Years"," ")))</f>
        <v>60 Years After Completion</v>
      </c>
      <c r="E61" s="165"/>
      <c r="F61" s="165"/>
      <c r="G61" s="165"/>
      <c r="H61" s="165"/>
      <c r="N61" s="24"/>
    </row>
    <row r="62" spans="1:14" ht="15.75" customHeight="1" x14ac:dyDescent="0.35">
      <c r="A62" s="90" t="s">
        <v>90</v>
      </c>
      <c r="B62" s="90"/>
      <c r="C62" s="90"/>
      <c r="D62" s="116" t="s">
        <v>23</v>
      </c>
      <c r="E62" s="116"/>
      <c r="F62" s="116"/>
      <c r="G62" s="116"/>
      <c r="H62" s="116"/>
      <c r="J62" s="27"/>
      <c r="K62" s="27"/>
    </row>
    <row r="63" spans="1:14" ht="15" hidden="1" customHeight="1" x14ac:dyDescent="0.35">
      <c r="A63" s="90" t="s">
        <v>76</v>
      </c>
      <c r="B63" s="90"/>
      <c r="C63" s="90"/>
      <c r="D63" s="166" t="s">
        <v>151</v>
      </c>
      <c r="E63" s="166"/>
      <c r="F63" s="166"/>
      <c r="G63" s="166"/>
      <c r="H63" s="166"/>
    </row>
    <row r="64" spans="1:14" x14ac:dyDescent="0.35">
      <c r="A64" s="116" t="s">
        <v>152</v>
      </c>
      <c r="B64" s="116"/>
      <c r="C64" s="116"/>
      <c r="D64" s="116" t="s">
        <v>29</v>
      </c>
      <c r="E64" s="116"/>
      <c r="F64" s="116"/>
      <c r="G64" s="116"/>
      <c r="H64" s="116"/>
      <c r="I64" s="28"/>
      <c r="J64" s="28"/>
      <c r="K64" s="28"/>
      <c r="L64" s="28"/>
      <c r="M64" s="28"/>
      <c r="N64" s="28"/>
    </row>
    <row r="65" spans="1:10" ht="15.75" customHeight="1" x14ac:dyDescent="0.35">
      <c r="A65" s="168" t="s">
        <v>88</v>
      </c>
      <c r="B65" s="168"/>
      <c r="C65" s="168"/>
      <c r="D65" s="135" t="str">
        <f ca="1">(IF(G71&gt;95%,"Nothing",IF(G71&gt;0%,"Cement, Aggregate, Steel, etc",IF(G71=0%,"Work not yet Started"))))</f>
        <v>Cement, Aggregate, Steel, etc</v>
      </c>
      <c r="E65" s="135"/>
      <c r="F65" s="135"/>
      <c r="G65" s="135"/>
      <c r="H65" s="135"/>
      <c r="J65" s="27"/>
    </row>
    <row r="66" spans="1:10" ht="33.75" customHeight="1" thickBot="1" x14ac:dyDescent="0.4">
      <c r="A66" s="167" t="s">
        <v>119</v>
      </c>
      <c r="B66" s="167"/>
      <c r="C66" s="167"/>
      <c r="D66" s="135" t="str">
        <f ca="1">(IF(D65="Nothing","Yes",IF(D65="Cement, Aggregate, Steel, etc","Under Construction",IF(D65="Work not yet Started","Work not yet Started"))))</f>
        <v>Under Construction</v>
      </c>
      <c r="E66" s="135"/>
      <c r="F66" s="135" t="str">
        <f ca="1">(IF(D65="Nothing","Yes",IF(D65="Cement, Aggregate, Steel, etc","Under Construction",IF(D65="Work not yet Started","Work not yet Started"))))</f>
        <v>Under Construction</v>
      </c>
      <c r="G66" s="135"/>
      <c r="H66" s="135"/>
    </row>
    <row r="67" spans="1:10" ht="15.75" customHeight="1" x14ac:dyDescent="0.35">
      <c r="A67" s="146" t="s">
        <v>143</v>
      </c>
      <c r="B67" s="147"/>
      <c r="C67" s="148" t="str">
        <f>D59</f>
        <v>Phase I (Building No. 1) = Gr + 1st to 7th Floor
Phase II (Building No. 2) = Gr + 1st to 7th Floor</v>
      </c>
      <c r="D67" s="149"/>
      <c r="E67" s="149"/>
      <c r="F67" s="149"/>
      <c r="G67" s="149"/>
      <c r="H67" s="150"/>
      <c r="I67" s="46" t="str">
        <f ca="1">IF(D80=100%,"All work Completed. Possession granted to the Building.",IF(D79=100%,"All work Completed, Waiting for OC",I68&amp;""&amp;I69&amp;""&amp;J68&amp;""&amp;J67&amp;" "&amp;J69))</f>
        <v>Excavation, Plinth Completed, RCC upto 7 Slab, Brickwork upto 5 Floor, Internal Plaster upto 4 Floor, Flooring upto 1 Floor Completed</v>
      </c>
      <c r="J67" s="47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7 Slab, Brickwork upto 5 Floor, Internal Plaster upto 4 Floor, Flooring upto 1 Floor</v>
      </c>
    </row>
    <row r="68" spans="1:10" x14ac:dyDescent="0.35">
      <c r="A68" s="17" t="s">
        <v>145</v>
      </c>
      <c r="B68" s="51">
        <v>0</v>
      </c>
      <c r="C68" s="51" t="s">
        <v>73</v>
      </c>
      <c r="D68" s="51">
        <v>1</v>
      </c>
      <c r="E68" s="51" t="s">
        <v>72</v>
      </c>
      <c r="F68" s="51">
        <v>0</v>
      </c>
      <c r="G68" s="51" t="s">
        <v>82</v>
      </c>
      <c r="H68" s="18">
        <f ca="1">--TRIM(RIGHT(SUBSTITUTE(LEFT(C67,_xlfn.AGGREGATE(16,6,FIND({0,1,2,3,4,5,6,7,8,9},C67,ROW(INDIRECT("1:"&amp;LEN(C67)))),1))," ",REPT(" ",LEN(C67))),LEN(C67)))</f>
        <v>7</v>
      </c>
      <c r="I68" s="48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9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0.5" customHeight="1" x14ac:dyDescent="0.35">
      <c r="A69" s="75" t="s">
        <v>92</v>
      </c>
      <c r="B69" s="75"/>
      <c r="C69" s="74" t="str">
        <f ca="1">I67</f>
        <v>Excavation, Plinth Completed, RCC upto 7 Slab, Brickwork upto 5 Floor, Internal Plaster upto 4 Floor, Flooring upto 1 Floor Completed</v>
      </c>
      <c r="D69" s="74"/>
      <c r="E69" s="74"/>
      <c r="F69" s="74"/>
      <c r="G69" s="74"/>
      <c r="H69" s="74"/>
      <c r="I69" s="69" t="str">
        <f ca="1">IF(I68&lt;&gt;""," Completed","")</f>
        <v xml:space="preserve"> Completed</v>
      </c>
      <c r="J69" s="49" t="str">
        <f ca="1">IF(J67&lt;&gt;"","Completed","")</f>
        <v>Completed</v>
      </c>
    </row>
    <row r="70" spans="1:10" ht="15.75" customHeight="1" x14ac:dyDescent="0.35">
      <c r="A70" s="76" t="s">
        <v>49</v>
      </c>
      <c r="B70" s="76"/>
      <c r="C70" s="68" t="s">
        <v>142</v>
      </c>
      <c r="D70" s="68" t="s">
        <v>85</v>
      </c>
      <c r="E70" s="76" t="s">
        <v>87</v>
      </c>
      <c r="F70" s="76"/>
      <c r="G70" s="76" t="s">
        <v>86</v>
      </c>
      <c r="H70" s="76"/>
      <c r="I70" s="15" t="s">
        <v>144</v>
      </c>
      <c r="J70" s="29">
        <f ca="1">H68*25%</f>
        <v>1.75</v>
      </c>
    </row>
    <row r="71" spans="1:10" x14ac:dyDescent="0.35">
      <c r="A71" s="76" t="s">
        <v>131</v>
      </c>
      <c r="B71" s="76"/>
      <c r="C71" s="54">
        <f ca="1">J80</f>
        <v>7</v>
      </c>
      <c r="D71" s="20">
        <f ca="1">((100/H68)*C71)/100</f>
        <v>1</v>
      </c>
      <c r="E71" s="77">
        <f ca="1">(((C72/H68*10)+(40/(D68+F68+H68)*C73)+(7.5/(H68)*C74)+(7.5/(H68)*C75)+(10/H68*C76)+(10/H68*C77)+(5/H68*C78)+(5/H68*C79)+(5/H68*C80))/100)</f>
        <v>0.56071428571428572</v>
      </c>
      <c r="F71" s="77"/>
      <c r="G71" s="77">
        <f ca="1">((((C71/H68)*20)+((C72/H68)*25)+(30/(H68+F68+D68)*C73)+(5/H68*C74)+(5/H68*C75)+(5/H68*C76)+(5/H68*C77)+(0/H68*C78)+(0/H68*C79)+(5/H68*C80))/100)</f>
        <v>0.78392857142857142</v>
      </c>
      <c r="H71" s="77"/>
      <c r="I71" s="15" t="s">
        <v>101</v>
      </c>
      <c r="J71" s="30">
        <f ca="1">H68*50%</f>
        <v>3.5</v>
      </c>
    </row>
    <row r="72" spans="1:10" x14ac:dyDescent="0.35">
      <c r="A72" s="76" t="s">
        <v>50</v>
      </c>
      <c r="B72" s="76"/>
      <c r="C72" s="54">
        <f ca="1">J80</f>
        <v>7</v>
      </c>
      <c r="D72" s="20">
        <f ca="1">((100/H68)*C72)/100</f>
        <v>1</v>
      </c>
      <c r="E72" s="77"/>
      <c r="F72" s="77"/>
      <c r="G72" s="77"/>
      <c r="H72" s="77"/>
      <c r="I72" s="15" t="s">
        <v>102</v>
      </c>
      <c r="J72" s="30">
        <f ca="1">H68</f>
        <v>7</v>
      </c>
    </row>
    <row r="73" spans="1:10" ht="15.75" customHeight="1" x14ac:dyDescent="0.35">
      <c r="A73" s="76" t="s">
        <v>132</v>
      </c>
      <c r="B73" s="76"/>
      <c r="C73" s="68">
        <v>7</v>
      </c>
      <c r="D73" s="20">
        <f ca="1">((100/(D68+F68+H68))*C73)/100</f>
        <v>0.875</v>
      </c>
      <c r="E73" s="77"/>
      <c r="F73" s="77"/>
      <c r="G73" s="77"/>
      <c r="H73" s="77"/>
      <c r="I73" s="15" t="s">
        <v>103</v>
      </c>
      <c r="J73" s="31">
        <f ca="1">(IF(B68&gt;1,(H68/(B68+2)),H68/4))</f>
        <v>1.75</v>
      </c>
    </row>
    <row r="74" spans="1:10" ht="15.75" customHeight="1" x14ac:dyDescent="0.35">
      <c r="A74" s="76" t="s">
        <v>139</v>
      </c>
      <c r="B74" s="76" t="s">
        <v>133</v>
      </c>
      <c r="C74" s="68">
        <v>5</v>
      </c>
      <c r="D74" s="20">
        <f ca="1">((100/H68)*C74)/100</f>
        <v>0.7142857142857143</v>
      </c>
      <c r="E74" s="77"/>
      <c r="F74" s="77"/>
      <c r="G74" s="77"/>
      <c r="H74" s="77"/>
      <c r="I74" s="15" t="s">
        <v>104</v>
      </c>
      <c r="J74" s="31">
        <f ca="1">(IF(B68&gt;1,(H68/(B68+2)+J73),H68/4+J73))</f>
        <v>3.5</v>
      </c>
    </row>
    <row r="75" spans="1:10" ht="15.75" customHeight="1" x14ac:dyDescent="0.35">
      <c r="A75" s="76" t="s">
        <v>140</v>
      </c>
      <c r="B75" s="76" t="s">
        <v>133</v>
      </c>
      <c r="C75" s="68">
        <v>4</v>
      </c>
      <c r="D75" s="20">
        <f ca="1">((100/H68)*C75)/100</f>
        <v>0.57142857142857151</v>
      </c>
      <c r="E75" s="77"/>
      <c r="F75" s="77"/>
      <c r="G75" s="77"/>
      <c r="H75" s="77"/>
      <c r="I75" s="15" t="s">
        <v>149</v>
      </c>
      <c r="J75" s="31">
        <f>(IF(B68&gt;1,(H68/(B68+2)+J74),0))</f>
        <v>0</v>
      </c>
    </row>
    <row r="76" spans="1:10" ht="15" customHeight="1" x14ac:dyDescent="0.35">
      <c r="A76" s="76" t="s">
        <v>138</v>
      </c>
      <c r="B76" s="76" t="s">
        <v>135</v>
      </c>
      <c r="C76" s="68">
        <v>0</v>
      </c>
      <c r="D76" s="20">
        <f ca="1">((100/(H68))*C76)/100</f>
        <v>0</v>
      </c>
      <c r="E76" s="77"/>
      <c r="F76" s="77"/>
      <c r="G76" s="77"/>
      <c r="H76" s="77"/>
      <c r="I76" s="15" t="s">
        <v>146</v>
      </c>
      <c r="J76" s="31">
        <f>(IF(B68&gt;2,(H68/(B68+2)+J75),0))</f>
        <v>0</v>
      </c>
    </row>
    <row r="77" spans="1:10" ht="15.75" customHeight="1" x14ac:dyDescent="0.35">
      <c r="A77" s="76" t="s">
        <v>134</v>
      </c>
      <c r="B77" s="76" t="s">
        <v>134</v>
      </c>
      <c r="C77" s="68">
        <v>1</v>
      </c>
      <c r="D77" s="20">
        <f ca="1">((100/H68)*C77)/100</f>
        <v>0.14285714285714288</v>
      </c>
      <c r="E77" s="77"/>
      <c r="F77" s="77"/>
      <c r="G77" s="77"/>
      <c r="H77" s="77"/>
      <c r="I77" s="15" t="s">
        <v>147</v>
      </c>
      <c r="J77" s="32">
        <f>(IF(B68&gt;3,(H68/(B68+2)+J76),0))</f>
        <v>0</v>
      </c>
    </row>
    <row r="78" spans="1:10" ht="15.75" customHeight="1" x14ac:dyDescent="0.35">
      <c r="A78" s="76" t="s">
        <v>141</v>
      </c>
      <c r="B78" s="76"/>
      <c r="C78" s="68">
        <v>0</v>
      </c>
      <c r="D78" s="20">
        <f ca="1">((100/H68)*C78)/100</f>
        <v>0</v>
      </c>
      <c r="E78" s="77"/>
      <c r="F78" s="77"/>
      <c r="G78" s="77"/>
      <c r="H78" s="77"/>
      <c r="I78" s="15" t="s">
        <v>148</v>
      </c>
      <c r="J78" s="31">
        <f>(IF(B68&gt;4,(H68/(B68+2)+J77),0))</f>
        <v>0</v>
      </c>
    </row>
    <row r="79" spans="1:10" ht="15.75" customHeight="1" x14ac:dyDescent="0.35">
      <c r="A79" s="76" t="s">
        <v>136</v>
      </c>
      <c r="B79" s="76" t="s">
        <v>136</v>
      </c>
      <c r="C79" s="68">
        <v>0</v>
      </c>
      <c r="D79" s="20">
        <f ca="1">((100/(H68))*C79)/100</f>
        <v>0</v>
      </c>
      <c r="E79" s="77"/>
      <c r="F79" s="77"/>
      <c r="G79" s="77"/>
      <c r="H79" s="77"/>
      <c r="I79" s="15" t="s">
        <v>150</v>
      </c>
      <c r="J79" s="31">
        <f ca="1">(IF(B68=1,(H68/(B68+3)+J74),IF(B68=0,(H68/4+J74),IF(B68&gt;1,0))))</f>
        <v>5.25</v>
      </c>
    </row>
    <row r="80" spans="1:10" ht="16" thickBot="1" x14ac:dyDescent="0.4">
      <c r="A80" s="76" t="s">
        <v>137</v>
      </c>
      <c r="B80" s="76"/>
      <c r="C80" s="68">
        <v>0</v>
      </c>
      <c r="D80" s="20">
        <f ca="1">((100/(H68))*C80)/100</f>
        <v>0</v>
      </c>
      <c r="E80" s="77"/>
      <c r="F80" s="77"/>
      <c r="G80" s="77"/>
      <c r="H80" s="77"/>
      <c r="I80" s="16" t="s">
        <v>105</v>
      </c>
      <c r="J80" s="33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35">
      <c r="A81" s="74" t="s">
        <v>143</v>
      </c>
      <c r="B81" s="74"/>
      <c r="C81" s="74" t="s">
        <v>245</v>
      </c>
      <c r="D81" s="74"/>
      <c r="E81" s="74"/>
      <c r="F81" s="74"/>
      <c r="G81" s="74"/>
      <c r="H81" s="74"/>
      <c r="I81" s="65" t="str">
        <f ca="1">IF(D94=100%,"All work Completed. Possession granted to the Building.",IF(D93=100%,"All work Completed, Waiting for OC",I82&amp;""&amp;I83&amp;""&amp;J82&amp;""&amp;J81&amp;" "&amp;J83))</f>
        <v xml:space="preserve">Excavation Completed, Plinth work is process </v>
      </c>
      <c r="J81" s="47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x14ac:dyDescent="0.35">
      <c r="A82" s="64" t="s">
        <v>145</v>
      </c>
      <c r="B82" s="64">
        <v>0</v>
      </c>
      <c r="C82" s="64" t="s">
        <v>73</v>
      </c>
      <c r="D82" s="64">
        <v>1</v>
      </c>
      <c r="E82" s="64" t="s">
        <v>72</v>
      </c>
      <c r="F82" s="64">
        <v>0</v>
      </c>
      <c r="G82" s="64" t="s">
        <v>82</v>
      </c>
      <c r="H82" s="64">
        <f ca="1">--TRIM(RIGHT(SUBSTITUTE(LEFT(C81,_xlfn.AGGREGATE(16,6,FIND({0,1,2,3,4,5,6,7,8,9},C81,ROW(INDIRECT("1:"&amp;LEN(C81)))),1))," ",REPT(" ",LEN(C81))),LEN(C81)))</f>
        <v>7</v>
      </c>
      <c r="I82" s="6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</v>
      </c>
      <c r="J82" s="49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, Plinth work is process</v>
      </c>
    </row>
    <row r="83" spans="1:10" x14ac:dyDescent="0.35">
      <c r="A83" s="75" t="s">
        <v>92</v>
      </c>
      <c r="B83" s="75"/>
      <c r="C83" s="74" t="str">
        <f ca="1">I81</f>
        <v xml:space="preserve">Excavation Completed, Plinth work is process </v>
      </c>
      <c r="D83" s="74"/>
      <c r="E83" s="74"/>
      <c r="F83" s="74"/>
      <c r="G83" s="74"/>
      <c r="H83" s="74"/>
      <c r="I83" s="69" t="str">
        <f ca="1">IF(I82&lt;&gt;""," Completed","")</f>
        <v xml:space="preserve"> Completed</v>
      </c>
      <c r="J83" s="49" t="str">
        <f ca="1">IF(J81&lt;&gt;"","Completed","")</f>
        <v/>
      </c>
    </row>
    <row r="84" spans="1:10" ht="15.75" customHeight="1" x14ac:dyDescent="0.35">
      <c r="A84" s="76" t="s">
        <v>49</v>
      </c>
      <c r="B84" s="76"/>
      <c r="C84" s="62" t="s">
        <v>142</v>
      </c>
      <c r="D84" s="62" t="s">
        <v>85</v>
      </c>
      <c r="E84" s="76" t="s">
        <v>87</v>
      </c>
      <c r="F84" s="76"/>
      <c r="G84" s="76" t="s">
        <v>86</v>
      </c>
      <c r="H84" s="76"/>
      <c r="I84" s="15" t="s">
        <v>144</v>
      </c>
      <c r="J84" s="29">
        <f ca="1">H82*25%</f>
        <v>1.75</v>
      </c>
    </row>
    <row r="85" spans="1:10" x14ac:dyDescent="0.35">
      <c r="A85" s="76" t="s">
        <v>131</v>
      </c>
      <c r="B85" s="76"/>
      <c r="C85" s="54">
        <f ca="1">J86</f>
        <v>7</v>
      </c>
      <c r="D85" s="20">
        <f ca="1">((100/H82)*C85)/100</f>
        <v>1</v>
      </c>
      <c r="E85" s="77">
        <f ca="1">(((C86/H82*10)+(40/(D82+F82+H82)*C87)+(7.5/(H82)*C88)+(7.5/(H82)*C89)+(10/H82*C90)+(10/H82*C91)+(5/H82*C92)+(5/H82*C93)+(5/H82*C94))/100)</f>
        <v>7.4999999999999997E-2</v>
      </c>
      <c r="F85" s="77"/>
      <c r="G85" s="77">
        <f ca="1">((((C85/H82)*20)+((C86/H82)*25)+(30/(H82+F82+D82)*C87)+(5/H82*C88)+(5/H82*C89)+(5/H82*C90)+(5/H82*C91)+(0/H82*C92)+(0/H82*C93)+(5/H82*C94))/100)</f>
        <v>0.38750000000000001</v>
      </c>
      <c r="H85" s="77"/>
      <c r="I85" s="15" t="s">
        <v>101</v>
      </c>
      <c r="J85" s="30">
        <f ca="1">H82*50%</f>
        <v>3.5</v>
      </c>
    </row>
    <row r="86" spans="1:10" x14ac:dyDescent="0.35">
      <c r="A86" s="76" t="s">
        <v>50</v>
      </c>
      <c r="B86" s="76"/>
      <c r="C86" s="54">
        <f ca="1">J93</f>
        <v>5.25</v>
      </c>
      <c r="D86" s="20">
        <f ca="1">((100/H82)*C86)/100</f>
        <v>0.75</v>
      </c>
      <c r="E86" s="77"/>
      <c r="F86" s="77"/>
      <c r="G86" s="77"/>
      <c r="H86" s="77"/>
      <c r="I86" s="15" t="s">
        <v>102</v>
      </c>
      <c r="J86" s="30">
        <f ca="1">H82</f>
        <v>7</v>
      </c>
    </row>
    <row r="87" spans="1:10" ht="15.75" customHeight="1" x14ac:dyDescent="0.35">
      <c r="A87" s="76" t="s">
        <v>132</v>
      </c>
      <c r="B87" s="76"/>
      <c r="C87" s="62">
        <v>0</v>
      </c>
      <c r="D87" s="20">
        <f ca="1">((100/(D82+F82+H82))*C87)/100</f>
        <v>0</v>
      </c>
      <c r="E87" s="77"/>
      <c r="F87" s="77"/>
      <c r="G87" s="77"/>
      <c r="H87" s="77"/>
      <c r="I87" s="15" t="s">
        <v>103</v>
      </c>
      <c r="J87" s="31">
        <f ca="1">(IF(B82&gt;1,(H82/(B82+2)),H82/4))</f>
        <v>1.75</v>
      </c>
    </row>
    <row r="88" spans="1:10" ht="15.75" customHeight="1" x14ac:dyDescent="0.35">
      <c r="A88" s="76" t="s">
        <v>139</v>
      </c>
      <c r="B88" s="76" t="s">
        <v>133</v>
      </c>
      <c r="C88" s="62">
        <v>0</v>
      </c>
      <c r="D88" s="20">
        <f ca="1">((100/H82)*C88)/100</f>
        <v>0</v>
      </c>
      <c r="E88" s="77"/>
      <c r="F88" s="77"/>
      <c r="G88" s="77"/>
      <c r="H88" s="77"/>
      <c r="I88" s="15" t="s">
        <v>104</v>
      </c>
      <c r="J88" s="31">
        <f ca="1">(IF(B82&gt;1,(H82/(B82+2)+J87),H82/4+J87))</f>
        <v>3.5</v>
      </c>
    </row>
    <row r="89" spans="1:10" ht="15.75" customHeight="1" x14ac:dyDescent="0.35">
      <c r="A89" s="76" t="s">
        <v>140</v>
      </c>
      <c r="B89" s="76" t="s">
        <v>133</v>
      </c>
      <c r="C89" s="62">
        <v>0</v>
      </c>
      <c r="D89" s="20">
        <f ca="1">((100/H82)*C89)/100</f>
        <v>0</v>
      </c>
      <c r="E89" s="77"/>
      <c r="F89" s="77"/>
      <c r="G89" s="77"/>
      <c r="H89" s="77"/>
      <c r="I89" s="15" t="s">
        <v>149</v>
      </c>
      <c r="J89" s="31">
        <f>(IF(B82&gt;1,(H82/(B82+2)+J88),0))</f>
        <v>0</v>
      </c>
    </row>
    <row r="90" spans="1:10" ht="15" customHeight="1" x14ac:dyDescent="0.35">
      <c r="A90" s="76" t="s">
        <v>138</v>
      </c>
      <c r="B90" s="76" t="s">
        <v>135</v>
      </c>
      <c r="C90" s="62">
        <v>0</v>
      </c>
      <c r="D90" s="20">
        <f ca="1">((100/(H82))*C90)/100</f>
        <v>0</v>
      </c>
      <c r="E90" s="77"/>
      <c r="F90" s="77"/>
      <c r="G90" s="77"/>
      <c r="H90" s="77"/>
      <c r="I90" s="15" t="s">
        <v>146</v>
      </c>
      <c r="J90" s="31">
        <f>(IF(B82&gt;2,(H82/(B82+2)+J89),0))</f>
        <v>0</v>
      </c>
    </row>
    <row r="91" spans="1:10" ht="15.75" customHeight="1" x14ac:dyDescent="0.35">
      <c r="A91" s="76" t="s">
        <v>134</v>
      </c>
      <c r="B91" s="76" t="s">
        <v>134</v>
      </c>
      <c r="C91" s="62">
        <v>0</v>
      </c>
      <c r="D91" s="20">
        <f ca="1">((100/H82)*C91)/100</f>
        <v>0</v>
      </c>
      <c r="E91" s="77"/>
      <c r="F91" s="77"/>
      <c r="G91" s="77"/>
      <c r="H91" s="77"/>
      <c r="I91" s="15" t="s">
        <v>147</v>
      </c>
      <c r="J91" s="32">
        <f>(IF(B82&gt;3,(H82/(B82+2)+J90),0))</f>
        <v>0</v>
      </c>
    </row>
    <row r="92" spans="1:10" ht="15.75" customHeight="1" x14ac:dyDescent="0.35">
      <c r="A92" s="76" t="s">
        <v>141</v>
      </c>
      <c r="B92" s="76"/>
      <c r="C92" s="62">
        <v>0</v>
      </c>
      <c r="D92" s="20">
        <f ca="1">((100/H82)*C92)/100</f>
        <v>0</v>
      </c>
      <c r="E92" s="77"/>
      <c r="F92" s="77"/>
      <c r="G92" s="77"/>
      <c r="H92" s="77"/>
      <c r="I92" s="15" t="s">
        <v>148</v>
      </c>
      <c r="J92" s="31">
        <f>(IF(B82&gt;4,(H82/(B82+2)+J91),0))</f>
        <v>0</v>
      </c>
    </row>
    <row r="93" spans="1:10" ht="15.75" customHeight="1" x14ac:dyDescent="0.35">
      <c r="A93" s="76" t="s">
        <v>136</v>
      </c>
      <c r="B93" s="76" t="s">
        <v>136</v>
      </c>
      <c r="C93" s="62">
        <v>0</v>
      </c>
      <c r="D93" s="20">
        <f ca="1">((100/(H82))*C93)/100</f>
        <v>0</v>
      </c>
      <c r="E93" s="77"/>
      <c r="F93" s="77"/>
      <c r="G93" s="77"/>
      <c r="H93" s="77"/>
      <c r="I93" s="15" t="s">
        <v>150</v>
      </c>
      <c r="J93" s="31">
        <f ca="1">(IF(B82=1,(H82/(B82+3)+J88),IF(B82=0,(H82/4+J88),IF(B82&gt;1,0))))</f>
        <v>5.25</v>
      </c>
    </row>
    <row r="94" spans="1:10" ht="16" thickBot="1" x14ac:dyDescent="0.4">
      <c r="A94" s="76" t="s">
        <v>137</v>
      </c>
      <c r="B94" s="76"/>
      <c r="C94" s="62">
        <v>0</v>
      </c>
      <c r="D94" s="20">
        <f ca="1">((100/(H82))*C94)/100</f>
        <v>0</v>
      </c>
      <c r="E94" s="77"/>
      <c r="F94" s="77"/>
      <c r="G94" s="77"/>
      <c r="H94" s="77"/>
      <c r="I94" s="16" t="s">
        <v>105</v>
      </c>
      <c r="J94" s="33">
        <f ca="1">(IF(B82&gt;1.5,(H82/(B82+2)+J88+MAX(0,J89-J88)+MAX(0,J90-J89)+MAX(0,J91-J90)+MAX(0,J92-J91)+MAX(0,J93-J92)),IF(B82=1,(H82/(B82+3)+J93),IF(B82=0,H82/4+J93))))</f>
        <v>7</v>
      </c>
    </row>
    <row r="95" spans="1:10" ht="15.75" customHeight="1" x14ac:dyDescent="0.35">
      <c r="A95" s="74" t="s">
        <v>143</v>
      </c>
      <c r="B95" s="74"/>
      <c r="C95" s="74" t="s">
        <v>246</v>
      </c>
      <c r="D95" s="74"/>
      <c r="E95" s="74"/>
      <c r="F95" s="74"/>
      <c r="G95" s="74"/>
      <c r="H95" s="74"/>
      <c r="I95" s="65" t="str">
        <f ca="1">IF(D108=100%,"All work Completed. Possession granted to the Building.",IF(D107=100%,"All work Completed, Waiting for OC",I96&amp;""&amp;I97&amp;""&amp;J96&amp;""&amp;J95&amp;" "&amp;J97))</f>
        <v xml:space="preserve">Excavation Completed, Footing work Completed </v>
      </c>
      <c r="J95" s="47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x14ac:dyDescent="0.35">
      <c r="A96" s="64" t="s">
        <v>145</v>
      </c>
      <c r="B96" s="64">
        <v>0</v>
      </c>
      <c r="C96" s="64" t="s">
        <v>73</v>
      </c>
      <c r="D96" s="64">
        <v>1</v>
      </c>
      <c r="E96" s="64" t="s">
        <v>72</v>
      </c>
      <c r="F96" s="64">
        <v>0</v>
      </c>
      <c r="G96" s="64" t="s">
        <v>82</v>
      </c>
      <c r="H96" s="64">
        <f ca="1">--TRIM(RIGHT(SUBSTITUTE(LEFT(C95,_xlfn.AGGREGATE(16,6,FIND({0,1,2,3,4,5,6,7,8,9},C95,ROW(INDIRECT("1:"&amp;LEN(C95)))),1))," ",REPT(" ",LEN(C95))),LEN(C95)))</f>
        <v>7</v>
      </c>
      <c r="I96" s="69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</v>
      </c>
      <c r="J96" s="49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>, Footing work Completed</v>
      </c>
    </row>
    <row r="97" spans="1:10" x14ac:dyDescent="0.35">
      <c r="A97" s="75" t="s">
        <v>92</v>
      </c>
      <c r="B97" s="75"/>
      <c r="C97" s="74" t="str">
        <f ca="1">I95</f>
        <v xml:space="preserve">Excavation Completed, Footing work Completed </v>
      </c>
      <c r="D97" s="74"/>
      <c r="E97" s="74"/>
      <c r="F97" s="74"/>
      <c r="G97" s="74"/>
      <c r="H97" s="74"/>
      <c r="I97" s="69" t="str">
        <f ca="1">IF(I96&lt;&gt;""," Completed","")</f>
        <v xml:space="preserve"> Completed</v>
      </c>
      <c r="J97" s="49" t="str">
        <f ca="1">IF(J95&lt;&gt;"","Completed","")</f>
        <v/>
      </c>
    </row>
    <row r="98" spans="1:10" ht="15.75" customHeight="1" x14ac:dyDescent="0.35">
      <c r="A98" s="76" t="s">
        <v>49</v>
      </c>
      <c r="B98" s="76"/>
      <c r="C98" s="62" t="s">
        <v>142</v>
      </c>
      <c r="D98" s="62" t="s">
        <v>85</v>
      </c>
      <c r="E98" s="76" t="s">
        <v>87</v>
      </c>
      <c r="F98" s="76"/>
      <c r="G98" s="76" t="s">
        <v>86</v>
      </c>
      <c r="H98" s="76"/>
      <c r="I98" s="15" t="s">
        <v>144</v>
      </c>
      <c r="J98" s="29">
        <f ca="1">H96*25%</f>
        <v>1.75</v>
      </c>
    </row>
    <row r="99" spans="1:10" x14ac:dyDescent="0.35">
      <c r="A99" s="76" t="s">
        <v>131</v>
      </c>
      <c r="B99" s="76"/>
      <c r="C99" s="54">
        <f ca="1">J100</f>
        <v>7</v>
      </c>
      <c r="D99" s="20">
        <f ca="1">((100/H96)*C99)/100</f>
        <v>1</v>
      </c>
      <c r="E99" s="77">
        <f ca="1">(((C100/H96*10)+(40/(D96+F96+H96)*C101)+(7.5/(H96)*C102)+(7.5/(H96)*C103)+(10/H96*C104)+(10/H96*C105)+(5/H96*C106)+(5/H96*C107)+(5/H96*C108))/100)</f>
        <v>0.05</v>
      </c>
      <c r="F99" s="77"/>
      <c r="G99" s="77">
        <f ca="1">((((C99/H96)*20)+((C100/H96)*25)+(30/(H96+F96+D96)*C101)+(5/H96*C102)+(5/H96*C103)+(5/H96*C104)+(5/H96*C105)+(0/H96*C106)+(0/H96*C107)+(5/H96*C108))/100)</f>
        <v>0.32500000000000001</v>
      </c>
      <c r="H99" s="77"/>
      <c r="I99" s="15" t="s">
        <v>101</v>
      </c>
      <c r="J99" s="30">
        <f ca="1">H96*50%</f>
        <v>3.5</v>
      </c>
    </row>
    <row r="100" spans="1:10" x14ac:dyDescent="0.35">
      <c r="A100" s="76" t="s">
        <v>50</v>
      </c>
      <c r="B100" s="76"/>
      <c r="C100" s="54">
        <f ca="1">J102</f>
        <v>3.5</v>
      </c>
      <c r="D100" s="20">
        <f ca="1">((100/H96)*C100)/100</f>
        <v>0.5</v>
      </c>
      <c r="E100" s="77"/>
      <c r="F100" s="77"/>
      <c r="G100" s="77"/>
      <c r="H100" s="77"/>
      <c r="I100" s="15" t="s">
        <v>102</v>
      </c>
      <c r="J100" s="30">
        <f ca="1">H96</f>
        <v>7</v>
      </c>
    </row>
    <row r="101" spans="1:10" ht="15.75" customHeight="1" x14ac:dyDescent="0.35">
      <c r="A101" s="76" t="s">
        <v>132</v>
      </c>
      <c r="B101" s="76"/>
      <c r="C101" s="62">
        <v>0</v>
      </c>
      <c r="D101" s="20">
        <f ca="1">((100/(D96+F96+H96))*C101)/100</f>
        <v>0</v>
      </c>
      <c r="E101" s="77"/>
      <c r="F101" s="77"/>
      <c r="G101" s="77"/>
      <c r="H101" s="77"/>
      <c r="I101" s="15" t="s">
        <v>103</v>
      </c>
      <c r="J101" s="31">
        <f ca="1">(IF(B96&gt;1,(H96/(B96+2)),H96/4))</f>
        <v>1.75</v>
      </c>
    </row>
    <row r="102" spans="1:10" ht="15.75" customHeight="1" x14ac:dyDescent="0.35">
      <c r="A102" s="76" t="s">
        <v>139</v>
      </c>
      <c r="B102" s="76" t="s">
        <v>133</v>
      </c>
      <c r="C102" s="62">
        <v>0</v>
      </c>
      <c r="D102" s="20">
        <f ca="1">((100/H96)*C102)/100</f>
        <v>0</v>
      </c>
      <c r="E102" s="77"/>
      <c r="F102" s="77"/>
      <c r="G102" s="77"/>
      <c r="H102" s="77"/>
      <c r="I102" s="15" t="s">
        <v>104</v>
      </c>
      <c r="J102" s="31">
        <f ca="1">(IF(B96&gt;1,(H96/(B96+2)+J101),H96/4+J101))</f>
        <v>3.5</v>
      </c>
    </row>
    <row r="103" spans="1:10" ht="15.75" customHeight="1" x14ac:dyDescent="0.35">
      <c r="A103" s="76" t="s">
        <v>140</v>
      </c>
      <c r="B103" s="76" t="s">
        <v>133</v>
      </c>
      <c r="C103" s="62">
        <v>0</v>
      </c>
      <c r="D103" s="20">
        <f ca="1">((100/H96)*C103)/100</f>
        <v>0</v>
      </c>
      <c r="E103" s="77"/>
      <c r="F103" s="77"/>
      <c r="G103" s="77"/>
      <c r="H103" s="77"/>
      <c r="I103" s="15" t="s">
        <v>149</v>
      </c>
      <c r="J103" s="31">
        <f>(IF(B96&gt;1,(H96/(B96+2)+J102),0))</f>
        <v>0</v>
      </c>
    </row>
    <row r="104" spans="1:10" ht="15" customHeight="1" x14ac:dyDescent="0.35">
      <c r="A104" s="76" t="s">
        <v>138</v>
      </c>
      <c r="B104" s="76" t="s">
        <v>135</v>
      </c>
      <c r="C104" s="62">
        <v>0</v>
      </c>
      <c r="D104" s="20">
        <f ca="1">((100/(H96))*C104)/100</f>
        <v>0</v>
      </c>
      <c r="E104" s="77"/>
      <c r="F104" s="77"/>
      <c r="G104" s="77"/>
      <c r="H104" s="77"/>
      <c r="I104" s="15" t="s">
        <v>146</v>
      </c>
      <c r="J104" s="31">
        <f>(IF(B96&gt;2,(H96/(B96+2)+J103),0))</f>
        <v>0</v>
      </c>
    </row>
    <row r="105" spans="1:10" ht="15.75" customHeight="1" x14ac:dyDescent="0.35">
      <c r="A105" s="76" t="s">
        <v>134</v>
      </c>
      <c r="B105" s="76" t="s">
        <v>134</v>
      </c>
      <c r="C105" s="62">
        <v>0</v>
      </c>
      <c r="D105" s="20">
        <f ca="1">((100/H96)*C105)/100</f>
        <v>0</v>
      </c>
      <c r="E105" s="77"/>
      <c r="F105" s="77"/>
      <c r="G105" s="77"/>
      <c r="H105" s="77"/>
      <c r="I105" s="15" t="s">
        <v>147</v>
      </c>
      <c r="J105" s="32">
        <f>(IF(B96&gt;3,(H96/(B96+2)+J104),0))</f>
        <v>0</v>
      </c>
    </row>
    <row r="106" spans="1:10" ht="15.75" customHeight="1" x14ac:dyDescent="0.35">
      <c r="A106" s="76" t="s">
        <v>141</v>
      </c>
      <c r="B106" s="76"/>
      <c r="C106" s="62">
        <v>0</v>
      </c>
      <c r="D106" s="20">
        <f ca="1">((100/H96)*C106)/100</f>
        <v>0</v>
      </c>
      <c r="E106" s="77"/>
      <c r="F106" s="77"/>
      <c r="G106" s="77"/>
      <c r="H106" s="77"/>
      <c r="I106" s="15" t="s">
        <v>148</v>
      </c>
      <c r="J106" s="31">
        <f>(IF(B96&gt;4,(H96/(B96+2)+J105),0))</f>
        <v>0</v>
      </c>
    </row>
    <row r="107" spans="1:10" ht="15.75" customHeight="1" x14ac:dyDescent="0.35">
      <c r="A107" s="76" t="s">
        <v>136</v>
      </c>
      <c r="B107" s="76" t="s">
        <v>136</v>
      </c>
      <c r="C107" s="62">
        <v>0</v>
      </c>
      <c r="D107" s="20">
        <f ca="1">((100/(H96))*C107)/100</f>
        <v>0</v>
      </c>
      <c r="E107" s="77"/>
      <c r="F107" s="77"/>
      <c r="G107" s="77"/>
      <c r="H107" s="77"/>
      <c r="I107" s="15" t="s">
        <v>150</v>
      </c>
      <c r="J107" s="31">
        <f ca="1">(IF(B96=1,(H96/(B96+3)+J102),IF(B96=0,(H96/4+J102),IF(B96&gt;1,0))))</f>
        <v>5.25</v>
      </c>
    </row>
    <row r="108" spans="1:10" ht="16" thickBot="1" x14ac:dyDescent="0.4">
      <c r="A108" s="76" t="s">
        <v>137</v>
      </c>
      <c r="B108" s="76"/>
      <c r="C108" s="62">
        <v>0</v>
      </c>
      <c r="D108" s="20">
        <f ca="1">((100/(H96))*C108)/100</f>
        <v>0</v>
      </c>
      <c r="E108" s="77"/>
      <c r="F108" s="77"/>
      <c r="G108" s="77"/>
      <c r="H108" s="77"/>
      <c r="I108" s="16" t="s">
        <v>105</v>
      </c>
      <c r="J108" s="33">
        <f ca="1">(IF(B96&gt;1.5,(H96/(B96+2)+J102+MAX(0,J103-J102)+MAX(0,J104-J103)+MAX(0,J105-J104)+MAX(0,J106-J105)+MAX(0,J107-J106)),IF(B96=1,(H96/(B96+3)+J107),IF(B96=0,H96/4+J107))))</f>
        <v>7</v>
      </c>
    </row>
    <row r="109" spans="1:10" ht="34" customHeight="1" x14ac:dyDescent="0.35">
      <c r="A109" s="70" t="s">
        <v>248</v>
      </c>
      <c r="B109" s="70"/>
      <c r="C109" s="71">
        <f ca="1">AVERAGE(E85,E99)</f>
        <v>6.25E-2</v>
      </c>
      <c r="D109" s="72"/>
      <c r="E109" s="73" t="s">
        <v>247</v>
      </c>
      <c r="F109" s="72"/>
      <c r="G109" s="71">
        <f ca="1">AVERAGE(G85,G99)</f>
        <v>0.35625000000000001</v>
      </c>
      <c r="H109" s="72"/>
      <c r="I109" s="69"/>
      <c r="J109" s="49"/>
    </row>
    <row r="110" spans="1:10" x14ac:dyDescent="0.35">
      <c r="A110" s="119" t="s">
        <v>160</v>
      </c>
      <c r="B110" s="119"/>
      <c r="C110" s="119"/>
      <c r="D110" s="119"/>
      <c r="E110" s="119"/>
      <c r="F110" s="94" t="s">
        <v>165</v>
      </c>
      <c r="G110" s="94"/>
      <c r="H110" s="94"/>
    </row>
    <row r="111" spans="1:10" x14ac:dyDescent="0.35">
      <c r="A111" s="90" t="s">
        <v>163</v>
      </c>
      <c r="B111" s="90"/>
      <c r="C111" s="90"/>
      <c r="D111" s="90"/>
      <c r="E111" s="90"/>
      <c r="F111" s="89">
        <v>4800</v>
      </c>
      <c r="G111" s="89"/>
      <c r="H111" s="89"/>
    </row>
    <row r="112" spans="1:10" hidden="1" x14ac:dyDescent="0.35">
      <c r="A112" s="90" t="s">
        <v>162</v>
      </c>
      <c r="B112" s="90"/>
      <c r="C112" s="90"/>
      <c r="D112" s="90"/>
      <c r="E112" s="90"/>
      <c r="F112" s="89"/>
      <c r="G112" s="89"/>
      <c r="H112" s="89"/>
    </row>
    <row r="113" spans="1:8" hidden="1" x14ac:dyDescent="0.35">
      <c r="A113" s="90" t="s">
        <v>164</v>
      </c>
      <c r="B113" s="90"/>
      <c r="C113" s="90"/>
      <c r="D113" s="90"/>
      <c r="E113" s="90"/>
      <c r="F113" s="89"/>
      <c r="G113" s="89"/>
      <c r="H113" s="89"/>
    </row>
    <row r="114" spans="1:8" s="34" customFormat="1" hidden="1" x14ac:dyDescent="0.3">
      <c r="A114" s="90" t="s">
        <v>161</v>
      </c>
      <c r="B114" s="90"/>
      <c r="C114" s="90"/>
      <c r="D114" s="90"/>
      <c r="E114" s="90"/>
      <c r="F114" s="89"/>
      <c r="G114" s="89"/>
      <c r="H114" s="89"/>
    </row>
    <row r="115" spans="1:8" s="34" customFormat="1" x14ac:dyDescent="0.3">
      <c r="A115" s="90" t="s">
        <v>196</v>
      </c>
      <c r="B115" s="90"/>
      <c r="C115" s="90"/>
      <c r="D115" s="90"/>
      <c r="E115" s="90"/>
      <c r="F115" s="89">
        <v>300000</v>
      </c>
      <c r="G115" s="89"/>
      <c r="H115" s="89"/>
    </row>
    <row r="116" spans="1:8" s="34" customFormat="1" hidden="1" x14ac:dyDescent="0.3">
      <c r="A116" s="90" t="s">
        <v>97</v>
      </c>
      <c r="B116" s="90"/>
      <c r="C116" s="90"/>
      <c r="D116" s="90"/>
      <c r="E116" s="90"/>
      <c r="F116" s="89"/>
      <c r="G116" s="89"/>
      <c r="H116" s="89"/>
    </row>
    <row r="117" spans="1:8" s="34" customFormat="1" hidden="1" x14ac:dyDescent="0.3">
      <c r="A117" s="90" t="s">
        <v>166</v>
      </c>
      <c r="B117" s="90"/>
      <c r="C117" s="90"/>
      <c r="D117" s="90"/>
      <c r="E117" s="90"/>
      <c r="F117" s="89">
        <v>15000</v>
      </c>
      <c r="G117" s="89"/>
      <c r="H117" s="89"/>
    </row>
    <row r="118" spans="1:8" s="34" customFormat="1" hidden="1" x14ac:dyDescent="0.3">
      <c r="A118" s="90" t="s">
        <v>98</v>
      </c>
      <c r="B118" s="90"/>
      <c r="C118" s="90"/>
      <c r="D118" s="90"/>
      <c r="E118" s="90"/>
      <c r="F118" s="89"/>
      <c r="G118" s="89"/>
      <c r="H118" s="89"/>
    </row>
    <row r="119" spans="1:8" s="34" customFormat="1" hidden="1" x14ac:dyDescent="0.3">
      <c r="A119" s="90" t="s">
        <v>99</v>
      </c>
      <c r="B119" s="90"/>
      <c r="C119" s="90"/>
      <c r="D119" s="90"/>
      <c r="E119" s="90"/>
      <c r="F119" s="89"/>
      <c r="G119" s="89"/>
      <c r="H119" s="89"/>
    </row>
    <row r="120" spans="1:8" s="34" customFormat="1" x14ac:dyDescent="0.3">
      <c r="A120" s="90" t="s">
        <v>195</v>
      </c>
      <c r="B120" s="90"/>
      <c r="C120" s="90"/>
      <c r="D120" s="90"/>
      <c r="E120" s="90"/>
      <c r="F120" s="89">
        <v>250000</v>
      </c>
      <c r="G120" s="89"/>
      <c r="H120" s="89"/>
    </row>
    <row r="121" spans="1:8" s="34" customFormat="1" hidden="1" x14ac:dyDescent="0.3">
      <c r="A121" s="90" t="s">
        <v>100</v>
      </c>
      <c r="B121" s="90"/>
      <c r="C121" s="90"/>
      <c r="D121" s="90"/>
      <c r="E121" s="90"/>
      <c r="F121" s="89"/>
      <c r="G121" s="89"/>
      <c r="H121" s="89"/>
    </row>
    <row r="122" spans="1:8" x14ac:dyDescent="0.35">
      <c r="A122" s="90" t="s">
        <v>51</v>
      </c>
      <c r="B122" s="90"/>
      <c r="C122" s="90"/>
      <c r="D122" s="90"/>
      <c r="E122" s="90"/>
      <c r="F122" s="89">
        <v>200000</v>
      </c>
      <c r="G122" s="89"/>
      <c r="H122" s="89"/>
    </row>
    <row r="123" spans="1:8" s="35" customFormat="1" x14ac:dyDescent="0.35">
      <c r="A123" s="120" t="s">
        <v>52</v>
      </c>
      <c r="B123" s="120"/>
      <c r="C123" s="120"/>
      <c r="D123" s="120"/>
      <c r="E123" s="120"/>
      <c r="F123" s="89">
        <f>F111*0.8</f>
        <v>3840</v>
      </c>
      <c r="G123" s="89"/>
      <c r="H123" s="89"/>
    </row>
    <row r="124" spans="1:8" s="36" customFormat="1" ht="15.75" hidden="1" customHeight="1" x14ac:dyDescent="0.35">
      <c r="A124" s="88" t="s">
        <v>77</v>
      </c>
      <c r="B124" s="88"/>
      <c r="C124" s="88"/>
      <c r="D124" s="88"/>
      <c r="E124" s="88"/>
      <c r="F124" s="88"/>
      <c r="G124" s="88"/>
      <c r="H124" s="88"/>
    </row>
    <row r="125" spans="1:8" s="36" customFormat="1" ht="15.75" hidden="1" customHeight="1" x14ac:dyDescent="0.35">
      <c r="A125" s="97" t="s">
        <v>53</v>
      </c>
      <c r="B125" s="97"/>
      <c r="C125" s="95" t="s">
        <v>80</v>
      </c>
      <c r="D125" s="95"/>
      <c r="E125" s="96" t="s">
        <v>54</v>
      </c>
      <c r="F125" s="96"/>
      <c r="G125" s="97" t="s">
        <v>55</v>
      </c>
      <c r="H125" s="97"/>
    </row>
    <row r="126" spans="1:8" s="36" customFormat="1" hidden="1" x14ac:dyDescent="0.35">
      <c r="A126" s="98"/>
      <c r="B126" s="98"/>
      <c r="C126" s="118"/>
      <c r="D126" s="118"/>
      <c r="E126" s="99"/>
      <c r="F126" s="99"/>
      <c r="G126" s="100"/>
      <c r="H126" s="100"/>
    </row>
    <row r="127" spans="1:8" s="36" customFormat="1" hidden="1" x14ac:dyDescent="0.35">
      <c r="A127" s="98"/>
      <c r="B127" s="98"/>
      <c r="C127" s="118"/>
      <c r="D127" s="118"/>
      <c r="E127" s="99"/>
      <c r="F127" s="99"/>
      <c r="G127" s="100"/>
      <c r="H127" s="100"/>
    </row>
    <row r="128" spans="1:8" s="36" customFormat="1" hidden="1" x14ac:dyDescent="0.35">
      <c r="A128" s="88" t="s">
        <v>154</v>
      </c>
      <c r="B128" s="88"/>
      <c r="C128" s="95"/>
      <c r="D128" s="95"/>
      <c r="E128" s="96"/>
      <c r="F128" s="96"/>
      <c r="G128" s="97"/>
      <c r="H128" s="97"/>
    </row>
    <row r="129" spans="1:14" s="36" customFormat="1" x14ac:dyDescent="0.35">
      <c r="A129" s="88" t="s">
        <v>71</v>
      </c>
      <c r="B129" s="88"/>
      <c r="C129" s="88"/>
      <c r="D129" s="88"/>
      <c r="E129" s="88"/>
      <c r="F129" s="88"/>
      <c r="G129" s="88"/>
      <c r="H129" s="88"/>
    </row>
    <row r="130" spans="1:14" s="36" customFormat="1" ht="15.75" customHeight="1" x14ac:dyDescent="0.35">
      <c r="A130" s="97" t="s">
        <v>53</v>
      </c>
      <c r="B130" s="97"/>
      <c r="C130" s="95" t="s">
        <v>80</v>
      </c>
      <c r="D130" s="95"/>
      <c r="E130" s="96" t="s">
        <v>54</v>
      </c>
      <c r="F130" s="96"/>
      <c r="G130" s="97" t="s">
        <v>55</v>
      </c>
      <c r="H130" s="97"/>
    </row>
    <row r="131" spans="1:14" s="36" customFormat="1" x14ac:dyDescent="0.35">
      <c r="A131" s="98" t="s">
        <v>216</v>
      </c>
      <c r="B131" s="98"/>
      <c r="C131" s="118">
        <f>COUNT(D148)+COUNT(D150:D153)*7</f>
        <v>29</v>
      </c>
      <c r="D131" s="118"/>
      <c r="E131" s="164">
        <f>SUM(D148)+SUM(D150:D153)*7</f>
        <v>10909.744559999999</v>
      </c>
      <c r="F131" s="164"/>
      <c r="G131" s="164">
        <f>SUM(F148)+SUM(F150:F153)*7</f>
        <v>15819.129612000001</v>
      </c>
      <c r="H131" s="164"/>
    </row>
    <row r="132" spans="1:14" s="36" customFormat="1" x14ac:dyDescent="0.35">
      <c r="A132" s="98" t="s">
        <v>217</v>
      </c>
      <c r="B132" s="98"/>
      <c r="C132" s="118">
        <f>COUNT(D156:D159)</f>
        <v>4</v>
      </c>
      <c r="D132" s="118"/>
      <c r="E132" s="164">
        <f>SUM(D156:D159)</f>
        <v>1045.4965560000001</v>
      </c>
      <c r="F132" s="164"/>
      <c r="G132" s="164">
        <f>SUM(F156:F159)</f>
        <v>1515.9700061999999</v>
      </c>
      <c r="H132" s="164"/>
    </row>
    <row r="133" spans="1:14" s="57" customFormat="1" ht="15" x14ac:dyDescent="0.35">
      <c r="A133" s="88" t="s">
        <v>215</v>
      </c>
      <c r="B133" s="88"/>
      <c r="C133" s="95">
        <f>SUM(C131:C132)</f>
        <v>33</v>
      </c>
      <c r="D133" s="95"/>
      <c r="E133" s="169">
        <f>SUM(E131:E132)</f>
        <v>11955.241115999999</v>
      </c>
      <c r="F133" s="169"/>
      <c r="G133" s="169">
        <f>SUM(G131:G132)</f>
        <v>17335.099618200002</v>
      </c>
      <c r="H133" s="169"/>
    </row>
    <row r="134" spans="1:14" s="35" customFormat="1" x14ac:dyDescent="0.35">
      <c r="A134" s="122" t="s">
        <v>56</v>
      </c>
      <c r="B134" s="122"/>
      <c r="C134" s="122"/>
      <c r="D134" s="122"/>
      <c r="E134" s="122"/>
      <c r="F134" s="122"/>
      <c r="G134" s="122"/>
      <c r="H134" s="122"/>
    </row>
    <row r="135" spans="1:14" x14ac:dyDescent="0.35">
      <c r="A135" s="122" t="s">
        <v>57</v>
      </c>
      <c r="B135" s="122"/>
      <c r="C135" s="122"/>
      <c r="D135" s="122"/>
      <c r="E135" s="122"/>
      <c r="F135" s="122"/>
      <c r="G135" s="122"/>
      <c r="H135" s="122"/>
    </row>
    <row r="136" spans="1:14" ht="47.25" hidden="1" customHeight="1" x14ac:dyDescent="0.35">
      <c r="A136" s="171" t="s">
        <v>122</v>
      </c>
      <c r="B136" s="171" t="s">
        <v>121</v>
      </c>
      <c r="C136" s="171" t="s">
        <v>58</v>
      </c>
      <c r="D136" s="171" t="s">
        <v>59</v>
      </c>
      <c r="E136" s="172" t="s">
        <v>159</v>
      </c>
      <c r="F136" s="173" t="s">
        <v>153</v>
      </c>
      <c r="G136" s="171" t="s">
        <v>61</v>
      </c>
      <c r="H136" s="171"/>
    </row>
    <row r="137" spans="1:14" s="45" customFormat="1" hidden="1" x14ac:dyDescent="0.35">
      <c r="A137" s="171"/>
      <c r="B137" s="171"/>
      <c r="C137" s="171"/>
      <c r="D137" s="171"/>
      <c r="E137" s="172"/>
      <c r="F137" s="174">
        <v>0.6</v>
      </c>
      <c r="G137" s="171"/>
      <c r="H137" s="171"/>
    </row>
    <row r="138" spans="1:14" s="45" customFormat="1" hidden="1" x14ac:dyDescent="0.35">
      <c r="A138" s="158" t="s">
        <v>120</v>
      </c>
      <c r="B138" s="158"/>
      <c r="C138" s="158"/>
      <c r="D138" s="158"/>
      <c r="E138" s="158"/>
      <c r="F138" s="158"/>
      <c r="G138" s="158"/>
      <c r="H138" s="158"/>
      <c r="J138" s="37"/>
    </row>
    <row r="139" spans="1:14" s="45" customFormat="1" ht="15.75" hidden="1" customHeight="1" x14ac:dyDescent="0.35">
      <c r="A139" s="157">
        <v>1</v>
      </c>
      <c r="B139" s="157"/>
      <c r="C139" s="67"/>
      <c r="D139" s="67"/>
      <c r="E139" s="67">
        <v>0</v>
      </c>
      <c r="F139" s="67">
        <f>(D139+E139)*(($F$137)+1)</f>
        <v>0</v>
      </c>
      <c r="G139" s="157" t="str">
        <f>A138</f>
        <v>Ground Floor</v>
      </c>
      <c r="H139" s="157"/>
      <c r="I139" s="37"/>
      <c r="L139" s="163"/>
      <c r="M139" s="163"/>
      <c r="N139" s="37"/>
    </row>
    <row r="140" spans="1:14" s="45" customFormat="1" ht="15.75" hidden="1" customHeight="1" x14ac:dyDescent="0.35">
      <c r="A140" s="157">
        <f t="shared" ref="A140:A142" si="0">A139+1</f>
        <v>2</v>
      </c>
      <c r="B140" s="157"/>
      <c r="C140" s="67"/>
      <c r="D140" s="67"/>
      <c r="E140" s="67">
        <v>0</v>
      </c>
      <c r="F140" s="67">
        <f t="shared" ref="F140:F142" si="1">(D140+E140)*(($F$137)+1)</f>
        <v>0</v>
      </c>
      <c r="G140" s="157"/>
      <c r="H140" s="157"/>
      <c r="I140" s="37"/>
      <c r="L140" s="163"/>
      <c r="M140" s="163"/>
      <c r="N140" s="37"/>
    </row>
    <row r="141" spans="1:14" s="45" customFormat="1" ht="15.75" hidden="1" customHeight="1" x14ac:dyDescent="0.35">
      <c r="A141" s="157">
        <f t="shared" si="0"/>
        <v>3</v>
      </c>
      <c r="B141" s="157"/>
      <c r="C141" s="67"/>
      <c r="D141" s="67"/>
      <c r="E141" s="67">
        <v>0</v>
      </c>
      <c r="F141" s="67">
        <f t="shared" si="1"/>
        <v>0</v>
      </c>
      <c r="G141" s="157"/>
      <c r="H141" s="157"/>
      <c r="I141" s="37"/>
      <c r="L141" s="163"/>
      <c r="M141" s="163"/>
      <c r="N141" s="37"/>
    </row>
    <row r="142" spans="1:14" s="45" customFormat="1" ht="15.75" hidden="1" customHeight="1" x14ac:dyDescent="0.35">
      <c r="A142" s="157">
        <f t="shared" si="0"/>
        <v>4</v>
      </c>
      <c r="B142" s="157"/>
      <c r="C142" s="67"/>
      <c r="D142" s="67"/>
      <c r="E142" s="67">
        <v>0</v>
      </c>
      <c r="F142" s="67">
        <f t="shared" si="1"/>
        <v>0</v>
      </c>
      <c r="G142" s="157"/>
      <c r="H142" s="157"/>
      <c r="I142" s="37"/>
      <c r="L142" s="163"/>
      <c r="M142" s="163"/>
      <c r="N142" s="37"/>
    </row>
    <row r="143" spans="1:14" s="45" customFormat="1" hidden="1" x14ac:dyDescent="0.35">
      <c r="A143" s="157"/>
      <c r="B143" s="157"/>
      <c r="C143" s="157"/>
      <c r="D143" s="157"/>
      <c r="E143" s="157"/>
      <c r="F143" s="157"/>
      <c r="G143" s="157"/>
      <c r="H143" s="157"/>
      <c r="I143" s="37"/>
      <c r="N143" s="37"/>
    </row>
    <row r="144" spans="1:14" ht="47.25" customHeight="1" x14ac:dyDescent="0.35">
      <c r="A144" s="171" t="s">
        <v>123</v>
      </c>
      <c r="B144" s="171" t="s">
        <v>124</v>
      </c>
      <c r="C144" s="171" t="s">
        <v>58</v>
      </c>
      <c r="D144" s="171" t="s">
        <v>59</v>
      </c>
      <c r="E144" s="172" t="s">
        <v>60</v>
      </c>
      <c r="F144" s="173" t="s">
        <v>153</v>
      </c>
      <c r="G144" s="171" t="s">
        <v>61</v>
      </c>
      <c r="H144" s="171"/>
      <c r="I144" s="37"/>
    </row>
    <row r="145" spans="1:14" s="45" customFormat="1" x14ac:dyDescent="0.35">
      <c r="A145" s="171"/>
      <c r="B145" s="171"/>
      <c r="C145" s="171"/>
      <c r="D145" s="171"/>
      <c r="E145" s="172"/>
      <c r="F145" s="174">
        <v>0.45</v>
      </c>
      <c r="G145" s="171"/>
      <c r="H145" s="171"/>
      <c r="I145" s="37"/>
    </row>
    <row r="146" spans="1:14" s="52" customFormat="1" x14ac:dyDescent="0.35">
      <c r="A146" s="158" t="s">
        <v>210</v>
      </c>
      <c r="B146" s="158"/>
      <c r="C146" s="158"/>
      <c r="D146" s="158"/>
      <c r="E146" s="158"/>
      <c r="F146" s="158"/>
      <c r="G146" s="158"/>
      <c r="H146" s="158"/>
      <c r="J146" s="37"/>
    </row>
    <row r="147" spans="1:14" s="45" customFormat="1" x14ac:dyDescent="0.35">
      <c r="A147" s="158" t="s">
        <v>211</v>
      </c>
      <c r="B147" s="158"/>
      <c r="C147" s="158"/>
      <c r="D147" s="158"/>
      <c r="E147" s="158"/>
      <c r="F147" s="158"/>
      <c r="G147" s="158"/>
      <c r="H147" s="158"/>
      <c r="J147" s="37">
        <f>10.764</f>
        <v>10.763999999999999</v>
      </c>
    </row>
    <row r="148" spans="1:14" s="45" customFormat="1" ht="15.75" customHeight="1" x14ac:dyDescent="0.35">
      <c r="A148" s="159">
        <v>1</v>
      </c>
      <c r="B148" s="160"/>
      <c r="C148" s="50">
        <v>0</v>
      </c>
      <c r="D148" s="53">
        <f>(23.53)*(10.764)</f>
        <v>253.27691999999999</v>
      </c>
      <c r="E148" s="42">
        <v>0</v>
      </c>
      <c r="F148" s="42">
        <f>D148*(($F$145)+1)+(IF(E148&lt;101,E148,IF(E148&lt;201,E148/2,IF(E148&lt;=301,E148/3,E148/4))))</f>
        <v>367.25153399999999</v>
      </c>
      <c r="G148" s="161" t="str">
        <f>A147</f>
        <v>Ground Floor For Part Residental, Lobby &amp; Parking</v>
      </c>
      <c r="H148" s="162"/>
      <c r="I148" s="37"/>
      <c r="J148" s="45">
        <f>4.04*2.75+2.15*1.5+1.25*1.7+1.25+0.7*1.85+1.25+1.3*1</f>
        <v>21.555000000000003</v>
      </c>
      <c r="L148" s="163"/>
      <c r="M148" s="163"/>
      <c r="N148" s="37"/>
    </row>
    <row r="149" spans="1:14" s="52" customFormat="1" x14ac:dyDescent="0.35">
      <c r="A149" s="91" t="s">
        <v>212</v>
      </c>
      <c r="B149" s="92"/>
      <c r="C149" s="92"/>
      <c r="D149" s="92"/>
      <c r="E149" s="92"/>
      <c r="F149" s="92"/>
      <c r="G149" s="92"/>
      <c r="H149" s="93"/>
      <c r="J149" s="37"/>
    </row>
    <row r="150" spans="1:14" s="52" customFormat="1" ht="15.75" customHeight="1" x14ac:dyDescent="0.35">
      <c r="A150" s="157">
        <v>1</v>
      </c>
      <c r="B150" s="157"/>
      <c r="C150" s="50">
        <v>1</v>
      </c>
      <c r="D150" s="53">
        <f>(2.75*3.95+2.35*2.15+2.19*2.75+1.25*1.6+0.95*1.25+1*1.25+1.01*2.75+0.75*(1.6+3.05)+0.9*2.15)*(10.764)</f>
        <v>372.1653</v>
      </c>
      <c r="E150" s="66">
        <v>0</v>
      </c>
      <c r="F150" s="66">
        <f>D150*(($F$145)+1)+(IF(E150&lt;101,E150,IF(E150&lt;201,E150/2,IF(E150&lt;=301,E150/3,E150/4))))</f>
        <v>539.63968499999999</v>
      </c>
      <c r="G150" s="157" t="str">
        <f>A149</f>
        <v>1st to 7th Floor For Residential</v>
      </c>
      <c r="H150" s="157"/>
      <c r="I150" s="37"/>
      <c r="J150" s="52">
        <f>2.75*3.95+2.35*2.15+2.19*2.75+1.25*1.6+0.95*1.25+1*1.25+1.01*2.75</f>
        <v>29.1525</v>
      </c>
      <c r="L150" s="163"/>
      <c r="M150" s="163"/>
      <c r="N150" s="37"/>
    </row>
    <row r="151" spans="1:14" s="52" customFormat="1" ht="15.75" customHeight="1" x14ac:dyDescent="0.35">
      <c r="A151" s="157">
        <f t="shared" ref="A151:A153" si="2">A150+1</f>
        <v>2</v>
      </c>
      <c r="B151" s="157"/>
      <c r="C151" s="50">
        <v>1</v>
      </c>
      <c r="D151" s="53">
        <f>(2.75*3.95+2.35*2.15+2.19*2.75+1.25*1.6+0.95*1.25+1*1.25+1.01*2.75+0.75*(1.6+3.05)+0.9*2.15)*(10.764)</f>
        <v>372.1653</v>
      </c>
      <c r="E151" s="66">
        <v>0</v>
      </c>
      <c r="F151" s="66">
        <f>D151*(($F$145)+1)+(IF(E151&lt;101,E151,IF(E151&lt;201,E151/2,IF(E151&lt;=301,E151/3,E151/4))))</f>
        <v>539.63968499999999</v>
      </c>
      <c r="G151" s="157"/>
      <c r="H151" s="157"/>
      <c r="I151" s="37"/>
      <c r="L151" s="163"/>
      <c r="M151" s="163"/>
      <c r="N151" s="37"/>
    </row>
    <row r="152" spans="1:14" s="52" customFormat="1" ht="15.75" customHeight="1" x14ac:dyDescent="0.35">
      <c r="A152" s="157">
        <f t="shared" si="2"/>
        <v>3</v>
      </c>
      <c r="B152" s="157"/>
      <c r="C152" s="50">
        <v>1</v>
      </c>
      <c r="D152" s="53">
        <f>(2.99*2.75+0.7*1.85+2.15*2.25+1.25*1.7+1*1.25+2.75*3.05+1.25*1+1*1.5+0.75*(2.75+2.75)+0.9*(2.15)+1.01*2.75)*(10.764)</f>
        <v>405.85661999999996</v>
      </c>
      <c r="E152" s="66">
        <v>0</v>
      </c>
      <c r="F152" s="66">
        <f>D152*(($F$145)+1)+(IF(E152&lt;101,E152,IF(E152&lt;201,E152/2,IF(E152&lt;=301,E152/3,E152/4))))</f>
        <v>588.49209899999994</v>
      </c>
      <c r="G152" s="157"/>
      <c r="H152" s="157"/>
      <c r="I152" s="37"/>
      <c r="J152" s="52">
        <f>4.2*2.75+0.7*1.85+2.15*2.25+1.25*1.7+1*1.25+2.75*3.05+1.25*1+1*1.5</f>
        <v>32.195</v>
      </c>
      <c r="L152" s="163"/>
      <c r="M152" s="163"/>
      <c r="N152" s="37"/>
    </row>
    <row r="153" spans="1:14" s="52" customFormat="1" ht="15.75" customHeight="1" x14ac:dyDescent="0.35">
      <c r="A153" s="157">
        <f t="shared" si="2"/>
        <v>4</v>
      </c>
      <c r="B153" s="157"/>
      <c r="C153" s="50">
        <v>1</v>
      </c>
      <c r="D153" s="53">
        <f>(2.75*3.95+2.35*2.15+2.19*2.75+1.25*1.6+0.95*1.25+1*1.25+1.01*2.75+0.75*(1.6+3.05)+0.9*2.15)*(10.764)</f>
        <v>372.1653</v>
      </c>
      <c r="E153" s="66">
        <v>0</v>
      </c>
      <c r="F153" s="66">
        <f>D153*(($F$145)+1)+(IF(E153&lt;101,E153,IF(E153&lt;201,E153/2,IF(E153&lt;=301,E153/3,E153/4))))</f>
        <v>539.63968499999999</v>
      </c>
      <c r="G153" s="157"/>
      <c r="H153" s="157"/>
      <c r="I153" s="37"/>
      <c r="L153" s="163"/>
      <c r="M153" s="163"/>
      <c r="N153" s="37"/>
    </row>
    <row r="154" spans="1:14" s="55" customFormat="1" x14ac:dyDescent="0.35">
      <c r="A154" s="158" t="s">
        <v>213</v>
      </c>
      <c r="B154" s="158"/>
      <c r="C154" s="158"/>
      <c r="D154" s="158"/>
      <c r="E154" s="158"/>
      <c r="F154" s="158"/>
      <c r="G154" s="158"/>
      <c r="H154" s="158"/>
      <c r="J154" s="37"/>
    </row>
    <row r="155" spans="1:14" s="55" customFormat="1" x14ac:dyDescent="0.35">
      <c r="A155" s="158" t="s">
        <v>211</v>
      </c>
      <c r="B155" s="158"/>
      <c r="C155" s="158"/>
      <c r="D155" s="158"/>
      <c r="E155" s="158"/>
      <c r="F155" s="158"/>
      <c r="G155" s="158"/>
      <c r="H155" s="158"/>
      <c r="J155" s="37">
        <f>10.764</f>
        <v>10.763999999999999</v>
      </c>
    </row>
    <row r="156" spans="1:14" s="55" customFormat="1" ht="15.75" customHeight="1" x14ac:dyDescent="0.35">
      <c r="A156" s="157">
        <v>5</v>
      </c>
      <c r="B156" s="157"/>
      <c r="C156" s="50">
        <v>0</v>
      </c>
      <c r="D156" s="53">
        <f>(4*2.75+1.79*2.2+1.55*1.25+0.95*1.25+0.8*1.25)*(10.764)</f>
        <v>205.19413200000002</v>
      </c>
      <c r="E156" s="66">
        <v>0</v>
      </c>
      <c r="F156" s="66">
        <f>D156*(($F$145)+1)+(IF(E156&lt;101,E156,IF(E156&lt;201,E156/2,IF(E156&lt;=301,E156/3,E156/4))))</f>
        <v>297.53149140000005</v>
      </c>
      <c r="G156" s="157" t="str">
        <f>A155</f>
        <v>Ground Floor For Part Residental, Lobby &amp; Parking</v>
      </c>
      <c r="H156" s="157"/>
      <c r="I156" s="37"/>
      <c r="J156" s="55">
        <f>4.04*2.75+2.15*1.5+1.25*1.7+1.25+0.7*1.85+1.25+1.3*1</f>
        <v>21.555000000000003</v>
      </c>
      <c r="L156" s="163"/>
      <c r="M156" s="163"/>
      <c r="N156" s="37"/>
    </row>
    <row r="157" spans="1:14" s="55" customFormat="1" ht="15.75" customHeight="1" x14ac:dyDescent="0.35">
      <c r="A157" s="157">
        <f t="shared" ref="A157:A159" si="3">A156+1</f>
        <v>6</v>
      </c>
      <c r="B157" s="157"/>
      <c r="C157" s="50">
        <v>1</v>
      </c>
      <c r="D157" s="53">
        <f>(2.19*1.65+3.04*2.3+2.15*2.15+3.05*2.75+1.25+1.25*1.65+1*0.9+1.65)*(10.764)</f>
        <v>317.3011919999999</v>
      </c>
      <c r="E157" s="66">
        <v>0</v>
      </c>
      <c r="F157" s="66">
        <f>D157*(($F$145)+1)+(IF(E157&lt;101,E157,IF(E157&lt;201,E157/2,IF(E157&lt;=301,E157/3,E157/4))))</f>
        <v>460.08672839999986</v>
      </c>
      <c r="G157" s="157"/>
      <c r="H157" s="157"/>
      <c r="I157" s="37"/>
      <c r="L157" s="163"/>
      <c r="M157" s="163"/>
      <c r="N157" s="37"/>
    </row>
    <row r="158" spans="1:14" s="55" customFormat="1" ht="15.75" customHeight="1" x14ac:dyDescent="0.35">
      <c r="A158" s="157">
        <f t="shared" si="3"/>
        <v>7</v>
      </c>
      <c r="B158" s="157"/>
      <c r="C158" s="50">
        <v>0</v>
      </c>
      <c r="D158" s="53">
        <f>(3.04*3.95+2.15*2.15+1.25*1.65+1.25*0.9+0.9*0.9)*(10.764)</f>
        <v>222.03979199999998</v>
      </c>
      <c r="E158" s="66">
        <v>0</v>
      </c>
      <c r="F158" s="66">
        <f>D158*(($F$145)+1)+(IF(E158&lt;101,E158,IF(E158&lt;201,E158/2,IF(E158&lt;=301,E158/3,E158/4))))</f>
        <v>321.95769839999997</v>
      </c>
      <c r="G158" s="157"/>
      <c r="H158" s="157"/>
      <c r="I158" s="37"/>
      <c r="J158" s="55">
        <f>4.2*2.75+0.7*1.85+2.15*2.25+1.25*1.7+1*1.25+2.75*3.05+1.25*1+1*1.5</f>
        <v>32.195</v>
      </c>
      <c r="L158" s="163"/>
      <c r="M158" s="163"/>
      <c r="N158" s="37"/>
    </row>
    <row r="159" spans="1:14" s="55" customFormat="1" ht="15.75" customHeight="1" x14ac:dyDescent="0.35">
      <c r="A159" s="157">
        <f t="shared" si="3"/>
        <v>8</v>
      </c>
      <c r="B159" s="157"/>
      <c r="C159" s="50">
        <v>1</v>
      </c>
      <c r="D159" s="53">
        <f>(2.85*2.75+2.75*2.2+2.75*2.34+1.55*1.25+0.95*1.25+0.75*1.25+1.3*2.75)*(10.764)</f>
        <v>300.96143999999998</v>
      </c>
      <c r="E159" s="66">
        <v>0</v>
      </c>
      <c r="F159" s="66">
        <f>D159*(($F$145)+1)+(IF(E159&lt;101,E159,IF(E159&lt;201,E159/2,IF(E159&lt;=301,E159/3,E159/4))))</f>
        <v>436.39408799999995</v>
      </c>
      <c r="G159" s="157"/>
      <c r="H159" s="157"/>
      <c r="I159" s="37"/>
      <c r="L159" s="163"/>
      <c r="M159" s="163"/>
      <c r="N159" s="37"/>
    </row>
    <row r="160" spans="1:14" s="36" customFormat="1" x14ac:dyDescent="0.35">
      <c r="A160" s="78" t="s">
        <v>69</v>
      </c>
      <c r="B160" s="78"/>
      <c r="C160" s="78"/>
      <c r="D160" s="78"/>
      <c r="E160" s="78"/>
      <c r="F160" s="78"/>
      <c r="G160" s="78"/>
      <c r="H160" s="78"/>
    </row>
    <row r="161" spans="1:8" s="36" customFormat="1" ht="32" customHeight="1" x14ac:dyDescent="0.35">
      <c r="A161" s="63" t="s">
        <v>157</v>
      </c>
      <c r="B161" s="113" t="s">
        <v>249</v>
      </c>
      <c r="C161" s="113"/>
      <c r="D161" s="113"/>
      <c r="E161" s="113"/>
      <c r="F161" s="113"/>
      <c r="G161" s="113"/>
      <c r="H161" s="113"/>
    </row>
    <row r="162" spans="1:8" s="36" customFormat="1" x14ac:dyDescent="0.35">
      <c r="A162" s="63" t="s">
        <v>157</v>
      </c>
      <c r="B162" s="113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162" s="113"/>
      <c r="D162" s="113"/>
      <c r="E162" s="113"/>
      <c r="F162" s="113"/>
      <c r="G162" s="113"/>
      <c r="H162" s="113"/>
    </row>
    <row r="163" spans="1:8" s="36" customFormat="1" hidden="1" x14ac:dyDescent="0.35">
      <c r="A163" s="63" t="s">
        <v>157</v>
      </c>
      <c r="B163" s="113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3" s="113"/>
      <c r="D163" s="113"/>
      <c r="E163" s="113"/>
      <c r="F163" s="113"/>
      <c r="G163" s="113"/>
      <c r="H163" s="113"/>
    </row>
    <row r="164" spans="1:8" s="36" customFormat="1" x14ac:dyDescent="0.35">
      <c r="A164" s="63" t="s">
        <v>157</v>
      </c>
      <c r="B164" s="104" t="s">
        <v>126</v>
      </c>
      <c r="C164" s="104"/>
      <c r="D164" s="104"/>
      <c r="E164" s="104"/>
      <c r="F164" s="104"/>
      <c r="G164" s="104"/>
      <c r="H164" s="104"/>
    </row>
    <row r="165" spans="1:8" s="36" customFormat="1" x14ac:dyDescent="0.35">
      <c r="A165" s="63" t="s">
        <v>157</v>
      </c>
      <c r="B165" s="104" t="s">
        <v>194</v>
      </c>
      <c r="C165" s="104"/>
      <c r="D165" s="104"/>
      <c r="E165" s="104"/>
      <c r="F165" s="104"/>
      <c r="G165" s="104"/>
      <c r="H165" s="104"/>
    </row>
    <row r="166" spans="1:8" s="36" customFormat="1" x14ac:dyDescent="0.35">
      <c r="A166" s="44" t="s">
        <v>157</v>
      </c>
      <c r="B166" s="101" t="s">
        <v>156</v>
      </c>
      <c r="C166" s="102"/>
      <c r="D166" s="102"/>
      <c r="E166" s="102"/>
      <c r="F166" s="102"/>
      <c r="G166" s="102"/>
      <c r="H166" s="103"/>
    </row>
    <row r="167" spans="1:8" s="36" customFormat="1" x14ac:dyDescent="0.35">
      <c r="A167" s="44" t="s">
        <v>157</v>
      </c>
      <c r="B167" s="101" t="s">
        <v>127</v>
      </c>
      <c r="C167" s="102"/>
      <c r="D167" s="102"/>
      <c r="E167" s="102"/>
      <c r="F167" s="102"/>
      <c r="G167" s="102"/>
      <c r="H167" s="103"/>
    </row>
    <row r="168" spans="1:8" s="36" customFormat="1" ht="34.5" customHeight="1" x14ac:dyDescent="0.35">
      <c r="A168" s="44" t="s">
        <v>157</v>
      </c>
      <c r="B168" s="101" t="s">
        <v>158</v>
      </c>
      <c r="C168" s="102"/>
      <c r="D168" s="102"/>
      <c r="E168" s="102"/>
      <c r="F168" s="102"/>
      <c r="G168" s="102"/>
      <c r="H168" s="103"/>
    </row>
    <row r="169" spans="1:8" s="36" customFormat="1" x14ac:dyDescent="0.35">
      <c r="A169" s="44" t="s">
        <v>157</v>
      </c>
      <c r="B169" s="101" t="s">
        <v>128</v>
      </c>
      <c r="C169" s="102"/>
      <c r="D169" s="102"/>
      <c r="E169" s="102"/>
      <c r="F169" s="102"/>
      <c r="G169" s="102"/>
      <c r="H169" s="103"/>
    </row>
    <row r="170" spans="1:8" s="36" customFormat="1" x14ac:dyDescent="0.35">
      <c r="A170" s="56" t="s">
        <v>157</v>
      </c>
      <c r="B170" s="101" t="s">
        <v>214</v>
      </c>
      <c r="C170" s="102"/>
      <c r="D170" s="102"/>
      <c r="E170" s="102"/>
      <c r="F170" s="102"/>
      <c r="G170" s="102"/>
      <c r="H170" s="103"/>
    </row>
    <row r="171" spans="1:8" s="36" customFormat="1" x14ac:dyDescent="0.35">
      <c r="A171" s="58" t="s">
        <v>157</v>
      </c>
      <c r="B171" s="101" t="s">
        <v>221</v>
      </c>
      <c r="C171" s="102"/>
      <c r="D171" s="102"/>
      <c r="E171" s="102"/>
      <c r="F171" s="102"/>
      <c r="G171" s="102"/>
      <c r="H171" s="103"/>
    </row>
    <row r="172" spans="1:8" s="36" customFormat="1" hidden="1" x14ac:dyDescent="0.35">
      <c r="A172" s="85" t="s">
        <v>157</v>
      </c>
      <c r="B172" s="60" t="s">
        <v>223</v>
      </c>
      <c r="C172" s="59" t="s">
        <v>222</v>
      </c>
      <c r="D172" s="88" t="s">
        <v>229</v>
      </c>
      <c r="E172" s="88"/>
      <c r="F172" s="88"/>
      <c r="G172" s="88"/>
      <c r="H172" s="88"/>
    </row>
    <row r="173" spans="1:8" s="36" customFormat="1" ht="15.75" hidden="1" customHeight="1" x14ac:dyDescent="0.35">
      <c r="A173" s="86"/>
      <c r="B173" s="60">
        <v>1</v>
      </c>
      <c r="C173" s="61" t="s">
        <v>224</v>
      </c>
      <c r="D173" s="78" t="s">
        <v>225</v>
      </c>
      <c r="E173" s="78"/>
      <c r="F173" s="78"/>
      <c r="G173" s="78"/>
      <c r="H173" s="78"/>
    </row>
    <row r="174" spans="1:8" s="36" customFormat="1" hidden="1" x14ac:dyDescent="0.35">
      <c r="A174" s="86"/>
      <c r="B174" s="60">
        <f>B173+1</f>
        <v>2</v>
      </c>
      <c r="C174" s="61">
        <v>44996</v>
      </c>
      <c r="D174" s="78" t="s">
        <v>230</v>
      </c>
      <c r="E174" s="78"/>
      <c r="F174" s="78"/>
      <c r="G174" s="78"/>
      <c r="H174" s="78"/>
    </row>
    <row r="175" spans="1:8" s="36" customFormat="1" hidden="1" x14ac:dyDescent="0.35">
      <c r="A175" s="86"/>
      <c r="B175" s="60">
        <f t="shared" ref="B175:B179" si="4">B174+1</f>
        <v>3</v>
      </c>
      <c r="C175" s="61" t="s">
        <v>226</v>
      </c>
      <c r="D175" s="78" t="s">
        <v>231</v>
      </c>
      <c r="E175" s="78"/>
      <c r="F175" s="78"/>
      <c r="G175" s="78"/>
      <c r="H175" s="78"/>
    </row>
    <row r="176" spans="1:8" s="36" customFormat="1" hidden="1" x14ac:dyDescent="0.35">
      <c r="A176" s="86"/>
      <c r="B176" s="60">
        <f t="shared" si="4"/>
        <v>4</v>
      </c>
      <c r="C176" s="61">
        <v>45178</v>
      </c>
      <c r="D176" s="78" t="s">
        <v>232</v>
      </c>
      <c r="E176" s="78"/>
      <c r="F176" s="78"/>
      <c r="G176" s="78"/>
      <c r="H176" s="78"/>
    </row>
    <row r="177" spans="1:10" s="36" customFormat="1" hidden="1" x14ac:dyDescent="0.35">
      <c r="A177" s="86"/>
      <c r="B177" s="60">
        <f t="shared" si="4"/>
        <v>5</v>
      </c>
      <c r="C177" s="61">
        <v>45268</v>
      </c>
      <c r="D177" s="78" t="s">
        <v>233</v>
      </c>
      <c r="E177" s="78"/>
      <c r="F177" s="78"/>
      <c r="G177" s="78"/>
      <c r="H177" s="78"/>
    </row>
    <row r="178" spans="1:10" s="36" customFormat="1" hidden="1" x14ac:dyDescent="0.35">
      <c r="A178" s="86"/>
      <c r="B178" s="60">
        <f t="shared" si="4"/>
        <v>6</v>
      </c>
      <c r="C178" s="61">
        <v>45366</v>
      </c>
      <c r="D178" s="78" t="s">
        <v>234</v>
      </c>
      <c r="E178" s="78"/>
      <c r="F178" s="78"/>
      <c r="G178" s="78"/>
      <c r="H178" s="78"/>
    </row>
    <row r="179" spans="1:10" s="36" customFormat="1" hidden="1" x14ac:dyDescent="0.35">
      <c r="A179" s="86"/>
      <c r="B179" s="60">
        <f t="shared" si="4"/>
        <v>7</v>
      </c>
      <c r="C179" s="61" t="s">
        <v>227</v>
      </c>
      <c r="D179" s="78" t="s">
        <v>235</v>
      </c>
      <c r="E179" s="78"/>
      <c r="F179" s="78"/>
      <c r="G179" s="78"/>
      <c r="H179" s="78"/>
    </row>
    <row r="180" spans="1:10" s="36" customFormat="1" hidden="1" x14ac:dyDescent="0.35">
      <c r="A180" s="86"/>
      <c r="B180" s="60">
        <f t="shared" ref="B180:B184" si="5">B179+1</f>
        <v>8</v>
      </c>
      <c r="C180" s="61" t="s">
        <v>228</v>
      </c>
      <c r="D180" s="78" t="s">
        <v>237</v>
      </c>
      <c r="E180" s="78"/>
      <c r="F180" s="78"/>
      <c r="G180" s="78"/>
      <c r="H180" s="78"/>
      <c r="J180" s="36" t="s">
        <v>236</v>
      </c>
    </row>
    <row r="181" spans="1:10" s="36" customFormat="1" hidden="1" x14ac:dyDescent="0.35">
      <c r="A181" s="86"/>
      <c r="B181" s="60">
        <f t="shared" si="5"/>
        <v>9</v>
      </c>
      <c r="C181" s="61">
        <v>45553</v>
      </c>
      <c r="D181" s="78" t="s">
        <v>238</v>
      </c>
      <c r="E181" s="78"/>
      <c r="F181" s="78"/>
      <c r="G181" s="78"/>
      <c r="H181" s="78"/>
    </row>
    <row r="182" spans="1:10" s="36" customFormat="1" hidden="1" x14ac:dyDescent="0.35">
      <c r="A182" s="86"/>
      <c r="B182" s="60">
        <f t="shared" si="5"/>
        <v>10</v>
      </c>
      <c r="C182" s="61">
        <v>45560</v>
      </c>
      <c r="D182" s="78" t="s">
        <v>238</v>
      </c>
      <c r="E182" s="78"/>
      <c r="F182" s="78"/>
      <c r="G182" s="78"/>
      <c r="H182" s="78"/>
    </row>
    <row r="183" spans="1:10" s="36" customFormat="1" hidden="1" x14ac:dyDescent="0.35">
      <c r="A183" s="86"/>
      <c r="B183" s="60">
        <f t="shared" si="5"/>
        <v>11</v>
      </c>
      <c r="C183" s="61">
        <v>45579</v>
      </c>
      <c r="D183" s="78" t="s">
        <v>239</v>
      </c>
      <c r="E183" s="78"/>
      <c r="F183" s="78"/>
      <c r="G183" s="78"/>
      <c r="H183" s="78"/>
    </row>
    <row r="184" spans="1:10" s="36" customFormat="1" hidden="1" x14ac:dyDescent="0.35">
      <c r="A184" s="86"/>
      <c r="B184" s="60">
        <f t="shared" si="5"/>
        <v>12</v>
      </c>
      <c r="C184" s="61">
        <v>45671</v>
      </c>
      <c r="D184" s="78" t="s">
        <v>239</v>
      </c>
      <c r="E184" s="78"/>
      <c r="F184" s="78"/>
      <c r="G184" s="78"/>
      <c r="H184" s="78"/>
    </row>
    <row r="185" spans="1:10" s="36" customFormat="1" hidden="1" x14ac:dyDescent="0.35">
      <c r="A185" s="86"/>
      <c r="B185" s="82" t="s">
        <v>240</v>
      </c>
      <c r="C185" s="83"/>
      <c r="D185" s="83"/>
      <c r="E185" s="83"/>
      <c r="F185" s="83"/>
      <c r="G185" s="83"/>
      <c r="H185" s="84"/>
    </row>
    <row r="186" spans="1:10" s="36" customFormat="1" ht="30" hidden="1" customHeight="1" x14ac:dyDescent="0.35">
      <c r="A186" s="87"/>
      <c r="B186" s="79" t="s">
        <v>242</v>
      </c>
      <c r="C186" s="80"/>
      <c r="D186" s="80"/>
      <c r="E186" s="80"/>
      <c r="F186" s="80"/>
      <c r="G186" s="80"/>
      <c r="H186" s="81"/>
    </row>
    <row r="187" spans="1:10" x14ac:dyDescent="0.35">
      <c r="A187" s="117" t="s">
        <v>62</v>
      </c>
      <c r="B187" s="117"/>
      <c r="C187" s="117"/>
      <c r="D187" s="117"/>
      <c r="E187" s="117"/>
      <c r="F187" s="117"/>
      <c r="G187" s="117"/>
      <c r="H187" s="117"/>
    </row>
    <row r="188" spans="1:10" x14ac:dyDescent="0.35">
      <c r="A188" s="90" t="s">
        <v>63</v>
      </c>
      <c r="B188" s="90"/>
      <c r="C188" s="90"/>
      <c r="D188" s="90"/>
      <c r="E188" s="90"/>
      <c r="F188" s="90"/>
      <c r="G188" s="90"/>
      <c r="H188" s="90"/>
    </row>
    <row r="189" spans="1:10" ht="15.75" customHeight="1" x14ac:dyDescent="0.35">
      <c r="A189" s="112" t="s">
        <v>64</v>
      </c>
      <c r="B189" s="112"/>
      <c r="C189" s="112"/>
      <c r="D189" s="112"/>
      <c r="E189" s="112"/>
      <c r="F189" s="112"/>
      <c r="G189" s="112"/>
      <c r="H189" s="112"/>
    </row>
    <row r="190" spans="1:10" x14ac:dyDescent="0.35">
      <c r="A190" s="90" t="s">
        <v>65</v>
      </c>
      <c r="B190" s="90"/>
      <c r="C190" s="90"/>
      <c r="D190" s="90"/>
      <c r="E190" s="90"/>
      <c r="F190" s="90"/>
      <c r="G190" s="90"/>
      <c r="H190" s="90"/>
    </row>
    <row r="191" spans="1:10" x14ac:dyDescent="0.35">
      <c r="A191" s="90" t="s">
        <v>66</v>
      </c>
      <c r="B191" s="90"/>
      <c r="C191" s="90"/>
      <c r="D191" s="90"/>
      <c r="E191" s="90"/>
      <c r="F191" s="90"/>
      <c r="G191" s="90"/>
      <c r="H191" s="90"/>
    </row>
    <row r="192" spans="1:10" x14ac:dyDescent="0.35">
      <c r="A192" s="90" t="s">
        <v>129</v>
      </c>
      <c r="B192" s="90"/>
      <c r="C192" s="90"/>
      <c r="D192" s="90"/>
      <c r="E192" s="90"/>
      <c r="F192" s="90"/>
      <c r="G192" s="90"/>
      <c r="H192" s="90"/>
    </row>
    <row r="193" spans="1:8" x14ac:dyDescent="0.35">
      <c r="A193" s="116" t="s">
        <v>130</v>
      </c>
      <c r="B193" s="116"/>
      <c r="C193" s="116"/>
      <c r="D193" s="116"/>
      <c r="E193" s="116"/>
      <c r="F193" s="116"/>
      <c r="G193" s="116"/>
      <c r="H193" s="116"/>
    </row>
    <row r="194" spans="1:8" x14ac:dyDescent="0.35">
      <c r="A194" s="115" t="s">
        <v>79</v>
      </c>
      <c r="B194" s="115"/>
      <c r="C194" s="115" t="s">
        <v>202</v>
      </c>
      <c r="D194" s="115"/>
      <c r="E194" s="115" t="s">
        <v>107</v>
      </c>
      <c r="F194" s="115"/>
      <c r="G194" s="115" t="s">
        <v>241</v>
      </c>
      <c r="H194" s="115"/>
    </row>
    <row r="195" spans="1:8" x14ac:dyDescent="0.35">
      <c r="A195" s="114" t="s">
        <v>81</v>
      </c>
      <c r="B195" s="114"/>
      <c r="C195" s="114"/>
      <c r="D195" s="114"/>
      <c r="E195" s="114"/>
      <c r="F195" s="114"/>
      <c r="G195" s="114"/>
      <c r="H195" s="114"/>
    </row>
    <row r="196" spans="1:8" x14ac:dyDescent="0.35">
      <c r="A196" s="114"/>
      <c r="B196" s="114"/>
      <c r="C196" s="114"/>
      <c r="D196" s="114"/>
      <c r="E196" s="114"/>
      <c r="F196" s="114"/>
      <c r="G196" s="114"/>
      <c r="H196" s="114"/>
    </row>
    <row r="197" spans="1:8" x14ac:dyDescent="0.35">
      <c r="A197" s="114"/>
      <c r="B197" s="114"/>
      <c r="C197" s="114"/>
      <c r="D197" s="114"/>
      <c r="E197" s="114"/>
      <c r="F197" s="114"/>
      <c r="G197" s="114"/>
      <c r="H197" s="114"/>
    </row>
    <row r="198" spans="1:8" x14ac:dyDescent="0.35">
      <c r="A198" s="114"/>
      <c r="B198" s="114"/>
      <c r="C198" s="114"/>
      <c r="D198" s="114"/>
      <c r="E198" s="114"/>
      <c r="F198" s="114"/>
      <c r="G198" s="114"/>
      <c r="H198" s="114"/>
    </row>
    <row r="199" spans="1:8" x14ac:dyDescent="0.35">
      <c r="A199" s="38" t="s">
        <v>67</v>
      </c>
      <c r="B199" s="39"/>
      <c r="C199" s="39"/>
      <c r="D199" s="38" t="str">
        <f>E8</f>
        <v>Tripura Residency</v>
      </c>
      <c r="F199" s="39"/>
      <c r="G199" s="39"/>
      <c r="H199" s="39"/>
    </row>
    <row r="200" spans="1:8" x14ac:dyDescent="0.35">
      <c r="A200" s="39"/>
      <c r="B200" s="39"/>
      <c r="C200" s="39"/>
      <c r="D200" s="39"/>
      <c r="E200" s="39"/>
      <c r="F200" s="39"/>
      <c r="G200" s="39"/>
      <c r="H200" s="39"/>
    </row>
    <row r="201" spans="1:8" x14ac:dyDescent="0.35">
      <c r="A201" s="39"/>
      <c r="B201" s="39"/>
      <c r="C201" s="39"/>
      <c r="D201" s="39"/>
      <c r="E201" s="39"/>
      <c r="F201" s="39"/>
      <c r="G201" s="39"/>
      <c r="H201" s="39"/>
    </row>
    <row r="202" spans="1:8" ht="15" customHeight="1" x14ac:dyDescent="0.35"/>
    <row r="242" spans="1:1" x14ac:dyDescent="0.35">
      <c r="A242" s="41" t="s">
        <v>171</v>
      </c>
    </row>
    <row r="285" spans="1:1" x14ac:dyDescent="0.35">
      <c r="A285" s="41" t="s">
        <v>68</v>
      </c>
    </row>
  </sheetData>
  <mergeCells count="354">
    <mergeCell ref="B171:H171"/>
    <mergeCell ref="L156:M156"/>
    <mergeCell ref="L157:M157"/>
    <mergeCell ref="L158:M158"/>
    <mergeCell ref="L159:M159"/>
    <mergeCell ref="G156:H159"/>
    <mergeCell ref="B170:H170"/>
    <mergeCell ref="A132:B132"/>
    <mergeCell ref="C132:D132"/>
    <mergeCell ref="E132:F132"/>
    <mergeCell ref="G132:H132"/>
    <mergeCell ref="A133:B133"/>
    <mergeCell ref="C133:D133"/>
    <mergeCell ref="E133:F133"/>
    <mergeCell ref="G133:H133"/>
    <mergeCell ref="B168:H168"/>
    <mergeCell ref="L148:M148"/>
    <mergeCell ref="L142:M142"/>
    <mergeCell ref="L150:M150"/>
    <mergeCell ref="L151:M151"/>
    <mergeCell ref="L152:M152"/>
    <mergeCell ref="A153:B153"/>
    <mergeCell ref="L153:M153"/>
    <mergeCell ref="A146:H146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C52:E52"/>
    <mergeCell ref="G52:H52"/>
    <mergeCell ref="C53:H53"/>
    <mergeCell ref="A81:B81"/>
    <mergeCell ref="C81:H81"/>
    <mergeCell ref="A83:B83"/>
    <mergeCell ref="C83:H83"/>
    <mergeCell ref="A84:B84"/>
    <mergeCell ref="E84:F84"/>
    <mergeCell ref="G84:H84"/>
    <mergeCell ref="D61:H61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D56:H56"/>
    <mergeCell ref="A56:C56"/>
    <mergeCell ref="A57:C57"/>
    <mergeCell ref="D57:H57"/>
    <mergeCell ref="B166:H166"/>
    <mergeCell ref="F112:H112"/>
    <mergeCell ref="A112:E112"/>
    <mergeCell ref="D136:D137"/>
    <mergeCell ref="A114:E114"/>
    <mergeCell ref="A139:B139"/>
    <mergeCell ref="A140:B140"/>
    <mergeCell ref="A141:B141"/>
    <mergeCell ref="A142:B142"/>
    <mergeCell ref="A115:E115"/>
    <mergeCell ref="A121:E121"/>
    <mergeCell ref="C127:D127"/>
    <mergeCell ref="A116:E116"/>
    <mergeCell ref="F116:H116"/>
    <mergeCell ref="B163:H163"/>
    <mergeCell ref="B164:H164"/>
    <mergeCell ref="A129:H129"/>
    <mergeCell ref="E130:F130"/>
    <mergeCell ref="C131:D131"/>
    <mergeCell ref="E131:F131"/>
    <mergeCell ref="G131:H131"/>
    <mergeCell ref="A152:B152"/>
    <mergeCell ref="A155:H155"/>
    <mergeCell ref="A158:B158"/>
    <mergeCell ref="L141:M141"/>
    <mergeCell ref="L140:M140"/>
    <mergeCell ref="L139:M139"/>
    <mergeCell ref="A134:H134"/>
    <mergeCell ref="A135:H135"/>
    <mergeCell ref="A151:B151"/>
    <mergeCell ref="A131:B131"/>
    <mergeCell ref="C136:C137"/>
    <mergeCell ref="G139:H142"/>
    <mergeCell ref="A143:H143"/>
    <mergeCell ref="A144:A145"/>
    <mergeCell ref="A159:B159"/>
    <mergeCell ref="A156:B156"/>
    <mergeCell ref="A157:B157"/>
    <mergeCell ref="A154:H154"/>
    <mergeCell ref="B144:B145"/>
    <mergeCell ref="A148:B148"/>
    <mergeCell ref="G148:H148"/>
    <mergeCell ref="A149:H149"/>
    <mergeCell ref="A150:B150"/>
    <mergeCell ref="G150:H15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55:H55"/>
    <mergeCell ref="G54:H54"/>
    <mergeCell ref="A61:C61"/>
    <mergeCell ref="D60:H60"/>
    <mergeCell ref="E71:F80"/>
    <mergeCell ref="G71:H80"/>
    <mergeCell ref="A79:B79"/>
    <mergeCell ref="A52:B53"/>
    <mergeCell ref="A47:B47"/>
    <mergeCell ref="C47:H47"/>
    <mergeCell ref="A40:D40"/>
    <mergeCell ref="E40:H40"/>
    <mergeCell ref="F32:H32"/>
    <mergeCell ref="F33:H33"/>
    <mergeCell ref="A39:H39"/>
    <mergeCell ref="A60:C60"/>
    <mergeCell ref="F35:H35"/>
    <mergeCell ref="A38:B38"/>
    <mergeCell ref="A37:B37"/>
    <mergeCell ref="C37:H37"/>
    <mergeCell ref="A44:D44"/>
    <mergeCell ref="A45:D45"/>
    <mergeCell ref="A46:H46"/>
    <mergeCell ref="D58:H58"/>
    <mergeCell ref="A58:C58"/>
    <mergeCell ref="G49:H49"/>
    <mergeCell ref="A50:B51"/>
    <mergeCell ref="A34:B34"/>
    <mergeCell ref="C38:H38"/>
    <mergeCell ref="A59:C59"/>
    <mergeCell ref="A42:D42"/>
    <mergeCell ref="D59:H59"/>
    <mergeCell ref="E42:H42"/>
    <mergeCell ref="E43:H43"/>
    <mergeCell ref="A54:B54"/>
    <mergeCell ref="C54:E54"/>
    <mergeCell ref="A49:B49"/>
    <mergeCell ref="A23:D23"/>
    <mergeCell ref="E23:H23"/>
    <mergeCell ref="A28:D28"/>
    <mergeCell ref="A36:H36"/>
    <mergeCell ref="E28:H28"/>
    <mergeCell ref="C34:E34"/>
    <mergeCell ref="A29:D29"/>
    <mergeCell ref="E29:H29"/>
    <mergeCell ref="A30:D30"/>
    <mergeCell ref="E30:H30"/>
    <mergeCell ref="C31:E31"/>
    <mergeCell ref="F34:H34"/>
    <mergeCell ref="F31:H31"/>
    <mergeCell ref="A32:B32"/>
    <mergeCell ref="A31:B31"/>
    <mergeCell ref="C32:E32"/>
    <mergeCell ref="A33:B33"/>
    <mergeCell ref="C33:E33"/>
    <mergeCell ref="C50:E50"/>
    <mergeCell ref="E25:H25"/>
    <mergeCell ref="A27:D27"/>
    <mergeCell ref="A18:B18"/>
    <mergeCell ref="C18:D18"/>
    <mergeCell ref="E18:F18"/>
    <mergeCell ref="G18:H18"/>
    <mergeCell ref="A19:B19"/>
    <mergeCell ref="C19:D19"/>
    <mergeCell ref="E19:F19"/>
    <mergeCell ref="G19:H19"/>
    <mergeCell ref="C51:H51"/>
    <mergeCell ref="A21:D22"/>
    <mergeCell ref="C49:E49"/>
    <mergeCell ref="A20:B20"/>
    <mergeCell ref="C20:D20"/>
    <mergeCell ref="E20:F20"/>
    <mergeCell ref="G20:H20"/>
    <mergeCell ref="E21:H22"/>
    <mergeCell ref="E27:H27"/>
    <mergeCell ref="A24:D24"/>
    <mergeCell ref="E24:H24"/>
    <mergeCell ref="A25:D25"/>
    <mergeCell ref="A26:D26"/>
    <mergeCell ref="E26:H26"/>
    <mergeCell ref="A35:B35"/>
    <mergeCell ref="C35:E35"/>
    <mergeCell ref="E10:H10"/>
    <mergeCell ref="E13:H13"/>
    <mergeCell ref="A14:B14"/>
    <mergeCell ref="C14:H14"/>
    <mergeCell ref="C15:H15"/>
    <mergeCell ref="A17:B17"/>
    <mergeCell ref="C17:D17"/>
    <mergeCell ref="E17:F17"/>
    <mergeCell ref="G17:H17"/>
    <mergeCell ref="A80:B8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G125:H125"/>
    <mergeCell ref="A120:E120"/>
    <mergeCell ref="C126:D126"/>
    <mergeCell ref="A110:E110"/>
    <mergeCell ref="F114:H114"/>
    <mergeCell ref="C128:D128"/>
    <mergeCell ref="E128:F128"/>
    <mergeCell ref="G128:H128"/>
    <mergeCell ref="C130:D130"/>
    <mergeCell ref="G130:H130"/>
    <mergeCell ref="A117:E117"/>
    <mergeCell ref="A119:E119"/>
    <mergeCell ref="A128:B128"/>
    <mergeCell ref="A118:E118"/>
    <mergeCell ref="F118:H118"/>
    <mergeCell ref="E126:F126"/>
    <mergeCell ref="A124:H124"/>
    <mergeCell ref="A122:E122"/>
    <mergeCell ref="F122:H122"/>
    <mergeCell ref="A123:E123"/>
    <mergeCell ref="F123:H123"/>
    <mergeCell ref="A126:B126"/>
    <mergeCell ref="G126:H126"/>
    <mergeCell ref="A195:H198"/>
    <mergeCell ref="A194:B194"/>
    <mergeCell ref="E194:F194"/>
    <mergeCell ref="C194:D194"/>
    <mergeCell ref="G194:H194"/>
    <mergeCell ref="A190:H190"/>
    <mergeCell ref="A193:H193"/>
    <mergeCell ref="A191:H191"/>
    <mergeCell ref="A187:H187"/>
    <mergeCell ref="A188:H188"/>
    <mergeCell ref="B169:H169"/>
    <mergeCell ref="B167:H167"/>
    <mergeCell ref="A192:H192"/>
    <mergeCell ref="B165:H165"/>
    <mergeCell ref="A160:H160"/>
    <mergeCell ref="A16:B16"/>
    <mergeCell ref="C16:H16"/>
    <mergeCell ref="E41:H41"/>
    <mergeCell ref="A41:D41"/>
    <mergeCell ref="A48:B48"/>
    <mergeCell ref="C48:E48"/>
    <mergeCell ref="G48:H48"/>
    <mergeCell ref="G50:H50"/>
    <mergeCell ref="A189:H189"/>
    <mergeCell ref="A130:B130"/>
    <mergeCell ref="D144:D145"/>
    <mergeCell ref="E144:E145"/>
    <mergeCell ref="G144:H145"/>
    <mergeCell ref="A76:B76"/>
    <mergeCell ref="F111:H111"/>
    <mergeCell ref="C144:C145"/>
    <mergeCell ref="A147:H147"/>
    <mergeCell ref="B161:H161"/>
    <mergeCell ref="B162:H162"/>
    <mergeCell ref="A71:B71"/>
    <mergeCell ref="G70:H70"/>
    <mergeCell ref="F117:H117"/>
    <mergeCell ref="A111:E111"/>
    <mergeCell ref="A138:H138"/>
    <mergeCell ref="E136:E137"/>
    <mergeCell ref="G136:H137"/>
    <mergeCell ref="F110:H110"/>
    <mergeCell ref="F115:H115"/>
    <mergeCell ref="C125:D125"/>
    <mergeCell ref="F121:H121"/>
    <mergeCell ref="F119:H119"/>
    <mergeCell ref="F113:H113"/>
    <mergeCell ref="A113:E113"/>
    <mergeCell ref="A74:B74"/>
    <mergeCell ref="B136:B137"/>
    <mergeCell ref="A136:A137"/>
    <mergeCell ref="F120:H120"/>
    <mergeCell ref="E125:F125"/>
    <mergeCell ref="A125:B125"/>
    <mergeCell ref="A127:B127"/>
    <mergeCell ref="E127:F127"/>
    <mergeCell ref="G127:H127"/>
    <mergeCell ref="A78:B78"/>
    <mergeCell ref="D180:H180"/>
    <mergeCell ref="D181:H181"/>
    <mergeCell ref="B186:H186"/>
    <mergeCell ref="B185:H185"/>
    <mergeCell ref="A172:A186"/>
    <mergeCell ref="D172:H172"/>
    <mergeCell ref="D173:H173"/>
    <mergeCell ref="D174:H174"/>
    <mergeCell ref="D175:H175"/>
    <mergeCell ref="D176:H176"/>
    <mergeCell ref="D177:H177"/>
    <mergeCell ref="D178:H178"/>
    <mergeCell ref="D179:H179"/>
    <mergeCell ref="D182:H182"/>
    <mergeCell ref="D183:H183"/>
    <mergeCell ref="D184:H184"/>
    <mergeCell ref="A109:B109"/>
    <mergeCell ref="C109:D109"/>
    <mergeCell ref="E109:F109"/>
    <mergeCell ref="G109:H109"/>
    <mergeCell ref="A95:B95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</mergeCell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8" max="16383" man="1"/>
    <brk id="241" max="16383" man="1"/>
    <brk id="28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0" t="s">
        <v>108</v>
      </c>
      <c r="C3" s="170"/>
      <c r="D3" s="170"/>
      <c r="E3" s="170"/>
      <c r="F3" s="170"/>
      <c r="G3" s="170"/>
      <c r="H3" s="170"/>
    </row>
    <row r="4" spans="1:9" x14ac:dyDescent="0.35">
      <c r="A4" s="3"/>
      <c r="B4" s="4" t="s">
        <v>109</v>
      </c>
      <c r="C4" s="4" t="s">
        <v>110</v>
      </c>
      <c r="D4" s="4" t="s">
        <v>70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35">
      <c r="A5" s="3"/>
      <c r="B5" s="6" t="s">
        <v>113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2025-08-12T05:07:11Z</cp:lastPrinted>
  <dcterms:created xsi:type="dcterms:W3CDTF">2019-07-16T09:29:46Z</dcterms:created>
  <dcterms:modified xsi:type="dcterms:W3CDTF">2025-08-12T05:08:43Z</dcterms:modified>
</cp:coreProperties>
</file>