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August 2025\AXIS\NEW\Pranita\17232 - Evara\"/>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Report!$A$1:$H$615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7" i="1" l="1"/>
  <c r="E46" i="1"/>
  <c r="J231" i="1" l="1"/>
  <c r="E456" i="1" l="1"/>
  <c r="D456" i="1"/>
  <c r="E455" i="1"/>
  <c r="D455" i="1"/>
  <c r="E454" i="1"/>
  <c r="D454" i="1"/>
  <c r="E452" i="1"/>
  <c r="D452" i="1"/>
  <c r="E451" i="1"/>
  <c r="D451" i="1"/>
  <c r="A451" i="1"/>
  <c r="A452" i="1" s="1"/>
  <c r="A454" i="1" s="1"/>
  <c r="A455" i="1" s="1"/>
  <c r="A456" i="1" s="1"/>
  <c r="E450" i="1"/>
  <c r="D450" i="1"/>
  <c r="I279" i="1"/>
  <c r="G431" i="1"/>
  <c r="G430" i="1"/>
  <c r="G429" i="1"/>
  <c r="E448" i="1"/>
  <c r="D448" i="1"/>
  <c r="E447" i="1"/>
  <c r="D447" i="1"/>
  <c r="E446" i="1"/>
  <c r="D446" i="1"/>
  <c r="E445" i="1"/>
  <c r="D445" i="1"/>
  <c r="E444" i="1"/>
  <c r="D444" i="1"/>
  <c r="E443" i="1"/>
  <c r="D443" i="1"/>
  <c r="E438" i="1"/>
  <c r="D438" i="1"/>
  <c r="E437" i="1"/>
  <c r="D437" i="1"/>
  <c r="E436" i="1"/>
  <c r="D436" i="1"/>
  <c r="E431" i="1"/>
  <c r="D431" i="1"/>
  <c r="E430" i="1"/>
  <c r="D430" i="1"/>
  <c r="E429" i="1"/>
  <c r="D429" i="1"/>
  <c r="E426" i="1"/>
  <c r="D426" i="1"/>
  <c r="E425" i="1"/>
  <c r="D425" i="1"/>
  <c r="E424" i="1"/>
  <c r="D424" i="1"/>
  <c r="E422" i="1"/>
  <c r="D422" i="1"/>
  <c r="E421" i="1"/>
  <c r="D421" i="1"/>
  <c r="F421" i="1" s="1"/>
  <c r="H421" i="1" s="1"/>
  <c r="E420" i="1"/>
  <c r="D420" i="1"/>
  <c r="E419" i="1"/>
  <c r="D419" i="1"/>
  <c r="E417" i="1"/>
  <c r="D417" i="1"/>
  <c r="E416" i="1"/>
  <c r="D416" i="1"/>
  <c r="E415" i="1"/>
  <c r="D415" i="1"/>
  <c r="E414" i="1"/>
  <c r="D414" i="1"/>
  <c r="E413" i="1"/>
  <c r="D413" i="1"/>
  <c r="E412" i="1"/>
  <c r="D412" i="1"/>
  <c r="E411" i="1"/>
  <c r="D411" i="1"/>
  <c r="E410" i="1"/>
  <c r="D410" i="1"/>
  <c r="E407" i="1"/>
  <c r="D407" i="1"/>
  <c r="E406" i="1"/>
  <c r="D406" i="1"/>
  <c r="E405" i="1"/>
  <c r="D405" i="1"/>
  <c r="E404" i="1"/>
  <c r="D404" i="1"/>
  <c r="E397" i="1"/>
  <c r="D397" i="1"/>
  <c r="E396" i="1"/>
  <c r="D396" i="1"/>
  <c r="E395" i="1"/>
  <c r="D395" i="1"/>
  <c r="E394" i="1"/>
  <c r="D394" i="1"/>
  <c r="E385" i="1"/>
  <c r="D385" i="1"/>
  <c r="E384" i="1"/>
  <c r="D384" i="1"/>
  <c r="E383" i="1"/>
  <c r="D383" i="1"/>
  <c r="E382" i="1"/>
  <c r="D382" i="1"/>
  <c r="E381" i="1"/>
  <c r="D381" i="1"/>
  <c r="E380" i="1"/>
  <c r="D380" i="1"/>
  <c r="E379" i="1"/>
  <c r="D379" i="1"/>
  <c r="E377" i="1"/>
  <c r="D377" i="1"/>
  <c r="E376" i="1"/>
  <c r="D376" i="1"/>
  <c r="E375" i="1"/>
  <c r="D375" i="1"/>
  <c r="E374" i="1"/>
  <c r="D374" i="1"/>
  <c r="E373" i="1"/>
  <c r="D373" i="1"/>
  <c r="E372" i="1"/>
  <c r="D372" i="1"/>
  <c r="E371" i="1"/>
  <c r="D371" i="1"/>
  <c r="E370" i="1"/>
  <c r="D370" i="1"/>
  <c r="E368" i="1"/>
  <c r="D368" i="1"/>
  <c r="E367" i="1"/>
  <c r="D367" i="1"/>
  <c r="E366" i="1"/>
  <c r="D366" i="1"/>
  <c r="E365" i="1"/>
  <c r="D365" i="1"/>
  <c r="E359" i="1"/>
  <c r="D359" i="1"/>
  <c r="E358" i="1"/>
  <c r="D358" i="1"/>
  <c r="E357" i="1"/>
  <c r="D357" i="1"/>
  <c r="E356" i="1"/>
  <c r="D356" i="1"/>
  <c r="E348" i="1"/>
  <c r="D348" i="1"/>
  <c r="E347" i="1"/>
  <c r="D347" i="1"/>
  <c r="E346" i="1"/>
  <c r="D346" i="1"/>
  <c r="E344" i="1"/>
  <c r="D344" i="1"/>
  <c r="E343" i="1"/>
  <c r="D343" i="1"/>
  <c r="E342" i="1"/>
  <c r="D342" i="1"/>
  <c r="E340" i="1"/>
  <c r="D340" i="1"/>
  <c r="E339" i="1"/>
  <c r="D339" i="1"/>
  <c r="E338" i="1"/>
  <c r="D338" i="1"/>
  <c r="E337" i="1"/>
  <c r="D337" i="1"/>
  <c r="E336" i="1"/>
  <c r="D336" i="1"/>
  <c r="E335" i="1"/>
  <c r="D335" i="1"/>
  <c r="E333" i="1"/>
  <c r="D333" i="1"/>
  <c r="E332" i="1"/>
  <c r="D332" i="1"/>
  <c r="E331" i="1"/>
  <c r="D331" i="1"/>
  <c r="E326" i="1"/>
  <c r="D326" i="1"/>
  <c r="E325" i="1"/>
  <c r="D325" i="1"/>
  <c r="E324" i="1"/>
  <c r="D324" i="1"/>
  <c r="E317" i="1"/>
  <c r="D317" i="1"/>
  <c r="E316" i="1"/>
  <c r="D316" i="1"/>
  <c r="E314" i="1"/>
  <c r="D314" i="1"/>
  <c r="E313" i="1"/>
  <c r="D313" i="1"/>
  <c r="E311" i="1"/>
  <c r="D311" i="1"/>
  <c r="E310" i="1"/>
  <c r="D310" i="1"/>
  <c r="E309" i="1"/>
  <c r="D309" i="1"/>
  <c r="E308" i="1"/>
  <c r="D308" i="1"/>
  <c r="G305" i="1"/>
  <c r="G304" i="1"/>
  <c r="G303" i="1"/>
  <c r="E306" i="1"/>
  <c r="D306" i="1"/>
  <c r="E305" i="1"/>
  <c r="D305" i="1"/>
  <c r="E304" i="1"/>
  <c r="D304" i="1"/>
  <c r="E303" i="1"/>
  <c r="D303" i="1"/>
  <c r="E300" i="1"/>
  <c r="D300" i="1"/>
  <c r="E298" i="1"/>
  <c r="D298" i="1"/>
  <c r="E296" i="1"/>
  <c r="D296" i="1"/>
  <c r="E295" i="1"/>
  <c r="D295" i="1"/>
  <c r="G293" i="1"/>
  <c r="G292" i="1"/>
  <c r="E293" i="1"/>
  <c r="D293" i="1"/>
  <c r="E292" i="1"/>
  <c r="D292" i="1"/>
  <c r="E288" i="1"/>
  <c r="D288" i="1"/>
  <c r="E287" i="1"/>
  <c r="D287" i="1"/>
  <c r="E286" i="1"/>
  <c r="D286" i="1"/>
  <c r="E285" i="1"/>
  <c r="D285" i="1"/>
  <c r="E283" i="1"/>
  <c r="D283" i="1"/>
  <c r="E282" i="1"/>
  <c r="D282" i="1"/>
  <c r="E281" i="1"/>
  <c r="D281" i="1"/>
  <c r="E280" i="1"/>
  <c r="D280" i="1"/>
  <c r="G276" i="1"/>
  <c r="G275" i="1"/>
  <c r="E278" i="1"/>
  <c r="D278" i="1"/>
  <c r="E277" i="1"/>
  <c r="D277" i="1"/>
  <c r="E276" i="1"/>
  <c r="D276" i="1"/>
  <c r="E275" i="1"/>
  <c r="D275" i="1"/>
  <c r="D268" i="1"/>
  <c r="D267" i="1"/>
  <c r="D266" i="1"/>
  <c r="D265" i="1"/>
  <c r="D264" i="1"/>
  <c r="D263" i="1"/>
  <c r="D262" i="1"/>
  <c r="D261" i="1"/>
  <c r="D260" i="1"/>
  <c r="D259" i="1"/>
  <c r="D256" i="1"/>
  <c r="D255" i="1"/>
  <c r="D253" i="1"/>
  <c r="D252" i="1"/>
  <c r="D250" i="1"/>
  <c r="D249" i="1"/>
  <c r="D248" i="1"/>
  <c r="D247" i="1"/>
  <c r="D246" i="1"/>
  <c r="D245" i="1"/>
  <c r="D242" i="1"/>
  <c r="D241" i="1"/>
  <c r="D239" i="1"/>
  <c r="D238" i="1"/>
  <c r="D236" i="1"/>
  <c r="D235" i="1"/>
  <c r="D234" i="1"/>
  <c r="D233" i="1"/>
  <c r="D232" i="1"/>
  <c r="D231" i="1"/>
  <c r="D228" i="1"/>
  <c r="D227" i="1"/>
  <c r="D225" i="1"/>
  <c r="F225" i="1" s="1"/>
  <c r="H225" i="1" s="1"/>
  <c r="D224" i="1"/>
  <c r="F224" i="1" s="1"/>
  <c r="H224" i="1" s="1"/>
  <c r="D222" i="1"/>
  <c r="D221" i="1"/>
  <c r="D220" i="1"/>
  <c r="D219" i="1"/>
  <c r="D218" i="1"/>
  <c r="A420" i="1"/>
  <c r="A421" i="1" s="1"/>
  <c r="A422" i="1" s="1"/>
  <c r="A423" i="1" s="1"/>
  <c r="A424" i="1" s="1"/>
  <c r="A425" i="1" s="1"/>
  <c r="A426" i="1" s="1"/>
  <c r="A384" i="1"/>
  <c r="A385" i="1" s="1"/>
  <c r="A386" i="1" s="1"/>
  <c r="I357" i="1"/>
  <c r="J322" i="1"/>
  <c r="A314" i="1"/>
  <c r="A316" i="1" s="1"/>
  <c r="A317" i="1" s="1"/>
  <c r="A300" i="1"/>
  <c r="J290" i="1"/>
  <c r="J275" i="1"/>
  <c r="K273" i="1"/>
  <c r="A286" i="1"/>
  <c r="A287" i="1" s="1"/>
  <c r="A288" i="1" s="1"/>
  <c r="I275" i="1"/>
  <c r="J273" i="1"/>
  <c r="I258" i="1"/>
  <c r="F384" i="1" l="1"/>
  <c r="H384" i="1" s="1"/>
  <c r="F455" i="1"/>
  <c r="H455" i="1" s="1"/>
  <c r="F454" i="1"/>
  <c r="H454" i="1" s="1"/>
  <c r="F456" i="1"/>
  <c r="H456" i="1" s="1"/>
  <c r="I456" i="1" s="1"/>
  <c r="F450" i="1"/>
  <c r="H450" i="1" s="1"/>
  <c r="F452" i="1"/>
  <c r="H452" i="1" s="1"/>
  <c r="F451" i="1"/>
  <c r="H451" i="1" s="1"/>
  <c r="F424" i="1"/>
  <c r="H424" i="1" s="1"/>
  <c r="F420" i="1"/>
  <c r="H420" i="1" s="1"/>
  <c r="F419" i="1"/>
  <c r="H419" i="1" s="1"/>
  <c r="F380" i="1"/>
  <c r="H380" i="1" s="1"/>
  <c r="F382" i="1"/>
  <c r="H382" i="1" s="1"/>
  <c r="F414" i="1"/>
  <c r="H414" i="1" s="1"/>
  <c r="F425" i="1"/>
  <c r="H425" i="1" s="1"/>
  <c r="F316" i="1"/>
  <c r="H316" i="1" s="1"/>
  <c r="F422" i="1"/>
  <c r="H422" i="1" s="1"/>
  <c r="F426" i="1"/>
  <c r="H426" i="1" s="1"/>
  <c r="F346" i="1"/>
  <c r="H346" i="1" s="1"/>
  <c r="F348" i="1"/>
  <c r="H348" i="1" s="1"/>
  <c r="F385" i="1"/>
  <c r="H385" i="1" s="1"/>
  <c r="F313" i="1"/>
  <c r="H313" i="1" s="1"/>
  <c r="F379" i="1"/>
  <c r="H379" i="1" s="1"/>
  <c r="F381" i="1"/>
  <c r="H381" i="1" s="1"/>
  <c r="F383" i="1"/>
  <c r="H383" i="1" s="1"/>
  <c r="F347" i="1"/>
  <c r="H347" i="1" s="1"/>
  <c r="F342" i="1"/>
  <c r="H342" i="1" s="1"/>
  <c r="I342" i="1" s="1"/>
  <c r="F343" i="1"/>
  <c r="H343" i="1" s="1"/>
  <c r="F344" i="1"/>
  <c r="H344" i="1" s="1"/>
  <c r="F288" i="1"/>
  <c r="H288" i="1" s="1"/>
  <c r="F314" i="1"/>
  <c r="H314" i="1" s="1"/>
  <c r="F300" i="1"/>
  <c r="H300" i="1" s="1"/>
  <c r="F317" i="1"/>
  <c r="H317" i="1" s="1"/>
  <c r="F285" i="1"/>
  <c r="H285" i="1" s="1"/>
  <c r="F287" i="1"/>
  <c r="H287" i="1" s="1"/>
  <c r="F298" i="1"/>
  <c r="H298" i="1" s="1"/>
  <c r="F286" i="1"/>
  <c r="H286" i="1" s="1"/>
  <c r="A296" i="1"/>
  <c r="I277" i="1"/>
  <c r="F295" i="1"/>
  <c r="A309" i="1"/>
  <c r="A310" i="1" s="1"/>
  <c r="A311" i="1" s="1"/>
  <c r="I286" i="1"/>
  <c r="I321" i="1"/>
  <c r="I320" i="1"/>
  <c r="J353" i="1"/>
  <c r="I353" i="1"/>
  <c r="A375" i="1"/>
  <c r="A376" i="1" s="1"/>
  <c r="A377" i="1" s="1"/>
  <c r="A415" i="1"/>
  <c r="A416" i="1" s="1"/>
  <c r="A417" i="1" s="1"/>
  <c r="A411" i="1"/>
  <c r="A412" i="1" s="1"/>
  <c r="A413" i="1" s="1"/>
  <c r="A281" i="1"/>
  <c r="A282" i="1" s="1"/>
  <c r="A283" i="1" s="1"/>
  <c r="I268" i="1"/>
  <c r="A444" i="1"/>
  <c r="A445" i="1" s="1"/>
  <c r="A446" i="1" s="1"/>
  <c r="A447" i="1" s="1"/>
  <c r="A448" i="1" s="1"/>
  <c r="J344" i="1"/>
  <c r="I344" i="1"/>
  <c r="I314" i="1"/>
  <c r="I312" i="1"/>
  <c r="A304" i="1"/>
  <c r="A305" i="1" s="1"/>
  <c r="A306" i="1" s="1"/>
  <c r="I281" i="1"/>
  <c r="A293" i="1"/>
  <c r="I263" i="1"/>
  <c r="F277" i="1"/>
  <c r="H277" i="1" s="1"/>
  <c r="A276" i="1"/>
  <c r="A277" i="1" s="1"/>
  <c r="A278" i="1" s="1"/>
  <c r="A437" i="1"/>
  <c r="A438" i="1" s="1"/>
  <c r="A439" i="1" s="1"/>
  <c r="A440" i="1" s="1"/>
  <c r="A441" i="1" s="1"/>
  <c r="A405" i="1"/>
  <c r="A406" i="1" s="1"/>
  <c r="A407" i="1" s="1"/>
  <c r="J335" i="1"/>
  <c r="I335" i="1"/>
  <c r="A366" i="1"/>
  <c r="A367" i="1" s="1"/>
  <c r="A368" i="1" s="1"/>
  <c r="I306" i="1"/>
  <c r="A332" i="1"/>
  <c r="A333" i="1" s="1"/>
  <c r="I305" i="1"/>
  <c r="F242" i="1"/>
  <c r="H242" i="1" s="1"/>
  <c r="F227" i="1"/>
  <c r="H227" i="1" s="1"/>
  <c r="F256" i="1"/>
  <c r="H256" i="1" s="1"/>
  <c r="F255" i="1"/>
  <c r="H255" i="1" s="1"/>
  <c r="F241" i="1"/>
  <c r="H241" i="1" s="1"/>
  <c r="F228" i="1"/>
  <c r="H228" i="1" s="1"/>
  <c r="I364" i="1"/>
  <c r="A395" i="1"/>
  <c r="A396" i="1" s="1"/>
  <c r="A397" i="1" s="1"/>
  <c r="A357" i="1"/>
  <c r="A358" i="1" s="1"/>
  <c r="A359" i="1" s="1"/>
  <c r="I299" i="1"/>
  <c r="A325" i="1"/>
  <c r="A326" i="1" s="1"/>
  <c r="I298" i="1"/>
  <c r="F253" i="1"/>
  <c r="H253" i="1" s="1"/>
  <c r="F252" i="1"/>
  <c r="H252" i="1" s="1"/>
  <c r="F239" i="1"/>
  <c r="H239" i="1" s="1"/>
  <c r="F238" i="1"/>
  <c r="H238" i="1" s="1"/>
  <c r="F268" i="1"/>
  <c r="H268" i="1" s="1"/>
  <c r="F267" i="1"/>
  <c r="H267" i="1" s="1"/>
  <c r="F266" i="1"/>
  <c r="H266" i="1" s="1"/>
  <c r="F265" i="1"/>
  <c r="H265" i="1" s="1"/>
  <c r="F264" i="1"/>
  <c r="H264" i="1" s="1"/>
  <c r="F263" i="1"/>
  <c r="H263" i="1" s="1"/>
  <c r="F262" i="1"/>
  <c r="H262" i="1" s="1"/>
  <c r="F261" i="1"/>
  <c r="H261" i="1" s="1"/>
  <c r="F260" i="1"/>
  <c r="H260" i="1" s="1"/>
  <c r="F259" i="1"/>
  <c r="F250" i="1"/>
  <c r="H250" i="1" s="1"/>
  <c r="F249" i="1"/>
  <c r="H249" i="1" s="1"/>
  <c r="F248" i="1"/>
  <c r="H248" i="1" s="1"/>
  <c r="F247" i="1"/>
  <c r="H247" i="1" s="1"/>
  <c r="F246" i="1"/>
  <c r="H246" i="1" s="1"/>
  <c r="F245" i="1"/>
  <c r="F236" i="1"/>
  <c r="H236" i="1" s="1"/>
  <c r="F235" i="1"/>
  <c r="H235" i="1" s="1"/>
  <c r="F234" i="1"/>
  <c r="H234" i="1" s="1"/>
  <c r="F233" i="1"/>
  <c r="H233" i="1" s="1"/>
  <c r="F232" i="1"/>
  <c r="H232" i="1" s="1"/>
  <c r="F231" i="1"/>
  <c r="F222" i="1"/>
  <c r="H222" i="1" s="1"/>
  <c r="I217" i="1"/>
  <c r="C164" i="1"/>
  <c r="C150" i="1"/>
  <c r="B151" i="1" s="1"/>
  <c r="C136" i="1"/>
  <c r="C122" i="1"/>
  <c r="B123" i="1" s="1"/>
  <c r="E42" i="1"/>
  <c r="E43" i="1" s="1"/>
  <c r="H151" i="1"/>
  <c r="H123" i="1"/>
  <c r="H137" i="1"/>
  <c r="H259" i="1" l="1"/>
  <c r="G198" i="1" s="1"/>
  <c r="E198" i="1"/>
  <c r="C198" i="1"/>
  <c r="H231" i="1"/>
  <c r="G196" i="1" s="1"/>
  <c r="C196" i="1"/>
  <c r="E196" i="1"/>
  <c r="H245" i="1"/>
  <c r="G197" i="1" s="1"/>
  <c r="C197" i="1"/>
  <c r="E197" i="1"/>
  <c r="H295" i="1"/>
  <c r="I295" i="1" s="1"/>
  <c r="F436" i="1"/>
  <c r="H436" i="1" s="1"/>
  <c r="F296" i="1"/>
  <c r="H296" i="1" s="1"/>
  <c r="F309" i="1"/>
  <c r="H309" i="1" s="1"/>
  <c r="I309" i="1" s="1"/>
  <c r="F305" i="1"/>
  <c r="H305" i="1" s="1"/>
  <c r="F448" i="1"/>
  <c r="H448" i="1" s="1"/>
  <c r="F283" i="1"/>
  <c r="H283" i="1" s="1"/>
  <c r="F370" i="1"/>
  <c r="H370" i="1" s="1"/>
  <c r="K370" i="1" s="1"/>
  <c r="F372" i="1"/>
  <c r="H372" i="1" s="1"/>
  <c r="F374" i="1"/>
  <c r="H374" i="1" s="1"/>
  <c r="K374" i="1" s="1"/>
  <c r="F340" i="1"/>
  <c r="H340" i="1" s="1"/>
  <c r="F331" i="1"/>
  <c r="H331" i="1" s="1"/>
  <c r="F332" i="1"/>
  <c r="H332" i="1" s="1"/>
  <c r="F405" i="1"/>
  <c r="H405" i="1" s="1"/>
  <c r="F336" i="1"/>
  <c r="H336" i="1" s="1"/>
  <c r="F338" i="1"/>
  <c r="H338" i="1" s="1"/>
  <c r="F445" i="1"/>
  <c r="H445" i="1" s="1"/>
  <c r="I445" i="1" s="1"/>
  <c r="F447" i="1"/>
  <c r="H447" i="1" s="1"/>
  <c r="F280" i="1"/>
  <c r="H280" i="1" s="1"/>
  <c r="F410" i="1"/>
  <c r="H410" i="1" s="1"/>
  <c r="F415" i="1"/>
  <c r="H415" i="1" s="1"/>
  <c r="F371" i="1"/>
  <c r="H371" i="1" s="1"/>
  <c r="K371" i="1" s="1"/>
  <c r="F373" i="1"/>
  <c r="H373" i="1" s="1"/>
  <c r="K373" i="1" s="1"/>
  <c r="F311" i="1"/>
  <c r="H311" i="1" s="1"/>
  <c r="F375" i="1"/>
  <c r="H375" i="1" s="1"/>
  <c r="K375" i="1" s="1"/>
  <c r="F377" i="1"/>
  <c r="H377" i="1" s="1"/>
  <c r="K377" i="1" s="1"/>
  <c r="F335" i="1"/>
  <c r="H335" i="1" s="1"/>
  <c r="F337" i="1"/>
  <c r="H337" i="1" s="1"/>
  <c r="F310" i="1"/>
  <c r="H310" i="1" s="1"/>
  <c r="F407" i="1"/>
  <c r="H407" i="1" s="1"/>
  <c r="F376" i="1"/>
  <c r="H376" i="1" s="1"/>
  <c r="K376" i="1" s="1"/>
  <c r="F281" i="1"/>
  <c r="H281" i="1" s="1"/>
  <c r="F308" i="1"/>
  <c r="H308" i="1" s="1"/>
  <c r="F292" i="1"/>
  <c r="F443" i="1"/>
  <c r="H443" i="1" s="1"/>
  <c r="F444" i="1"/>
  <c r="H444" i="1" s="1"/>
  <c r="F339" i="1"/>
  <c r="H339" i="1" s="1"/>
  <c r="F413" i="1"/>
  <c r="H413" i="1" s="1"/>
  <c r="F366" i="1"/>
  <c r="H366" i="1" s="1"/>
  <c r="F412" i="1"/>
  <c r="H412" i="1" s="1"/>
  <c r="F306" i="1"/>
  <c r="H306" i="1" s="1"/>
  <c r="F417" i="1"/>
  <c r="H417" i="1" s="1"/>
  <c r="F446" i="1"/>
  <c r="H446" i="1" s="1"/>
  <c r="F411" i="1"/>
  <c r="H411" i="1" s="1"/>
  <c r="F416" i="1"/>
  <c r="H416" i="1" s="1"/>
  <c r="F325" i="1"/>
  <c r="H325" i="1" s="1"/>
  <c r="F282" i="1"/>
  <c r="H282" i="1" s="1"/>
  <c r="F304" i="1"/>
  <c r="H304" i="1" s="1"/>
  <c r="F394" i="1"/>
  <c r="F367" i="1"/>
  <c r="H367" i="1" s="1"/>
  <c r="F406" i="1"/>
  <c r="H406" i="1" s="1"/>
  <c r="F438" i="1"/>
  <c r="H438" i="1" s="1"/>
  <c r="F303" i="1"/>
  <c r="F356" i="1"/>
  <c r="F396" i="1"/>
  <c r="H396" i="1" s="1"/>
  <c r="F275" i="1"/>
  <c r="F357" i="1"/>
  <c r="H357" i="1" s="1"/>
  <c r="F359" i="1"/>
  <c r="H359" i="1" s="1"/>
  <c r="F333" i="1"/>
  <c r="H333" i="1" s="1"/>
  <c r="F365" i="1"/>
  <c r="H365" i="1" s="1"/>
  <c r="F368" i="1"/>
  <c r="H368" i="1" s="1"/>
  <c r="F404" i="1"/>
  <c r="H404" i="1" s="1"/>
  <c r="I404" i="1" s="1"/>
  <c r="F437" i="1"/>
  <c r="H437" i="1" s="1"/>
  <c r="F293" i="1"/>
  <c r="H293" i="1" s="1"/>
  <c r="F278" i="1"/>
  <c r="H278" i="1" s="1"/>
  <c r="F276" i="1"/>
  <c r="H276" i="1" s="1"/>
  <c r="F326" i="1"/>
  <c r="H326" i="1" s="1"/>
  <c r="F395" i="1"/>
  <c r="H395" i="1" s="1"/>
  <c r="F324" i="1"/>
  <c r="F397" i="1"/>
  <c r="H397" i="1" s="1"/>
  <c r="F358" i="1"/>
  <c r="H358" i="1" s="1"/>
  <c r="J155" i="1"/>
  <c r="J153" i="1"/>
  <c r="J150" i="1"/>
  <c r="J152" i="1" s="1"/>
  <c r="D161" i="1"/>
  <c r="D159" i="1"/>
  <c r="D162" i="1"/>
  <c r="D160" i="1"/>
  <c r="D158" i="1"/>
  <c r="D156" i="1"/>
  <c r="J154" i="1"/>
  <c r="C154" i="1" s="1"/>
  <c r="D163" i="1"/>
  <c r="D157" i="1"/>
  <c r="D132" i="1"/>
  <c r="D130" i="1"/>
  <c r="D128" i="1"/>
  <c r="J126" i="1"/>
  <c r="D134" i="1"/>
  <c r="J127" i="1"/>
  <c r="C126" i="1" s="1"/>
  <c r="J125" i="1"/>
  <c r="J122" i="1"/>
  <c r="J124" i="1" s="1"/>
  <c r="D135" i="1"/>
  <c r="D133" i="1"/>
  <c r="D131" i="1"/>
  <c r="D129" i="1"/>
  <c r="D149" i="1"/>
  <c r="D147" i="1"/>
  <c r="D145" i="1"/>
  <c r="D143" i="1"/>
  <c r="D148" i="1"/>
  <c r="D146" i="1"/>
  <c r="D144" i="1"/>
  <c r="D142" i="1"/>
  <c r="J140" i="1"/>
  <c r="J141" i="1"/>
  <c r="C140" i="1" s="1"/>
  <c r="D140" i="1" s="1"/>
  <c r="J139" i="1"/>
  <c r="J136" i="1"/>
  <c r="J138" i="1" s="1"/>
  <c r="J131" i="1"/>
  <c r="J133" i="1"/>
  <c r="B137" i="1"/>
  <c r="J156" i="1"/>
  <c r="J157" i="1" s="1"/>
  <c r="J162" i="1" s="1"/>
  <c r="J163" i="1" s="1"/>
  <c r="J158" i="1"/>
  <c r="J160" i="1"/>
  <c r="J128" i="1"/>
  <c r="J129" i="1" s="1"/>
  <c r="J130" i="1"/>
  <c r="J132" i="1"/>
  <c r="J159" i="1"/>
  <c r="J161" i="1"/>
  <c r="C80" i="1"/>
  <c r="I372" i="1" l="1"/>
  <c r="K372" i="1"/>
  <c r="C202" i="1"/>
  <c r="C206" i="1"/>
  <c r="C203" i="1"/>
  <c r="C205" i="1"/>
  <c r="C204" i="1"/>
  <c r="C207" i="1"/>
  <c r="H356" i="1"/>
  <c r="G206" i="1" s="1"/>
  <c r="E206" i="1"/>
  <c r="H324" i="1"/>
  <c r="G205" i="1" s="1"/>
  <c r="E205" i="1"/>
  <c r="H303" i="1"/>
  <c r="G204" i="1" s="1"/>
  <c r="E204" i="1"/>
  <c r="H275" i="1"/>
  <c r="G202" i="1" s="1"/>
  <c r="E202" i="1"/>
  <c r="H292" i="1"/>
  <c r="G203" i="1" s="1"/>
  <c r="E203" i="1"/>
  <c r="H394" i="1"/>
  <c r="G207" i="1" s="1"/>
  <c r="E207" i="1"/>
  <c r="J134" i="1"/>
  <c r="J135" i="1" s="1"/>
  <c r="C127" i="1"/>
  <c r="G126" i="1" s="1"/>
  <c r="E154" i="1"/>
  <c r="D155" i="1"/>
  <c r="J144" i="1"/>
  <c r="J147" i="1"/>
  <c r="J145" i="1"/>
  <c r="J146" i="1"/>
  <c r="J142" i="1"/>
  <c r="G154" i="1"/>
  <c r="D126" i="1"/>
  <c r="D154" i="1"/>
  <c r="J151" i="1" s="1"/>
  <c r="F218" i="1"/>
  <c r="B38" i="6"/>
  <c r="B39" i="6" s="1"/>
  <c r="B40" i="6" s="1"/>
  <c r="B41" i="6" s="1"/>
  <c r="B42" i="6" s="1"/>
  <c r="B43" i="6" s="1"/>
  <c r="B44" i="6" s="1"/>
  <c r="B45" i="6" s="1"/>
  <c r="B46" i="6" s="1"/>
  <c r="B47" i="6" s="1"/>
  <c r="B48" i="6" s="1"/>
  <c r="B49" i="6" s="1"/>
  <c r="B50" i="6" s="1"/>
  <c r="B51" i="6" s="1"/>
  <c r="B52" i="6" s="1"/>
  <c r="B53" i="6" s="1"/>
  <c r="B54" i="6" s="1"/>
  <c r="J143" i="1" l="1"/>
  <c r="J148" i="1" s="1"/>
  <c r="J149" i="1" s="1"/>
  <c r="C141" i="1"/>
  <c r="E140" i="1" s="1"/>
  <c r="J123" i="1"/>
  <c r="D127" i="1"/>
  <c r="I123" i="1" s="1"/>
  <c r="I124" i="1" s="1"/>
  <c r="E126" i="1"/>
  <c r="I151" i="1"/>
  <c r="H218" i="1"/>
  <c r="J137" i="1" l="1"/>
  <c r="G140" i="1"/>
  <c r="D141" i="1"/>
  <c r="I137" i="1" s="1"/>
  <c r="I138" i="1" s="1"/>
  <c r="I152" i="1"/>
  <c r="I150" i="1" s="1"/>
  <c r="C152" i="1" s="1"/>
  <c r="I122" i="1"/>
  <c r="C124"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484" i="1"/>
  <c r="B460" i="1"/>
  <c r="B459" i="1"/>
  <c r="F431" i="1"/>
  <c r="H431" i="1" s="1"/>
  <c r="F430" i="1"/>
  <c r="H430" i="1" s="1"/>
  <c r="F429" i="1"/>
  <c r="A430" i="1"/>
  <c r="A431" i="1" s="1"/>
  <c r="A432" i="1" s="1"/>
  <c r="A433" i="1" s="1"/>
  <c r="A434" i="1" s="1"/>
  <c r="F221" i="1"/>
  <c r="H221" i="1" s="1"/>
  <c r="F220" i="1"/>
  <c r="H220" i="1" s="1"/>
  <c r="F219" i="1"/>
  <c r="F191" i="1"/>
  <c r="C108" i="1"/>
  <c r="C94" i="1"/>
  <c r="B81" i="1"/>
  <c r="D74" i="1"/>
  <c r="K54" i="1"/>
  <c r="G51" i="1"/>
  <c r="C51" i="1"/>
  <c r="E44" i="1"/>
  <c r="E45" i="1" s="1"/>
  <c r="S33" i="1"/>
  <c r="E31" i="1"/>
  <c r="E28" i="1"/>
  <c r="E26" i="1"/>
  <c r="C16" i="1"/>
  <c r="I15" i="1"/>
  <c r="Z13" i="1"/>
  <c r="E8" i="1"/>
  <c r="E3" i="1"/>
  <c r="B470" i="1" s="1"/>
  <c r="H95" i="1"/>
  <c r="H109" i="1"/>
  <c r="C208" i="1" l="1"/>
  <c r="C209" i="1" s="1"/>
  <c r="E208" i="1"/>
  <c r="E209" i="1" s="1"/>
  <c r="H219" i="1"/>
  <c r="G195" i="1" s="1"/>
  <c r="G199" i="1" s="1"/>
  <c r="E195" i="1"/>
  <c r="E199" i="1" s="1"/>
  <c r="E210" i="1" s="1"/>
  <c r="C195" i="1"/>
  <c r="C199" i="1" s="1"/>
  <c r="C210" i="1" s="1"/>
  <c r="H429" i="1"/>
  <c r="G208" i="1" s="1"/>
  <c r="G209" i="1" s="1"/>
  <c r="I136" i="1"/>
  <c r="C138" i="1" s="1"/>
  <c r="E42" i="7"/>
  <c r="J88" i="1"/>
  <c r="J89" i="1"/>
  <c r="B109" i="1"/>
  <c r="J117" i="1" s="1"/>
  <c r="I42" i="7"/>
  <c r="H42" i="7" s="1"/>
  <c r="L42" i="7"/>
  <c r="K42" i="7" s="1"/>
  <c r="J94" i="1"/>
  <c r="J96" i="1" s="1"/>
  <c r="D103" i="1"/>
  <c r="D102" i="1"/>
  <c r="D107" i="1"/>
  <c r="D101" i="1"/>
  <c r="J97" i="1"/>
  <c r="C98" i="1" s="1"/>
  <c r="D106" i="1"/>
  <c r="J99" i="1"/>
  <c r="D100" i="1"/>
  <c r="D105" i="1"/>
  <c r="J98" i="1"/>
  <c r="D104" i="1"/>
  <c r="D118" i="1"/>
  <c r="J112" i="1"/>
  <c r="J108" i="1"/>
  <c r="J110" i="1" s="1"/>
  <c r="J111" i="1"/>
  <c r="D116" i="1"/>
  <c r="D121" i="1"/>
  <c r="D115" i="1"/>
  <c r="D120" i="1"/>
  <c r="D114" i="1"/>
  <c r="D117" i="1"/>
  <c r="J113" i="1"/>
  <c r="C112" i="1" s="1"/>
  <c r="D112" i="1" s="1"/>
  <c r="D119" i="1"/>
  <c r="D42" i="7"/>
  <c r="L54" i="1"/>
  <c r="B95" i="1"/>
  <c r="J90" i="1"/>
  <c r="J91" i="1"/>
  <c r="I52" i="1"/>
  <c r="H81" i="1"/>
  <c r="G210" i="1" l="1"/>
  <c r="D92" i="1"/>
  <c r="D86" i="1"/>
  <c r="J86" i="1"/>
  <c r="J85" i="1"/>
  <c r="C84" i="1" s="1"/>
  <c r="D84" i="1" s="1"/>
  <c r="D91" i="1"/>
  <c r="D90" i="1"/>
  <c r="J80" i="1"/>
  <c r="J82" i="1" s="1"/>
  <c r="D89" i="1"/>
  <c r="D93" i="1"/>
  <c r="D87" i="1"/>
  <c r="J84" i="1"/>
  <c r="J83" i="1"/>
  <c r="D88" i="1"/>
  <c r="J119" i="1"/>
  <c r="J118" i="1"/>
  <c r="D44" i="7"/>
  <c r="E44" i="7"/>
  <c r="J116" i="1"/>
  <c r="J114" i="1"/>
  <c r="J115" i="1" s="1"/>
  <c r="J120" i="1" s="1"/>
  <c r="D98" i="1"/>
  <c r="J103" i="1"/>
  <c r="J100" i="1"/>
  <c r="J101" i="1" s="1"/>
  <c r="J106" i="1" s="1"/>
  <c r="J107" i="1" s="1"/>
  <c r="J105" i="1"/>
  <c r="J102" i="1"/>
  <c r="J104" i="1"/>
  <c r="J121" i="1" l="1"/>
  <c r="C113" i="1"/>
  <c r="E112" i="1" s="1"/>
  <c r="J87" i="1"/>
  <c r="J92" i="1" s="1"/>
  <c r="J93" i="1" s="1"/>
  <c r="C85" i="1"/>
  <c r="G84" i="1" s="1"/>
  <c r="D78" i="1" s="1"/>
  <c r="D79" i="1" s="1"/>
  <c r="E98" i="1"/>
  <c r="D99" i="1"/>
  <c r="I95" i="1" s="1"/>
  <c r="J95" i="1"/>
  <c r="G98" i="1"/>
  <c r="J109" i="1" l="1"/>
  <c r="D113" i="1"/>
  <c r="I109" i="1" s="1"/>
  <c r="I110" i="1" s="1"/>
  <c r="G112" i="1"/>
  <c r="E84" i="1"/>
  <c r="J81" i="1"/>
  <c r="D85" i="1"/>
  <c r="I81" i="1" s="1"/>
  <c r="I82" i="1" s="1"/>
  <c r="F79" i="1"/>
  <c r="I96" i="1"/>
  <c r="I94" i="1" s="1"/>
  <c r="C96" i="1" s="1"/>
  <c r="I108" i="1" l="1"/>
  <c r="C110" i="1" s="1"/>
  <c r="I80" i="1"/>
  <c r="C82" i="1" s="1"/>
  <c r="B165" i="1"/>
  <c r="H165" i="1"/>
  <c r="D176" i="1" l="1"/>
  <c r="D174" i="1"/>
  <c r="D172" i="1"/>
  <c r="D170" i="1"/>
  <c r="J168" i="1"/>
  <c r="J169" i="1"/>
  <c r="C168" i="1" s="1"/>
  <c r="J167" i="1"/>
  <c r="J164" i="1"/>
  <c r="J166" i="1" s="1"/>
  <c r="D177" i="1"/>
  <c r="D175" i="1"/>
  <c r="D173" i="1"/>
  <c r="D171" i="1"/>
  <c r="J174" i="1"/>
  <c r="J172" i="1"/>
  <c r="J170" i="1"/>
  <c r="J171" i="1" s="1"/>
  <c r="J176" i="1" s="1"/>
  <c r="J175" i="1"/>
  <c r="J173" i="1"/>
  <c r="J177" i="1" l="1"/>
  <c r="C169" i="1"/>
  <c r="G168" i="1" s="1"/>
  <c r="D168" i="1"/>
  <c r="D169" i="1" l="1"/>
  <c r="I165" i="1" s="1"/>
  <c r="I166" i="1" s="1"/>
  <c r="E168" i="1"/>
  <c r="J165" i="1"/>
  <c r="I164" i="1" l="1"/>
  <c r="C16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8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7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<sst xmlns="http://schemas.openxmlformats.org/spreadsheetml/2006/main" count="1109" uniqueCount="465">
  <si>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</si>
  <si>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</si>
  <si>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</si>
  <si>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</si>
  <si>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</si>
  <si>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</si>
  <si>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</si>
  <si>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</si>
  <si>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</si>
  <si>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</si>
  <si>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</si>
  <si>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</si>
  <si>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</si>
  <si>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</si>
  <si>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</si>
  <si>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</si>
  <si>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</si>
  <si>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</si>
  <si>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</si>
  <si>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</si>
  <si>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</si>
  <si>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</si>
  <si>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</si>
  <si>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</si>
  <si>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</si>
  <si>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</si>
  <si>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</si>
  <si>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</si>
  <si>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</si>
  <si>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</si>
  <si>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</si>
  <si>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</si>
  <si>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</si>
  <si>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</si>
  <si>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</si>
  <si>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</si>
  <si>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</si>
  <si>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</si>
  <si>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</si>
  <si>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</si>
  <si>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</si>
  <si>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</si>
  <si>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</si>
  <si>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</si>
  <si>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</si>
  <si>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</si>
  <si>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</si>
  <si>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</si>
  <si>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</si>
  <si>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</si>
  <si>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</si>
  <si>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</si>
  <si>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</si>
  <si>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</si>
  <si>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</si>
  <si>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</si>
  <si>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</si>
  <si>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</si>
  <si>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</si>
  <si>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</si>
  <si>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</si>
  <si>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</si>
  <si>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</si>
  <si>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</si>
  <si>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</si>
  <si>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</si>
  <si>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</si>
  <si>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</si>
  <si>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</si>
  <si>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</si>
  <si>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</si>
  <si>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</si>
  <si>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</si>
  <si>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</si>
  <si>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</si>
  <si>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</si>
  <si>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</si>
  <si>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</si>
  <si>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</si>
  <si>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</si>
  <si>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</si>
  <si>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</si>
  <si>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</si>
  <si>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</si>
  <si>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</si>
  <si>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</si>
  <si>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</si>
  <si>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</si>
  <si>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</si>
  <si>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</si>
  <si>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</si>
  <si>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</si>
  <si>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</si>
  <si>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</si>
  <si>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</si>
  <si>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</si>
  <si>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</si>
  <si>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</si>
  <si>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</si>
  <si>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</si>
  <si>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</si>
  <si>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</si>
  <si>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</si>
  <si>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</si>
  <si>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</si>
  <si>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</si>
  <si>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</si>
  <si>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</si>
  <si>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</si>
  <si>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</si>
  <si>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</si>
  <si>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</si>
  <si>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</si>
  <si>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</si>
  <si>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</si>
  <si>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</si>
  <si>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</si>
  <si>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</si>
  <si>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</si>
  <si>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</si>
  <si>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</si>
  <si>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</si>
  <si>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</si>
  <si>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</si>
  <si>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</si>
  <si>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</si>
  <si>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</si>
  <si>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</si>
  <si>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</si>
  <si>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</si>
  <si>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</si>
  <si>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</si>
  <si>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</si>
  <si>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</si>
  <si>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</si>
  <si>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</si>
  <si>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</si>
  <si>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</si>
  <si>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</si>
  <si>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</si>
  <si>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</si>
  <si>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</si>
  <si>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</si>
  <si>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</si>
  <si>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</si>
  <si>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</si>
  <si>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</si>
  <si>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</si>
  <si>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</si>
  <si>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</si>
  <si>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</si>
  <si>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</si>
  <si>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</si>
  <si>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</si>
  <si>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</si>
  <si>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</si>
  <si>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</si>
  <si>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</si>
  <si>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</si>
  <si>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</si>
  <si>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</si>
  <si>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</si>
  <si>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</si>
  <si>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</si>
  <si>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</si>
  <si>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</si>
  <si>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</si>
  <si>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</si>
  <si>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</si>
  <si>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</si>
  <si>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</si>
  <si>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</si>
  <si>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</si>
  <si>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</si>
  <si>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</si>
  <si>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</si>
  <si>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</si>
  <si>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</si>
  <si>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</si>
  <si>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</si>
  <si>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</si>
  <si>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</si>
  <si>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</si>
  <si>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</si>
  <si>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</si>
  <si>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</si>
  <si>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</si>
  <si>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</si>
  <si>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</si>
  <si>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</si>
  <si>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</si>
  <si>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</si>
  <si>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</si>
  <si>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</si>
  <si>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</si>
  <si>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</si>
  <si>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</si>
  <si>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</si>
  <si>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</si>
  <si>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</si>
  <si>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</si>
  <si>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</si>
  <si>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</si>
  <si>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</si>
  <si>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</si>
  <si>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</si>
  <si>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</si>
  <si>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</si>
  <si>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</si>
  <si>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</si>
  <si>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</si>
  <si>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</si>
  <si>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</si>
  <si>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</si>
  <si>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</si>
  <si>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</si>
  <si>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</si>
  <si>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</si>
  <si>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</si>
  <si>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</si>
  <si>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</si>
  <si>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</si>
  <si>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</si>
  <si>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</si>
  <si>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</si>
  <si>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</si>
  <si>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</si>
  <si>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</si>
  <si>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</si>
  <si>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</si>
  <si>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</si>
  <si>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</si>
  <si>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</si>
  <si>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</si>
  <si>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</si>
  <si>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</si>
  <si>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</si>
  <si>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</si>
  <si>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</si>
  <si>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</si>
  <si>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</si>
  <si>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</si>
  <si>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</si>
  <si>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</si>
  <si>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</si>
  <si>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</si>
  <si>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</si>
  <si>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</si>
  <si>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</si>
  <si>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</si>
  <si>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</si>
  <si>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</si>
  <si>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</si>
  <si>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</si>
  <si>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</si>
  <si>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</si>
  <si>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</si>
  <si>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</si>
  <si>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</si>
  <si>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</si>
  <si>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</si>
  <si>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</si>
  <si>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</si>
  <si>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</si>
  <si>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</si>
  <si>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</si>
  <si>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</si>
  <si>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</si>
  <si>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</si>
  <si>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</si>
  <si>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</si>
  <si>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</si>
  <si>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</si>
  <si>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</si>
  <si>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</si>
  <si>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</si>
  <si>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</si>
  <si>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</si>
  <si>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</si>
  <si>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</si>
  <si>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</si>
  <si>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</si>
  <si>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</si>
  <si>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</si>
  <si>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</si>
  <si>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</si>
  <si>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</si>
  <si>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</si>
  <si>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</si>
  <si>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</si>
  <si>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</si>
  <si>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</si>
  <si>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</si>
  <si>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</si>
  <si>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</si>
  <si>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</si>
  <si>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</si>
  <si>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</si>
  <si>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</si>
  <si>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</si>
  <si>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</si>
  <si>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</si>
  <si>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</si>
  <si>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</si>
  <si>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</si>
  <si>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</si>
  <si>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</si>
  <si>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</si>
  <si>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</si>
  <si>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</si>
  <si>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</si>
  <si>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</si>
  <si>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</si>
  <si>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</si>
  <si>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</si>
  <si>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</si>
  <si>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</si>
  <si>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</si>
  <si>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</si>
  <si>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</si>
  <si>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</si>
  <si>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</si>
  <si>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</si>
  <si>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</si>
  <si>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</si>
  <si>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</si>
  <si>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</si>
  <si>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</si>
  <si>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</si>
  <si>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</si>
  <si>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</si>
  <si>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</si>
  <si>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</si>
  <si>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</si>
  <si>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</si>
  <si>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</si>
  <si>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</si>
  <si>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</si>
  <si>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</si>
  <si>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</si>
  <si>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</si>
  <si>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</si>
  <si>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</si>
  <si>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</si>
  <si>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</si>
  <si>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</si>
  <si>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</si>
  <si>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</si>
  <si>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</si>
  <si>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</si>
  <si>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</si>
  <si>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</si>
  <si>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</si>
  <si>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</si>
  <si>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</si>
  <si>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</si>
  <si>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</si>
  <si>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</si>
  <si>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</si>
  <si>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</si>
  <si>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</si>
  <si>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</si>
  <si>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</si>
  <si>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</si>
  <si>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</si>
  <si>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</si>
  <si>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</si>
  <si>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</si>
  <si>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</si>
  <si>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</si>
  <si>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</si>
  <si>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</si>
  <si>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Neminath Poonam Realty LLP</t>
  </si>
  <si>
    <t>Evara</t>
  </si>
  <si>
    <t>P99000080818</t>
  </si>
  <si>
    <t>Old Survey No</t>
  </si>
  <si>
    <t>5, 5B, 5D, 5F, 5G &amp; New Survey No. 5/1, 5/2, 5/3, 5/4, 5/6, 5/7, 5/8, 5/5/A, 5/5/B, 5/5/C, 5/5/D, 5/5/E</t>
  </si>
  <si>
    <t>Dongre</t>
  </si>
  <si>
    <t>Narangi Bypass Road</t>
  </si>
  <si>
    <t>Virar West</t>
  </si>
  <si>
    <t>Evershine Amavi Mall</t>
  </si>
  <si>
    <t>1.70 KM from Virar Railway Station</t>
  </si>
  <si>
    <t>30 M Wide Proposed Road</t>
  </si>
  <si>
    <t>12 M Internal Road</t>
  </si>
  <si>
    <t>Other Plot</t>
  </si>
  <si>
    <t>Other Plot / Sector 3</t>
  </si>
  <si>
    <t>Open Plot</t>
  </si>
  <si>
    <t>Dongarpada Road</t>
  </si>
  <si>
    <t>07 Wings</t>
  </si>
  <si>
    <t>VVCMC/TP/AMEND/VP/453/04/2025-26</t>
  </si>
  <si>
    <t>VVCMC/FIRE/HQ/3013/2025</t>
  </si>
  <si>
    <t>Shop</t>
  </si>
  <si>
    <t>Wing G</t>
  </si>
  <si>
    <t>Wing A</t>
  </si>
  <si>
    <t>Wing B</t>
  </si>
  <si>
    <t>Wing C</t>
  </si>
  <si>
    <t>Wing D</t>
  </si>
  <si>
    <t xml:space="preserve"> - </t>
  </si>
  <si>
    <t>2BHK</t>
  </si>
  <si>
    <t>Ground Floor For Parking, Entrance Lobby &amp; Meter Room</t>
  </si>
  <si>
    <t>Wing E</t>
  </si>
  <si>
    <t>1BHK</t>
  </si>
  <si>
    <t>Wing F</t>
  </si>
  <si>
    <t>Terrace Area</t>
  </si>
  <si>
    <t>3rd Floor For Residential</t>
  </si>
  <si>
    <t>3BHK</t>
  </si>
  <si>
    <t>4BHK</t>
  </si>
  <si>
    <t>Wing A to G</t>
  </si>
  <si>
    <t>Avenue-P 
(Sector 2)</t>
  </si>
  <si>
    <t>19.466722,72.807694</t>
  </si>
  <si>
    <t>https://maps.app.goo.gl/jY1J44T8q6Lua6tZ6</t>
  </si>
  <si>
    <t>Pranita Mhatre</t>
  </si>
  <si>
    <t>Mrs. Ritika 9322509992</t>
  </si>
  <si>
    <t>Dongarpada</t>
  </si>
  <si>
    <t>VVCMC/TP/RDP/VP-0453/04/2025-26</t>
  </si>
  <si>
    <t xml:space="preserve">Avenue P - Sector 2 (Wing A, B &amp; C) = Gr + 1st to 21st Floors 
Avenue P - Sector 2 (Wing D, E, F &amp; G) = Gr + 1st to 22nd Floors </t>
  </si>
  <si>
    <t>Avenue P - Sector 2 (Wing A to C) = G + 1st to 21st Floors (Height = 69.95 Mtrs)
Avenue P - Sector 2 (Wing D to G) = G + 1st to 22nd Floors (Height 69.60 Mtrs)</t>
  </si>
  <si>
    <t>As per RERA - 31/12/2030</t>
  </si>
  <si>
    <r>
      <t xml:space="preserve">Proposed Amenities :                                                                                                                                                                                                                         </t>
    </r>
    <r>
      <rPr>
        <b/>
        <sz val="12"/>
        <rFont val="Times New Roman"/>
        <family val="1"/>
      </rPr>
      <t xml:space="preserve">                                               </t>
    </r>
  </si>
  <si>
    <t>Podium Garden, Kid Play Area, Multipurpose Court, Round Seating &amp; Step Seating, Branded Elevator, Grand Entrance Lobby, CCTV Camera, 24 X 7 Security System, etc.</t>
  </si>
  <si>
    <t>Wing A to C = Gr + 1st to 21st Floor
Wing D to G = Gr + 1st to 22nd Floor</t>
  </si>
  <si>
    <t>Wing A = Gr + 1st to 21st Floor</t>
  </si>
  <si>
    <t>Wing B = Gr + 1st to 21st Floor</t>
  </si>
  <si>
    <t>Wing C = Gr + 1st to 21st Floor</t>
  </si>
  <si>
    <t>Wing D = Gr + 1st to 22nd Floor</t>
  </si>
  <si>
    <t>Wing E = Gr + 1st to 22nd Floor</t>
  </si>
  <si>
    <t>Wing F = Gr + 1st to 22nd Floor</t>
  </si>
  <si>
    <t>Wing G = Gr + 1st to 22nd Floor</t>
  </si>
  <si>
    <t>Construction work is in process at the time of Visit (labour found)</t>
  </si>
  <si>
    <t>Navnath Bhatkar</t>
  </si>
  <si>
    <t>Ground Floor For Commercial, Parking &amp; Meter Room</t>
  </si>
  <si>
    <t>Balcony + AP Area</t>
  </si>
  <si>
    <t>7th, 12th &amp; 17th Floor For Part Refuge Area</t>
  </si>
  <si>
    <t>-</t>
  </si>
  <si>
    <t>Refuge Area</t>
  </si>
  <si>
    <t>1st Floor For Residential &amp; Part Parking Area</t>
  </si>
  <si>
    <t xml:space="preserve">3rd to 6th, 8th to 11th, 13th to 16th &amp; 18th to 22nd Floor </t>
  </si>
  <si>
    <t>2nd Floor For  Residential &amp; Part Parking Area</t>
  </si>
  <si>
    <t xml:space="preserve"> Refuge Area</t>
  </si>
  <si>
    <t>Ground Floor For Parking &amp; Meter Room</t>
  </si>
  <si>
    <t>1st Floor For Residential, Part Parking &amp; Terrace Area</t>
  </si>
  <si>
    <t>2nd Floor For Residential &amp; Part Parking Area</t>
  </si>
  <si>
    <t>Parking Area</t>
  </si>
  <si>
    <r>
      <t xml:space="preserve">Flat No.
</t>
    </r>
    <r>
      <rPr>
        <b/>
        <sz val="11"/>
        <rFont val="Times New Roman"/>
        <family val="1"/>
      </rPr>
      <t>(Approved Plan)</t>
    </r>
  </si>
  <si>
    <r>
      <t xml:space="preserve">Shop No.
</t>
    </r>
    <r>
      <rPr>
        <b/>
        <sz val="11"/>
        <rFont val="Times New Roman"/>
        <family val="1"/>
      </rPr>
      <t>(Approved Plan)</t>
    </r>
  </si>
  <si>
    <t>Avenue-P (Sector 2)</t>
  </si>
  <si>
    <t>RERA Carpet + Encl Balcony Area</t>
  </si>
  <si>
    <t>We considered Gross carpet area = RERA Carpet + Encl Balcony + Balcony + AP Area</t>
  </si>
  <si>
    <t>Commercial Area Details : (Shop)</t>
  </si>
  <si>
    <t>Residential Area Details : (Flat)</t>
  </si>
  <si>
    <t>4th to 6th, 8th to 11th, 13th to 16th &amp; 18th to 21st Floor For Residential</t>
  </si>
  <si>
    <t>Approved Builtup Area of Avenue P (Wing A to G) (Sq.Mt)</t>
  </si>
  <si>
    <t>Flats - 772, Shops - 39</t>
  </si>
  <si>
    <t>Please check for Environment Clearance Certificate.</t>
  </si>
  <si>
    <t>We have referred approved layout plan from RERA site</t>
  </si>
  <si>
    <t>Fire Noc From PNB Case</t>
  </si>
  <si>
    <t xml:space="preserve">CARPET ARE IS NOT LEGIBLE IN PLAN WE REFERRED CARPET ARAE BULDER AREA SHEET WHICH Matched with plan area </t>
  </si>
  <si>
    <t>COSH SHEET</t>
  </si>
  <si>
    <t>Recommended rate of the Shop Per Sq. Ft. (Ground Floor)</t>
  </si>
  <si>
    <t>Recommended rate of the Shop Per Sq. Ft. (1st Floor)</t>
  </si>
  <si>
    <t>Recommended rate of the Shop Per Sq. Ft. (2nd Floor)</t>
  </si>
  <si>
    <t>ALOMOST MATCHED AREA as per cosht sheet</t>
  </si>
  <si>
    <t xml:space="preserve">1st Floor </t>
  </si>
  <si>
    <t xml:space="preserve">2nd Floor </t>
  </si>
  <si>
    <t>Approved Plans, CC &amp; Builder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</si>
</sst>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b/>
      <sz val="8"/>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31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11" fillId="0" borderId="1" xfId="1" applyFont="1" applyBorder="1" applyAlignment="1" applyProtection="1">
      <alignment vertical="top" wrapText="1"/>
      <protection locked="0"/>
    </xf>
    <xf numFmtId="2" fontId="6" fillId="0" borderId="0" xfId="1" applyNumberFormat="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9" fillId="0" borderId="0" xfId="1" applyNumberFormat="1" applyFont="1" applyAlignment="1">
      <alignment horizontal="center" vertical="center"/>
    </xf>
    <xf numFmtId="0" fontId="9" fillId="0" borderId="0" xfId="1" applyFont="1" applyAlignment="1">
      <alignment horizontal="center" vertical="center"/>
    </xf>
    <xf numFmtId="0" fontId="6" fillId="3" borderId="0" xfId="0" applyFont="1" applyFill="1" applyAlignment="1">
      <alignment horizontal="center" vertical="center"/>
    </xf>
    <xf numFmtId="1" fontId="11" fillId="0" borderId="1" xfId="0"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6" fillId="0" borderId="1" xfId="1" applyNumberFormat="1" applyFont="1" applyBorder="1" applyAlignment="1">
      <alignment horizontal="center" vertical="center"/>
    </xf>
    <xf numFmtId="1" fontId="6" fillId="0" borderId="1" xfId="1" applyNumberFormat="1" applyFont="1" applyBorder="1" applyAlignment="1">
      <alignment horizontal="center"/>
    </xf>
    <xf numFmtId="0" fontId="6" fillId="0" borderId="0" xfId="1" applyFont="1" applyAlignment="1">
      <alignment horizontal="center" vertical="center"/>
    </xf>
    <xf numFmtId="0" fontId="12" fillId="0" borderId="0" xfId="1" applyFont="1"/>
    <xf numFmtId="0" fontId="9" fillId="0" borderId="0" xfId="1" applyFont="1"/>
    <xf numFmtId="0" fontId="30" fillId="0" borderId="0" xfId="1" applyFont="1" applyAlignment="1">
      <alignment horizontal="center" vertical="center"/>
    </xf>
    <xf numFmtId="0" fontId="5"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5"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7" fillId="6" borderId="8" xfId="1" applyNumberFormat="1" applyFont="1" applyFill="1" applyBorder="1" applyAlignment="1" applyProtection="1">
      <alignment horizontal="center" vertical="center" wrapText="1"/>
      <protection locked="0"/>
    </xf>
    <xf numFmtId="1" fontId="7" fillId="6" borderId="21" xfId="1" applyNumberFormat="1" applyFont="1" applyFill="1" applyBorder="1" applyAlignment="1" applyProtection="1">
      <alignment horizontal="center" vertical="center" wrapText="1"/>
      <protection locked="0"/>
    </xf>
    <xf numFmtId="1" fontId="7" fillId="6" borderId="9" xfId="1" applyNumberFormat="1" applyFont="1" applyFill="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3" borderId="8" xfId="1" applyNumberFormat="1" applyFont="1" applyFill="1" applyBorder="1" applyAlignment="1" applyProtection="1">
      <alignment horizontal="center" vertical="center" wrapText="1"/>
      <protection locked="0"/>
    </xf>
    <xf numFmtId="1" fontId="7" fillId="3" borderId="21" xfId="1" applyNumberFormat="1" applyFont="1" applyFill="1" applyBorder="1" applyAlignment="1" applyProtection="1">
      <alignment horizontal="center" vertical="center" wrapText="1"/>
      <protection locked="0"/>
    </xf>
    <xf numFmtId="1" fontId="7" fillId="3" borderId="9" xfId="1" applyNumberFormat="1" applyFont="1" applyFill="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6" fillId="0" borderId="0" xfId="1" applyFont="1" applyAlignment="1">
      <alignment horizontal="center" vertical="center"/>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9" fillId="0" borderId="33" xfId="0"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11" fillId="0" borderId="16" xfId="1" applyFont="1" applyBorder="1" applyAlignment="1" applyProtection="1">
      <alignment horizontal="left" vertical="top" wrapText="1"/>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8" xfId="1" applyFont="1" applyBorder="1" applyAlignment="1" applyProtection="1">
      <alignment vertical="top" wrapText="1"/>
      <protection locked="0"/>
    </xf>
    <xf numFmtId="0" fontId="11" fillId="0" borderId="21" xfId="1" applyFont="1" applyBorder="1" applyAlignment="1" applyProtection="1">
      <alignment vertical="top" wrapText="1"/>
      <protection locked="0"/>
    </xf>
    <xf numFmtId="0" fontId="11"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11" fillId="0" borderId="8" xfId="1" applyNumberFormat="1" applyFont="1" applyBorder="1" applyAlignment="1" applyProtection="1">
      <alignment horizontal="left" vertical="top" wrapText="1"/>
      <protection locked="0"/>
    </xf>
    <xf numFmtId="14" fontId="11" fillId="0" borderId="9"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1" fillId="0" borderId="25" xfId="1" applyFont="1" applyBorder="1" applyAlignment="1" applyProtection="1">
      <alignment horizontal="left" vertical="top"/>
      <protection locked="0"/>
    </xf>
    <xf numFmtId="0" fontId="11" fillId="0" borderId="0" xfId="1" applyFont="1" applyBorder="1" applyAlignment="1" applyProtection="1">
      <alignment horizontal="left" vertical="top"/>
      <protection locked="0"/>
    </xf>
    <xf numFmtId="0" fontId="11" fillId="0" borderId="26"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Border="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9" fillId="0" borderId="33" xfId="0" applyFont="1" applyBorder="1" applyAlignment="1" applyProtection="1">
      <alignment horizontal="center" vertical="center"/>
      <protection locked="0"/>
    </xf>
    <xf numFmtId="0" fontId="7" fillId="0" borderId="16" xfId="1" applyFont="1" applyBorder="1" applyAlignment="1" applyProtection="1">
      <alignment horizontal="left" vertical="top"/>
      <protection locked="0"/>
    </xf>
    <xf numFmtId="0" fontId="12" fillId="0" borderId="16" xfId="1" applyFont="1" applyBorder="1" applyAlignment="1" applyProtection="1">
      <alignment horizontal="center" vertical="top"/>
      <protection locked="0"/>
    </xf>
    <xf numFmtId="0" fontId="5" fillId="0" borderId="1" xfId="1" applyFont="1" applyBorder="1" applyAlignment="1" applyProtection="1">
      <alignment vertical="top"/>
      <protection locked="0"/>
    </xf>
    <xf numFmtId="0" fontId="9" fillId="0" borderId="3" xfId="0" applyFont="1" applyBorder="1" applyAlignment="1" applyProtection="1">
      <alignment horizontal="center" vertical="center"/>
      <protection locked="0"/>
    </xf>
    <xf numFmtId="1" fontId="7" fillId="0" borderId="1" xfId="0" applyNumberFormat="1" applyFont="1" applyBorder="1" applyAlignment="1" applyProtection="1">
      <alignment horizontal="left" vertical="top"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25" xfId="1" applyFont="1" applyBorder="1" applyAlignment="1">
      <alignment horizontal="center" vertical="center" wrapText="1"/>
    </xf>
    <xf numFmtId="0" fontId="9" fillId="0" borderId="0" xfId="1" applyFont="1" applyAlignment="1">
      <alignment horizontal="center" vertical="center" wrapText="1"/>
    </xf>
    <xf numFmtId="0" fontId="11" fillId="0" borderId="8"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8" xfId="1" applyFont="1" applyBorder="1" applyAlignment="1" applyProtection="1">
      <alignment horizontal="center" vertical="top" wrapText="1"/>
      <protection locked="0"/>
    </xf>
    <xf numFmtId="1" fontId="12" fillId="3" borderId="8" xfId="1" applyNumberFormat="1" applyFont="1" applyFill="1" applyBorder="1" applyAlignment="1" applyProtection="1">
      <alignment horizontal="center" vertical="center" wrapText="1"/>
      <protection locked="0"/>
    </xf>
    <xf numFmtId="1" fontId="12" fillId="3" borderId="21" xfId="1" applyNumberFormat="1" applyFont="1" applyFill="1" applyBorder="1" applyAlignment="1" applyProtection="1">
      <alignment horizontal="center" vertical="center" wrapText="1"/>
      <protection locked="0"/>
    </xf>
    <xf numFmtId="1" fontId="12" fillId="3" borderId="9" xfId="1" applyNumberFormat="1"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A0A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1.png"/><Relationship Id="rId18" Type="http://schemas.openxmlformats.org/officeDocument/2006/relationships/image" Target="../media/image16.jpeg"/><Relationship Id="rId26" Type="http://schemas.openxmlformats.org/officeDocument/2006/relationships/image" Target="../media/image24.png"/><Relationship Id="rId3" Type="http://schemas.openxmlformats.org/officeDocument/2006/relationships/image" Target="../media/image3.png"/><Relationship Id="rId21" Type="http://schemas.openxmlformats.org/officeDocument/2006/relationships/image" Target="../media/image19.jpeg"/><Relationship Id="rId7" Type="http://schemas.openxmlformats.org/officeDocument/2006/relationships/image" Target="../media/image7.png"/><Relationship Id="rId12" Type="http://schemas.microsoft.com/office/2007/relationships/hdphoto" Target="../media/hdphoto2.wdp"/><Relationship Id="rId17" Type="http://schemas.openxmlformats.org/officeDocument/2006/relationships/image" Target="../media/image15.jpeg"/><Relationship Id="rId25" Type="http://schemas.openxmlformats.org/officeDocument/2006/relationships/image" Target="../media/image23.png"/><Relationship Id="rId2" Type="http://schemas.openxmlformats.org/officeDocument/2006/relationships/image" Target="../media/image2.png"/><Relationship Id="rId16" Type="http://schemas.openxmlformats.org/officeDocument/2006/relationships/image" Target="../media/image14.jpeg"/><Relationship Id="rId20" Type="http://schemas.openxmlformats.org/officeDocument/2006/relationships/image" Target="../media/image18.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24" Type="http://schemas.openxmlformats.org/officeDocument/2006/relationships/image" Target="../media/image22.jpeg"/><Relationship Id="rId5" Type="http://schemas.openxmlformats.org/officeDocument/2006/relationships/image" Target="../media/image5.png"/><Relationship Id="rId15" Type="http://schemas.openxmlformats.org/officeDocument/2006/relationships/image" Target="../media/image13.jpeg"/><Relationship Id="rId23" Type="http://schemas.openxmlformats.org/officeDocument/2006/relationships/image" Target="../media/image21.jpeg"/><Relationship Id="rId10" Type="http://schemas.microsoft.com/office/2007/relationships/hdphoto" Target="../media/hdphoto1.wdp"/><Relationship Id="rId19" Type="http://schemas.openxmlformats.org/officeDocument/2006/relationships/image" Target="../media/image17.jpe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2.png"/><Relationship Id="rId22" Type="http://schemas.openxmlformats.org/officeDocument/2006/relationships/image" Target="../media/image20.jpeg"/><Relationship Id="rId27" Type="http://schemas.openxmlformats.org/officeDocument/2006/relationships/image" Target="../media/image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8</xdr:col>
      <xdr:colOff>694911</xdr:colOff>
      <xdr:row>15</xdr:row>
      <xdr:rowOff>577711</xdr:rowOff>
    </xdr:from>
    <xdr:to>
      <xdr:col>16</xdr:col>
      <xdr:colOff>6687</xdr:colOff>
      <xdr:row>18</xdr:row>
      <xdr:rowOff>174247</xdr:rowOff>
    </xdr:to>
    <xdr:pic>
      <xdr:nvPicPr>
        <xdr:cNvPr id="2" name="Picture 1"/>
        <xdr:cNvPicPr>
          <a:picLocks noChangeAspect="1"/>
        </xdr:cNvPicPr>
      </xdr:nvPicPr>
      <xdr:blipFill>
        <a:blip xmlns:r="http://schemas.openxmlformats.org/officeDocument/2006/relationships" r:embed="rId1"/>
        <a:stretch>
          <a:fillRect/>
        </a:stretch>
      </xdr:blipFill>
      <xdr:spPr>
        <a:xfrm>
          <a:off x="7014541" y="4354581"/>
          <a:ext cx="6128363" cy="814079"/>
        </a:xfrm>
        <a:prstGeom prst="rect">
          <a:avLst/>
        </a:prstGeom>
      </xdr:spPr>
    </xdr:pic>
    <xdr:clientData/>
  </xdr:twoCellAnchor>
  <xdr:twoCellAnchor editAs="oneCell">
    <xdr:from>
      <xdr:col>11</xdr:col>
      <xdr:colOff>133910</xdr:colOff>
      <xdr:row>44</xdr:row>
      <xdr:rowOff>191621</xdr:rowOff>
    </xdr:from>
    <xdr:to>
      <xdr:col>13</xdr:col>
      <xdr:colOff>725091</xdr:colOff>
      <xdr:row>54</xdr:row>
      <xdr:rowOff>340906</xdr:rowOff>
    </xdr:to>
    <xdr:pic>
      <xdr:nvPicPr>
        <xdr:cNvPr id="3" name="Picture 2"/>
        <xdr:cNvPicPr>
          <a:picLocks noChangeAspect="1"/>
        </xdr:cNvPicPr>
      </xdr:nvPicPr>
      <xdr:blipFill>
        <a:blip xmlns:r="http://schemas.openxmlformats.org/officeDocument/2006/relationships" r:embed="rId2"/>
        <a:stretch>
          <a:fillRect/>
        </a:stretch>
      </xdr:blipFill>
      <xdr:spPr>
        <a:xfrm>
          <a:off x="9121028" y="10478621"/>
          <a:ext cx="2305681" cy="2614579"/>
        </a:xfrm>
        <a:prstGeom prst="rect">
          <a:avLst/>
        </a:prstGeom>
      </xdr:spPr>
    </xdr:pic>
    <xdr:clientData/>
  </xdr:twoCellAnchor>
  <xdr:twoCellAnchor editAs="oneCell">
    <xdr:from>
      <xdr:col>9</xdr:col>
      <xdr:colOff>518832</xdr:colOff>
      <xdr:row>48</xdr:row>
      <xdr:rowOff>206188</xdr:rowOff>
    </xdr:from>
    <xdr:to>
      <xdr:col>13</xdr:col>
      <xdr:colOff>564366</xdr:colOff>
      <xdr:row>75</xdr:row>
      <xdr:rowOff>3639</xdr:rowOff>
    </xdr:to>
    <xdr:pic>
      <xdr:nvPicPr>
        <xdr:cNvPr id="4" name="Picture 3"/>
        <xdr:cNvPicPr>
          <a:picLocks noChangeAspect="1"/>
        </xdr:cNvPicPr>
      </xdr:nvPicPr>
      <xdr:blipFill>
        <a:blip xmlns:r="http://schemas.openxmlformats.org/officeDocument/2006/relationships" r:embed="rId3"/>
        <a:stretch>
          <a:fillRect/>
        </a:stretch>
      </xdr:blipFill>
      <xdr:spPr>
        <a:xfrm>
          <a:off x="7993156" y="11300012"/>
          <a:ext cx="3272828" cy="5489638"/>
        </a:xfrm>
        <a:prstGeom prst="rect">
          <a:avLst/>
        </a:prstGeom>
      </xdr:spPr>
    </xdr:pic>
    <xdr:clientData/>
  </xdr:twoCellAnchor>
  <xdr:twoCellAnchor editAs="oneCell">
    <xdr:from>
      <xdr:col>11</xdr:col>
      <xdr:colOff>889747</xdr:colOff>
      <xdr:row>45</xdr:row>
      <xdr:rowOff>149039</xdr:rowOff>
    </xdr:from>
    <xdr:to>
      <xdr:col>15</xdr:col>
      <xdr:colOff>372596</xdr:colOff>
      <xdr:row>67</xdr:row>
      <xdr:rowOff>145118</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76865" y="10637745"/>
          <a:ext cx="2844613" cy="4686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323850</xdr:colOff>
      <xdr:row>5</xdr:row>
      <xdr:rowOff>9525</xdr:rowOff>
    </xdr:from>
    <xdr:to>
      <xdr:col>13</xdr:col>
      <xdr:colOff>38673</xdr:colOff>
      <xdr:row>12</xdr:row>
      <xdr:rowOff>152645</xdr:rowOff>
    </xdr:to>
    <xdr:pic>
      <xdr:nvPicPr>
        <xdr:cNvPr id="6" name="Picture 5"/>
        <xdr:cNvPicPr>
          <a:picLocks noChangeAspect="1"/>
        </xdr:cNvPicPr>
      </xdr:nvPicPr>
      <xdr:blipFill>
        <a:blip xmlns:r="http://schemas.openxmlformats.org/officeDocument/2006/relationships" r:embed="rId5"/>
        <a:stretch>
          <a:fillRect/>
        </a:stretch>
      </xdr:blipFill>
      <xdr:spPr>
        <a:xfrm>
          <a:off x="6638925" y="1390650"/>
          <a:ext cx="4105848" cy="1752845"/>
        </a:xfrm>
        <a:prstGeom prst="rect">
          <a:avLst/>
        </a:prstGeom>
      </xdr:spPr>
    </xdr:pic>
    <xdr:clientData/>
  </xdr:twoCellAnchor>
  <xdr:twoCellAnchor editAs="oneCell">
    <xdr:from>
      <xdr:col>8</xdr:col>
      <xdr:colOff>904875</xdr:colOff>
      <xdr:row>0</xdr:row>
      <xdr:rowOff>0</xdr:rowOff>
    </xdr:from>
    <xdr:to>
      <xdr:col>13</xdr:col>
      <xdr:colOff>762593</xdr:colOff>
      <xdr:row>15</xdr:row>
      <xdr:rowOff>257712</xdr:rowOff>
    </xdr:to>
    <xdr:pic>
      <xdr:nvPicPr>
        <xdr:cNvPr id="7" name="Picture 6"/>
        <xdr:cNvPicPr>
          <a:picLocks noChangeAspect="1"/>
        </xdr:cNvPicPr>
      </xdr:nvPicPr>
      <xdr:blipFill>
        <a:blip xmlns:r="http://schemas.openxmlformats.org/officeDocument/2006/relationships" r:embed="rId6"/>
        <a:stretch>
          <a:fillRect/>
        </a:stretch>
      </xdr:blipFill>
      <xdr:spPr>
        <a:xfrm>
          <a:off x="7219950" y="0"/>
          <a:ext cx="4248743" cy="3848637"/>
        </a:xfrm>
        <a:prstGeom prst="rect">
          <a:avLst/>
        </a:prstGeom>
      </xdr:spPr>
    </xdr:pic>
    <xdr:clientData/>
  </xdr:twoCellAnchor>
  <xdr:oneCellAnchor>
    <xdr:from>
      <xdr:col>9</xdr:col>
      <xdr:colOff>231913</xdr:colOff>
      <xdr:row>520</xdr:row>
      <xdr:rowOff>132521</xdr:rowOff>
    </xdr:from>
    <xdr:ext cx="184731" cy="264560"/>
    <xdr:sp macro="" textlink="">
      <xdr:nvSpPr>
        <xdr:cNvPr id="11" name="TextBox 10"/>
        <xdr:cNvSpPr txBox="1"/>
      </xdr:nvSpPr>
      <xdr:spPr>
        <a:xfrm>
          <a:off x="7711109" y="1138278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IN" sz="1100"/>
        </a:p>
      </xdr:txBody>
    </xdr:sp>
    <xdr:clientData/>
  </xdr:oneCellAnchor>
  <xdr:twoCellAnchor>
    <xdr:from>
      <xdr:col>0</xdr:col>
      <xdr:colOff>349818</xdr:colOff>
      <xdr:row>572</xdr:row>
      <xdr:rowOff>89648</xdr:rowOff>
    </xdr:from>
    <xdr:to>
      <xdr:col>7</xdr:col>
      <xdr:colOff>340167</xdr:colOff>
      <xdr:row>613</xdr:row>
      <xdr:rowOff>37425</xdr:rowOff>
    </xdr:to>
    <xdr:grpSp>
      <xdr:nvGrpSpPr>
        <xdr:cNvPr id="13" name="Group 12"/>
        <xdr:cNvGrpSpPr/>
      </xdr:nvGrpSpPr>
      <xdr:grpSpPr>
        <a:xfrm>
          <a:off x="349818" y="115770773"/>
          <a:ext cx="5571999" cy="8148802"/>
          <a:chOff x="349818" y="113907795"/>
          <a:chExt cx="5570878" cy="8217718"/>
        </a:xfrm>
      </xdr:grpSpPr>
      <xdr:pic>
        <xdr:nvPicPr>
          <xdr:cNvPr id="8" name="Picture 7"/>
          <xdr:cNvPicPr>
            <a:picLocks noChangeAspect="1"/>
          </xdr:cNvPicPr>
        </xdr:nvPicPr>
        <xdr:blipFill>
          <a:blip xmlns:r="http://schemas.openxmlformats.org/officeDocument/2006/relationships" r:embed="rId7"/>
          <a:stretch>
            <a:fillRect/>
          </a:stretch>
        </xdr:blipFill>
        <xdr:spPr>
          <a:xfrm>
            <a:off x="349818" y="113907795"/>
            <a:ext cx="5570878" cy="4280645"/>
          </a:xfrm>
          <a:prstGeom prst="rect">
            <a:avLst/>
          </a:prstGeom>
          <a:ln>
            <a:solidFill>
              <a:sysClr val="windowText" lastClr="000000"/>
            </a:solidFill>
          </a:ln>
        </xdr:spPr>
      </xdr:pic>
      <xdr:pic>
        <xdr:nvPicPr>
          <xdr:cNvPr id="9" name="Picture 8"/>
          <xdr:cNvPicPr>
            <a:picLocks noChangeAspect="1"/>
          </xdr:cNvPicPr>
        </xdr:nvPicPr>
        <xdr:blipFill>
          <a:blip xmlns:r="http://schemas.openxmlformats.org/officeDocument/2006/relationships" r:embed="rId8"/>
          <a:stretch>
            <a:fillRect/>
          </a:stretch>
        </xdr:blipFill>
        <xdr:spPr>
          <a:xfrm>
            <a:off x="898906" y="118311705"/>
            <a:ext cx="4244593" cy="3813808"/>
          </a:xfrm>
          <a:prstGeom prst="rect">
            <a:avLst/>
          </a:prstGeom>
          <a:ln>
            <a:solidFill>
              <a:sysClr val="windowText" lastClr="000000"/>
            </a:solidFill>
          </a:ln>
        </xdr:spPr>
      </xdr:pic>
      <xdr:sp macro="" textlink="">
        <xdr:nvSpPr>
          <xdr:cNvPr id="10" name="Rectangle 9"/>
          <xdr:cNvSpPr/>
        </xdr:nvSpPr>
        <xdr:spPr>
          <a:xfrm rot="19794481">
            <a:off x="2939352" y="116086607"/>
            <a:ext cx="595860" cy="544216"/>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2" name="Rectangle 11"/>
          <xdr:cNvSpPr/>
        </xdr:nvSpPr>
        <xdr:spPr>
          <a:xfrm rot="19711908">
            <a:off x="3080156" y="116572845"/>
            <a:ext cx="802925" cy="375178"/>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latin typeface="Times New Roman" panose="02020603050405020304" pitchFamily="18" charset="0"/>
                <a:cs typeface="Times New Roman" panose="02020603050405020304" pitchFamily="18" charset="0"/>
              </a:rPr>
              <a:t>Evara</a:t>
            </a:r>
          </a:p>
        </xdr:txBody>
      </xdr:sp>
    </xdr:grpSp>
    <xdr:clientData/>
  </xdr:twoCellAnchor>
  <xdr:twoCellAnchor>
    <xdr:from>
      <xdr:col>0</xdr:col>
      <xdr:colOff>238125</xdr:colOff>
      <xdr:row>529</xdr:row>
      <xdr:rowOff>98051</xdr:rowOff>
    </xdr:from>
    <xdr:to>
      <xdr:col>7</xdr:col>
      <xdr:colOff>276611</xdr:colOff>
      <xdr:row>569</xdr:row>
      <xdr:rowOff>71437</xdr:rowOff>
    </xdr:to>
    <xdr:grpSp>
      <xdr:nvGrpSpPr>
        <xdr:cNvPr id="27" name="Group 26"/>
        <xdr:cNvGrpSpPr/>
      </xdr:nvGrpSpPr>
      <xdr:grpSpPr>
        <a:xfrm>
          <a:off x="238125" y="107178101"/>
          <a:ext cx="5620136" cy="7974386"/>
          <a:chOff x="238125" y="104444426"/>
          <a:chExt cx="5620136" cy="7974386"/>
        </a:xfrm>
      </xdr:grpSpPr>
      <xdr:pic>
        <xdr:nvPicPr>
          <xdr:cNvPr id="14" name="Picture 13"/>
          <xdr:cNvPicPr>
            <a:picLocks noChangeAspect="1"/>
          </xdr:cNvPicPr>
        </xdr:nvPicPr>
        <xdr:blipFill>
          <a:blip xmlns:r="http://schemas.openxmlformats.org/officeDocument/2006/relationships" r:embed="rId9">
            <a:extLst>
              <a:ext uri="{BEBA8EAE-BF5A-486C-A8C5-ECC9F3942E4B}">
                <a14:imgProps xmlns:a14="http://schemas.microsoft.com/office/drawing/2010/main">
                  <a14:imgLayer r:embed="rId10">
                    <a14:imgEffect>
                      <a14:sharpenSoften amount="25000"/>
                    </a14:imgEffect>
                  </a14:imgLayer>
                </a14:imgProps>
              </a:ext>
            </a:extLst>
          </a:blip>
          <a:stretch>
            <a:fillRect/>
          </a:stretch>
        </xdr:blipFill>
        <xdr:spPr>
          <a:xfrm>
            <a:off x="965107" y="108970763"/>
            <a:ext cx="4103300" cy="3448049"/>
          </a:xfrm>
          <a:prstGeom prst="rect">
            <a:avLst/>
          </a:prstGeom>
          <a:ln>
            <a:solidFill>
              <a:sysClr val="windowText" lastClr="000000"/>
            </a:solidFill>
          </a:ln>
        </xdr:spPr>
      </xdr:pic>
      <xdr:pic>
        <xdr:nvPicPr>
          <xdr:cNvPr id="15" name="Picture 14"/>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sharpenSoften amount="25000"/>
                    </a14:imgEffect>
                  </a14:imgLayer>
                </a14:imgProps>
              </a:ext>
            </a:extLst>
          </a:blip>
          <a:stretch>
            <a:fillRect/>
          </a:stretch>
        </xdr:blipFill>
        <xdr:spPr>
          <a:xfrm>
            <a:off x="238125" y="104444426"/>
            <a:ext cx="5620136" cy="4397749"/>
          </a:xfrm>
          <a:prstGeom prst="rect">
            <a:avLst/>
          </a:prstGeom>
          <a:ln>
            <a:solidFill>
              <a:sysClr val="windowText" lastClr="000000"/>
            </a:solidFill>
          </a:ln>
        </xdr:spPr>
      </xdr:pic>
      <xdr:sp macro="" textlink="">
        <xdr:nvSpPr>
          <xdr:cNvPr id="16" name="Rectangle 15"/>
          <xdr:cNvSpPr/>
        </xdr:nvSpPr>
        <xdr:spPr>
          <a:xfrm>
            <a:off x="2585671" y="106227196"/>
            <a:ext cx="1134208" cy="985470"/>
          </a:xfrm>
          <a:prstGeom prst="rect">
            <a:avLst/>
          </a:prstGeom>
          <a:noFill/>
          <a:ln w="57150">
            <a:solidFill>
              <a:srgbClr val="0A0AD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8" name="Rectangle 17"/>
          <xdr:cNvSpPr/>
        </xdr:nvSpPr>
        <xdr:spPr>
          <a:xfrm>
            <a:off x="2616890" y="106254273"/>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A</a:t>
            </a:r>
          </a:p>
        </xdr:txBody>
      </xdr:sp>
      <xdr:sp macro="" textlink="">
        <xdr:nvSpPr>
          <xdr:cNvPr id="19" name="Rectangle 18"/>
          <xdr:cNvSpPr/>
        </xdr:nvSpPr>
        <xdr:spPr>
          <a:xfrm>
            <a:off x="2978183" y="106267411"/>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B</a:t>
            </a:r>
          </a:p>
        </xdr:txBody>
      </xdr:sp>
      <xdr:sp macro="" textlink="">
        <xdr:nvSpPr>
          <xdr:cNvPr id="20" name="Rectangle 19"/>
          <xdr:cNvSpPr/>
        </xdr:nvSpPr>
        <xdr:spPr>
          <a:xfrm>
            <a:off x="3347358" y="106254273"/>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C</a:t>
            </a:r>
          </a:p>
        </xdr:txBody>
      </xdr:sp>
      <xdr:sp macro="" textlink="">
        <xdr:nvSpPr>
          <xdr:cNvPr id="22" name="Rectangle 21"/>
          <xdr:cNvSpPr/>
        </xdr:nvSpPr>
        <xdr:spPr>
          <a:xfrm>
            <a:off x="3360496" y="106608340"/>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D</a:t>
            </a:r>
          </a:p>
        </xdr:txBody>
      </xdr:sp>
      <xdr:sp macro="" textlink="">
        <xdr:nvSpPr>
          <xdr:cNvPr id="23" name="Rectangle 22"/>
          <xdr:cNvSpPr/>
        </xdr:nvSpPr>
        <xdr:spPr>
          <a:xfrm>
            <a:off x="3327651" y="106906899"/>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E</a:t>
            </a:r>
          </a:p>
        </xdr:txBody>
      </xdr:sp>
      <xdr:sp macro="" textlink="">
        <xdr:nvSpPr>
          <xdr:cNvPr id="24" name="Rectangle 23"/>
          <xdr:cNvSpPr/>
        </xdr:nvSpPr>
        <xdr:spPr>
          <a:xfrm>
            <a:off x="2827096" y="106913468"/>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F</a:t>
            </a:r>
          </a:p>
        </xdr:txBody>
      </xdr:sp>
      <xdr:sp macro="" textlink="">
        <xdr:nvSpPr>
          <xdr:cNvPr id="25" name="Rectangle 24"/>
          <xdr:cNvSpPr/>
        </xdr:nvSpPr>
        <xdr:spPr>
          <a:xfrm>
            <a:off x="2584044" y="106601771"/>
            <a:ext cx="298174" cy="3602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0A0AD4"/>
                </a:solidFill>
                <a:latin typeface="Times New Roman" panose="02020603050405020304" pitchFamily="18" charset="0"/>
                <a:cs typeface="Times New Roman" panose="02020603050405020304" pitchFamily="18" charset="0"/>
              </a:rPr>
              <a:t>G</a:t>
            </a:r>
          </a:p>
        </xdr:txBody>
      </xdr:sp>
    </xdr:grpSp>
    <xdr:clientData/>
  </xdr:twoCellAnchor>
  <xdr:twoCellAnchor editAs="oneCell">
    <xdr:from>
      <xdr:col>10</xdr:col>
      <xdr:colOff>441049</xdr:colOff>
      <xdr:row>72</xdr:row>
      <xdr:rowOff>96906</xdr:rowOff>
    </xdr:from>
    <xdr:to>
      <xdr:col>19</xdr:col>
      <xdr:colOff>642056</xdr:colOff>
      <xdr:row>83</xdr:row>
      <xdr:rowOff>163990</xdr:rowOff>
    </xdr:to>
    <xdr:pic>
      <xdr:nvPicPr>
        <xdr:cNvPr id="28" name="Picture 27"/>
        <xdr:cNvPicPr>
          <a:picLocks noChangeAspect="1"/>
        </xdr:cNvPicPr>
      </xdr:nvPicPr>
      <xdr:blipFill>
        <a:blip xmlns:r="http://schemas.openxmlformats.org/officeDocument/2006/relationships" r:embed="rId13"/>
        <a:stretch>
          <a:fillRect/>
        </a:stretch>
      </xdr:blipFill>
      <xdr:spPr>
        <a:xfrm>
          <a:off x="8680174" y="16498956"/>
          <a:ext cx="7039957" cy="2934108"/>
        </a:xfrm>
        <a:prstGeom prst="rect">
          <a:avLst/>
        </a:prstGeom>
      </xdr:spPr>
    </xdr:pic>
    <xdr:clientData/>
  </xdr:twoCellAnchor>
  <xdr:twoCellAnchor editAs="oneCell">
    <xdr:from>
      <xdr:col>8</xdr:col>
      <xdr:colOff>892629</xdr:colOff>
      <xdr:row>62</xdr:row>
      <xdr:rowOff>14969</xdr:rowOff>
    </xdr:from>
    <xdr:to>
      <xdr:col>24</xdr:col>
      <xdr:colOff>551344</xdr:colOff>
      <xdr:row>69</xdr:row>
      <xdr:rowOff>115136</xdr:rowOff>
    </xdr:to>
    <xdr:pic>
      <xdr:nvPicPr>
        <xdr:cNvPr id="29" name="Picture 28"/>
        <xdr:cNvPicPr>
          <a:picLocks noChangeAspect="1"/>
        </xdr:cNvPicPr>
      </xdr:nvPicPr>
      <xdr:blipFill>
        <a:blip xmlns:r="http://schemas.openxmlformats.org/officeDocument/2006/relationships" r:embed="rId14"/>
        <a:stretch>
          <a:fillRect/>
        </a:stretch>
      </xdr:blipFill>
      <xdr:spPr>
        <a:xfrm>
          <a:off x="7206343" y="14234433"/>
          <a:ext cx="11592180" cy="2005968"/>
        </a:xfrm>
        <a:prstGeom prst="rect">
          <a:avLst/>
        </a:prstGeom>
      </xdr:spPr>
    </xdr:pic>
    <xdr:clientData/>
  </xdr:twoCellAnchor>
  <xdr:twoCellAnchor>
    <xdr:from>
      <xdr:col>0</xdr:col>
      <xdr:colOff>145676</xdr:colOff>
      <xdr:row>484</xdr:row>
      <xdr:rowOff>67230</xdr:rowOff>
    </xdr:from>
    <xdr:to>
      <xdr:col>7</xdr:col>
      <xdr:colOff>537882</xdr:colOff>
      <xdr:row>526</xdr:row>
      <xdr:rowOff>100852</xdr:rowOff>
    </xdr:to>
    <xdr:grpSp>
      <xdr:nvGrpSpPr>
        <xdr:cNvPr id="65" name="Group 64"/>
        <xdr:cNvGrpSpPr/>
      </xdr:nvGrpSpPr>
      <xdr:grpSpPr>
        <a:xfrm>
          <a:off x="145676" y="98146155"/>
          <a:ext cx="5973856" cy="8434672"/>
          <a:chOff x="179294" y="95482724"/>
          <a:chExt cx="5952004" cy="8603724"/>
        </a:xfrm>
      </xdr:grpSpPr>
      <xdr:grpSp>
        <xdr:nvGrpSpPr>
          <xdr:cNvPr id="31" name="Group 30"/>
          <xdr:cNvGrpSpPr/>
        </xdr:nvGrpSpPr>
        <xdr:grpSpPr>
          <a:xfrm>
            <a:off x="179294" y="95482724"/>
            <a:ext cx="5952004" cy="8603724"/>
            <a:chOff x="208031" y="255349"/>
            <a:chExt cx="6303975" cy="8089313"/>
          </a:xfrm>
        </xdr:grpSpPr>
        <xdr:pic>
          <xdr:nvPicPr>
            <xdr:cNvPr id="32" name="Picture 31" descr="https://vsjcllp.vsjadon.com/upload/insp-243016-152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542743" y="7034681"/>
              <a:ext cx="1745023" cy="130998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3016-84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443162" y="255349"/>
              <a:ext cx="2126098" cy="26250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016-84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194688" y="255349"/>
              <a:ext cx="2126098" cy="26250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3016-847.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30321" y="5211041"/>
              <a:ext cx="2317352" cy="1739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3016-85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08031" y="2964666"/>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016-916.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175741" y="2955356"/>
              <a:ext cx="16183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016-883.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430288" y="5211041"/>
              <a:ext cx="2317352" cy="1739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016-880.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893692" y="2955356"/>
              <a:ext cx="16183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3016-925.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467041" y="7034681"/>
              <a:ext cx="981461" cy="130998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2" name="TextBox 48"/>
          <xdr:cNvSpPr txBox="1"/>
        </xdr:nvSpPr>
        <xdr:spPr>
          <a:xfrm>
            <a:off x="1670836" y="97807647"/>
            <a:ext cx="756270" cy="273941"/>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A</a:t>
            </a:r>
            <a:endParaRPr lang="en-IN" sz="1200" b="1">
              <a:latin typeface="Times New Roman" panose="02020603050405020304" pitchFamily="18" charset="0"/>
              <a:cs typeface="Times New Roman" panose="02020603050405020304" pitchFamily="18" charset="0"/>
            </a:endParaRPr>
          </a:p>
        </xdr:txBody>
      </xdr:sp>
      <xdr:sp macro="" textlink="">
        <xdr:nvSpPr>
          <xdr:cNvPr id="43" name="TextBox 48"/>
          <xdr:cNvSpPr txBox="1"/>
        </xdr:nvSpPr>
        <xdr:spPr>
          <a:xfrm>
            <a:off x="4016016" y="97752191"/>
            <a:ext cx="757994" cy="273941"/>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B</a:t>
            </a:r>
            <a:endParaRPr lang="en-IN" sz="1200" b="1">
              <a:latin typeface="Times New Roman" panose="02020603050405020304" pitchFamily="18" charset="0"/>
              <a:cs typeface="Times New Roman" panose="02020603050405020304" pitchFamily="18" charset="0"/>
            </a:endParaRPr>
          </a:p>
        </xdr:txBody>
      </xdr:sp>
      <xdr:sp macro="" textlink="">
        <xdr:nvSpPr>
          <xdr:cNvPr id="44" name="TextBox 48"/>
          <xdr:cNvSpPr txBox="1"/>
        </xdr:nvSpPr>
        <xdr:spPr>
          <a:xfrm>
            <a:off x="876942" y="100210878"/>
            <a:ext cx="755839" cy="277820"/>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C</a:t>
            </a:r>
            <a:endParaRPr lang="en-IN" sz="1200" b="1">
              <a:latin typeface="Times New Roman" panose="02020603050405020304" pitchFamily="18" charset="0"/>
              <a:cs typeface="Times New Roman" panose="02020603050405020304" pitchFamily="18" charset="0"/>
            </a:endParaRPr>
          </a:p>
        </xdr:txBody>
      </xdr:sp>
      <xdr:sp macro="" textlink="">
        <xdr:nvSpPr>
          <xdr:cNvPr id="45" name="TextBox 48"/>
          <xdr:cNvSpPr txBox="1"/>
        </xdr:nvSpPr>
        <xdr:spPr>
          <a:xfrm>
            <a:off x="3396111" y="100211309"/>
            <a:ext cx="753253" cy="277820"/>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D</a:t>
            </a:r>
            <a:endParaRPr lang="en-IN" sz="1200" b="1">
              <a:latin typeface="Times New Roman" panose="02020603050405020304" pitchFamily="18" charset="0"/>
              <a:cs typeface="Times New Roman" panose="02020603050405020304" pitchFamily="18" charset="0"/>
            </a:endParaRPr>
          </a:p>
        </xdr:txBody>
      </xdr:sp>
      <xdr:sp macro="" textlink="">
        <xdr:nvSpPr>
          <xdr:cNvPr id="46" name="TextBox 48"/>
          <xdr:cNvSpPr txBox="1"/>
        </xdr:nvSpPr>
        <xdr:spPr>
          <a:xfrm>
            <a:off x="4849428" y="100225963"/>
            <a:ext cx="759287" cy="277820"/>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E</a:t>
            </a:r>
            <a:endParaRPr lang="en-IN" sz="1200" b="1">
              <a:latin typeface="Times New Roman" panose="02020603050405020304" pitchFamily="18" charset="0"/>
              <a:cs typeface="Times New Roman" panose="02020603050405020304" pitchFamily="18" charset="0"/>
            </a:endParaRPr>
          </a:p>
        </xdr:txBody>
      </xdr:sp>
      <xdr:sp macro="" textlink="">
        <xdr:nvSpPr>
          <xdr:cNvPr id="47" name="TextBox 48"/>
          <xdr:cNvSpPr txBox="1"/>
        </xdr:nvSpPr>
        <xdr:spPr>
          <a:xfrm>
            <a:off x="4108547" y="102171045"/>
            <a:ext cx="755839" cy="277820"/>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G</a:t>
            </a:r>
            <a:endParaRPr lang="en-IN" sz="1200" b="1">
              <a:latin typeface="Times New Roman" panose="02020603050405020304" pitchFamily="18" charset="0"/>
              <a:cs typeface="Times New Roman" panose="02020603050405020304" pitchFamily="18" charset="0"/>
            </a:endParaRPr>
          </a:p>
        </xdr:txBody>
      </xdr:sp>
      <xdr:sp macro="" textlink="">
        <xdr:nvSpPr>
          <xdr:cNvPr id="48" name="TextBox 48"/>
          <xdr:cNvSpPr txBox="1"/>
        </xdr:nvSpPr>
        <xdr:spPr>
          <a:xfrm>
            <a:off x="1970379" y="102216301"/>
            <a:ext cx="757994" cy="277820"/>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Wing</a:t>
            </a:r>
            <a:r>
              <a:rPr lang="en-US" sz="1200" b="1" baseline="0">
                <a:latin typeface="Times New Roman" panose="02020603050405020304" pitchFamily="18" charset="0"/>
                <a:cs typeface="Times New Roman" panose="02020603050405020304" pitchFamily="18" charset="0"/>
              </a:rPr>
              <a:t> F</a:t>
            </a:r>
            <a:endParaRPr lang="en-IN" sz="1200" b="1">
              <a:latin typeface="Times New Roman" panose="02020603050405020304" pitchFamily="18" charset="0"/>
              <a:cs typeface="Times New Roman" panose="02020603050405020304" pitchFamily="18" charset="0"/>
            </a:endParaRPr>
          </a:p>
        </xdr:txBody>
      </xdr:sp>
      <xdr:pic>
        <xdr:nvPicPr>
          <xdr:cNvPr id="49" name="Picture 48" descr="https://vsjcllp.vsjadon.com/upload/insp-243016-940.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192866" y="102691827"/>
            <a:ext cx="1031133" cy="139253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579344</xdr:colOff>
      <xdr:row>51</xdr:row>
      <xdr:rowOff>44823</xdr:rowOff>
    </xdr:from>
    <xdr:to>
      <xdr:col>19</xdr:col>
      <xdr:colOff>412187</xdr:colOff>
      <xdr:row>62</xdr:row>
      <xdr:rowOff>311808</xdr:rowOff>
    </xdr:to>
    <xdr:pic>
      <xdr:nvPicPr>
        <xdr:cNvPr id="66" name="Picture 65"/>
        <xdr:cNvPicPr>
          <a:picLocks noChangeAspect="1"/>
        </xdr:cNvPicPr>
      </xdr:nvPicPr>
      <xdr:blipFill>
        <a:blip xmlns:r="http://schemas.openxmlformats.org/officeDocument/2006/relationships" r:embed="rId25"/>
        <a:stretch>
          <a:fillRect/>
        </a:stretch>
      </xdr:blipFill>
      <xdr:spPr>
        <a:xfrm>
          <a:off x="8815668" y="11967882"/>
          <a:ext cx="6668431" cy="2045919"/>
        </a:xfrm>
        <a:prstGeom prst="rect">
          <a:avLst/>
        </a:prstGeom>
      </xdr:spPr>
    </xdr:pic>
    <xdr:clientData/>
  </xdr:twoCellAnchor>
  <xdr:twoCellAnchor editAs="oneCell">
    <xdr:from>
      <xdr:col>12</xdr:col>
      <xdr:colOff>640895</xdr:colOff>
      <xdr:row>361</xdr:row>
      <xdr:rowOff>55789</xdr:rowOff>
    </xdr:from>
    <xdr:to>
      <xdr:col>22</xdr:col>
      <xdr:colOff>488106</xdr:colOff>
      <xdr:row>382</xdr:row>
      <xdr:rowOff>8756</xdr:rowOff>
    </xdr:to>
    <xdr:pic>
      <xdr:nvPicPr>
        <xdr:cNvPr id="21" name="Picture 20"/>
        <xdr:cNvPicPr>
          <a:picLocks noChangeAspect="1"/>
        </xdr:cNvPicPr>
      </xdr:nvPicPr>
      <xdr:blipFill>
        <a:blip xmlns:r="http://schemas.openxmlformats.org/officeDocument/2006/relationships" r:embed="rId26"/>
        <a:stretch>
          <a:fillRect/>
        </a:stretch>
      </xdr:blipFill>
      <xdr:spPr>
        <a:xfrm>
          <a:off x="10546895" y="75276075"/>
          <a:ext cx="6963747" cy="4239217"/>
        </a:xfrm>
        <a:prstGeom prst="rect">
          <a:avLst/>
        </a:prstGeom>
      </xdr:spPr>
    </xdr:pic>
    <xdr:clientData/>
  </xdr:twoCellAnchor>
  <xdr:twoCellAnchor editAs="oneCell">
    <xdr:from>
      <xdr:col>12</xdr:col>
      <xdr:colOff>64326</xdr:colOff>
      <xdr:row>378</xdr:row>
      <xdr:rowOff>8658</xdr:rowOff>
    </xdr:from>
    <xdr:to>
      <xdr:col>27</xdr:col>
      <xdr:colOff>254171</xdr:colOff>
      <xdr:row>398</xdr:row>
      <xdr:rowOff>76284</xdr:rowOff>
    </xdr:to>
    <xdr:pic>
      <xdr:nvPicPr>
        <xdr:cNvPr id="26" name="Picture 25"/>
        <xdr:cNvPicPr>
          <a:picLocks noChangeAspect="1"/>
        </xdr:cNvPicPr>
      </xdr:nvPicPr>
      <xdr:blipFill>
        <a:blip xmlns:r="http://schemas.openxmlformats.org/officeDocument/2006/relationships" r:embed="rId27"/>
        <a:stretch>
          <a:fillRect/>
        </a:stretch>
      </xdr:blipFill>
      <xdr:spPr>
        <a:xfrm>
          <a:off x="9970326" y="78780408"/>
          <a:ext cx="10367988" cy="4149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Y1J44T8q6Lua6tZ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572"/>
  <sheetViews>
    <sheetView tabSelected="1" view="pageBreakPreview" topLeftCell="A463" zoomScaleNormal="100" zoomScaleSheetLayoutView="100" zoomScalePageLayoutView="85" workbookViewId="0">
      <selection activeCell="J476" sqref="J476"/>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1.285156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71" t="s">
        <v>365</v>
      </c>
      <c r="B1" s="271"/>
      <c r="C1" s="271"/>
      <c r="D1" s="271"/>
      <c r="E1" s="271"/>
      <c r="F1" s="271"/>
      <c r="G1" s="271"/>
      <c r="H1" s="271"/>
    </row>
    <row r="2" spans="1:26" ht="16.5" customHeight="1" x14ac:dyDescent="0.25">
      <c r="A2" s="272" t="s">
        <v>0</v>
      </c>
      <c r="B2" s="272"/>
      <c r="C2" s="272"/>
      <c r="D2" s="272"/>
      <c r="E2" s="272"/>
      <c r="F2" s="272"/>
      <c r="G2" s="272"/>
      <c r="H2" s="272"/>
    </row>
    <row r="3" spans="1:26" x14ac:dyDescent="0.25">
      <c r="A3" s="219" t="s">
        <v>1</v>
      </c>
      <c r="B3" s="219"/>
      <c r="C3" s="219"/>
      <c r="D3" s="219"/>
      <c r="E3" s="219" t="str">
        <f ca="1">TEXT(TODAY(),"DD/MM/YYYY")</f>
        <v>11/09/2025</v>
      </c>
      <c r="F3" s="219"/>
      <c r="G3" s="219"/>
      <c r="H3" s="219"/>
      <c r="K3" s="49" t="s">
        <v>224</v>
      </c>
      <c r="L3" s="48" t="s">
        <v>222</v>
      </c>
      <c r="M3" s="48" t="s">
        <v>227</v>
      </c>
      <c r="N3" s="48" t="s">
        <v>225</v>
      </c>
      <c r="O3" s="48" t="s">
        <v>343</v>
      </c>
      <c r="P3" s="48" t="s">
        <v>368</v>
      </c>
    </row>
    <row r="4" spans="1:26" ht="15" customHeight="1" x14ac:dyDescent="0.25">
      <c r="A4" s="219" t="s">
        <v>221</v>
      </c>
      <c r="B4" s="219"/>
      <c r="C4" s="219"/>
      <c r="D4" s="219"/>
      <c r="E4" s="219" t="s">
        <v>222</v>
      </c>
      <c r="F4" s="219"/>
      <c r="G4" s="219"/>
      <c r="H4" s="219"/>
      <c r="K4" s="47" t="s">
        <v>223</v>
      </c>
      <c r="L4" s="48" t="s">
        <v>159</v>
      </c>
      <c r="M4" s="48" t="s">
        <v>232</v>
      </c>
      <c r="N4" s="48" t="s">
        <v>234</v>
      </c>
      <c r="O4" s="48" t="s">
        <v>329</v>
      </c>
      <c r="P4" s="48" t="s">
        <v>369</v>
      </c>
    </row>
    <row r="5" spans="1:26" ht="15" customHeight="1" x14ac:dyDescent="0.25">
      <c r="A5" s="219" t="s">
        <v>2</v>
      </c>
      <c r="B5" s="219"/>
      <c r="C5" s="219"/>
      <c r="D5" s="219"/>
      <c r="E5" s="219" t="s">
        <v>159</v>
      </c>
      <c r="F5" s="219"/>
      <c r="G5" s="219"/>
      <c r="H5" s="219"/>
      <c r="K5" s="47"/>
      <c r="L5" s="48" t="s">
        <v>229</v>
      </c>
      <c r="M5" s="48" t="s">
        <v>233</v>
      </c>
      <c r="N5" s="48" t="s">
        <v>235</v>
      </c>
      <c r="O5" s="48" t="s">
        <v>330</v>
      </c>
      <c r="P5" s="48"/>
    </row>
    <row r="6" spans="1:26" x14ac:dyDescent="0.25">
      <c r="A6" s="219" t="s">
        <v>3</v>
      </c>
      <c r="B6" s="219"/>
      <c r="C6" s="219"/>
      <c r="D6" s="219"/>
      <c r="E6" s="273">
        <v>45881</v>
      </c>
      <c r="F6" s="219"/>
      <c r="G6" s="219"/>
      <c r="H6" s="219"/>
      <c r="K6" s="47"/>
      <c r="L6" s="48" t="s">
        <v>230</v>
      </c>
      <c r="M6" s="48" t="s">
        <v>341</v>
      </c>
      <c r="N6" s="48"/>
      <c r="O6" s="48" t="s">
        <v>331</v>
      </c>
      <c r="P6" s="48"/>
    </row>
    <row r="7" spans="1:26" ht="16.5" customHeight="1" x14ac:dyDescent="0.25">
      <c r="A7" s="219" t="s">
        <v>4</v>
      </c>
      <c r="B7" s="219"/>
      <c r="C7" s="219"/>
      <c r="D7" s="219"/>
      <c r="E7" s="219" t="s">
        <v>372</v>
      </c>
      <c r="F7" s="219"/>
      <c r="G7" s="219"/>
      <c r="H7" s="219"/>
      <c r="K7" s="47"/>
      <c r="L7" s="48" t="s">
        <v>231</v>
      </c>
      <c r="M7" s="48"/>
      <c r="N7" s="48"/>
      <c r="O7" s="48" t="s">
        <v>331</v>
      </c>
      <c r="P7" s="48"/>
    </row>
    <row r="8" spans="1:26" ht="15" customHeight="1" x14ac:dyDescent="0.25">
      <c r="A8" s="219" t="s">
        <v>5</v>
      </c>
      <c r="B8" s="219"/>
      <c r="C8" s="219"/>
      <c r="D8" s="219"/>
      <c r="E8" s="219" t="str">
        <f>E7</f>
        <v>M/s. Neminath Poonam Realty LLP</v>
      </c>
      <c r="F8" s="219"/>
      <c r="G8" s="219"/>
      <c r="H8" s="219"/>
      <c r="K8" s="47"/>
      <c r="L8" s="48"/>
      <c r="M8" s="48"/>
      <c r="N8" s="48"/>
      <c r="O8" s="48" t="s">
        <v>332</v>
      </c>
      <c r="P8" s="48"/>
    </row>
    <row r="9" spans="1:26" x14ac:dyDescent="0.25">
      <c r="A9" s="219" t="s">
        <v>6</v>
      </c>
      <c r="B9" s="219"/>
      <c r="C9" s="219"/>
      <c r="D9" s="219"/>
      <c r="E9" s="170" t="s">
        <v>373</v>
      </c>
      <c r="F9" s="170"/>
      <c r="G9" s="170"/>
      <c r="H9" s="170"/>
      <c r="K9" s="47"/>
      <c r="L9" s="48"/>
      <c r="M9" s="48"/>
      <c r="N9" s="48"/>
      <c r="O9" s="48" t="s">
        <v>333</v>
      </c>
      <c r="P9" s="48"/>
    </row>
    <row r="10" spans="1:26" x14ac:dyDescent="0.25">
      <c r="A10" s="219" t="s">
        <v>156</v>
      </c>
      <c r="B10" s="219"/>
      <c r="C10" s="219"/>
      <c r="D10" s="219"/>
      <c r="E10" s="219" t="s">
        <v>412</v>
      </c>
      <c r="F10" s="219"/>
      <c r="G10" s="219"/>
      <c r="H10" s="219"/>
      <c r="K10" s="47"/>
      <c r="L10" s="48"/>
      <c r="M10" s="48"/>
      <c r="N10" s="48"/>
      <c r="O10" s="48" t="s">
        <v>334</v>
      </c>
      <c r="P10" s="48"/>
    </row>
    <row r="11" spans="1:26" x14ac:dyDescent="0.25">
      <c r="A11" s="219" t="s">
        <v>157</v>
      </c>
      <c r="B11" s="219"/>
      <c r="C11" s="219"/>
      <c r="D11" s="219"/>
      <c r="E11" s="219" t="s">
        <v>412</v>
      </c>
      <c r="F11" s="219"/>
      <c r="G11" s="219"/>
      <c r="H11" s="219"/>
      <c r="O11" s="48" t="s">
        <v>335</v>
      </c>
    </row>
    <row r="12" spans="1:26" ht="32.25" customHeight="1" x14ac:dyDescent="0.25">
      <c r="A12" s="219" t="s">
        <v>7</v>
      </c>
      <c r="B12" s="219"/>
      <c r="C12" s="219"/>
      <c r="D12" s="219"/>
      <c r="E12" s="301" t="s">
        <v>408</v>
      </c>
      <c r="F12" s="202"/>
      <c r="G12" s="299" t="s">
        <v>407</v>
      </c>
      <c r="H12" s="300"/>
    </row>
    <row r="13" spans="1:26" x14ac:dyDescent="0.25">
      <c r="A13" s="219" t="s">
        <v>160</v>
      </c>
      <c r="B13" s="219"/>
      <c r="C13" s="219"/>
      <c r="D13" s="219"/>
      <c r="E13" s="219" t="s">
        <v>28</v>
      </c>
      <c r="F13" s="219"/>
      <c r="G13" s="219"/>
      <c r="H13" s="219"/>
      <c r="S13" s="48" t="s">
        <v>168</v>
      </c>
      <c r="T13" s="48" t="s">
        <v>177</v>
      </c>
      <c r="U13" s="48" t="s">
        <v>161</v>
      </c>
      <c r="V13" s="48" t="s">
        <v>182</v>
      </c>
      <c r="W13" s="48" t="s">
        <v>200</v>
      </c>
      <c r="X13"/>
      <c r="Y13" t="s">
        <v>182</v>
      </c>
      <c r="Z13" t="e">
        <f ca="1">OFFSET($S$13,1,MATCH($G20,$S$13:$W$13,0)-1,15,1)</f>
        <v>#VALUE!</v>
      </c>
    </row>
    <row r="14" spans="1:26" x14ac:dyDescent="0.25">
      <c r="A14" s="110" t="s">
        <v>267</v>
      </c>
      <c r="B14" s="110"/>
      <c r="C14" s="110"/>
      <c r="D14" s="110"/>
      <c r="E14" s="186" t="s">
        <v>464</v>
      </c>
      <c r="F14" s="186"/>
      <c r="G14" s="186"/>
      <c r="H14" s="186"/>
      <c r="S14" s="48" t="s">
        <v>168</v>
      </c>
      <c r="T14" s="48" t="s">
        <v>175</v>
      </c>
      <c r="U14" s="48" t="s">
        <v>197</v>
      </c>
      <c r="V14" s="48" t="s">
        <v>183</v>
      </c>
      <c r="W14" s="48" t="s">
        <v>201</v>
      </c>
      <c r="X14"/>
      <c r="Y14"/>
      <c r="Z14"/>
    </row>
    <row r="15" spans="1:26" x14ac:dyDescent="0.25">
      <c r="A15" s="110" t="s">
        <v>8</v>
      </c>
      <c r="B15" s="110"/>
      <c r="C15" s="110"/>
      <c r="D15" s="110"/>
      <c r="E15" s="186" t="s">
        <v>374</v>
      </c>
      <c r="F15" s="219"/>
      <c r="G15" s="219"/>
      <c r="H15" s="219"/>
      <c r="I15" s="284" t="e">
        <f ca="1">OFFSET($D$5,1,MATCH($J13,$D$5:$H$5,0)-1,15,1)</f>
        <v>#N/A</v>
      </c>
      <c r="J15" s="285"/>
      <c r="K15" s="285"/>
      <c r="L15" s="285"/>
      <c r="M15" s="285"/>
      <c r="N15" s="285"/>
      <c r="O15" s="285"/>
      <c r="P15" s="285"/>
      <c r="S15" s="48" t="s">
        <v>169</v>
      </c>
      <c r="T15" s="48" t="s">
        <v>176</v>
      </c>
      <c r="U15" s="48" t="s">
        <v>198</v>
      </c>
      <c r="V15" s="48" t="s">
        <v>184</v>
      </c>
      <c r="W15" s="48" t="s">
        <v>214</v>
      </c>
      <c r="X15"/>
      <c r="Y15"/>
      <c r="Z15"/>
    </row>
    <row r="16" spans="1:26" ht="48.75" customHeight="1" x14ac:dyDescent="0.25">
      <c r="A16" s="244" t="s">
        <v>9</v>
      </c>
      <c r="B16" s="244"/>
      <c r="C16" s="244" t="str">
        <f>CONCATENATE((IF(OR(E9="",E9="NA"),"",E9)),", ",(IF(OR(A17="",A17="NA"),"",A17)),".",(IF(OR(C17="",C17="NA"),"",C17)),", near ",(IF(OR(C22="",C22="NA"),"",C22)),", ",(IF(OR(C19="",C19="NA"),"",C19)),", ",(IF(OR(C18="",C18="NA"),"",C18)),", ",(IF(OR(G19="",G19="NA"),"",G19)),", ",(IF(OR(C20="",C20="NA"),"",C20)),", ",(IF(OR(C21="",C21="NA"),"",C21)),", ",(IF(OR(G20="",G20="NA"),"",G20))," - ",(IF(OR(G21="",G21="NA"),"",G21)),".")</f>
        <v>Evara, Old Survey No.5, 5B, 5D, 5F, 5G &amp; New Survey No. 5/1, 5/2, 5/3, 5/4, 5/6, 5/7, 5/8, 5/5/A, 5/5/B, 5/5/C, 5/5/D, 5/5/E, near Evershine Amavi Mall, Narangi Bypass Road, Dongarpada, Dongre, Virar West, Vasai, Palghar - 401303.</v>
      </c>
      <c r="D16" s="244"/>
      <c r="E16" s="244"/>
      <c r="F16" s="244"/>
      <c r="G16" s="244"/>
      <c r="H16" s="244"/>
      <c r="S16" s="48" t="s">
        <v>170</v>
      </c>
      <c r="T16" s="48" t="s">
        <v>178</v>
      </c>
      <c r="U16" s="48" t="s">
        <v>199</v>
      </c>
      <c r="V16" s="48" t="s">
        <v>185</v>
      </c>
      <c r="W16" s="48" t="s">
        <v>202</v>
      </c>
      <c r="X16"/>
      <c r="Y16"/>
      <c r="Z16"/>
    </row>
    <row r="17" spans="1:26" ht="31.5" customHeight="1" x14ac:dyDescent="0.25">
      <c r="A17" s="186" t="s">
        <v>375</v>
      </c>
      <c r="B17" s="186"/>
      <c r="C17" s="186" t="s">
        <v>376</v>
      </c>
      <c r="D17" s="186"/>
      <c r="E17" s="186"/>
      <c r="F17" s="186"/>
      <c r="G17" s="186"/>
      <c r="H17" s="186"/>
      <c r="S17" s="48" t="s">
        <v>171</v>
      </c>
      <c r="T17" s="48" t="s">
        <v>179</v>
      </c>
      <c r="U17" s="48" t="s">
        <v>161</v>
      </c>
      <c r="V17" s="48" t="s">
        <v>186</v>
      </c>
      <c r="W17" s="48" t="s">
        <v>203</v>
      </c>
      <c r="X17"/>
      <c r="Y17"/>
      <c r="Z17"/>
    </row>
    <row r="18" spans="1:26" ht="15.75" customHeight="1" x14ac:dyDescent="0.25">
      <c r="A18" s="186" t="s">
        <v>152</v>
      </c>
      <c r="B18" s="186"/>
      <c r="C18" s="186" t="s">
        <v>413</v>
      </c>
      <c r="D18" s="186"/>
      <c r="E18" s="186"/>
      <c r="F18" s="186"/>
      <c r="G18" s="186"/>
      <c r="H18" s="186"/>
      <c r="S18" s="48" t="s">
        <v>172</v>
      </c>
      <c r="T18" s="48" t="s">
        <v>177</v>
      </c>
      <c r="U18" s="48"/>
      <c r="V18" s="48" t="s">
        <v>187</v>
      </c>
      <c r="W18" s="48" t="s">
        <v>204</v>
      </c>
      <c r="X18"/>
      <c r="Y18"/>
      <c r="Z18"/>
    </row>
    <row r="19" spans="1:26" ht="15.75" customHeight="1" x14ac:dyDescent="0.25">
      <c r="A19" s="244" t="s">
        <v>10</v>
      </c>
      <c r="B19" s="244"/>
      <c r="C19" s="219" t="s">
        <v>378</v>
      </c>
      <c r="D19" s="219"/>
      <c r="E19" s="244" t="s">
        <v>68</v>
      </c>
      <c r="F19" s="244"/>
      <c r="G19" s="186" t="s">
        <v>377</v>
      </c>
      <c r="H19" s="186"/>
      <c r="S19" s="48" t="s">
        <v>173</v>
      </c>
      <c r="T19" s="48" t="s">
        <v>180</v>
      </c>
      <c r="U19" s="48"/>
      <c r="V19" s="48" t="s">
        <v>188</v>
      </c>
      <c r="W19" s="48" t="s">
        <v>205</v>
      </c>
      <c r="X19"/>
      <c r="Y19"/>
      <c r="Z19"/>
    </row>
    <row r="20" spans="1:26" x14ac:dyDescent="0.25">
      <c r="A20" s="110" t="s">
        <v>12</v>
      </c>
      <c r="B20" s="110"/>
      <c r="C20" s="186" t="s">
        <v>379</v>
      </c>
      <c r="D20" s="186"/>
      <c r="E20" s="244" t="s">
        <v>11</v>
      </c>
      <c r="F20" s="244"/>
      <c r="G20" s="270" t="s">
        <v>177</v>
      </c>
      <c r="H20" s="270"/>
      <c r="S20" s="48" t="s">
        <v>174</v>
      </c>
      <c r="T20" s="48" t="s">
        <v>181</v>
      </c>
      <c r="U20" s="48"/>
      <c r="V20" s="48" t="s">
        <v>189</v>
      </c>
      <c r="W20" s="48" t="s">
        <v>206</v>
      </c>
      <c r="X20"/>
      <c r="Y20"/>
      <c r="Z20"/>
    </row>
    <row r="21" spans="1:26" x14ac:dyDescent="0.25">
      <c r="A21" s="110" t="s">
        <v>69</v>
      </c>
      <c r="B21" s="110"/>
      <c r="C21" s="186" t="s">
        <v>178</v>
      </c>
      <c r="D21" s="186"/>
      <c r="E21" s="244" t="s">
        <v>13</v>
      </c>
      <c r="F21" s="244"/>
      <c r="G21" s="186">
        <v>401303</v>
      </c>
      <c r="H21" s="186"/>
      <c r="S21" s="48"/>
      <c r="T21" s="48"/>
      <c r="U21" s="48"/>
      <c r="V21" s="48" t="s">
        <v>190</v>
      </c>
      <c r="W21" s="48" t="s">
        <v>207</v>
      </c>
      <c r="X21"/>
      <c r="Y21"/>
      <c r="Z21"/>
    </row>
    <row r="22" spans="1:26" ht="32.25" customHeight="1" x14ac:dyDescent="0.25">
      <c r="A22" s="110" t="s">
        <v>113</v>
      </c>
      <c r="B22" s="110"/>
      <c r="C22" s="186" t="s">
        <v>380</v>
      </c>
      <c r="D22" s="186"/>
      <c r="E22" s="244" t="s">
        <v>14</v>
      </c>
      <c r="F22" s="244"/>
      <c r="G22" s="186" t="s">
        <v>381</v>
      </c>
      <c r="H22" s="186"/>
      <c r="S22" s="48"/>
      <c r="T22" s="48"/>
      <c r="U22" s="48"/>
      <c r="V22" s="48" t="s">
        <v>191</v>
      </c>
      <c r="W22" s="48" t="s">
        <v>208</v>
      </c>
      <c r="X22"/>
      <c r="Y22"/>
      <c r="Z22"/>
    </row>
    <row r="23" spans="1:26" ht="15" customHeight="1" x14ac:dyDescent="0.25">
      <c r="A23" s="244" t="s">
        <v>70</v>
      </c>
      <c r="B23" s="244"/>
      <c r="C23" s="244"/>
      <c r="D23" s="244"/>
      <c r="E23" s="219" t="s">
        <v>15</v>
      </c>
      <c r="F23" s="219"/>
      <c r="G23" s="219"/>
      <c r="H23" s="219"/>
      <c r="S23" s="48"/>
      <c r="T23" s="48"/>
      <c r="U23" s="48"/>
      <c r="V23" s="48" t="s">
        <v>192</v>
      </c>
      <c r="W23" s="48" t="s">
        <v>209</v>
      </c>
      <c r="X23"/>
      <c r="Y23"/>
      <c r="Z23"/>
    </row>
    <row r="24" spans="1:26" ht="18.75" customHeight="1" x14ac:dyDescent="0.25">
      <c r="A24" s="244"/>
      <c r="B24" s="244"/>
      <c r="C24" s="244"/>
      <c r="D24" s="244"/>
      <c r="E24" s="219"/>
      <c r="F24" s="219"/>
      <c r="G24" s="219"/>
      <c r="H24" s="219"/>
      <c r="S24" s="48"/>
      <c r="T24" s="48"/>
      <c r="U24" s="48"/>
      <c r="V24" s="48" t="s">
        <v>193</v>
      </c>
      <c r="W24" s="48" t="s">
        <v>210</v>
      </c>
      <c r="X24"/>
      <c r="Y24"/>
      <c r="Z24"/>
    </row>
    <row r="25" spans="1:26" ht="15" customHeight="1" x14ac:dyDescent="0.25">
      <c r="A25" s="244" t="s">
        <v>16</v>
      </c>
      <c r="B25" s="244"/>
      <c r="C25" s="244"/>
      <c r="D25" s="244"/>
      <c r="E25" s="186" t="s">
        <v>17</v>
      </c>
      <c r="F25" s="186"/>
      <c r="G25" s="186"/>
      <c r="H25" s="186"/>
      <c r="S25" s="48"/>
      <c r="T25" s="48"/>
      <c r="U25" s="48"/>
      <c r="V25" s="48" t="s">
        <v>194</v>
      </c>
      <c r="W25" s="48" t="s">
        <v>211</v>
      </c>
      <c r="X25"/>
      <c r="Y25"/>
      <c r="Z25"/>
    </row>
    <row r="26" spans="1:26" ht="15" customHeight="1" x14ac:dyDescent="0.25">
      <c r="A26" s="110" t="s">
        <v>18</v>
      </c>
      <c r="B26" s="110"/>
      <c r="C26" s="110"/>
      <c r="D26" s="110"/>
      <c r="E26" s="186" t="str">
        <f>IF(AND(G20="Mumbai"),"Upper Class","Middle Class")</f>
        <v>Middle Class</v>
      </c>
      <c r="F26" s="186"/>
      <c r="G26" s="186"/>
      <c r="H26" s="186"/>
      <c r="S26" s="48"/>
      <c r="T26" s="48"/>
      <c r="U26" s="48"/>
      <c r="V26" s="48" t="s">
        <v>195</v>
      </c>
      <c r="W26" s="48" t="s">
        <v>212</v>
      </c>
      <c r="X26"/>
      <c r="Y26"/>
      <c r="Z26"/>
    </row>
    <row r="27" spans="1:26" x14ac:dyDescent="0.25">
      <c r="A27" s="110" t="s">
        <v>19</v>
      </c>
      <c r="B27" s="110"/>
      <c r="C27" s="110"/>
      <c r="D27" s="110"/>
      <c r="E27" s="186" t="s">
        <v>20</v>
      </c>
      <c r="F27" s="186"/>
      <c r="G27" s="186"/>
      <c r="H27" s="186"/>
      <c r="S27" s="48"/>
      <c r="T27" s="48"/>
      <c r="U27" s="48"/>
      <c r="V27" s="48" t="s">
        <v>196</v>
      </c>
      <c r="W27" s="48" t="s">
        <v>213</v>
      </c>
      <c r="X27"/>
      <c r="Y27"/>
      <c r="Z27"/>
    </row>
    <row r="28" spans="1:26" ht="15.75" customHeight="1" x14ac:dyDescent="0.25">
      <c r="A28" s="110" t="s">
        <v>21</v>
      </c>
      <c r="B28" s="110"/>
      <c r="C28" s="110"/>
      <c r="D28" s="110"/>
      <c r="E28" s="186" t="str">
        <f>IF(AND(G20="Mumbai"),"Developed","Developing")</f>
        <v>Developing</v>
      </c>
      <c r="F28" s="186"/>
      <c r="G28" s="186"/>
      <c r="H28" s="186"/>
    </row>
    <row r="29" spans="1:26" x14ac:dyDescent="0.25">
      <c r="A29" s="110" t="s">
        <v>22</v>
      </c>
      <c r="B29" s="110"/>
      <c r="C29" s="110"/>
      <c r="D29" s="110"/>
      <c r="E29" s="186" t="s">
        <v>23</v>
      </c>
      <c r="F29" s="186"/>
      <c r="G29" s="186"/>
      <c r="H29" s="186"/>
    </row>
    <row r="30" spans="1:26" ht="15.75" customHeight="1" x14ac:dyDescent="0.25">
      <c r="A30" s="110" t="s">
        <v>75</v>
      </c>
      <c r="B30" s="110"/>
      <c r="C30" s="110"/>
      <c r="D30" s="110"/>
      <c r="E30" s="186" t="s">
        <v>76</v>
      </c>
      <c r="F30" s="186"/>
      <c r="G30" s="186"/>
      <c r="H30" s="186"/>
    </row>
    <row r="31" spans="1:26" ht="15" customHeight="1" x14ac:dyDescent="0.25">
      <c r="A31" s="110" t="s">
        <v>30</v>
      </c>
      <c r="B31" s="110"/>
      <c r="C31" s="110"/>
      <c r="D31" s="110"/>
      <c r="E31" s="186"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86"/>
      <c r="G31" s="186"/>
      <c r="H31" s="186"/>
    </row>
    <row r="32" spans="1:26" ht="15.75" customHeight="1" x14ac:dyDescent="0.25">
      <c r="A32" s="110" t="s">
        <v>86</v>
      </c>
      <c r="B32" s="110"/>
      <c r="C32" s="110"/>
      <c r="D32" s="110"/>
      <c r="E32" s="186" t="s">
        <v>31</v>
      </c>
      <c r="F32" s="186"/>
      <c r="G32" s="186"/>
      <c r="H32" s="186"/>
    </row>
    <row r="33" spans="1:19" s="19" customFormat="1" x14ac:dyDescent="0.25">
      <c r="A33" s="269" t="s">
        <v>87</v>
      </c>
      <c r="B33" s="269"/>
      <c r="C33" s="266" t="s">
        <v>162</v>
      </c>
      <c r="D33" s="267"/>
      <c r="E33" s="268"/>
      <c r="F33" s="266" t="s">
        <v>29</v>
      </c>
      <c r="G33" s="267"/>
      <c r="H33" s="268"/>
      <c r="S33" s="19" t="e">
        <f ca="1">OFFSET($S$13,1,MATCH($G20,$S$13:$W$13,0)-1,15,1)</f>
        <v>#VALUE!</v>
      </c>
    </row>
    <row r="34" spans="1:19" s="19" customFormat="1" x14ac:dyDescent="0.25">
      <c r="A34" s="256" t="s">
        <v>24</v>
      </c>
      <c r="B34" s="256" t="s">
        <v>28</v>
      </c>
      <c r="C34" s="200" t="s">
        <v>384</v>
      </c>
      <c r="D34" s="201"/>
      <c r="E34" s="202"/>
      <c r="F34" s="200" t="s">
        <v>386</v>
      </c>
      <c r="G34" s="201"/>
      <c r="H34" s="202"/>
    </row>
    <row r="35" spans="1:19" x14ac:dyDescent="0.25">
      <c r="A35" s="256" t="s">
        <v>25</v>
      </c>
      <c r="B35" s="256" t="s">
        <v>28</v>
      </c>
      <c r="C35" s="200" t="s">
        <v>383</v>
      </c>
      <c r="D35" s="201"/>
      <c r="E35" s="202"/>
      <c r="F35" s="200" t="s">
        <v>387</v>
      </c>
      <c r="G35" s="201"/>
      <c r="H35" s="202"/>
    </row>
    <row r="36" spans="1:19" s="19" customFormat="1" x14ac:dyDescent="0.25">
      <c r="A36" s="256" t="s">
        <v>27</v>
      </c>
      <c r="B36" s="256" t="s">
        <v>28</v>
      </c>
      <c r="C36" s="200" t="s">
        <v>382</v>
      </c>
      <c r="D36" s="201"/>
      <c r="E36" s="202"/>
      <c r="F36" s="200" t="s">
        <v>378</v>
      </c>
      <c r="G36" s="201"/>
      <c r="H36" s="202"/>
    </row>
    <row r="37" spans="1:19" x14ac:dyDescent="0.25">
      <c r="A37" s="256" t="s">
        <v>26</v>
      </c>
      <c r="B37" s="256" t="s">
        <v>28</v>
      </c>
      <c r="C37" s="200" t="s">
        <v>385</v>
      </c>
      <c r="D37" s="201"/>
      <c r="E37" s="202"/>
      <c r="F37" s="200" t="s">
        <v>386</v>
      </c>
      <c r="G37" s="201"/>
      <c r="H37" s="202"/>
    </row>
    <row r="38" spans="1:19" x14ac:dyDescent="0.25">
      <c r="A38" s="110" t="s">
        <v>268</v>
      </c>
      <c r="B38" s="110"/>
      <c r="C38" s="110"/>
      <c r="D38" s="110"/>
      <c r="E38" s="110"/>
      <c r="F38" s="110"/>
      <c r="G38" s="110"/>
      <c r="H38" s="110"/>
    </row>
    <row r="39" spans="1:19" ht="15.75" customHeight="1" x14ac:dyDescent="0.25">
      <c r="A39" s="110" t="s">
        <v>154</v>
      </c>
      <c r="B39" s="110"/>
      <c r="C39" s="208" t="s">
        <v>409</v>
      </c>
      <c r="D39" s="208"/>
      <c r="E39" s="208"/>
      <c r="F39" s="208"/>
      <c r="G39" s="208"/>
      <c r="H39" s="208"/>
    </row>
    <row r="40" spans="1:19" x14ac:dyDescent="0.25">
      <c r="A40" s="110" t="s">
        <v>151</v>
      </c>
      <c r="B40" s="110"/>
      <c r="C40" s="185" t="s">
        <v>410</v>
      </c>
      <c r="D40" s="186"/>
      <c r="E40" s="186"/>
      <c r="F40" s="186"/>
      <c r="G40" s="186"/>
      <c r="H40" s="186"/>
    </row>
    <row r="41" spans="1:19" x14ac:dyDescent="0.25">
      <c r="A41" s="208" t="s">
        <v>32</v>
      </c>
      <c r="B41" s="208"/>
      <c r="C41" s="208"/>
      <c r="D41" s="208"/>
      <c r="E41" s="208"/>
      <c r="F41" s="208"/>
      <c r="G41" s="208"/>
      <c r="H41" s="208"/>
    </row>
    <row r="42" spans="1:19" x14ac:dyDescent="0.25">
      <c r="A42" s="110" t="s">
        <v>33</v>
      </c>
      <c r="B42" s="110"/>
      <c r="C42" s="110"/>
      <c r="D42" s="110"/>
      <c r="E42" s="257">
        <f>585107.88</f>
        <v>585107.88</v>
      </c>
      <c r="F42" s="257"/>
      <c r="G42" s="257"/>
      <c r="H42" s="257"/>
    </row>
    <row r="43" spans="1:19" x14ac:dyDescent="0.25">
      <c r="A43" s="110" t="s">
        <v>34</v>
      </c>
      <c r="B43" s="110"/>
      <c r="C43" s="110"/>
      <c r="D43" s="110"/>
      <c r="E43" s="230">
        <f>643618.67/E42</f>
        <v>1.1000000034181732</v>
      </c>
      <c r="F43" s="230"/>
      <c r="G43" s="230"/>
      <c r="H43" s="230"/>
    </row>
    <row r="44" spans="1:19" x14ac:dyDescent="0.25">
      <c r="A44" s="110" t="s">
        <v>35</v>
      </c>
      <c r="B44" s="110"/>
      <c r="C44" s="110"/>
      <c r="D44" s="110"/>
      <c r="E44" s="230">
        <f>E46/E42-E43</f>
        <v>1.0877701048907424</v>
      </c>
      <c r="F44" s="230"/>
      <c r="G44" s="230"/>
      <c r="H44" s="230"/>
    </row>
    <row r="45" spans="1:19" x14ac:dyDescent="0.25">
      <c r="A45" s="110" t="s">
        <v>36</v>
      </c>
      <c r="B45" s="110"/>
      <c r="C45" s="110"/>
      <c r="D45" s="110"/>
      <c r="E45" s="230">
        <f>E43+E44</f>
        <v>2.1877701083089156</v>
      </c>
      <c r="F45" s="230"/>
      <c r="G45" s="230"/>
      <c r="H45" s="230"/>
    </row>
    <row r="46" spans="1:19" x14ac:dyDescent="0.25">
      <c r="A46" s="110" t="s">
        <v>85</v>
      </c>
      <c r="B46" s="110"/>
      <c r="C46" s="110"/>
      <c r="D46" s="110"/>
      <c r="E46" s="231">
        <f>1280081.53</f>
        <v>1280081.53</v>
      </c>
      <c r="F46" s="231"/>
      <c r="G46" s="231"/>
      <c r="H46" s="231"/>
    </row>
    <row r="47" spans="1:19" x14ac:dyDescent="0.25">
      <c r="A47" s="219" t="s">
        <v>37</v>
      </c>
      <c r="B47" s="219"/>
      <c r="C47" s="219"/>
      <c r="D47" s="219"/>
      <c r="E47" s="219" t="s">
        <v>388</v>
      </c>
      <c r="F47" s="219"/>
      <c r="G47" s="219"/>
      <c r="H47" s="219"/>
    </row>
    <row r="48" spans="1:19" x14ac:dyDescent="0.25">
      <c r="A48" s="208" t="s">
        <v>38</v>
      </c>
      <c r="B48" s="208"/>
      <c r="C48" s="208"/>
      <c r="D48" s="208"/>
      <c r="E48" s="208"/>
      <c r="F48" s="208"/>
      <c r="G48" s="208"/>
      <c r="H48" s="208"/>
    </row>
    <row r="49" spans="1:24" ht="33.75" customHeight="1" x14ac:dyDescent="0.25">
      <c r="A49" s="203" t="s">
        <v>142</v>
      </c>
      <c r="B49" s="205"/>
      <c r="C49" s="237" t="s">
        <v>263</v>
      </c>
      <c r="D49" s="238"/>
      <c r="E49" s="238"/>
      <c r="F49" s="238"/>
      <c r="G49" s="238"/>
      <c r="H49" s="239"/>
      <c r="R49" t="s">
        <v>241</v>
      </c>
      <c r="S49" s="50" t="s">
        <v>161</v>
      </c>
      <c r="T49" s="50" t="s">
        <v>168</v>
      </c>
      <c r="U49" s="50" t="s">
        <v>182</v>
      </c>
      <c r="V49" s="50" t="s">
        <v>177</v>
      </c>
    </row>
    <row r="50" spans="1:24" x14ac:dyDescent="0.25">
      <c r="A50" s="203" t="s">
        <v>39</v>
      </c>
      <c r="B50" s="205"/>
      <c r="C50" s="203" t="s">
        <v>389</v>
      </c>
      <c r="D50" s="204"/>
      <c r="E50" s="205"/>
      <c r="F50" s="17" t="s">
        <v>40</v>
      </c>
      <c r="G50" s="206">
        <v>45798</v>
      </c>
      <c r="H50" s="207"/>
      <c r="R50"/>
      <c r="S50" s="50" t="s">
        <v>242</v>
      </c>
      <c r="T50" s="50" t="s">
        <v>247</v>
      </c>
      <c r="U50" s="50" t="s">
        <v>258</v>
      </c>
      <c r="V50" s="50" t="s">
        <v>263</v>
      </c>
    </row>
    <row r="51" spans="1:24" x14ac:dyDescent="0.25">
      <c r="A51" s="203" t="s">
        <v>41</v>
      </c>
      <c r="B51" s="205"/>
      <c r="C51" s="203" t="str">
        <f>C50</f>
        <v>VVCMC/TP/AMEND/VP/453/04/2025-26</v>
      </c>
      <c r="D51" s="204"/>
      <c r="E51" s="205"/>
      <c r="F51" s="17" t="s">
        <v>40</v>
      </c>
      <c r="G51" s="206">
        <f>G50</f>
        <v>45798</v>
      </c>
      <c r="H51" s="207"/>
      <c r="R51"/>
      <c r="S51" s="50" t="s">
        <v>243</v>
      </c>
      <c r="T51" s="50" t="s">
        <v>344</v>
      </c>
      <c r="U51" s="50" t="s">
        <v>256</v>
      </c>
      <c r="V51" s="50" t="s">
        <v>264</v>
      </c>
    </row>
    <row r="52" spans="1:24" s="20" customFormat="1" ht="15.75" customHeight="1" x14ac:dyDescent="0.25">
      <c r="A52" s="212" t="s">
        <v>146</v>
      </c>
      <c r="B52" s="213"/>
      <c r="C52" s="203" t="s">
        <v>414</v>
      </c>
      <c r="D52" s="204"/>
      <c r="E52" s="205"/>
      <c r="F52" s="17" t="s">
        <v>40</v>
      </c>
      <c r="G52" s="206">
        <v>45798</v>
      </c>
      <c r="H52" s="207"/>
      <c r="I52" s="19" t="str">
        <f ca="1">IF(G52&gt;EDATE(E3,-48),"NO REMARK","CC REMARK FOR CC")</f>
        <v>NO REMARK</v>
      </c>
      <c r="J52" s="69"/>
      <c r="R52"/>
      <c r="S52" s="50" t="s">
        <v>244</v>
      </c>
      <c r="T52" s="50" t="s">
        <v>249</v>
      </c>
      <c r="U52" s="50" t="s">
        <v>246</v>
      </c>
      <c r="V52" s="50" t="s">
        <v>265</v>
      </c>
    </row>
    <row r="53" spans="1:24" s="20" customFormat="1" ht="33.75" customHeight="1" x14ac:dyDescent="0.25">
      <c r="A53" s="214"/>
      <c r="B53" s="215"/>
      <c r="C53" s="203" t="s">
        <v>415</v>
      </c>
      <c r="D53" s="204"/>
      <c r="E53" s="204"/>
      <c r="F53" s="204"/>
      <c r="G53" s="204"/>
      <c r="H53" s="205"/>
      <c r="R53"/>
      <c r="S53" s="50"/>
      <c r="T53" s="50"/>
      <c r="U53" s="50"/>
      <c r="V53" s="65"/>
    </row>
    <row r="54" spans="1:24" s="20" customFormat="1" x14ac:dyDescent="0.25">
      <c r="A54" s="234" t="s">
        <v>269</v>
      </c>
      <c r="B54" s="236"/>
      <c r="C54" s="216" t="s">
        <v>390</v>
      </c>
      <c r="D54" s="217"/>
      <c r="E54" s="218"/>
      <c r="F54" s="89" t="s">
        <v>40</v>
      </c>
      <c r="G54" s="220">
        <v>45664</v>
      </c>
      <c r="H54" s="221"/>
      <c r="K54" s="70">
        <f>EDATE(G52,-48)</f>
        <v>44337</v>
      </c>
      <c r="L54" s="20" t="str">
        <f ca="1">IF(G52&gt;EDATE(E3,-48),"NO REMARK","CC REMARK FOR CC")</f>
        <v>NO REMARK</v>
      </c>
      <c r="R54"/>
      <c r="S54" s="50" t="s">
        <v>244</v>
      </c>
      <c r="T54" s="50" t="s">
        <v>249</v>
      </c>
      <c r="U54" s="50" t="s">
        <v>246</v>
      </c>
      <c r="V54" s="50" t="s">
        <v>265</v>
      </c>
    </row>
    <row r="55" spans="1:24" s="20" customFormat="1" ht="43.5" customHeight="1" x14ac:dyDescent="0.25">
      <c r="A55" s="253"/>
      <c r="B55" s="255"/>
      <c r="C55" s="209" t="s">
        <v>416</v>
      </c>
      <c r="D55" s="210"/>
      <c r="E55" s="210"/>
      <c r="F55" s="210"/>
      <c r="G55" s="210"/>
      <c r="H55" s="211"/>
      <c r="I55" s="107" t="s">
        <v>455</v>
      </c>
      <c r="R55"/>
      <c r="S55" s="50" t="s">
        <v>246</v>
      </c>
      <c r="T55" s="50" t="s">
        <v>250</v>
      </c>
      <c r="U55" s="50" t="s">
        <v>260</v>
      </c>
      <c r="V55" s="66"/>
      <c r="W55" s="18"/>
      <c r="X55" s="18"/>
    </row>
    <row r="56" spans="1:24" s="20" customFormat="1" ht="34.5" hidden="1" customHeight="1" x14ac:dyDescent="0.25">
      <c r="A56" s="222" t="s">
        <v>270</v>
      </c>
      <c r="B56" s="223"/>
      <c r="C56" s="203"/>
      <c r="D56" s="204"/>
      <c r="E56" s="205"/>
      <c r="F56" s="17" t="s">
        <v>40</v>
      </c>
      <c r="G56" s="206"/>
      <c r="H56" s="207"/>
      <c r="R56"/>
      <c r="S56" s="66"/>
      <c r="T56" s="50" t="s">
        <v>251</v>
      </c>
      <c r="U56" s="50" t="s">
        <v>261</v>
      </c>
      <c r="V56" s="66"/>
      <c r="W56" s="18"/>
      <c r="X56" s="18"/>
    </row>
    <row r="57" spans="1:24" s="20" customFormat="1" ht="41.25" hidden="1" customHeight="1" x14ac:dyDescent="0.25">
      <c r="A57" s="224"/>
      <c r="B57" s="225"/>
      <c r="C57" s="203"/>
      <c r="D57" s="204"/>
      <c r="E57" s="204"/>
      <c r="F57" s="204"/>
      <c r="G57" s="204"/>
      <c r="H57" s="205"/>
      <c r="R57"/>
      <c r="S57" s="66"/>
      <c r="T57" s="50" t="s">
        <v>253</v>
      </c>
      <c r="U57" s="50" t="s">
        <v>262</v>
      </c>
      <c r="V57" s="66"/>
      <c r="W57" s="18"/>
      <c r="X57" s="18"/>
    </row>
    <row r="58" spans="1:24" s="20" customFormat="1" ht="15.75" hidden="1" customHeight="1" x14ac:dyDescent="0.25">
      <c r="A58" s="222" t="s">
        <v>339</v>
      </c>
      <c r="B58" s="223"/>
      <c r="C58" s="260"/>
      <c r="D58" s="261"/>
      <c r="E58" s="262"/>
      <c r="F58" s="17" t="s">
        <v>40</v>
      </c>
      <c r="G58" s="206"/>
      <c r="H58" s="207"/>
      <c r="R58"/>
      <c r="S58" s="66"/>
      <c r="T58" s="50" t="s">
        <v>254</v>
      </c>
      <c r="U58" s="66" t="s">
        <v>284</v>
      </c>
      <c r="V58" s="66"/>
      <c r="W58" s="18"/>
      <c r="X58" s="18"/>
    </row>
    <row r="59" spans="1:24" s="20" customFormat="1" ht="33.75" hidden="1" customHeight="1" x14ac:dyDescent="0.25">
      <c r="A59" s="258"/>
      <c r="B59" s="259"/>
      <c r="C59" s="263"/>
      <c r="D59" s="264"/>
      <c r="E59" s="265"/>
      <c r="F59" s="17" t="s">
        <v>340</v>
      </c>
      <c r="G59" s="206"/>
      <c r="H59" s="207"/>
      <c r="R59"/>
      <c r="S59" s="66"/>
      <c r="T59" s="50" t="s">
        <v>255</v>
      </c>
      <c r="U59" s="66"/>
      <c r="V59" s="66"/>
      <c r="W59" s="18"/>
      <c r="X59" s="18"/>
    </row>
    <row r="60" spans="1:24" s="20" customFormat="1" ht="33.75" hidden="1" customHeight="1" x14ac:dyDescent="0.25">
      <c r="A60" s="224"/>
      <c r="B60" s="225"/>
      <c r="C60" s="203" t="s">
        <v>362</v>
      </c>
      <c r="D60" s="204"/>
      <c r="E60" s="204"/>
      <c r="F60" s="204"/>
      <c r="G60" s="204"/>
      <c r="H60" s="205"/>
      <c r="R60"/>
      <c r="S60" s="66"/>
      <c r="T60" s="50"/>
      <c r="U60" s="66"/>
      <c r="V60" s="66"/>
      <c r="W60" s="18"/>
      <c r="X60" s="18"/>
    </row>
    <row r="61" spans="1:24" x14ac:dyDescent="0.25">
      <c r="A61" s="287" t="s">
        <v>42</v>
      </c>
      <c r="B61" s="288"/>
      <c r="C61" s="287" t="s">
        <v>99</v>
      </c>
      <c r="D61" s="289"/>
      <c r="E61" s="288"/>
      <c r="F61" s="40" t="s">
        <v>40</v>
      </c>
      <c r="G61" s="290" t="s">
        <v>28</v>
      </c>
      <c r="H61" s="291"/>
      <c r="R61"/>
      <c r="S61" s="66"/>
      <c r="T61" s="50" t="s">
        <v>257</v>
      </c>
      <c r="U61" s="66"/>
      <c r="V61" s="66"/>
    </row>
    <row r="62" spans="1:24" x14ac:dyDescent="0.25">
      <c r="A62" s="243" t="s">
        <v>44</v>
      </c>
      <c r="B62" s="243"/>
      <c r="C62" s="243"/>
      <c r="D62" s="243"/>
      <c r="E62" s="243"/>
      <c r="F62" s="243"/>
      <c r="G62" s="243"/>
      <c r="H62" s="243"/>
      <c r="S62" s="66"/>
      <c r="T62" s="50" t="s">
        <v>266</v>
      </c>
      <c r="U62" s="66"/>
      <c r="V62" s="66"/>
    </row>
    <row r="63" spans="1:24" ht="33.75" customHeight="1" x14ac:dyDescent="0.25">
      <c r="A63" s="244" t="s">
        <v>451</v>
      </c>
      <c r="B63" s="244"/>
      <c r="C63" s="244"/>
      <c r="D63" s="219">
        <v>27177.759999999998</v>
      </c>
      <c r="E63" s="219"/>
      <c r="F63" s="219"/>
      <c r="G63" s="219"/>
      <c r="H63" s="219"/>
      <c r="R63"/>
    </row>
    <row r="64" spans="1:24" x14ac:dyDescent="0.25">
      <c r="A64" s="186" t="s">
        <v>45</v>
      </c>
      <c r="B64" s="219"/>
      <c r="C64" s="219"/>
      <c r="D64" s="219" t="s">
        <v>452</v>
      </c>
      <c r="E64" s="219"/>
      <c r="F64" s="219"/>
      <c r="G64" s="219"/>
      <c r="H64" s="219"/>
      <c r="I64" s="21"/>
      <c r="R64"/>
    </row>
    <row r="65" spans="1:19" ht="35.25" customHeight="1" x14ac:dyDescent="0.25">
      <c r="A65" s="234" t="s">
        <v>46</v>
      </c>
      <c r="B65" s="235"/>
      <c r="C65" s="236"/>
      <c r="D65" s="232" t="s">
        <v>420</v>
      </c>
      <c r="E65" s="233"/>
      <c r="F65" s="233"/>
      <c r="G65" s="233"/>
      <c r="H65" s="233"/>
      <c r="R65"/>
    </row>
    <row r="66" spans="1:19" ht="15.75" customHeight="1" x14ac:dyDescent="0.25">
      <c r="A66" s="234" t="s">
        <v>83</v>
      </c>
      <c r="B66" s="235"/>
      <c r="C66" s="236"/>
      <c r="D66" s="240" t="s">
        <v>421</v>
      </c>
      <c r="E66" s="241"/>
      <c r="F66" s="241"/>
      <c r="G66" s="241"/>
      <c r="H66" s="242"/>
      <c r="R66"/>
    </row>
    <row r="67" spans="1:19" ht="15.75" customHeight="1" x14ac:dyDescent="0.25">
      <c r="A67" s="250"/>
      <c r="B67" s="251"/>
      <c r="C67" s="252"/>
      <c r="D67" s="226" t="s">
        <v>422</v>
      </c>
      <c r="E67" s="227"/>
      <c r="F67" s="227"/>
      <c r="G67" s="227"/>
      <c r="H67" s="228"/>
      <c r="R67"/>
    </row>
    <row r="68" spans="1:19" ht="15.75" customHeight="1" x14ac:dyDescent="0.25">
      <c r="A68" s="250"/>
      <c r="B68" s="251"/>
      <c r="C68" s="252"/>
      <c r="D68" s="226" t="s">
        <v>423</v>
      </c>
      <c r="E68" s="227"/>
      <c r="F68" s="227"/>
      <c r="G68" s="227"/>
      <c r="H68" s="228"/>
      <c r="S68"/>
    </row>
    <row r="69" spans="1:19" ht="15.75" customHeight="1" x14ac:dyDescent="0.25">
      <c r="A69" s="250"/>
      <c r="B69" s="251"/>
      <c r="C69" s="252"/>
      <c r="D69" s="226" t="s">
        <v>424</v>
      </c>
      <c r="E69" s="227"/>
      <c r="F69" s="227"/>
      <c r="G69" s="227"/>
      <c r="H69" s="228"/>
      <c r="R69"/>
    </row>
    <row r="70" spans="1:19" ht="15.75" customHeight="1" x14ac:dyDescent="0.25">
      <c r="A70" s="250"/>
      <c r="B70" s="251"/>
      <c r="C70" s="252"/>
      <c r="D70" s="226" t="s">
        <v>425</v>
      </c>
      <c r="E70" s="227"/>
      <c r="F70" s="227"/>
      <c r="G70" s="227"/>
      <c r="H70" s="228"/>
      <c r="R70"/>
    </row>
    <row r="71" spans="1:19" ht="15.75" customHeight="1" x14ac:dyDescent="0.25">
      <c r="A71" s="250"/>
      <c r="B71" s="251"/>
      <c r="C71" s="252"/>
      <c r="D71" s="226" t="s">
        <v>426</v>
      </c>
      <c r="E71" s="227"/>
      <c r="F71" s="227"/>
      <c r="G71" s="227"/>
      <c r="H71" s="228"/>
      <c r="S71"/>
    </row>
    <row r="72" spans="1:19" ht="15.75" customHeight="1" x14ac:dyDescent="0.25">
      <c r="A72" s="253"/>
      <c r="B72" s="254"/>
      <c r="C72" s="255"/>
      <c r="D72" s="247" t="s">
        <v>427</v>
      </c>
      <c r="E72" s="248"/>
      <c r="F72" s="248"/>
      <c r="G72" s="248"/>
      <c r="H72" s="249"/>
      <c r="R72"/>
    </row>
    <row r="73" spans="1:19" ht="15.75" customHeight="1" x14ac:dyDescent="0.25">
      <c r="A73" s="110" t="s">
        <v>43</v>
      </c>
      <c r="B73" s="110"/>
      <c r="C73" s="110"/>
      <c r="D73" s="199" t="s">
        <v>417</v>
      </c>
      <c r="E73" s="199"/>
      <c r="F73" s="199"/>
      <c r="G73" s="199"/>
      <c r="H73" s="199"/>
      <c r="J73" s="22"/>
      <c r="K73" s="21"/>
      <c r="N73" s="21"/>
      <c r="S73"/>
    </row>
    <row r="74" spans="1:19" ht="15.75" customHeight="1" x14ac:dyDescent="0.25">
      <c r="A74" s="110" t="s">
        <v>81</v>
      </c>
      <c r="B74" s="110"/>
      <c r="C74" s="110"/>
      <c r="D74" s="229" t="str">
        <f>(IF(G61="NA","60 Years After Completion",IF(G61&lt;&gt;"NA",""&amp;60-ROUNDDOWN((E3-G61)/360,0)&amp;" Years"," ")))</f>
        <v>60 Years After Completion</v>
      </c>
      <c r="E74" s="229"/>
      <c r="F74" s="229"/>
      <c r="G74" s="229"/>
      <c r="H74" s="229"/>
      <c r="N74" s="21"/>
      <c r="S74"/>
    </row>
    <row r="75" spans="1:19" ht="15.75" customHeight="1" x14ac:dyDescent="0.25">
      <c r="A75" s="110" t="s">
        <v>82</v>
      </c>
      <c r="B75" s="110"/>
      <c r="C75" s="110"/>
      <c r="D75" s="244" t="s">
        <v>23</v>
      </c>
      <c r="E75" s="244"/>
      <c r="F75" s="244"/>
      <c r="G75" s="244"/>
      <c r="H75" s="244"/>
      <c r="J75" s="23"/>
      <c r="K75" s="23"/>
      <c r="S75"/>
    </row>
    <row r="76" spans="1:19" ht="50.25" customHeight="1" x14ac:dyDescent="0.25">
      <c r="A76" s="219" t="s">
        <v>418</v>
      </c>
      <c r="B76" s="219"/>
      <c r="C76" s="219"/>
      <c r="D76" s="186" t="s">
        <v>419</v>
      </c>
      <c r="E76" s="186"/>
      <c r="F76" s="186"/>
      <c r="G76" s="186"/>
      <c r="H76" s="186"/>
      <c r="S76"/>
    </row>
    <row r="77" spans="1:19" x14ac:dyDescent="0.25">
      <c r="A77" s="244" t="s">
        <v>139</v>
      </c>
      <c r="B77" s="244"/>
      <c r="C77" s="244"/>
      <c r="D77" s="244" t="s">
        <v>28</v>
      </c>
      <c r="E77" s="244"/>
      <c r="F77" s="244"/>
      <c r="G77" s="244"/>
      <c r="H77" s="244"/>
      <c r="I77" s="24"/>
      <c r="J77" s="24"/>
      <c r="K77" s="24"/>
      <c r="L77" s="24"/>
      <c r="M77" s="24"/>
      <c r="N77" s="24"/>
    </row>
    <row r="78" spans="1:19" ht="15.75" customHeight="1" x14ac:dyDescent="0.25">
      <c r="A78" s="246" t="s">
        <v>80</v>
      </c>
      <c r="B78" s="246"/>
      <c r="C78" s="246"/>
      <c r="D78" s="232" t="str">
        <f ca="1">(IF(G84&gt;95%,"Nothing",IF(G84&gt;0%,"Cement, Aggregate, Steel, etc",IF(G84=0%,"Work not yet Started"))))</f>
        <v>Cement, Aggregate, Steel, etc</v>
      </c>
      <c r="E78" s="232"/>
      <c r="F78" s="232"/>
      <c r="G78" s="232"/>
      <c r="H78" s="232"/>
      <c r="J78" s="23"/>
      <c r="S78"/>
    </row>
    <row r="79" spans="1:19" ht="33.75" customHeight="1" thickBot="1" x14ac:dyDescent="0.3">
      <c r="A79" s="245" t="s">
        <v>112</v>
      </c>
      <c r="B79" s="245"/>
      <c r="C79" s="245"/>
      <c r="D79" s="232" t="str">
        <f ca="1">(IF(D78="Nothing","Yes",IF(D78="Cement, Aggregate, Steel, etc","Under Construction",IF(D78="Work not yet Started","Work not yet Started"))))</f>
        <v>Under Construction</v>
      </c>
      <c r="E79" s="232"/>
      <c r="F79" s="232" t="str">
        <f ca="1">(IF(D78="Nothing","Yes",IF(D78="Cement, Aggregate, Steel, etc","Under Construction",IF(D78="Work not yet Started","Work not yet Started"))))</f>
        <v>Under Construction</v>
      </c>
      <c r="G79" s="232"/>
      <c r="H79" s="232"/>
      <c r="S79"/>
    </row>
    <row r="80" spans="1:19" ht="15.75" customHeight="1" x14ac:dyDescent="0.25">
      <c r="A80" s="191" t="s">
        <v>131</v>
      </c>
      <c r="B80" s="192"/>
      <c r="C80" s="166" t="str">
        <f>D66</f>
        <v>Wing A = Gr + 1st to 21st Floor</v>
      </c>
      <c r="D80" s="167"/>
      <c r="E80" s="167"/>
      <c r="F80" s="167"/>
      <c r="G80" s="167"/>
      <c r="H80" s="168"/>
      <c r="I80" s="43" t="str">
        <f ca="1">IF(D93=100%,"All work Completed. Possession granted to the Building.",IF(D92=100%,"All work Completed, Waiting for OC",I81&amp;""&amp;I82&amp;""&amp;J81&amp;""&amp;J80&amp;" "&amp;J82))</f>
        <v xml:space="preserve">Excavation Completed, Footing work is process </v>
      </c>
      <c r="J80" s="44" t="str">
        <f ca="1">(IF(C86=(D81+F81+H81),"",IF(C86&gt;0,", RCC upto "&amp;C86&amp;" Slab","")))&amp;(IF(C87=H81,"",IF(C87&gt;0,", Brickwork upto "&amp;C87&amp;" Floor","")))&amp;(IF(C88=H81,"",IF(C88&gt;0,", Internal Plaster upto "&amp;C88&amp;" Floor","")))&amp;(IF(C89=H81,"",IF(C89&gt;0,", External Plaster upto "&amp;C89&amp;" Floor","")))&amp;(IF(C90=H81,"",IF(C90&gt;0,", Flooring upto "&amp;C90&amp;" Floor","")))&amp;(IF(C91=H81,"",IF(C91&gt;0,", Painting upto "&amp;C91&amp;" Floor","")))&amp;(IF(C92=H81,"",IF(C92&gt;0,", Finishing upto "&amp;C92&amp;" Floor","")))&amp;(IF(C93=H81,"",IF(C93&gt;0,", Possession upto "&amp;C93&amp;" Floor","")))</f>
        <v/>
      </c>
      <c r="S80"/>
    </row>
    <row r="81" spans="1:19" x14ac:dyDescent="0.25">
      <c r="A81" s="15" t="s">
        <v>133</v>
      </c>
      <c r="B81" s="42">
        <f>IF(AND(ISNUMBER(SEARCH("1B",C80))),1,IF(AND(ISNUMBER(SEARCH("2B",C80))),2,IF(AND(ISNUMBER(SEARCH("3B",C80))),3,IF(AND(ISNUMBER(SEARCH("4B",C80))),4,IF(ISNUMBER(SEARCH("5B",C80)),5,0)))))</f>
        <v>0</v>
      </c>
      <c r="C81" s="42" t="s">
        <v>67</v>
      </c>
      <c r="D81" s="42">
        <v>1</v>
      </c>
      <c r="E81" s="42" t="s">
        <v>66</v>
      </c>
      <c r="F81" s="42">
        <v>0</v>
      </c>
      <c r="G81" s="42" t="s">
        <v>74</v>
      </c>
      <c r="H81" s="16">
        <f ca="1">--TRIM(RIGHT(SUBSTITUTE(LEFT(C80,_xlfn.AGGREGATE(16,6,FIND({0,1,2,3,4,5,6,7,8,9},C80,ROW(INDIRECT("1:"&amp;LEN(C80)))),1))," ",REPT(" ",LEN(C80))),LEN(C80)))</f>
        <v>21</v>
      </c>
      <c r="I81" s="45" t="str">
        <f ca="1">IF(D84=100%,"Excavation","")&amp;IF(D85=100%,", Plinth","")&amp;IF(D86=100%,", RCC Slab","")&amp;IF(D87=100%,", Brickwork","")&amp;IF(D88=100%,", Internal Plaster","")&amp;IF(D89=100%,", External Plaster","")&amp;IF(D90=100%,", Flooring","")&amp;IF(D91=100%,", Painting","")&amp;IF(D92=100%,", Building common Amenities","")</f>
        <v>Excavation</v>
      </c>
      <c r="J81" s="46" t="str">
        <f ca="1">(IF(C84=0,"Work not yet Started.",IF(D84=25%,"Piling work in process",IF(D84=50%,"Excavation work in process",IF(D84=100%,"","0")))))&amp;(IF(C85=0%,"",IF(C85=J86,", Footing work is process",IF(C85=J87,", Footing work Completed",IF(C85=J88,", 1st Basement Completed",IF(C85=J89,", 1st &amp; 2nd Basement Completed",IF(C85=J90,", 1st to 3rd Basement Completed",IF(C85=J91,", 1st to 4th Basement Completed",IF(C85=J92,", Plinth work is process",IF(C85=J93,"","0"))))))))))</f>
        <v>, Footing work is process</v>
      </c>
      <c r="S81"/>
    </row>
    <row r="82" spans="1:19" x14ac:dyDescent="0.25">
      <c r="A82" s="169" t="s">
        <v>84</v>
      </c>
      <c r="B82" s="170"/>
      <c r="C82" s="171" t="str">
        <f ca="1">I80</f>
        <v xml:space="preserve">Excavation Completed, Footing work is process </v>
      </c>
      <c r="D82" s="171"/>
      <c r="E82" s="171"/>
      <c r="F82" s="171"/>
      <c r="G82" s="171"/>
      <c r="H82" s="172"/>
      <c r="I82" s="45" t="str">
        <f ca="1">IF(I81&lt;&gt;""," Completed","")</f>
        <v xml:space="preserve"> Completed</v>
      </c>
      <c r="J82" s="46" t="str">
        <f ca="1">IF(J80&lt;&gt;"","Completed","")</f>
        <v/>
      </c>
      <c r="S82"/>
    </row>
    <row r="83" spans="1:19" ht="15.75" customHeight="1" x14ac:dyDescent="0.25">
      <c r="A83" s="189" t="s">
        <v>47</v>
      </c>
      <c r="B83" s="190"/>
      <c r="C83" s="93" t="s">
        <v>130</v>
      </c>
      <c r="D83" s="93" t="s">
        <v>77</v>
      </c>
      <c r="E83" s="157" t="s">
        <v>79</v>
      </c>
      <c r="F83" s="157"/>
      <c r="G83" s="157" t="s">
        <v>78</v>
      </c>
      <c r="H83" s="173"/>
      <c r="I83" s="13" t="s">
        <v>132</v>
      </c>
      <c r="J83" s="25">
        <f ca="1">H81*25%</f>
        <v>5.25</v>
      </c>
      <c r="S83"/>
    </row>
    <row r="84" spans="1:19" x14ac:dyDescent="0.25">
      <c r="A84" s="189" t="s">
        <v>119</v>
      </c>
      <c r="B84" s="190"/>
      <c r="C84" s="93">
        <f ca="1">J85</f>
        <v>21</v>
      </c>
      <c r="D84" s="94">
        <f ca="1">((100/H81)*C84)/100</f>
        <v>1</v>
      </c>
      <c r="E84" s="158">
        <f ca="1">(((C85/H81*10)+(40/(D81+F81+H81)*C86)+(7.5/(H81)*C87)+(7.5/(H81)*C88)+(10/H81*C89)+(10/H81*C90)+(5/H81*C91)+(5/H81*C92)+(5/H81*C93))/100)</f>
        <v>2.5000000000000001E-2</v>
      </c>
      <c r="F84" s="159"/>
      <c r="G84" s="158">
        <f ca="1">((((C84/H81)*20)+((C85/H81)*25)+(30/(H81+F81+D81)*C86)+(5/H81*C87)+(5/H81*C88)+(5/H81*C89)+(5/H81*C90)+(0/H81*C91)+(0/H81*C92)+(5/H81*C93))/100)</f>
        <v>0.26250000000000001</v>
      </c>
      <c r="H84" s="174"/>
      <c r="I84" s="13" t="s">
        <v>94</v>
      </c>
      <c r="J84" s="26">
        <f ca="1">H81*50%</f>
        <v>10.5</v>
      </c>
    </row>
    <row r="85" spans="1:19" x14ac:dyDescent="0.25">
      <c r="A85" s="189" t="s">
        <v>48</v>
      </c>
      <c r="B85" s="190"/>
      <c r="C85" s="95">
        <f ca="1">J86</f>
        <v>5.25</v>
      </c>
      <c r="D85" s="94">
        <f ca="1">((100/H81)*C85)/100</f>
        <v>0.25</v>
      </c>
      <c r="E85" s="160"/>
      <c r="F85" s="161"/>
      <c r="G85" s="160"/>
      <c r="H85" s="175"/>
      <c r="I85" s="13" t="s">
        <v>95</v>
      </c>
      <c r="J85" s="26">
        <f ca="1">H81</f>
        <v>21</v>
      </c>
      <c r="L85" s="86"/>
      <c r="S85"/>
    </row>
    <row r="86" spans="1:19" ht="15.75" customHeight="1" x14ac:dyDescent="0.25">
      <c r="A86" s="189" t="s">
        <v>120</v>
      </c>
      <c r="B86" s="190"/>
      <c r="C86" s="93">
        <v>0</v>
      </c>
      <c r="D86" s="94">
        <f ca="1">((100/(D81+F81+H81))*C86)/100</f>
        <v>0</v>
      </c>
      <c r="E86" s="160"/>
      <c r="F86" s="161"/>
      <c r="G86" s="160"/>
      <c r="H86" s="175"/>
      <c r="I86" s="13" t="s">
        <v>96</v>
      </c>
      <c r="J86" s="27">
        <f ca="1">(IF(B81&gt;1,(H81/(B81+2)),H81/4))</f>
        <v>5.25</v>
      </c>
      <c r="S86"/>
    </row>
    <row r="87" spans="1:19" ht="15.75" customHeight="1" x14ac:dyDescent="0.25">
      <c r="A87" s="189" t="s">
        <v>127</v>
      </c>
      <c r="B87" s="190" t="s">
        <v>121</v>
      </c>
      <c r="C87" s="93">
        <v>0</v>
      </c>
      <c r="D87" s="94">
        <f ca="1">((100/H81)*C87)/100</f>
        <v>0</v>
      </c>
      <c r="E87" s="160"/>
      <c r="F87" s="161"/>
      <c r="G87" s="160"/>
      <c r="H87" s="175"/>
      <c r="I87" s="13" t="s">
        <v>97</v>
      </c>
      <c r="J87" s="27">
        <f ca="1">(IF(B81&gt;1,(H81/(B81+2)+J86),H81/4+J86))</f>
        <v>10.5</v>
      </c>
    </row>
    <row r="88" spans="1:19" ht="15.75" customHeight="1" x14ac:dyDescent="0.25">
      <c r="A88" s="189" t="s">
        <v>128</v>
      </c>
      <c r="B88" s="190" t="s">
        <v>121</v>
      </c>
      <c r="C88" s="93">
        <v>0</v>
      </c>
      <c r="D88" s="94">
        <f ca="1">((100/H81)*C88)/100</f>
        <v>0</v>
      </c>
      <c r="E88" s="160"/>
      <c r="F88" s="161"/>
      <c r="G88" s="160"/>
      <c r="H88" s="175"/>
      <c r="I88" s="13" t="s">
        <v>137</v>
      </c>
      <c r="J88" s="27">
        <f>(IF(B81&gt;1,(H81/(B81+2)+J87),0))</f>
        <v>0</v>
      </c>
    </row>
    <row r="89" spans="1:19" ht="15" customHeight="1" x14ac:dyDescent="0.25">
      <c r="A89" s="189" t="s">
        <v>126</v>
      </c>
      <c r="B89" s="190" t="s">
        <v>123</v>
      </c>
      <c r="C89" s="93">
        <v>0</v>
      </c>
      <c r="D89" s="94">
        <f ca="1">((100/(H81))*C89)/100</f>
        <v>0</v>
      </c>
      <c r="E89" s="160"/>
      <c r="F89" s="161"/>
      <c r="G89" s="160"/>
      <c r="H89" s="175"/>
      <c r="I89" s="13" t="s">
        <v>134</v>
      </c>
      <c r="J89" s="27">
        <f>(IF(B81&gt;2,(H81/(B81+2)+J88),0))</f>
        <v>0</v>
      </c>
    </row>
    <row r="90" spans="1:19" ht="15.75" customHeight="1" x14ac:dyDescent="0.25">
      <c r="A90" s="189" t="s">
        <v>122</v>
      </c>
      <c r="B90" s="190" t="s">
        <v>122</v>
      </c>
      <c r="C90" s="93">
        <v>0</v>
      </c>
      <c r="D90" s="94">
        <f ca="1">((100/H81)*C90)/100</f>
        <v>0</v>
      </c>
      <c r="E90" s="160"/>
      <c r="F90" s="161"/>
      <c r="G90" s="160"/>
      <c r="H90" s="175"/>
      <c r="I90" s="13" t="s">
        <v>135</v>
      </c>
      <c r="J90" s="28">
        <f>(IF(B81&gt;3,(H81/(B81+2)+J89),0))</f>
        <v>0</v>
      </c>
    </row>
    <row r="91" spans="1:19" ht="15.75" customHeight="1" x14ac:dyDescent="0.25">
      <c r="A91" s="189" t="s">
        <v>129</v>
      </c>
      <c r="B91" s="190"/>
      <c r="C91" s="93">
        <v>0</v>
      </c>
      <c r="D91" s="94">
        <f ca="1">((100/H81)*C91)/100</f>
        <v>0</v>
      </c>
      <c r="E91" s="160"/>
      <c r="F91" s="161"/>
      <c r="G91" s="160"/>
      <c r="H91" s="175"/>
      <c r="I91" s="13" t="s">
        <v>136</v>
      </c>
      <c r="J91" s="27">
        <f>(IF(B81&gt;4,(H81/(B81+2)+J90),0))</f>
        <v>0</v>
      </c>
    </row>
    <row r="92" spans="1:19" ht="15.75" customHeight="1" x14ac:dyDescent="0.25">
      <c r="A92" s="189" t="s">
        <v>124</v>
      </c>
      <c r="B92" s="190" t="s">
        <v>124</v>
      </c>
      <c r="C92" s="93">
        <v>0</v>
      </c>
      <c r="D92" s="94">
        <f ca="1">((100/(H81))*C92)/100</f>
        <v>0</v>
      </c>
      <c r="E92" s="160"/>
      <c r="F92" s="161"/>
      <c r="G92" s="160"/>
      <c r="H92" s="175"/>
      <c r="I92" s="13" t="s">
        <v>138</v>
      </c>
      <c r="J92" s="27">
        <f ca="1">(IF(B81=1,(H81/(B81+3)+J87),IF(B81=0,(H81/4+J87),IF(B81&gt;1,0))))</f>
        <v>15.75</v>
      </c>
    </row>
    <row r="93" spans="1:19" ht="16.5" thickBot="1" x14ac:dyDescent="0.3">
      <c r="A93" s="295" t="s">
        <v>125</v>
      </c>
      <c r="B93" s="296"/>
      <c r="C93" s="96">
        <v>0</v>
      </c>
      <c r="D93" s="97">
        <f ca="1">((100/(H81))*C93)/100</f>
        <v>0</v>
      </c>
      <c r="E93" s="162"/>
      <c r="F93" s="163"/>
      <c r="G93" s="162"/>
      <c r="H93" s="176"/>
      <c r="I93" s="14" t="s">
        <v>98</v>
      </c>
      <c r="J93" s="29">
        <f ca="1">(IF(B81&gt;1.5,(H81/(B81+2)+J87+MAX(0,J88-J87)+MAX(0,J89-J88)+MAX(0,J90-J89)+MAX(0,J91-J90)+MAX(0,J92-J91)),IF(B81=1,(H81/(B81+3)+J92),IF(B81=0,H81/4+J92))))</f>
        <v>21</v>
      </c>
    </row>
    <row r="94" spans="1:19" ht="15.75" customHeight="1" x14ac:dyDescent="0.25">
      <c r="A94" s="191" t="s">
        <v>131</v>
      </c>
      <c r="B94" s="192"/>
      <c r="C94" s="193" t="str">
        <f>D67</f>
        <v>Wing B = Gr + 1st to 21st Floor</v>
      </c>
      <c r="D94" s="194"/>
      <c r="E94" s="194"/>
      <c r="F94" s="194"/>
      <c r="G94" s="194"/>
      <c r="H94" s="195"/>
      <c r="I94" s="43" t="str">
        <f ca="1">IF(D107=100%,"All work Completed. Possession granted to the Building.",IF(D106=100%,"All work Completed, Waiting for OC",I95&amp;""&amp;I96&amp;""&amp;J95&amp;""&amp;J94&amp;" "&amp;J96))</f>
        <v xml:space="preserve">Piling work in process </v>
      </c>
      <c r="J94" s="44" t="str">
        <f ca="1">(IF(C100=(D95+F95+H95),"",IF(C100&gt;0,", RCC upto "&amp;C100&amp;" Slab","")))&amp;(IF(C101=H95,"",IF(C101&gt;0,", Brickwork upto "&amp;C101&amp;" Floor","")))&amp;(IF(C102=H95,"",IF(C102&gt;0,", Internal Plaster upto "&amp;C102&amp;" Floor","")))&amp;(IF(C103=H95,"",IF(C103&gt;0,", External Plaster upto "&amp;C103&amp;" Floor","")))&amp;(IF(C104=H95,"",IF(C104&gt;0,", Flooring upto "&amp;C104&amp;" Floor","")))&amp;(IF(C105=H95,"",IF(C105&gt;0,", Painting upto "&amp;C105&amp;" Floor","")))&amp;(IF(C106=H95,"",IF(C106&gt;0,", Finishing upto "&amp;C106&amp;" Floor","")))&amp;(IF(C107=H95,"",IF(C107&gt;0,", Possession upto "&amp;C107&amp;" Floor","")))</f>
        <v/>
      </c>
      <c r="S94"/>
    </row>
    <row r="95" spans="1:19" x14ac:dyDescent="0.25">
      <c r="A95" s="15" t="s">
        <v>133</v>
      </c>
      <c r="B95" s="42">
        <f>IF(AND(ISNUMBER(SEARCH("1B",C94))),1,IF(AND(ISNUMBER(SEARCH("2B",C94))),2,IF(AND(ISNUMBER(SEARCH("3B",C94))),3,IF(AND(ISNUMBER(SEARCH("4B",C94))),4,IF(ISNUMBER(SEARCH("5B",C94)),5,0)))))</f>
        <v>0</v>
      </c>
      <c r="C95" s="42" t="s">
        <v>67</v>
      </c>
      <c r="D95" s="42">
        <v>1</v>
      </c>
      <c r="E95" s="42" t="s">
        <v>66</v>
      </c>
      <c r="F95" s="42">
        <v>0</v>
      </c>
      <c r="G95" s="42" t="s">
        <v>74</v>
      </c>
      <c r="H95" s="16">
        <f ca="1">--TRIM(RIGHT(SUBSTITUTE(LEFT(C94,_xlfn.AGGREGATE(16,6,FIND({0,1,2,3,4,5,6,7,8,9},C94,ROW(INDIRECT("1:"&amp;LEN(C94)))),1))," ",REPT(" ",LEN(C94))),LEN(C94)))</f>
        <v>21</v>
      </c>
      <c r="I95" s="45" t="str">
        <f ca="1">IF(D98=100%,"Excavation","")&amp;IF(D99=100%,", Plinth","")&amp;IF(D100=100%,", RCC Slab","")&amp;IF(D101=100%,", Brickwork","")&amp;IF(D102=100%,", Internal Plaster","")&amp;IF(D103=100%,", External Plaster","")&amp;IF(D104=100%,", Flooring","")&amp;IF(D105=100%,", Painting","")&amp;IF(D106=100%,", Building common Amenities","")</f>
        <v/>
      </c>
      <c r="J95" s="46" t="str">
        <f ca="1">(IF(C98=0,"Work not yet Started.",IF(D98=25%,"Piling work in process",IF(D98=50%,"Excavation work in process",IF(D98=100%,"","0")))))&amp;(IF(C99=0%,"",IF(C99=J100,", Footing work is process",IF(C99=J101,", Footing work Completed",IF(C99=J102,", 1st Basement Completed",IF(C99=J103,", 1st &amp; 2nd Basement Completed",IF(C99=J104,", 1st to 3rd Basement Completed",IF(C99=J105,", 1st to 4th Basement Completed",IF(C99=J106,", Plinth work is process",IF(C99=J107,"","0"))))))))))</f>
        <v>Piling work in process</v>
      </c>
      <c r="S95"/>
    </row>
    <row r="96" spans="1:19" x14ac:dyDescent="0.25">
      <c r="A96" s="169" t="s">
        <v>84</v>
      </c>
      <c r="B96" s="170"/>
      <c r="C96" s="171" t="str">
        <f ca="1">I94</f>
        <v xml:space="preserve">Piling work in process </v>
      </c>
      <c r="D96" s="171"/>
      <c r="E96" s="171"/>
      <c r="F96" s="171"/>
      <c r="G96" s="171"/>
      <c r="H96" s="172"/>
      <c r="I96" s="45" t="str">
        <f ca="1">IF(I95&lt;&gt;""," Completed","")</f>
        <v/>
      </c>
      <c r="J96" s="46" t="str">
        <f ca="1">IF(J94&lt;&gt;"","Completed","")</f>
        <v/>
      </c>
      <c r="S96"/>
    </row>
    <row r="97" spans="1:19" ht="15.75" customHeight="1" x14ac:dyDescent="0.25">
      <c r="A97" s="156" t="s">
        <v>47</v>
      </c>
      <c r="B97" s="157"/>
      <c r="C97" s="93" t="s">
        <v>130</v>
      </c>
      <c r="D97" s="93" t="s">
        <v>77</v>
      </c>
      <c r="E97" s="157" t="s">
        <v>79</v>
      </c>
      <c r="F97" s="157"/>
      <c r="G97" s="157" t="s">
        <v>78</v>
      </c>
      <c r="H97" s="173"/>
      <c r="I97" s="13" t="s">
        <v>132</v>
      </c>
      <c r="J97" s="25">
        <f ca="1">H95*25%</f>
        <v>5.25</v>
      </c>
      <c r="S97"/>
    </row>
    <row r="98" spans="1:19" x14ac:dyDescent="0.25">
      <c r="A98" s="156" t="s">
        <v>119</v>
      </c>
      <c r="B98" s="157"/>
      <c r="C98" s="93">
        <f ca="1">J97</f>
        <v>5.25</v>
      </c>
      <c r="D98" s="94">
        <f ca="1">((100/H95)*C98)/100</f>
        <v>0.25</v>
      </c>
      <c r="E98" s="158">
        <f ca="1">(((C99/H95*10)+(40/(D95+F95+H95)*C100)+(7.5/(H95)*C101)+(7.5/(H95)*C102)+(10/H95*C103)+(10/H95*C104)+(5/H95*C105)+(5/H95*C106)+(5/H95*C107))/100)</f>
        <v>0</v>
      </c>
      <c r="F98" s="159"/>
      <c r="G98" s="158">
        <f ca="1">((((C98/H95)*20)+((C99/H95)*25)+(30/(H95+F95+D95)*C100)+(5/H95*C101)+(5/H95*C102)+(5/H95*C103)+(5/H95*C104)+(0/H95*C105)+(0/H95*C106)+(5/H95*C107))/100)</f>
        <v>0.05</v>
      </c>
      <c r="H98" s="174"/>
      <c r="I98" s="13" t="s">
        <v>94</v>
      </c>
      <c r="J98" s="26">
        <f ca="1">H95*50%</f>
        <v>10.5</v>
      </c>
    </row>
    <row r="99" spans="1:19" x14ac:dyDescent="0.25">
      <c r="A99" s="156" t="s">
        <v>48</v>
      </c>
      <c r="B99" s="157"/>
      <c r="C99" s="93">
        <v>0</v>
      </c>
      <c r="D99" s="94">
        <f ca="1">((100/H95)*C99)/100</f>
        <v>0</v>
      </c>
      <c r="E99" s="160"/>
      <c r="F99" s="161"/>
      <c r="G99" s="160"/>
      <c r="H99" s="175"/>
      <c r="I99" s="13" t="s">
        <v>95</v>
      </c>
      <c r="J99" s="26">
        <f ca="1">H95</f>
        <v>21</v>
      </c>
      <c r="S99"/>
    </row>
    <row r="100" spans="1:19" ht="15.75" customHeight="1" x14ac:dyDescent="0.25">
      <c r="A100" s="156" t="s">
        <v>120</v>
      </c>
      <c r="B100" s="157"/>
      <c r="C100" s="93">
        <v>0</v>
      </c>
      <c r="D100" s="94">
        <f ca="1">((100/(D95+F95+H95))*C100)/100</f>
        <v>0</v>
      </c>
      <c r="E100" s="160"/>
      <c r="F100" s="161"/>
      <c r="G100" s="160"/>
      <c r="H100" s="175"/>
      <c r="I100" s="13" t="s">
        <v>96</v>
      </c>
      <c r="J100" s="27">
        <f ca="1">(IF(B95&gt;1,(H95/(B95+2)),H95/4))</f>
        <v>5.25</v>
      </c>
      <c r="S100"/>
    </row>
    <row r="101" spans="1:19" ht="15.75" customHeight="1" x14ac:dyDescent="0.25">
      <c r="A101" s="156" t="s">
        <v>127</v>
      </c>
      <c r="B101" s="157" t="s">
        <v>121</v>
      </c>
      <c r="C101" s="93">
        <v>0</v>
      </c>
      <c r="D101" s="94">
        <f ca="1">((100/H95)*C101)/100</f>
        <v>0</v>
      </c>
      <c r="E101" s="160"/>
      <c r="F101" s="161"/>
      <c r="G101" s="160"/>
      <c r="H101" s="175"/>
      <c r="I101" s="13" t="s">
        <v>97</v>
      </c>
      <c r="J101" s="27">
        <f ca="1">(IF(B95&gt;1,(H95/(B95+2)+J100),H95/4+J100))</f>
        <v>10.5</v>
      </c>
    </row>
    <row r="102" spans="1:19" ht="15.75" customHeight="1" x14ac:dyDescent="0.25">
      <c r="A102" s="156" t="s">
        <v>128</v>
      </c>
      <c r="B102" s="157" t="s">
        <v>121</v>
      </c>
      <c r="C102" s="93">
        <v>0</v>
      </c>
      <c r="D102" s="94">
        <f ca="1">((100/H95)*C102)/100</f>
        <v>0</v>
      </c>
      <c r="E102" s="160"/>
      <c r="F102" s="161"/>
      <c r="G102" s="160"/>
      <c r="H102" s="175"/>
      <c r="I102" s="13" t="s">
        <v>137</v>
      </c>
      <c r="J102" s="27">
        <f>(IF(B95&gt;1,(H95/(B95+2)+J101),0))</f>
        <v>0</v>
      </c>
    </row>
    <row r="103" spans="1:19" ht="15" customHeight="1" x14ac:dyDescent="0.25">
      <c r="A103" s="156" t="s">
        <v>126</v>
      </c>
      <c r="B103" s="157" t="s">
        <v>123</v>
      </c>
      <c r="C103" s="93">
        <v>0</v>
      </c>
      <c r="D103" s="94">
        <f ca="1">((100/(H95))*C103)/100</f>
        <v>0</v>
      </c>
      <c r="E103" s="160"/>
      <c r="F103" s="161"/>
      <c r="G103" s="160"/>
      <c r="H103" s="175"/>
      <c r="I103" s="13" t="s">
        <v>134</v>
      </c>
      <c r="J103" s="27">
        <f>(IF(B95&gt;2,(H95/(B95+2)+J102),0))</f>
        <v>0</v>
      </c>
    </row>
    <row r="104" spans="1:19" ht="15.75" customHeight="1" x14ac:dyDescent="0.25">
      <c r="A104" s="156" t="s">
        <v>122</v>
      </c>
      <c r="B104" s="157" t="s">
        <v>122</v>
      </c>
      <c r="C104" s="93">
        <v>0</v>
      </c>
      <c r="D104" s="94">
        <f ca="1">((100/H95)*C104)/100</f>
        <v>0</v>
      </c>
      <c r="E104" s="160"/>
      <c r="F104" s="161"/>
      <c r="G104" s="160"/>
      <c r="H104" s="175"/>
      <c r="I104" s="13" t="s">
        <v>135</v>
      </c>
      <c r="J104" s="28">
        <f>(IF(B95&gt;3,(H95/(B95+2)+J103),0))</f>
        <v>0</v>
      </c>
    </row>
    <row r="105" spans="1:19" ht="15.75" customHeight="1" x14ac:dyDescent="0.25">
      <c r="A105" s="156" t="s">
        <v>129</v>
      </c>
      <c r="B105" s="157"/>
      <c r="C105" s="93">
        <v>0</v>
      </c>
      <c r="D105" s="94">
        <f ca="1">((100/H95)*C105)/100</f>
        <v>0</v>
      </c>
      <c r="E105" s="160"/>
      <c r="F105" s="161"/>
      <c r="G105" s="160"/>
      <c r="H105" s="175"/>
      <c r="I105" s="13" t="s">
        <v>136</v>
      </c>
      <c r="J105" s="27">
        <f>(IF(B95&gt;4,(H95/(B95+2)+J104),0))</f>
        <v>0</v>
      </c>
    </row>
    <row r="106" spans="1:19" ht="15.75" customHeight="1" x14ac:dyDescent="0.25">
      <c r="A106" s="156" t="s">
        <v>124</v>
      </c>
      <c r="B106" s="157" t="s">
        <v>124</v>
      </c>
      <c r="C106" s="93">
        <v>0</v>
      </c>
      <c r="D106" s="94">
        <f ca="1">((100/(H95))*C106)/100</f>
        <v>0</v>
      </c>
      <c r="E106" s="160"/>
      <c r="F106" s="161"/>
      <c r="G106" s="160"/>
      <c r="H106" s="175"/>
      <c r="I106" s="13" t="s">
        <v>138</v>
      </c>
      <c r="J106" s="27">
        <f ca="1">(IF(B95=1,(H95/(B95+3)+J101),IF(B95=0,(H95/4+J101),IF(B95&gt;1,0))))</f>
        <v>15.75</v>
      </c>
    </row>
    <row r="107" spans="1:19" ht="16.5" thickBot="1" x14ac:dyDescent="0.3">
      <c r="A107" s="149" t="s">
        <v>125</v>
      </c>
      <c r="B107" s="150"/>
      <c r="C107" s="96">
        <v>0</v>
      </c>
      <c r="D107" s="97">
        <f ca="1">((100/(H95))*C107)/100</f>
        <v>0</v>
      </c>
      <c r="E107" s="162"/>
      <c r="F107" s="163"/>
      <c r="G107" s="162"/>
      <c r="H107" s="176"/>
      <c r="I107" s="14" t="s">
        <v>98</v>
      </c>
      <c r="J107" s="29">
        <f ca="1">(IF(B95&gt;1.5,(H95/(B95+2)+J101+MAX(0,J102-J101)+MAX(0,J103-J102)+MAX(0,J104-J103)+MAX(0,J105-J104)+MAX(0,J106-J105)),IF(B95=1,(H95/(B95+3)+J106),IF(B95=0,H95/4+J106))))</f>
        <v>21</v>
      </c>
    </row>
    <row r="108" spans="1:19" ht="15.75" customHeight="1" x14ac:dyDescent="0.25">
      <c r="A108" s="164" t="s">
        <v>131</v>
      </c>
      <c r="B108" s="165"/>
      <c r="C108" s="166" t="str">
        <f>D68</f>
        <v>Wing C = Gr + 1st to 21st Floor</v>
      </c>
      <c r="D108" s="167"/>
      <c r="E108" s="167"/>
      <c r="F108" s="167"/>
      <c r="G108" s="167"/>
      <c r="H108" s="168"/>
      <c r="I108" s="43" t="str">
        <f ca="1">IF(D121=100%,"All work Completed. Possession granted to the Building.",IF(D120=100%,"All work Completed, Waiting for OC",I109&amp;""&amp;I110&amp;""&amp;J109&amp;""&amp;J108&amp;" "&amp;J110))</f>
        <v xml:space="preserve">Excavation Completed, Plinth work is process </v>
      </c>
      <c r="J108" s="44" t="str">
        <f ca="1">(IF(C114=(D109+F109+H109),"",IF(C114&gt;0,", RCC upto "&amp;C114&amp;" Slab","")))&amp;(IF(C115=H109,"",IF(C115&gt;0,", Brickwork upto "&amp;C115&amp;" Floor","")))&amp;(IF(C116=H109,"",IF(C116&gt;0,", Internal Plaster upto "&amp;C116&amp;" Floor","")))&amp;(IF(C117=H109,"",IF(C117&gt;0,", External Plaster upto "&amp;C117&amp;" Floor","")))&amp;(IF(C118=H109,"",IF(C118&gt;0,", Flooring upto "&amp;C118&amp;" Floor","")))&amp;(IF(C119=H109,"",IF(C119&gt;0,", Painting upto "&amp;C119&amp;" Floor","")))&amp;(IF(C120=H109,"",IF(C120&gt;0,", Finishing upto "&amp;C120&amp;" Floor","")))&amp;(IF(C121=H109,"",IF(C121&gt;0,", Possession upto "&amp;C121&amp;" Floor","")))</f>
        <v/>
      </c>
      <c r="S108"/>
    </row>
    <row r="109" spans="1:19" x14ac:dyDescent="0.25">
      <c r="A109" s="15" t="s">
        <v>133</v>
      </c>
      <c r="B109" s="42">
        <f>IF(AND(ISNUMBER(SEARCH("1B",C108))),1,IF(AND(ISNUMBER(SEARCH("2B",C108))),2,IF(AND(ISNUMBER(SEARCH("3B",C108))),3,IF(AND(ISNUMBER(SEARCH("4B",C108))),4,IF(ISNUMBER(SEARCH("5B",C108)),5,0)))))</f>
        <v>0</v>
      </c>
      <c r="C109" s="42" t="s">
        <v>67</v>
      </c>
      <c r="D109" s="42">
        <v>1</v>
      </c>
      <c r="E109" s="42" t="s">
        <v>66</v>
      </c>
      <c r="F109" s="42">
        <v>0</v>
      </c>
      <c r="G109" s="42" t="s">
        <v>74</v>
      </c>
      <c r="H109" s="16">
        <f ca="1">--TRIM(RIGHT(SUBSTITUTE(LEFT(C108,_xlfn.AGGREGATE(16,6,FIND({0,1,2,3,4,5,6,7,8,9},C108,ROW(INDIRECT("1:"&amp;LEN(C108)))),1))," ",REPT(" ",LEN(C108))),LEN(C108)))</f>
        <v>21</v>
      </c>
      <c r="I109" s="45" t="str">
        <f ca="1">IF(D112=100%,"Excavation","")&amp;IF(D113=100%,", Plinth","")&amp;IF(D114=100%,", RCC Slab","")&amp;IF(D115=100%,", Brickwork","")&amp;IF(D116=100%,", Internal Plaster","")&amp;IF(D117=100%,", External Plaster","")&amp;IF(D118=100%,", Flooring","")&amp;IF(D119=100%,", Painting","")&amp;IF(D120=100%,", Building common Amenities","")</f>
        <v>Excavation</v>
      </c>
      <c r="J109" s="46" t="str">
        <f ca="1">(IF(C112=0,"Work not yet Started.",IF(D112=25%,"Piling work in process",IF(D112=50%,"Excavation work in process",IF(D112=100%,"","0")))))&amp;(IF(C113=0%,"",IF(C113=J114,", Footing work is process",IF(C113=J115,", Footing work Completed",IF(C113=J116,", 1st Basement Completed",IF(C113=J117,", 1st &amp; 2nd Basement Completed",IF(C113=J118,", 1st to 3rd Basement Completed",IF(C113=J119,", 1st to 4th Basement Completed",IF(C113=J120,", Plinth work is process",IF(C113=J121,"","0"))))))))))</f>
        <v>, Plinth work is process</v>
      </c>
      <c r="S109"/>
    </row>
    <row r="110" spans="1:19" x14ac:dyDescent="0.25">
      <c r="A110" s="169" t="s">
        <v>84</v>
      </c>
      <c r="B110" s="170"/>
      <c r="C110" s="171" t="str">
        <f ca="1">I108</f>
        <v xml:space="preserve">Excavation Completed, Plinth work is process </v>
      </c>
      <c r="D110" s="171"/>
      <c r="E110" s="171"/>
      <c r="F110" s="171"/>
      <c r="G110" s="171"/>
      <c r="H110" s="172"/>
      <c r="I110" s="45" t="str">
        <f ca="1">IF(I109&lt;&gt;""," Completed","")</f>
        <v xml:space="preserve"> Completed</v>
      </c>
      <c r="J110" s="46" t="str">
        <f ca="1">IF(J108&lt;&gt;"","Completed","")</f>
        <v/>
      </c>
      <c r="S110"/>
    </row>
    <row r="111" spans="1:19" ht="15.75" customHeight="1" x14ac:dyDescent="0.25">
      <c r="A111" s="156" t="s">
        <v>47</v>
      </c>
      <c r="B111" s="157"/>
      <c r="C111" s="93" t="s">
        <v>130</v>
      </c>
      <c r="D111" s="93" t="s">
        <v>77</v>
      </c>
      <c r="E111" s="157" t="s">
        <v>79</v>
      </c>
      <c r="F111" s="157"/>
      <c r="G111" s="157" t="s">
        <v>78</v>
      </c>
      <c r="H111" s="173"/>
      <c r="I111" s="13" t="s">
        <v>132</v>
      </c>
      <c r="J111" s="25">
        <f ca="1">H109*25%</f>
        <v>5.25</v>
      </c>
      <c r="S111"/>
    </row>
    <row r="112" spans="1:19" x14ac:dyDescent="0.25">
      <c r="A112" s="156" t="s">
        <v>119</v>
      </c>
      <c r="B112" s="157"/>
      <c r="C112" s="93">
        <f ca="1">J113</f>
        <v>21</v>
      </c>
      <c r="D112" s="94">
        <f ca="1">((100/H109)*C112)/100</f>
        <v>1</v>
      </c>
      <c r="E112" s="158">
        <f ca="1">(((C113/H109*10)+(40/(D109+F109+H109)*C114)+(7.5/(H109)*C115)+(7.5/(H109)*C116)+(10/H109*C117)+(10/H109*C118)+(5/H109*C119)+(5/H109*C120)+(5/H109*C121))/100)</f>
        <v>7.4999999999999997E-2</v>
      </c>
      <c r="F112" s="159"/>
      <c r="G112" s="158">
        <f ca="1">((((C112/H109)*20)+((C113/H109)*25)+(30/(H109+F109+D109)*C114)+(5/H109*C115)+(5/H109*C116)+(5/H109*C117)+(5/H109*C118)+(0/H109*C119)+(0/H109*C120)+(5/H109*C121))/100)</f>
        <v>0.38750000000000001</v>
      </c>
      <c r="H112" s="174"/>
      <c r="I112" s="13" t="s">
        <v>94</v>
      </c>
      <c r="J112" s="26">
        <f ca="1">H109*50%</f>
        <v>10.5</v>
      </c>
    </row>
    <row r="113" spans="1:19" x14ac:dyDescent="0.25">
      <c r="A113" s="156" t="s">
        <v>48</v>
      </c>
      <c r="B113" s="157"/>
      <c r="C113" s="95">
        <f ca="1">J120</f>
        <v>15.75</v>
      </c>
      <c r="D113" s="94">
        <f ca="1">((100/H109)*C113)/100</f>
        <v>0.75</v>
      </c>
      <c r="E113" s="160"/>
      <c r="F113" s="161"/>
      <c r="G113" s="160"/>
      <c r="H113" s="175"/>
      <c r="I113" s="13" t="s">
        <v>95</v>
      </c>
      <c r="J113" s="26">
        <f ca="1">H109</f>
        <v>21</v>
      </c>
      <c r="S113"/>
    </row>
    <row r="114" spans="1:19" ht="15.75" customHeight="1" x14ac:dyDescent="0.25">
      <c r="A114" s="156" t="s">
        <v>120</v>
      </c>
      <c r="B114" s="157"/>
      <c r="C114" s="93">
        <v>0</v>
      </c>
      <c r="D114" s="94">
        <f ca="1">((100/(D109+F109+H109))*C114)/100</f>
        <v>0</v>
      </c>
      <c r="E114" s="160"/>
      <c r="F114" s="161"/>
      <c r="G114" s="160"/>
      <c r="H114" s="175"/>
      <c r="I114" s="13" t="s">
        <v>96</v>
      </c>
      <c r="J114" s="27">
        <f ca="1">(IF(B109&gt;1,(H109/(B109+2)),H109/4))</f>
        <v>5.25</v>
      </c>
      <c r="S114"/>
    </row>
    <row r="115" spans="1:19" ht="15.75" customHeight="1" x14ac:dyDescent="0.25">
      <c r="A115" s="156" t="s">
        <v>127</v>
      </c>
      <c r="B115" s="157" t="s">
        <v>121</v>
      </c>
      <c r="C115" s="93">
        <v>0</v>
      </c>
      <c r="D115" s="94">
        <f ca="1">((100/H109)*C115)/100</f>
        <v>0</v>
      </c>
      <c r="E115" s="160"/>
      <c r="F115" s="161"/>
      <c r="G115" s="160"/>
      <c r="H115" s="175"/>
      <c r="I115" s="13" t="s">
        <v>97</v>
      </c>
      <c r="J115" s="27">
        <f ca="1">(IF(B109&gt;1,(H109/(B109+2)+J114),H109/4+J114))</f>
        <v>10.5</v>
      </c>
    </row>
    <row r="116" spans="1:19" ht="15.75" customHeight="1" x14ac:dyDescent="0.25">
      <c r="A116" s="156" t="s">
        <v>128</v>
      </c>
      <c r="B116" s="157" t="s">
        <v>121</v>
      </c>
      <c r="C116" s="93">
        <v>0</v>
      </c>
      <c r="D116" s="94">
        <f ca="1">((100/H109)*C116)/100</f>
        <v>0</v>
      </c>
      <c r="E116" s="160"/>
      <c r="F116" s="161"/>
      <c r="G116" s="160"/>
      <c r="H116" s="175"/>
      <c r="I116" s="13" t="s">
        <v>137</v>
      </c>
      <c r="J116" s="27">
        <f>(IF(B109&gt;1,(H109/(B109+2)+J115),0))</f>
        <v>0</v>
      </c>
    </row>
    <row r="117" spans="1:19" ht="15" customHeight="1" x14ac:dyDescent="0.25">
      <c r="A117" s="156" t="s">
        <v>126</v>
      </c>
      <c r="B117" s="157" t="s">
        <v>123</v>
      </c>
      <c r="C117" s="93">
        <v>0</v>
      </c>
      <c r="D117" s="94">
        <f ca="1">((100/(H109))*C117)/100</f>
        <v>0</v>
      </c>
      <c r="E117" s="160"/>
      <c r="F117" s="161"/>
      <c r="G117" s="160"/>
      <c r="H117" s="175"/>
      <c r="I117" s="13" t="s">
        <v>134</v>
      </c>
      <c r="J117" s="27">
        <f>(IF(B109&gt;2,(H109/(B109+2)+J116),0))</f>
        <v>0</v>
      </c>
    </row>
    <row r="118" spans="1:19" ht="15.75" customHeight="1" x14ac:dyDescent="0.25">
      <c r="A118" s="156" t="s">
        <v>122</v>
      </c>
      <c r="B118" s="157" t="s">
        <v>122</v>
      </c>
      <c r="C118" s="93">
        <v>0</v>
      </c>
      <c r="D118" s="94">
        <f ca="1">((100/H109)*C118)/100</f>
        <v>0</v>
      </c>
      <c r="E118" s="160"/>
      <c r="F118" s="161"/>
      <c r="G118" s="160"/>
      <c r="H118" s="175"/>
      <c r="I118" s="13" t="s">
        <v>135</v>
      </c>
      <c r="J118" s="28">
        <f>(IF(B109&gt;3,(H109/(B109+2)+J117),0))</f>
        <v>0</v>
      </c>
    </row>
    <row r="119" spans="1:19" ht="15.75" customHeight="1" x14ac:dyDescent="0.25">
      <c r="A119" s="156" t="s">
        <v>129</v>
      </c>
      <c r="B119" s="157"/>
      <c r="C119" s="93">
        <v>0</v>
      </c>
      <c r="D119" s="94">
        <f ca="1">((100/H109)*C119)/100</f>
        <v>0</v>
      </c>
      <c r="E119" s="160"/>
      <c r="F119" s="161"/>
      <c r="G119" s="160"/>
      <c r="H119" s="175"/>
      <c r="I119" s="13" t="s">
        <v>136</v>
      </c>
      <c r="J119" s="27">
        <f>(IF(B109&gt;4,(H109/(B109+2)+J118),0))</f>
        <v>0</v>
      </c>
    </row>
    <row r="120" spans="1:19" ht="15.75" customHeight="1" x14ac:dyDescent="0.25">
      <c r="A120" s="156" t="s">
        <v>124</v>
      </c>
      <c r="B120" s="157" t="s">
        <v>124</v>
      </c>
      <c r="C120" s="93">
        <v>0</v>
      </c>
      <c r="D120" s="94">
        <f ca="1">((100/(H109))*C120)/100</f>
        <v>0</v>
      </c>
      <c r="E120" s="160"/>
      <c r="F120" s="161"/>
      <c r="G120" s="160"/>
      <c r="H120" s="175"/>
      <c r="I120" s="13" t="s">
        <v>138</v>
      </c>
      <c r="J120" s="27">
        <f ca="1">(IF(B109=1,(H109/(B109+3)+J115),IF(B109=0,(H109/4+J115),IF(B109&gt;1,0))))</f>
        <v>15.75</v>
      </c>
    </row>
    <row r="121" spans="1:19" ht="16.5" thickBot="1" x14ac:dyDescent="0.3">
      <c r="A121" s="149" t="s">
        <v>125</v>
      </c>
      <c r="B121" s="150"/>
      <c r="C121" s="96">
        <v>0</v>
      </c>
      <c r="D121" s="97">
        <f ca="1">((100/(H109))*C121)/100</f>
        <v>0</v>
      </c>
      <c r="E121" s="162"/>
      <c r="F121" s="163"/>
      <c r="G121" s="162"/>
      <c r="H121" s="176"/>
      <c r="I121" s="14" t="s">
        <v>98</v>
      </c>
      <c r="J121" s="29">
        <f ca="1">(IF(B109&gt;1.5,(H109/(B109+2)+J115+MAX(0,J116-J115)+MAX(0,J117-J116)+MAX(0,J118-J117)+MAX(0,J119-J118)+MAX(0,J120-J119)),IF(B109=1,(H109/(B109+3)+J120),IF(B109=0,H109/4+J120))))</f>
        <v>21</v>
      </c>
    </row>
    <row r="122" spans="1:19" ht="15.75" customHeight="1" x14ac:dyDescent="0.25">
      <c r="A122" s="164" t="s">
        <v>131</v>
      </c>
      <c r="B122" s="165"/>
      <c r="C122" s="166" t="str">
        <f>D69</f>
        <v>Wing D = Gr + 1st to 22nd Floor</v>
      </c>
      <c r="D122" s="167"/>
      <c r="E122" s="167"/>
      <c r="F122" s="167"/>
      <c r="G122" s="167"/>
      <c r="H122" s="168"/>
      <c r="I122" s="43" t="str">
        <f ca="1">IF(D135=100%,"All work Completed. Possession granted to the Building.",IF(D134=100%,"All work Completed, Waiting for OC",I123&amp;""&amp;I124&amp;""&amp;J123&amp;""&amp;J122&amp;" "&amp;J124))</f>
        <v xml:space="preserve">Excavation Completed, Footing work Completed </v>
      </c>
      <c r="J122" s="44" t="str">
        <f ca="1">(IF(C128=(D123+F123+H123),"",IF(C128&gt;0,", RCC upto "&amp;C128&amp;" Slab","")))&amp;(IF(C129=H123,"",IF(C129&gt;0,", Brickwork upto "&amp;C129&amp;" Floor","")))&amp;(IF(C130=H123,"",IF(C130&gt;0,", Internal Plaster upto "&amp;C130&amp;" Floor","")))&amp;(IF(C131=H123,"",IF(C131&gt;0,", External Plaster upto "&amp;C131&amp;" Floor","")))&amp;(IF(C132=H123,"",IF(C132&gt;0,", Flooring upto "&amp;C132&amp;" Floor","")))&amp;(IF(C133=H123,"",IF(C133&gt;0,", Painting upto "&amp;C133&amp;" Floor","")))&amp;(IF(C134=H123,"",IF(C134&gt;0,", Finishing upto "&amp;C134&amp;" Floor","")))&amp;(IF(C135=H123,"",IF(C135&gt;0,", Possession upto "&amp;C135&amp;" Floor","")))</f>
        <v/>
      </c>
      <c r="S122"/>
    </row>
    <row r="123" spans="1:19" x14ac:dyDescent="0.25">
      <c r="A123" s="15" t="s">
        <v>133</v>
      </c>
      <c r="B123" s="42">
        <f>IF(AND(ISNUMBER(SEARCH("1B",C122))),1,IF(AND(ISNUMBER(SEARCH("2B",C122))),2,IF(AND(ISNUMBER(SEARCH("3B",C122))),3,IF(AND(ISNUMBER(SEARCH("4B",C122))),4,IF(ISNUMBER(SEARCH("5B",C122)),5,0)))))</f>
        <v>0</v>
      </c>
      <c r="C123" s="42" t="s">
        <v>67</v>
      </c>
      <c r="D123" s="42">
        <v>1</v>
      </c>
      <c r="E123" s="42" t="s">
        <v>66</v>
      </c>
      <c r="F123" s="42">
        <v>0</v>
      </c>
      <c r="G123" s="42" t="s">
        <v>74</v>
      </c>
      <c r="H123" s="16">
        <f ca="1">--TRIM(RIGHT(SUBSTITUTE(LEFT(C122,_xlfn.AGGREGATE(16,6,FIND({0,1,2,3,4,5,6,7,8,9},C122,ROW(INDIRECT("1:"&amp;LEN(C122)))),1))," ",REPT(" ",LEN(C122))),LEN(C122)))</f>
        <v>22</v>
      </c>
      <c r="I123" s="45" t="str">
        <f ca="1">IF(D126=100%,"Excavation","")&amp;IF(D127=100%,", Plinth","")&amp;IF(D128=100%,", RCC Slab","")&amp;IF(D129=100%,", Brickwork","")&amp;IF(D130=100%,", Internal Plaster","")&amp;IF(D131=100%,", External Plaster","")&amp;IF(D132=100%,", Flooring","")&amp;IF(D133=100%,", Painting","")&amp;IF(D134=100%,", Building common Amenities","")</f>
        <v>Excavation</v>
      </c>
      <c r="J123" s="46" t="str">
        <f ca="1">(IF(C126=0,"Work not yet Started.",IF(D126=25%,"Piling work in process",IF(D126=50%,"Excavation work in process",IF(D126=100%,"","0")))))&amp;(IF(C127=0%,"",IF(C127=J128,", Footing work is process",IF(C127=J129,", Footing work Completed",IF(C127=J130,", 1st Basement Completed",IF(C127=J131,", 1st &amp; 2nd Basement Completed",IF(C127=J132,", 1st to 3rd Basement Completed",IF(C127=J133,", 1st to 4th Basement Completed",IF(C127=J134,", Plinth work is process",IF(C127=J135,"","0"))))))))))</f>
        <v>, Footing work Completed</v>
      </c>
      <c r="S123"/>
    </row>
    <row r="124" spans="1:19" x14ac:dyDescent="0.25">
      <c r="A124" s="169" t="s">
        <v>84</v>
      </c>
      <c r="B124" s="170"/>
      <c r="C124" s="171" t="str">
        <f ca="1">I122</f>
        <v xml:space="preserve">Excavation Completed, Footing work Completed </v>
      </c>
      <c r="D124" s="171"/>
      <c r="E124" s="171"/>
      <c r="F124" s="171"/>
      <c r="G124" s="171"/>
      <c r="H124" s="172"/>
      <c r="I124" s="45" t="str">
        <f ca="1">IF(I123&lt;&gt;""," Completed","")</f>
        <v xml:space="preserve"> Completed</v>
      </c>
      <c r="J124" s="46" t="str">
        <f ca="1">IF(J122&lt;&gt;"","Completed","")</f>
        <v/>
      </c>
      <c r="S124"/>
    </row>
    <row r="125" spans="1:19" ht="15.75" customHeight="1" x14ac:dyDescent="0.25">
      <c r="A125" s="156" t="s">
        <v>47</v>
      </c>
      <c r="B125" s="157"/>
      <c r="C125" s="93" t="s">
        <v>130</v>
      </c>
      <c r="D125" s="93" t="s">
        <v>77</v>
      </c>
      <c r="E125" s="157" t="s">
        <v>79</v>
      </c>
      <c r="F125" s="157"/>
      <c r="G125" s="157" t="s">
        <v>78</v>
      </c>
      <c r="H125" s="173"/>
      <c r="I125" s="13" t="s">
        <v>132</v>
      </c>
      <c r="J125" s="25">
        <f ca="1">H123*25%</f>
        <v>5.5</v>
      </c>
      <c r="S125"/>
    </row>
    <row r="126" spans="1:19" x14ac:dyDescent="0.25">
      <c r="A126" s="156" t="s">
        <v>119</v>
      </c>
      <c r="B126" s="157"/>
      <c r="C126" s="93">
        <f ca="1">J127</f>
        <v>22</v>
      </c>
      <c r="D126" s="94">
        <f ca="1">((100/H123)*C126)/100</f>
        <v>1.0000000000000002</v>
      </c>
      <c r="E126" s="158">
        <f ca="1">(((C127/H123*10)+(40/(D123+F123+H123)*C128)+(7.5/(H123)*C129)+(7.5/(H123)*C130)+(10/H123*C131)+(10/H123*C132)+(5/H123*C133)+(5/H123*C134)+(5/H123*C135))/100)</f>
        <v>0.05</v>
      </c>
      <c r="F126" s="159"/>
      <c r="G126" s="158">
        <f ca="1">((((C126/H123)*20)+((C127/H123)*25)+(30/(H123+F123+D123)*C128)+(5/H123*C129)+(5/H123*C130)+(5/H123*C131)+(5/H123*C132)+(0/H123*C133)+(0/H123*C134)+(5/H123*C135))/100)</f>
        <v>0.32500000000000001</v>
      </c>
      <c r="H126" s="174"/>
      <c r="I126" s="13" t="s">
        <v>94</v>
      </c>
      <c r="J126" s="26">
        <f ca="1">H123*50%</f>
        <v>11</v>
      </c>
    </row>
    <row r="127" spans="1:19" x14ac:dyDescent="0.25">
      <c r="A127" s="156" t="s">
        <v>48</v>
      </c>
      <c r="B127" s="157"/>
      <c r="C127" s="95">
        <f ca="1">J129</f>
        <v>11</v>
      </c>
      <c r="D127" s="94">
        <f ca="1">((100/H123)*C127)/100</f>
        <v>0.50000000000000011</v>
      </c>
      <c r="E127" s="160"/>
      <c r="F127" s="161"/>
      <c r="G127" s="160"/>
      <c r="H127" s="175"/>
      <c r="I127" s="13" t="s">
        <v>95</v>
      </c>
      <c r="J127" s="26">
        <f ca="1">H123</f>
        <v>22</v>
      </c>
      <c r="L127" s="86"/>
      <c r="S127"/>
    </row>
    <row r="128" spans="1:19" ht="15.75" customHeight="1" x14ac:dyDescent="0.25">
      <c r="A128" s="156" t="s">
        <v>120</v>
      </c>
      <c r="B128" s="157"/>
      <c r="C128" s="93">
        <v>0</v>
      </c>
      <c r="D128" s="94">
        <f ca="1">((100/(D123+F123+H123))*C128)/100</f>
        <v>0</v>
      </c>
      <c r="E128" s="160"/>
      <c r="F128" s="161"/>
      <c r="G128" s="160"/>
      <c r="H128" s="175"/>
      <c r="I128" s="13" t="s">
        <v>96</v>
      </c>
      <c r="J128" s="27">
        <f ca="1">(IF(B123&gt;1,(H123/(B123+2)),H123/4))</f>
        <v>5.5</v>
      </c>
      <c r="S128"/>
    </row>
    <row r="129" spans="1:19" ht="15.75" customHeight="1" x14ac:dyDescent="0.25">
      <c r="A129" s="156" t="s">
        <v>127</v>
      </c>
      <c r="B129" s="157" t="s">
        <v>121</v>
      </c>
      <c r="C129" s="93">
        <v>0</v>
      </c>
      <c r="D129" s="94">
        <f ca="1">((100/H123)*C129)/100</f>
        <v>0</v>
      </c>
      <c r="E129" s="160"/>
      <c r="F129" s="161"/>
      <c r="G129" s="160"/>
      <c r="H129" s="175"/>
      <c r="I129" s="13" t="s">
        <v>97</v>
      </c>
      <c r="J129" s="27">
        <f ca="1">(IF(B123&gt;1,(H123/(B123+2)+J128),H123/4+J128))</f>
        <v>11</v>
      </c>
    </row>
    <row r="130" spans="1:19" ht="15.75" customHeight="1" x14ac:dyDescent="0.25">
      <c r="A130" s="156" t="s">
        <v>128</v>
      </c>
      <c r="B130" s="157" t="s">
        <v>121</v>
      </c>
      <c r="C130" s="93">
        <v>0</v>
      </c>
      <c r="D130" s="94">
        <f ca="1">((100/H123)*C130)/100</f>
        <v>0</v>
      </c>
      <c r="E130" s="160"/>
      <c r="F130" s="161"/>
      <c r="G130" s="160"/>
      <c r="H130" s="175"/>
      <c r="I130" s="13" t="s">
        <v>137</v>
      </c>
      <c r="J130" s="27">
        <f>(IF(B123&gt;1,(H123/(B123+2)+J129),0))</f>
        <v>0</v>
      </c>
    </row>
    <row r="131" spans="1:19" ht="15" customHeight="1" x14ac:dyDescent="0.25">
      <c r="A131" s="156" t="s">
        <v>126</v>
      </c>
      <c r="B131" s="157" t="s">
        <v>123</v>
      </c>
      <c r="C131" s="93">
        <v>0</v>
      </c>
      <c r="D131" s="94">
        <f ca="1">((100/(H123))*C131)/100</f>
        <v>0</v>
      </c>
      <c r="E131" s="160"/>
      <c r="F131" s="161"/>
      <c r="G131" s="160"/>
      <c r="H131" s="175"/>
      <c r="I131" s="13" t="s">
        <v>134</v>
      </c>
      <c r="J131" s="27">
        <f>(IF(B123&gt;2,(H123/(B123+2)+J130),0))</f>
        <v>0</v>
      </c>
    </row>
    <row r="132" spans="1:19" ht="15.75" customHeight="1" x14ac:dyDescent="0.25">
      <c r="A132" s="156" t="s">
        <v>122</v>
      </c>
      <c r="B132" s="157" t="s">
        <v>122</v>
      </c>
      <c r="C132" s="93">
        <v>0</v>
      </c>
      <c r="D132" s="94">
        <f ca="1">((100/H123)*C132)/100</f>
        <v>0</v>
      </c>
      <c r="E132" s="160"/>
      <c r="F132" s="161"/>
      <c r="G132" s="160"/>
      <c r="H132" s="175"/>
      <c r="I132" s="13" t="s">
        <v>135</v>
      </c>
      <c r="J132" s="28">
        <f>(IF(B123&gt;3,(H123/(B123+2)+J131),0))</f>
        <v>0</v>
      </c>
    </row>
    <row r="133" spans="1:19" ht="15.75" customHeight="1" x14ac:dyDescent="0.25">
      <c r="A133" s="156" t="s">
        <v>129</v>
      </c>
      <c r="B133" s="157"/>
      <c r="C133" s="93">
        <v>0</v>
      </c>
      <c r="D133" s="94">
        <f ca="1">((100/H123)*C133)/100</f>
        <v>0</v>
      </c>
      <c r="E133" s="160"/>
      <c r="F133" s="161"/>
      <c r="G133" s="160"/>
      <c r="H133" s="175"/>
      <c r="I133" s="13" t="s">
        <v>136</v>
      </c>
      <c r="J133" s="27">
        <f>(IF(B123&gt;4,(H123/(B123+2)+J132),0))</f>
        <v>0</v>
      </c>
    </row>
    <row r="134" spans="1:19" ht="15.75" customHeight="1" x14ac:dyDescent="0.25">
      <c r="A134" s="156" t="s">
        <v>124</v>
      </c>
      <c r="B134" s="157" t="s">
        <v>124</v>
      </c>
      <c r="C134" s="93">
        <v>0</v>
      </c>
      <c r="D134" s="94">
        <f ca="1">((100/(H123))*C134)/100</f>
        <v>0</v>
      </c>
      <c r="E134" s="160"/>
      <c r="F134" s="161"/>
      <c r="G134" s="160"/>
      <c r="H134" s="175"/>
      <c r="I134" s="13" t="s">
        <v>138</v>
      </c>
      <c r="J134" s="27">
        <f ca="1">(IF(B123=1,(H123/(B123+3)+J129),IF(B123=0,(H123/4+J129),IF(B123&gt;1,0))))</f>
        <v>16.5</v>
      </c>
    </row>
    <row r="135" spans="1:19" ht="16.5" thickBot="1" x14ac:dyDescent="0.3">
      <c r="A135" s="149" t="s">
        <v>125</v>
      </c>
      <c r="B135" s="150"/>
      <c r="C135" s="96">
        <v>0</v>
      </c>
      <c r="D135" s="97">
        <f ca="1">((100/(H123))*C135)/100</f>
        <v>0</v>
      </c>
      <c r="E135" s="162"/>
      <c r="F135" s="163"/>
      <c r="G135" s="162"/>
      <c r="H135" s="176"/>
      <c r="I135" s="14" t="s">
        <v>98</v>
      </c>
      <c r="J135" s="29">
        <f ca="1">(IF(B123&gt;1.5,(H123/(B123+2)+J129+MAX(0,J130-J129)+MAX(0,J131-J130)+MAX(0,J132-J131)+MAX(0,J133-J132)+MAX(0,J134-J133)),IF(B123=1,(H123/(B123+3)+J134),IF(B123=0,H123/4+J134))))</f>
        <v>22</v>
      </c>
    </row>
    <row r="136" spans="1:19" ht="15.75" customHeight="1" x14ac:dyDescent="0.25">
      <c r="A136" s="164" t="s">
        <v>131</v>
      </c>
      <c r="B136" s="165"/>
      <c r="C136" s="166" t="str">
        <f>D70</f>
        <v>Wing E = Gr + 1st to 22nd Floor</v>
      </c>
      <c r="D136" s="167"/>
      <c r="E136" s="167"/>
      <c r="F136" s="167"/>
      <c r="G136" s="167"/>
      <c r="H136" s="168"/>
      <c r="I136" s="43" t="str">
        <f ca="1">IF(D149=100%,"All work Completed. Possession granted to the Building.",IF(D148=100%,"All work Completed, Waiting for OC",I137&amp;""&amp;I138&amp;""&amp;J137&amp;""&amp;J136&amp;" "&amp;J138))</f>
        <v xml:space="preserve">Excavation Completed, Footing work is process </v>
      </c>
      <c r="J136" s="44" t="str">
        <f ca="1">(IF(C142=(D137+F137+H137),"",IF(C142&gt;0,", RCC upto "&amp;C142&amp;" Slab","")))&amp;(IF(C143=H137,"",IF(C143&gt;0,", Brickwork upto "&amp;C143&amp;" Floor","")))&amp;(IF(C144=H137,"",IF(C144&gt;0,", Internal Plaster upto "&amp;C144&amp;" Floor","")))&amp;(IF(C145=H137,"",IF(C145&gt;0,", External Plaster upto "&amp;C145&amp;" Floor","")))&amp;(IF(C146=H137,"",IF(C146&gt;0,", Flooring upto "&amp;C146&amp;" Floor","")))&amp;(IF(C147=H137,"",IF(C147&gt;0,", Painting upto "&amp;C147&amp;" Floor","")))&amp;(IF(C148=H137,"",IF(C148&gt;0,", Finishing upto "&amp;C148&amp;" Floor","")))&amp;(IF(C149=H137,"",IF(C149&gt;0,", Possession upto "&amp;C149&amp;" Floor","")))</f>
        <v/>
      </c>
      <c r="S136"/>
    </row>
    <row r="137" spans="1:19" x14ac:dyDescent="0.25">
      <c r="A137" s="15" t="s">
        <v>133</v>
      </c>
      <c r="B137" s="42">
        <f>IF(AND(ISNUMBER(SEARCH("1B",C136))),1,IF(AND(ISNUMBER(SEARCH("2B",C136))),2,IF(AND(ISNUMBER(SEARCH("3B",C136))),3,IF(AND(ISNUMBER(SEARCH("4B",C136))),4,IF(ISNUMBER(SEARCH("5B",C136)),5,0)))))</f>
        <v>0</v>
      </c>
      <c r="C137" s="42" t="s">
        <v>67</v>
      </c>
      <c r="D137" s="42">
        <v>1</v>
      </c>
      <c r="E137" s="42" t="s">
        <v>66</v>
      </c>
      <c r="F137" s="42">
        <v>0</v>
      </c>
      <c r="G137" s="42" t="s">
        <v>74</v>
      </c>
      <c r="H137" s="16">
        <f ca="1">--TRIM(RIGHT(SUBSTITUTE(LEFT(C136,_xlfn.AGGREGATE(16,6,FIND({0,1,2,3,4,5,6,7,8,9},C136,ROW(INDIRECT("1:"&amp;LEN(C136)))),1))," ",REPT(" ",LEN(C136))),LEN(C136)))</f>
        <v>22</v>
      </c>
      <c r="I137" s="45" t="str">
        <f ca="1">IF(D140=100%,"Excavation","")&amp;IF(D141=100%,", Plinth","")&amp;IF(D142=100%,", RCC Slab","")&amp;IF(D143=100%,", Brickwork","")&amp;IF(D144=100%,", Internal Plaster","")&amp;IF(D145=100%,", External Plaster","")&amp;IF(D146=100%,", Flooring","")&amp;IF(D147=100%,", Painting","")&amp;IF(D148=100%,", Building common Amenities","")</f>
        <v>Excavation</v>
      </c>
      <c r="J137" s="46" t="str">
        <f ca="1">(IF(C140=0,"Work not yet Started.",IF(D140=25%,"Piling work in process",IF(D140=50%,"Excavation work in process",IF(D140=100%,"","0")))))&amp;(IF(C141=0%,"",IF(C141=J142,", Footing work is process",IF(C141=J143,", Footing work Completed",IF(C141=J144,", 1st Basement Completed",IF(C141=J145,", 1st &amp; 2nd Basement Completed",IF(C141=J146,", 1st to 3rd Basement Completed",IF(C141=J147,", 1st to 4th Basement Completed",IF(C141=J148,", Plinth work is process",IF(C141=J149,"","0"))))))))))</f>
        <v>, Footing work is process</v>
      </c>
      <c r="S137"/>
    </row>
    <row r="138" spans="1:19" x14ac:dyDescent="0.25">
      <c r="A138" s="169" t="s">
        <v>84</v>
      </c>
      <c r="B138" s="170"/>
      <c r="C138" s="171" t="str">
        <f ca="1">I136</f>
        <v xml:space="preserve">Excavation Completed, Footing work is process </v>
      </c>
      <c r="D138" s="171"/>
      <c r="E138" s="171"/>
      <c r="F138" s="171"/>
      <c r="G138" s="171"/>
      <c r="H138" s="172"/>
      <c r="I138" s="45" t="str">
        <f ca="1">IF(I137&lt;&gt;""," Completed","")</f>
        <v xml:space="preserve"> Completed</v>
      </c>
      <c r="J138" s="46" t="str">
        <f ca="1">IF(J136&lt;&gt;"","Completed","")</f>
        <v/>
      </c>
      <c r="S138"/>
    </row>
    <row r="139" spans="1:19" ht="15.75" customHeight="1" x14ac:dyDescent="0.25">
      <c r="A139" s="156" t="s">
        <v>47</v>
      </c>
      <c r="B139" s="157"/>
      <c r="C139" s="93" t="s">
        <v>130</v>
      </c>
      <c r="D139" s="93" t="s">
        <v>77</v>
      </c>
      <c r="E139" s="157" t="s">
        <v>79</v>
      </c>
      <c r="F139" s="157"/>
      <c r="G139" s="157" t="s">
        <v>78</v>
      </c>
      <c r="H139" s="173"/>
      <c r="I139" s="13" t="s">
        <v>132</v>
      </c>
      <c r="J139" s="25">
        <f ca="1">H137*25%</f>
        <v>5.5</v>
      </c>
      <c r="S139"/>
    </row>
    <row r="140" spans="1:19" x14ac:dyDescent="0.25">
      <c r="A140" s="156" t="s">
        <v>119</v>
      </c>
      <c r="B140" s="157"/>
      <c r="C140" s="93">
        <f ca="1">J141</f>
        <v>22</v>
      </c>
      <c r="D140" s="94">
        <f ca="1">((100/H137)*C140)/100</f>
        <v>1.0000000000000002</v>
      </c>
      <c r="E140" s="158">
        <f ca="1">(((C141/H137*10)+(40/(D137+F137+H137)*C142)+(7.5/(H137)*C143)+(7.5/(H137)*C144)+(10/H137*C145)+(10/H137*C146)+(5/H137*C147)+(5/H137*C148)+(5/H137*C149))/100)</f>
        <v>2.5000000000000001E-2</v>
      </c>
      <c r="F140" s="159"/>
      <c r="G140" s="158">
        <f ca="1">((((C140/H137)*20)+((C141/H137)*25)+(30/(H137+F137+D137)*C142)+(5/H137*C143)+(5/H137*C144)+(5/H137*C145)+(5/H137*C146)+(0/H137*C147)+(0/H137*C148)+(5/H137*C149))/100)</f>
        <v>0.26250000000000001</v>
      </c>
      <c r="H140" s="174"/>
      <c r="I140" s="13" t="s">
        <v>94</v>
      </c>
      <c r="J140" s="26">
        <f ca="1">H137*50%</f>
        <v>11</v>
      </c>
    </row>
    <row r="141" spans="1:19" x14ac:dyDescent="0.25">
      <c r="A141" s="156" t="s">
        <v>48</v>
      </c>
      <c r="B141" s="157"/>
      <c r="C141" s="95">
        <f ca="1">J142</f>
        <v>5.5</v>
      </c>
      <c r="D141" s="94">
        <f ca="1">((100/H137)*C141)/100</f>
        <v>0.25000000000000006</v>
      </c>
      <c r="E141" s="160"/>
      <c r="F141" s="161"/>
      <c r="G141" s="160"/>
      <c r="H141" s="175"/>
      <c r="I141" s="13" t="s">
        <v>95</v>
      </c>
      <c r="J141" s="26">
        <f ca="1">H137</f>
        <v>22</v>
      </c>
      <c r="S141"/>
    </row>
    <row r="142" spans="1:19" ht="15.75" customHeight="1" x14ac:dyDescent="0.25">
      <c r="A142" s="156" t="s">
        <v>120</v>
      </c>
      <c r="B142" s="157"/>
      <c r="C142" s="93">
        <v>0</v>
      </c>
      <c r="D142" s="94">
        <f ca="1">((100/(D137+F137+H137))*C142)/100</f>
        <v>0</v>
      </c>
      <c r="E142" s="160"/>
      <c r="F142" s="161"/>
      <c r="G142" s="160"/>
      <c r="H142" s="175"/>
      <c r="I142" s="13" t="s">
        <v>96</v>
      </c>
      <c r="J142" s="27">
        <f ca="1">(IF(B137&gt;1,(H137/(B137+2)),H137/4))</f>
        <v>5.5</v>
      </c>
      <c r="S142"/>
    </row>
    <row r="143" spans="1:19" ht="15.75" customHeight="1" x14ac:dyDescent="0.25">
      <c r="A143" s="156" t="s">
        <v>127</v>
      </c>
      <c r="B143" s="157" t="s">
        <v>121</v>
      </c>
      <c r="C143" s="93">
        <v>0</v>
      </c>
      <c r="D143" s="94">
        <f ca="1">((100/H137)*C143)/100</f>
        <v>0</v>
      </c>
      <c r="E143" s="160"/>
      <c r="F143" s="161"/>
      <c r="G143" s="160"/>
      <c r="H143" s="175"/>
      <c r="I143" s="13" t="s">
        <v>97</v>
      </c>
      <c r="J143" s="27">
        <f ca="1">(IF(B137&gt;1,(H137/(B137+2)+J142),H137/4+J142))</f>
        <v>11</v>
      </c>
    </row>
    <row r="144" spans="1:19" ht="15.75" customHeight="1" x14ac:dyDescent="0.25">
      <c r="A144" s="156" t="s">
        <v>128</v>
      </c>
      <c r="B144" s="157" t="s">
        <v>121</v>
      </c>
      <c r="C144" s="93">
        <v>0</v>
      </c>
      <c r="D144" s="94">
        <f ca="1">((100/H137)*C144)/100</f>
        <v>0</v>
      </c>
      <c r="E144" s="160"/>
      <c r="F144" s="161"/>
      <c r="G144" s="160"/>
      <c r="H144" s="175"/>
      <c r="I144" s="13" t="s">
        <v>137</v>
      </c>
      <c r="J144" s="27">
        <f>(IF(B137&gt;1,(H137/(B137+2)+J143),0))</f>
        <v>0</v>
      </c>
    </row>
    <row r="145" spans="1:19" ht="15" customHeight="1" x14ac:dyDescent="0.25">
      <c r="A145" s="156" t="s">
        <v>126</v>
      </c>
      <c r="B145" s="157" t="s">
        <v>123</v>
      </c>
      <c r="C145" s="93">
        <v>0</v>
      </c>
      <c r="D145" s="94">
        <f ca="1">((100/(H137))*C145)/100</f>
        <v>0</v>
      </c>
      <c r="E145" s="160"/>
      <c r="F145" s="161"/>
      <c r="G145" s="160"/>
      <c r="H145" s="175"/>
      <c r="I145" s="13" t="s">
        <v>134</v>
      </c>
      <c r="J145" s="27">
        <f>(IF(B137&gt;2,(H137/(B137+2)+J144),0))</f>
        <v>0</v>
      </c>
    </row>
    <row r="146" spans="1:19" ht="15.75" customHeight="1" x14ac:dyDescent="0.25">
      <c r="A146" s="156" t="s">
        <v>122</v>
      </c>
      <c r="B146" s="157" t="s">
        <v>122</v>
      </c>
      <c r="C146" s="93">
        <v>0</v>
      </c>
      <c r="D146" s="94">
        <f ca="1">((100/H137)*C146)/100</f>
        <v>0</v>
      </c>
      <c r="E146" s="160"/>
      <c r="F146" s="161"/>
      <c r="G146" s="160"/>
      <c r="H146" s="175"/>
      <c r="I146" s="13" t="s">
        <v>135</v>
      </c>
      <c r="J146" s="28">
        <f>(IF(B137&gt;3,(H137/(B137+2)+J145),0))</f>
        <v>0</v>
      </c>
    </row>
    <row r="147" spans="1:19" ht="15.75" customHeight="1" x14ac:dyDescent="0.25">
      <c r="A147" s="156" t="s">
        <v>129</v>
      </c>
      <c r="B147" s="157"/>
      <c r="C147" s="93">
        <v>0</v>
      </c>
      <c r="D147" s="94">
        <f ca="1">((100/H137)*C147)/100</f>
        <v>0</v>
      </c>
      <c r="E147" s="160"/>
      <c r="F147" s="161"/>
      <c r="G147" s="160"/>
      <c r="H147" s="175"/>
      <c r="I147" s="13" t="s">
        <v>136</v>
      </c>
      <c r="J147" s="27">
        <f>(IF(B137&gt;4,(H137/(B137+2)+J146),0))</f>
        <v>0</v>
      </c>
    </row>
    <row r="148" spans="1:19" ht="15.75" customHeight="1" x14ac:dyDescent="0.25">
      <c r="A148" s="156" t="s">
        <v>124</v>
      </c>
      <c r="B148" s="157" t="s">
        <v>124</v>
      </c>
      <c r="C148" s="93">
        <v>0</v>
      </c>
      <c r="D148" s="94">
        <f ca="1">((100/(H137))*C148)/100</f>
        <v>0</v>
      </c>
      <c r="E148" s="160"/>
      <c r="F148" s="161"/>
      <c r="G148" s="160"/>
      <c r="H148" s="175"/>
      <c r="I148" s="13" t="s">
        <v>138</v>
      </c>
      <c r="J148" s="27">
        <f ca="1">(IF(B137=1,(H137/(B137+3)+J143),IF(B137=0,(H137/4+J143),IF(B137&gt;1,0))))</f>
        <v>16.5</v>
      </c>
    </row>
    <row r="149" spans="1:19" ht="16.5" thickBot="1" x14ac:dyDescent="0.3">
      <c r="A149" s="149" t="s">
        <v>125</v>
      </c>
      <c r="B149" s="150"/>
      <c r="C149" s="96">
        <v>0</v>
      </c>
      <c r="D149" s="97">
        <f ca="1">((100/(H137))*C149)/100</f>
        <v>0</v>
      </c>
      <c r="E149" s="162"/>
      <c r="F149" s="163"/>
      <c r="G149" s="162"/>
      <c r="H149" s="176"/>
      <c r="I149" s="14" t="s">
        <v>98</v>
      </c>
      <c r="J149" s="29">
        <f ca="1">(IF(B137&gt;1.5,(H137/(B137+2)+J143+MAX(0,J144-J143)+MAX(0,J145-J144)+MAX(0,J146-J145)+MAX(0,J147-J146)+MAX(0,J148-J147)),IF(B137=1,(H137/(B137+3)+J148),IF(B137=0,H137/4+J148))))</f>
        <v>22</v>
      </c>
    </row>
    <row r="150" spans="1:19" ht="15.75" customHeight="1" x14ac:dyDescent="0.25">
      <c r="A150" s="164" t="s">
        <v>131</v>
      </c>
      <c r="B150" s="165"/>
      <c r="C150" s="166" t="str">
        <f>D71</f>
        <v>Wing F = Gr + 1st to 22nd Floor</v>
      </c>
      <c r="D150" s="167"/>
      <c r="E150" s="167"/>
      <c r="F150" s="167"/>
      <c r="G150" s="167"/>
      <c r="H150" s="168"/>
      <c r="I150" s="43" t="str">
        <f ca="1">IF(D163=100%,"All work Completed. Possession granted to the Building.",IF(D162=100%,"All work Completed, Waiting for OC",I151&amp;""&amp;I152&amp;""&amp;J151&amp;""&amp;J150&amp;" "&amp;J152))</f>
        <v xml:space="preserve">Excavation work in process </v>
      </c>
      <c r="J150" s="44" t="str">
        <f ca="1">(IF(C156=(D151+F151+H151),"",IF(C156&gt;0,", RCC upto "&amp;C156&amp;" Slab","")))&amp;(IF(C157=H151,"",IF(C157&gt;0,", Brickwork upto "&amp;C157&amp;" Floor","")))&amp;(IF(C158=H151,"",IF(C158&gt;0,", Internal Plaster upto "&amp;C158&amp;" Floor","")))&amp;(IF(C159=H151,"",IF(C159&gt;0,", External Plaster upto "&amp;C159&amp;" Floor","")))&amp;(IF(C160=H151,"",IF(C160&gt;0,", Flooring upto "&amp;C160&amp;" Floor","")))&amp;(IF(C161=H151,"",IF(C161&gt;0,", Painting upto "&amp;C161&amp;" Floor","")))&amp;(IF(C162=H151,"",IF(C162&gt;0,", Finishing upto "&amp;C162&amp;" Floor","")))&amp;(IF(C163=H151,"",IF(C163&gt;0,", Possession upto "&amp;C163&amp;" Floor","")))</f>
        <v/>
      </c>
      <c r="S150"/>
    </row>
    <row r="151" spans="1:19" x14ac:dyDescent="0.25">
      <c r="A151" s="15" t="s">
        <v>133</v>
      </c>
      <c r="B151" s="42">
        <f>IF(AND(ISNUMBER(SEARCH("1B",C150))),1,IF(AND(ISNUMBER(SEARCH("2B",C150))),2,IF(AND(ISNUMBER(SEARCH("3B",C150))),3,IF(AND(ISNUMBER(SEARCH("4B",C150))),4,IF(ISNUMBER(SEARCH("5B",C150)),5,0)))))</f>
        <v>0</v>
      </c>
      <c r="C151" s="42" t="s">
        <v>67</v>
      </c>
      <c r="D151" s="42">
        <v>1</v>
      </c>
      <c r="E151" s="42" t="s">
        <v>66</v>
      </c>
      <c r="F151" s="42">
        <v>0</v>
      </c>
      <c r="G151" s="42" t="s">
        <v>74</v>
      </c>
      <c r="H151" s="16">
        <f ca="1">--TRIM(RIGHT(SUBSTITUTE(LEFT(C150,_xlfn.AGGREGATE(16,6,FIND({0,1,2,3,4,5,6,7,8,9},C150,ROW(INDIRECT("1:"&amp;LEN(C150)))),1))," ",REPT(" ",LEN(C150))),LEN(C150)))</f>
        <v>22</v>
      </c>
      <c r="I151" s="45" t="str">
        <f ca="1">IF(D154=100%,"Excavation","")&amp;IF(D155=100%,", Plinth","")&amp;IF(D156=100%,", RCC Slab","")&amp;IF(D157=100%,", Brickwork","")&amp;IF(D158=100%,", Internal Plaster","")&amp;IF(D159=100%,", External Plaster","")&amp;IF(D160=100%,", Flooring","")&amp;IF(D161=100%,", Painting","")&amp;IF(D162=100%,", Building common Amenities","")</f>
        <v/>
      </c>
      <c r="J151" s="46" t="str">
        <f ca="1">(IF(C154=0,"Work not yet Started.",IF(D154=25%,"Piling work in process",IF(D154=50%,"Excavation work in process",IF(D154=100%,"","0")))))&amp;(IF(C155=0%,"",IF(C155=J156,", Footing work is process",IF(C155=J157,", Footing work Completed",IF(C155=J158,", 1st Basement Completed",IF(C155=J159,", 1st &amp; 2nd Basement Completed",IF(C155=J160,", 1st to 3rd Basement Completed",IF(C155=J161,", 1st to 4th Basement Completed",IF(C155=J162,", Plinth work is process",IF(C155=J163,"","0"))))))))))</f>
        <v>Excavation work in process</v>
      </c>
      <c r="S151"/>
    </row>
    <row r="152" spans="1:19" x14ac:dyDescent="0.25">
      <c r="A152" s="169" t="s">
        <v>84</v>
      </c>
      <c r="B152" s="170"/>
      <c r="C152" s="171" t="str">
        <f ca="1">I150</f>
        <v xml:space="preserve">Excavation work in process </v>
      </c>
      <c r="D152" s="171"/>
      <c r="E152" s="171"/>
      <c r="F152" s="171"/>
      <c r="G152" s="171"/>
      <c r="H152" s="172"/>
      <c r="I152" s="45" t="str">
        <f ca="1">IF(I151&lt;&gt;""," Completed","")</f>
        <v/>
      </c>
      <c r="J152" s="46" t="str">
        <f ca="1">IF(J150&lt;&gt;"","Completed","")</f>
        <v/>
      </c>
      <c r="S152"/>
    </row>
    <row r="153" spans="1:19" ht="15.75" customHeight="1" x14ac:dyDescent="0.25">
      <c r="A153" s="156" t="s">
        <v>47</v>
      </c>
      <c r="B153" s="157"/>
      <c r="C153" s="93" t="s">
        <v>130</v>
      </c>
      <c r="D153" s="93" t="s">
        <v>77</v>
      </c>
      <c r="E153" s="157" t="s">
        <v>79</v>
      </c>
      <c r="F153" s="157"/>
      <c r="G153" s="157" t="s">
        <v>78</v>
      </c>
      <c r="H153" s="173"/>
      <c r="I153" s="13" t="s">
        <v>132</v>
      </c>
      <c r="J153" s="25">
        <f ca="1">H151*25%</f>
        <v>5.5</v>
      </c>
      <c r="S153"/>
    </row>
    <row r="154" spans="1:19" x14ac:dyDescent="0.25">
      <c r="A154" s="156" t="s">
        <v>119</v>
      </c>
      <c r="B154" s="157"/>
      <c r="C154" s="93">
        <f ca="1">J154</f>
        <v>11</v>
      </c>
      <c r="D154" s="94">
        <f ca="1">((100/H151)*C154)/100</f>
        <v>0.50000000000000011</v>
      </c>
      <c r="E154" s="158">
        <f ca="1">(((C155/H151*10)+(40/(D151+F151+H151)*C156)+(7.5/(H151)*C157)+(7.5/(H151)*C158)+(10/H151*C159)+(10/H151*C160)+(5/H151*C161)+(5/H151*C162)+(5/H151*C163))/100)</f>
        <v>0</v>
      </c>
      <c r="F154" s="159"/>
      <c r="G154" s="158">
        <f ca="1">((((C154/H151)*20)+((C155/H151)*25)+(30/(H151+F151+D151)*C156)+(5/H151*C157)+(5/H151*C158)+(5/H151*C159)+(5/H151*C160)+(0/H151*C161)+(0/H151*C162)+(5/H151*C163))/100)</f>
        <v>0.1</v>
      </c>
      <c r="H154" s="174"/>
      <c r="I154" s="13" t="s">
        <v>94</v>
      </c>
      <c r="J154" s="26">
        <f ca="1">H151*50%</f>
        <v>11</v>
      </c>
    </row>
    <row r="155" spans="1:19" x14ac:dyDescent="0.25">
      <c r="A155" s="156" t="s">
        <v>48</v>
      </c>
      <c r="B155" s="157"/>
      <c r="C155" s="93">
        <v>0</v>
      </c>
      <c r="D155" s="94">
        <f ca="1">((100/H151)*C155)/100</f>
        <v>0</v>
      </c>
      <c r="E155" s="160"/>
      <c r="F155" s="161"/>
      <c r="G155" s="160"/>
      <c r="H155" s="175"/>
      <c r="I155" s="13" t="s">
        <v>95</v>
      </c>
      <c r="J155" s="26">
        <f ca="1">H151</f>
        <v>22</v>
      </c>
      <c r="S155"/>
    </row>
    <row r="156" spans="1:19" ht="15.75" customHeight="1" x14ac:dyDescent="0.25">
      <c r="A156" s="156" t="s">
        <v>120</v>
      </c>
      <c r="B156" s="157"/>
      <c r="C156" s="93">
        <v>0</v>
      </c>
      <c r="D156" s="94">
        <f ca="1">((100/(D151+F151+H151))*C156)/100</f>
        <v>0</v>
      </c>
      <c r="E156" s="160"/>
      <c r="F156" s="161"/>
      <c r="G156" s="160"/>
      <c r="H156" s="175"/>
      <c r="I156" s="13" t="s">
        <v>96</v>
      </c>
      <c r="J156" s="27">
        <f ca="1">(IF(B151&gt;1,(H151/(B151+2)),H151/4))</f>
        <v>5.5</v>
      </c>
      <c r="S156"/>
    </row>
    <row r="157" spans="1:19" ht="15.75" customHeight="1" x14ac:dyDescent="0.25">
      <c r="A157" s="156" t="s">
        <v>127</v>
      </c>
      <c r="B157" s="157" t="s">
        <v>121</v>
      </c>
      <c r="C157" s="93">
        <v>0</v>
      </c>
      <c r="D157" s="94">
        <f ca="1">((100/H151)*C157)/100</f>
        <v>0</v>
      </c>
      <c r="E157" s="160"/>
      <c r="F157" s="161"/>
      <c r="G157" s="160"/>
      <c r="H157" s="175"/>
      <c r="I157" s="13" t="s">
        <v>97</v>
      </c>
      <c r="J157" s="27">
        <f ca="1">(IF(B151&gt;1,(H151/(B151+2)+J156),H151/4+J156))</f>
        <v>11</v>
      </c>
    </row>
    <row r="158" spans="1:19" ht="15.75" customHeight="1" x14ac:dyDescent="0.25">
      <c r="A158" s="156" t="s">
        <v>128</v>
      </c>
      <c r="B158" s="157" t="s">
        <v>121</v>
      </c>
      <c r="C158" s="93">
        <v>0</v>
      </c>
      <c r="D158" s="94">
        <f ca="1">((100/H151)*C158)/100</f>
        <v>0</v>
      </c>
      <c r="E158" s="160"/>
      <c r="F158" s="161"/>
      <c r="G158" s="160"/>
      <c r="H158" s="175"/>
      <c r="I158" s="13" t="s">
        <v>137</v>
      </c>
      <c r="J158" s="27">
        <f>(IF(B151&gt;1,(H151/(B151+2)+J157),0))</f>
        <v>0</v>
      </c>
    </row>
    <row r="159" spans="1:19" ht="15" customHeight="1" x14ac:dyDescent="0.25">
      <c r="A159" s="156" t="s">
        <v>126</v>
      </c>
      <c r="B159" s="157" t="s">
        <v>123</v>
      </c>
      <c r="C159" s="93">
        <v>0</v>
      </c>
      <c r="D159" s="94">
        <f ca="1">((100/(H151))*C159)/100</f>
        <v>0</v>
      </c>
      <c r="E159" s="160"/>
      <c r="F159" s="161"/>
      <c r="G159" s="160"/>
      <c r="H159" s="175"/>
      <c r="I159" s="13" t="s">
        <v>134</v>
      </c>
      <c r="J159" s="27">
        <f>(IF(B151&gt;2,(H151/(B151+2)+J158),0))</f>
        <v>0</v>
      </c>
    </row>
    <row r="160" spans="1:19" ht="15.75" customHeight="1" x14ac:dyDescent="0.25">
      <c r="A160" s="156" t="s">
        <v>122</v>
      </c>
      <c r="B160" s="157" t="s">
        <v>122</v>
      </c>
      <c r="C160" s="93">
        <v>0</v>
      </c>
      <c r="D160" s="94">
        <f ca="1">((100/H151)*C160)/100</f>
        <v>0</v>
      </c>
      <c r="E160" s="160"/>
      <c r="F160" s="161"/>
      <c r="G160" s="160"/>
      <c r="H160" s="175"/>
      <c r="I160" s="13" t="s">
        <v>135</v>
      </c>
      <c r="J160" s="28">
        <f>(IF(B151&gt;3,(H151/(B151+2)+J159),0))</f>
        <v>0</v>
      </c>
    </row>
    <row r="161" spans="1:19" ht="15.75" customHeight="1" x14ac:dyDescent="0.25">
      <c r="A161" s="156" t="s">
        <v>129</v>
      </c>
      <c r="B161" s="157"/>
      <c r="C161" s="93">
        <v>0</v>
      </c>
      <c r="D161" s="94">
        <f ca="1">((100/H151)*C161)/100</f>
        <v>0</v>
      </c>
      <c r="E161" s="160"/>
      <c r="F161" s="161"/>
      <c r="G161" s="160"/>
      <c r="H161" s="175"/>
      <c r="I161" s="13" t="s">
        <v>136</v>
      </c>
      <c r="J161" s="27">
        <f>(IF(B151&gt;4,(H151/(B151+2)+J160),0))</f>
        <v>0</v>
      </c>
    </row>
    <row r="162" spans="1:19" ht="15.75" customHeight="1" x14ac:dyDescent="0.25">
      <c r="A162" s="156" t="s">
        <v>124</v>
      </c>
      <c r="B162" s="157" t="s">
        <v>124</v>
      </c>
      <c r="C162" s="93">
        <v>0</v>
      </c>
      <c r="D162" s="94">
        <f ca="1">((100/(H151))*C162)/100</f>
        <v>0</v>
      </c>
      <c r="E162" s="160"/>
      <c r="F162" s="161"/>
      <c r="G162" s="160"/>
      <c r="H162" s="175"/>
      <c r="I162" s="13" t="s">
        <v>138</v>
      </c>
      <c r="J162" s="27">
        <f ca="1">(IF(B151=1,(H151/(B151+3)+J157),IF(B151=0,(H151/4+J157),IF(B151&gt;1,0))))</f>
        <v>16.5</v>
      </c>
    </row>
    <row r="163" spans="1:19" ht="16.5" thickBot="1" x14ac:dyDescent="0.3">
      <c r="A163" s="149" t="s">
        <v>125</v>
      </c>
      <c r="B163" s="150"/>
      <c r="C163" s="96">
        <v>0</v>
      </c>
      <c r="D163" s="97">
        <f ca="1">((100/(H151))*C163)/100</f>
        <v>0</v>
      </c>
      <c r="E163" s="162"/>
      <c r="F163" s="163"/>
      <c r="G163" s="162"/>
      <c r="H163" s="176"/>
      <c r="I163" s="14" t="s">
        <v>98</v>
      </c>
      <c r="J163" s="29">
        <f ca="1">(IF(B151&gt;1.5,(H151/(B151+2)+J157+MAX(0,J158-J157)+MAX(0,J159-J158)+MAX(0,J160-J159)+MAX(0,J161-J160)+MAX(0,J162-J161)),IF(B151=1,(H151/(B151+3)+J162),IF(B151=0,H151/4+J162))))</f>
        <v>22</v>
      </c>
    </row>
    <row r="164" spans="1:19" ht="15.75" customHeight="1" x14ac:dyDescent="0.25">
      <c r="A164" s="164" t="s">
        <v>131</v>
      </c>
      <c r="B164" s="165"/>
      <c r="C164" s="166" t="str">
        <f>D72</f>
        <v>Wing G = Gr + 1st to 22nd Floor</v>
      </c>
      <c r="D164" s="167"/>
      <c r="E164" s="167"/>
      <c r="F164" s="167"/>
      <c r="G164" s="167"/>
      <c r="H164" s="168"/>
      <c r="I164" s="43" t="str">
        <f ca="1">IF(D177=100%,"All work Completed. Possession granted to the Building.",IF(D176=100%,"All work Completed, Waiting for OC",I165&amp;""&amp;I166&amp;""&amp;J165&amp;""&amp;J164&amp;" "&amp;J166))</f>
        <v xml:space="preserve">Excavation Completed, Plinth work is process </v>
      </c>
      <c r="J164" s="44" t="str">
        <f ca="1">(IF(C170=(D165+F165+H165),"",IF(C170&gt;0,", RCC upto "&amp;C170&amp;" Slab","")))&amp;(IF(C171=H165,"",IF(C171&gt;0,", Brickwork upto "&amp;C171&amp;" Floor","")))&amp;(IF(C172=H165,"",IF(C172&gt;0,", Internal Plaster upto "&amp;C172&amp;" Floor","")))&amp;(IF(C173=H165,"",IF(C173&gt;0,", External Plaster upto "&amp;C173&amp;" Floor","")))&amp;(IF(C174=H165,"",IF(C174&gt;0,", Flooring upto "&amp;C174&amp;" Floor","")))&amp;(IF(C175=H165,"",IF(C175&gt;0,", Painting upto "&amp;C175&amp;" Floor","")))&amp;(IF(C176=H165,"",IF(C176&gt;0,", Finishing upto "&amp;C176&amp;" Floor","")))&amp;(IF(C177=H165,"",IF(C177&gt;0,", Possession upto "&amp;C177&amp;" Floor","")))</f>
        <v/>
      </c>
      <c r="S164"/>
    </row>
    <row r="165" spans="1:19" x14ac:dyDescent="0.25">
      <c r="A165" s="15" t="s">
        <v>133</v>
      </c>
      <c r="B165" s="42">
        <f>IF(AND(ISNUMBER(SEARCH("1B",C164))),1,IF(AND(ISNUMBER(SEARCH("2B",C164))),2,IF(AND(ISNUMBER(SEARCH("3B",C164))),3,IF(AND(ISNUMBER(SEARCH("4B",C164))),4,IF(ISNUMBER(SEARCH("5B",C164)),5,0)))))</f>
        <v>0</v>
      </c>
      <c r="C165" s="42" t="s">
        <v>67</v>
      </c>
      <c r="D165" s="42">
        <v>1</v>
      </c>
      <c r="E165" s="42" t="s">
        <v>66</v>
      </c>
      <c r="F165" s="42">
        <v>0</v>
      </c>
      <c r="G165" s="42" t="s">
        <v>74</v>
      </c>
      <c r="H165" s="16">
        <f ca="1">--TRIM(RIGHT(SUBSTITUTE(LEFT(C164,_xlfn.AGGREGATE(16,6,FIND({0,1,2,3,4,5,6,7,8,9},C164,ROW(INDIRECT("1:"&amp;LEN(C164)))),1))," ",REPT(" ",LEN(C164))),LEN(C164)))</f>
        <v>22</v>
      </c>
      <c r="I165" s="45" t="str">
        <f ca="1">IF(D168=100%,"Excavation","")&amp;IF(D169=100%,", Plinth","")&amp;IF(D170=100%,", RCC Slab","")&amp;IF(D171=100%,", Brickwork","")&amp;IF(D172=100%,", Internal Plaster","")&amp;IF(D173=100%,", External Plaster","")&amp;IF(D174=100%,", Flooring","")&amp;IF(D175=100%,", Painting","")&amp;IF(D176=100%,", Building common Amenities","")</f>
        <v>Excavation</v>
      </c>
      <c r="J165" s="46" t="str">
        <f ca="1">(IF(C168=0,"Work not yet Started.",IF(D168=25%,"Piling work in process",IF(D168=50%,"Excavation work in process",IF(D168=100%,"","0")))))&amp;(IF(C169=0%,"",IF(C169=J170,", Footing work is process",IF(C169=J171,", Footing work Completed",IF(C169=J172,", 1st Basement Completed",IF(C169=J173,", 1st &amp; 2nd Basement Completed",IF(C169=J174,", 1st to 3rd Basement Completed",IF(C169=J175,", 1st to 4th Basement Completed",IF(C169=J176,", Plinth work is process",IF(C169=J177,"","0"))))))))))</f>
        <v>, Plinth work is process</v>
      </c>
      <c r="S165"/>
    </row>
    <row r="166" spans="1:19" x14ac:dyDescent="0.25">
      <c r="A166" s="169" t="s">
        <v>84</v>
      </c>
      <c r="B166" s="170"/>
      <c r="C166" s="171" t="str">
        <f ca="1">I164</f>
        <v xml:space="preserve">Excavation Completed, Plinth work is process </v>
      </c>
      <c r="D166" s="171"/>
      <c r="E166" s="171"/>
      <c r="F166" s="171"/>
      <c r="G166" s="171"/>
      <c r="H166" s="172"/>
      <c r="I166" s="45" t="str">
        <f ca="1">IF(I165&lt;&gt;""," Completed","")</f>
        <v xml:space="preserve"> Completed</v>
      </c>
      <c r="J166" s="46" t="str">
        <f ca="1">IF(J164&lt;&gt;"","Completed","")</f>
        <v/>
      </c>
      <c r="S166"/>
    </row>
    <row r="167" spans="1:19" ht="15.75" customHeight="1" x14ac:dyDescent="0.25">
      <c r="A167" s="156" t="s">
        <v>47</v>
      </c>
      <c r="B167" s="157"/>
      <c r="C167" s="93" t="s">
        <v>130</v>
      </c>
      <c r="D167" s="93" t="s">
        <v>77</v>
      </c>
      <c r="E167" s="157" t="s">
        <v>79</v>
      </c>
      <c r="F167" s="157"/>
      <c r="G167" s="157" t="s">
        <v>78</v>
      </c>
      <c r="H167" s="173"/>
      <c r="I167" s="13" t="s">
        <v>132</v>
      </c>
      <c r="J167" s="25">
        <f ca="1">H165*25%</f>
        <v>5.5</v>
      </c>
      <c r="S167"/>
    </row>
    <row r="168" spans="1:19" x14ac:dyDescent="0.25">
      <c r="A168" s="156" t="s">
        <v>119</v>
      </c>
      <c r="B168" s="157"/>
      <c r="C168" s="93">
        <f ca="1">J169</f>
        <v>22</v>
      </c>
      <c r="D168" s="94">
        <f ca="1">((100/H165)*C168)/100</f>
        <v>1.0000000000000002</v>
      </c>
      <c r="E168" s="158">
        <f ca="1">(((C169/H165*10)+(40/(D165+F165+H165)*C170)+(7.5/(H165)*C171)+(7.5/(H165)*C172)+(10/H165*C173)+(10/H165*C174)+(5/H165*C175)+(5/H165*C176)+(5/H165*C177))/100)</f>
        <v>7.4999999999999997E-2</v>
      </c>
      <c r="F168" s="159"/>
      <c r="G168" s="158">
        <f ca="1">((((C168/H165)*20)+((C169/H165)*25)+(30/(H165+F165+D165)*C170)+(5/H165*C171)+(5/H165*C172)+(5/H165*C173)+(5/H165*C174)+(0/H165*C175)+(0/H165*C176)+(5/H165*C177))/100)</f>
        <v>0.38750000000000001</v>
      </c>
      <c r="H168" s="174"/>
      <c r="I168" s="13" t="s">
        <v>94</v>
      </c>
      <c r="J168" s="26">
        <f ca="1">H165*50%</f>
        <v>11</v>
      </c>
    </row>
    <row r="169" spans="1:19" x14ac:dyDescent="0.25">
      <c r="A169" s="156" t="s">
        <v>48</v>
      </c>
      <c r="B169" s="157"/>
      <c r="C169" s="95">
        <f ca="1">J176</f>
        <v>16.5</v>
      </c>
      <c r="D169" s="94">
        <f ca="1">((100/H165)*C169)/100</f>
        <v>0.75</v>
      </c>
      <c r="E169" s="160"/>
      <c r="F169" s="161"/>
      <c r="G169" s="160"/>
      <c r="H169" s="175"/>
      <c r="I169" s="13" t="s">
        <v>95</v>
      </c>
      <c r="J169" s="26">
        <f ca="1">H165</f>
        <v>22</v>
      </c>
      <c r="S169"/>
    </row>
    <row r="170" spans="1:19" ht="15.75" customHeight="1" x14ac:dyDescent="0.25">
      <c r="A170" s="156" t="s">
        <v>120</v>
      </c>
      <c r="B170" s="157"/>
      <c r="C170" s="93">
        <v>0</v>
      </c>
      <c r="D170" s="94">
        <f ca="1">((100/(D165+F165+H165))*C170)/100</f>
        <v>0</v>
      </c>
      <c r="E170" s="160"/>
      <c r="F170" s="161"/>
      <c r="G170" s="160"/>
      <c r="H170" s="175"/>
      <c r="I170" s="13" t="s">
        <v>96</v>
      </c>
      <c r="J170" s="27">
        <f ca="1">(IF(B165&gt;1,(H165/(B165+2)),H165/4))</f>
        <v>5.5</v>
      </c>
      <c r="S170"/>
    </row>
    <row r="171" spans="1:19" ht="15.75" customHeight="1" x14ac:dyDescent="0.25">
      <c r="A171" s="156" t="s">
        <v>127</v>
      </c>
      <c r="B171" s="157" t="s">
        <v>121</v>
      </c>
      <c r="C171" s="93">
        <v>0</v>
      </c>
      <c r="D171" s="94">
        <f ca="1">((100/H165)*C171)/100</f>
        <v>0</v>
      </c>
      <c r="E171" s="160"/>
      <c r="F171" s="161"/>
      <c r="G171" s="160"/>
      <c r="H171" s="175"/>
      <c r="I171" s="13" t="s">
        <v>97</v>
      </c>
      <c r="J171" s="27">
        <f ca="1">(IF(B165&gt;1,(H165/(B165+2)+J170),H165/4+J170))</f>
        <v>11</v>
      </c>
    </row>
    <row r="172" spans="1:19" ht="15.75" customHeight="1" x14ac:dyDescent="0.25">
      <c r="A172" s="156" t="s">
        <v>128</v>
      </c>
      <c r="B172" s="157" t="s">
        <v>121</v>
      </c>
      <c r="C172" s="93">
        <v>0</v>
      </c>
      <c r="D172" s="94">
        <f ca="1">((100/H165)*C172)/100</f>
        <v>0</v>
      </c>
      <c r="E172" s="160"/>
      <c r="F172" s="161"/>
      <c r="G172" s="160"/>
      <c r="H172" s="175"/>
      <c r="I172" s="13" t="s">
        <v>137</v>
      </c>
      <c r="J172" s="27">
        <f>(IF(B165&gt;1,(H165/(B165+2)+J171),0))</f>
        <v>0</v>
      </c>
    </row>
    <row r="173" spans="1:19" ht="15" customHeight="1" x14ac:dyDescent="0.25">
      <c r="A173" s="156" t="s">
        <v>126</v>
      </c>
      <c r="B173" s="157" t="s">
        <v>123</v>
      </c>
      <c r="C173" s="93">
        <v>0</v>
      </c>
      <c r="D173" s="94">
        <f ca="1">((100/(H165))*C173)/100</f>
        <v>0</v>
      </c>
      <c r="E173" s="160"/>
      <c r="F173" s="161"/>
      <c r="G173" s="160"/>
      <c r="H173" s="175"/>
      <c r="I173" s="13" t="s">
        <v>134</v>
      </c>
      <c r="J173" s="27">
        <f>(IF(B165&gt;2,(H165/(B165+2)+J172),0))</f>
        <v>0</v>
      </c>
    </row>
    <row r="174" spans="1:19" ht="15.75" customHeight="1" x14ac:dyDescent="0.25">
      <c r="A174" s="156" t="s">
        <v>122</v>
      </c>
      <c r="B174" s="157" t="s">
        <v>122</v>
      </c>
      <c r="C174" s="93">
        <v>0</v>
      </c>
      <c r="D174" s="94">
        <f ca="1">((100/H165)*C174)/100</f>
        <v>0</v>
      </c>
      <c r="E174" s="160"/>
      <c r="F174" s="161"/>
      <c r="G174" s="160"/>
      <c r="H174" s="175"/>
      <c r="I174" s="13" t="s">
        <v>135</v>
      </c>
      <c r="J174" s="28">
        <f>(IF(B165&gt;3,(H165/(B165+2)+J173),0))</f>
        <v>0</v>
      </c>
    </row>
    <row r="175" spans="1:19" ht="15.75" customHeight="1" x14ac:dyDescent="0.25">
      <c r="A175" s="156" t="s">
        <v>129</v>
      </c>
      <c r="B175" s="157"/>
      <c r="C175" s="93">
        <v>0</v>
      </c>
      <c r="D175" s="94">
        <f ca="1">((100/H165)*C175)/100</f>
        <v>0</v>
      </c>
      <c r="E175" s="160"/>
      <c r="F175" s="161"/>
      <c r="G175" s="160"/>
      <c r="H175" s="175"/>
      <c r="I175" s="13" t="s">
        <v>136</v>
      </c>
      <c r="J175" s="27">
        <f>(IF(B165&gt;4,(H165/(B165+2)+J174),0))</f>
        <v>0</v>
      </c>
    </row>
    <row r="176" spans="1:19" ht="15.75" customHeight="1" x14ac:dyDescent="0.25">
      <c r="A176" s="156" t="s">
        <v>124</v>
      </c>
      <c r="B176" s="157" t="s">
        <v>124</v>
      </c>
      <c r="C176" s="93">
        <v>0</v>
      </c>
      <c r="D176" s="94">
        <f ca="1">((100/(H165))*C176)/100</f>
        <v>0</v>
      </c>
      <c r="E176" s="160"/>
      <c r="F176" s="161"/>
      <c r="G176" s="160"/>
      <c r="H176" s="175"/>
      <c r="I176" s="13" t="s">
        <v>138</v>
      </c>
      <c r="J176" s="27">
        <f ca="1">(IF(B165=1,(H165/(B165+3)+J171),IF(B165=0,(H165/4+J171),IF(B165&gt;1,0))))</f>
        <v>16.5</v>
      </c>
    </row>
    <row r="177" spans="1:22" ht="16.5" thickBot="1" x14ac:dyDescent="0.3">
      <c r="A177" s="149" t="s">
        <v>125</v>
      </c>
      <c r="B177" s="150"/>
      <c r="C177" s="96">
        <v>0</v>
      </c>
      <c r="D177" s="97">
        <f ca="1">((100/(H165))*C177)/100</f>
        <v>0</v>
      </c>
      <c r="E177" s="162"/>
      <c r="F177" s="163"/>
      <c r="G177" s="162"/>
      <c r="H177" s="176"/>
      <c r="I177" s="14" t="s">
        <v>98</v>
      </c>
      <c r="J177" s="29">
        <f ca="1">(IF(B165&gt;1.5,(H165/(B165+2)+J171+MAX(0,J172-J171)+MAX(0,J173-J172)+MAX(0,J174-J173)+MAX(0,J175-J174)+MAX(0,J176-J175)),IF(B165=1,(H165/(B165+3)+J176),IF(B165=0,H165/4+J176))))</f>
        <v>22</v>
      </c>
    </row>
    <row r="178" spans="1:22" x14ac:dyDescent="0.25">
      <c r="A178" s="277" t="s">
        <v>148</v>
      </c>
      <c r="B178" s="277"/>
      <c r="C178" s="277"/>
      <c r="D178" s="277"/>
      <c r="E178" s="277"/>
      <c r="F178" s="278" t="s">
        <v>150</v>
      </c>
      <c r="G178" s="278"/>
      <c r="H178" s="278"/>
      <c r="R178" t="s">
        <v>241</v>
      </c>
      <c r="S178" t="s">
        <v>161</v>
      </c>
      <c r="T178" t="s">
        <v>168</v>
      </c>
      <c r="U178" t="s">
        <v>182</v>
      </c>
      <c r="V178" t="s">
        <v>177</v>
      </c>
    </row>
    <row r="179" spans="1:22" x14ac:dyDescent="0.25">
      <c r="A179" s="110" t="s">
        <v>149</v>
      </c>
      <c r="B179" s="110"/>
      <c r="C179" s="110"/>
      <c r="D179" s="110"/>
      <c r="E179" s="110"/>
      <c r="F179" s="111">
        <v>6000</v>
      </c>
      <c r="G179" s="111"/>
      <c r="H179" s="111"/>
      <c r="R179"/>
      <c r="S179">
        <v>800000</v>
      </c>
      <c r="T179">
        <v>150000</v>
      </c>
      <c r="U179">
        <v>100000</v>
      </c>
      <c r="V179">
        <v>100000</v>
      </c>
    </row>
    <row r="180" spans="1:22" x14ac:dyDescent="0.25">
      <c r="A180" s="110" t="s">
        <v>458</v>
      </c>
      <c r="B180" s="110"/>
      <c r="C180" s="110"/>
      <c r="D180" s="110"/>
      <c r="E180" s="110"/>
      <c r="F180" s="111">
        <v>9000</v>
      </c>
      <c r="G180" s="111"/>
      <c r="H180" s="111"/>
      <c r="R180"/>
      <c r="S180">
        <v>900000</v>
      </c>
      <c r="T180">
        <v>200000</v>
      </c>
      <c r="U180">
        <v>150000</v>
      </c>
      <c r="V180">
        <v>150000</v>
      </c>
    </row>
    <row r="181" spans="1:22" x14ac:dyDescent="0.25">
      <c r="A181" s="110" t="s">
        <v>459</v>
      </c>
      <c r="B181" s="110"/>
      <c r="C181" s="110"/>
      <c r="D181" s="110"/>
      <c r="E181" s="110"/>
      <c r="F181" s="111">
        <v>8000</v>
      </c>
      <c r="G181" s="111"/>
      <c r="H181" s="111"/>
      <c r="R181"/>
      <c r="S181">
        <v>1000000</v>
      </c>
      <c r="T181">
        <v>250000</v>
      </c>
      <c r="U181">
        <v>200000</v>
      </c>
      <c r="V181">
        <v>200000</v>
      </c>
    </row>
    <row r="182" spans="1:22" s="30" customFormat="1" x14ac:dyDescent="0.25">
      <c r="A182" s="110" t="s">
        <v>460</v>
      </c>
      <c r="B182" s="110"/>
      <c r="C182" s="110"/>
      <c r="D182" s="110"/>
      <c r="E182" s="110"/>
      <c r="F182" s="111">
        <v>7000</v>
      </c>
      <c r="G182" s="111"/>
      <c r="H182" s="111"/>
      <c r="R182"/>
      <c r="S182">
        <v>1100000</v>
      </c>
      <c r="T182">
        <v>300000</v>
      </c>
      <c r="U182">
        <v>250000</v>
      </c>
      <c r="V182" s="20">
        <v>250000</v>
      </c>
    </row>
    <row r="183" spans="1:22" s="30" customFormat="1" ht="17.25" hidden="1" customHeight="1" x14ac:dyDescent="0.25">
      <c r="A183" s="110" t="s">
        <v>88</v>
      </c>
      <c r="B183" s="110"/>
      <c r="C183" s="110"/>
      <c r="D183" s="110"/>
      <c r="E183" s="110"/>
      <c r="F183" s="111"/>
      <c r="G183" s="111"/>
      <c r="H183" s="111"/>
      <c r="R183"/>
      <c r="S183">
        <v>1200000</v>
      </c>
      <c r="T183">
        <v>350000</v>
      </c>
      <c r="U183">
        <v>300000</v>
      </c>
      <c r="V183">
        <v>300000</v>
      </c>
    </row>
    <row r="184" spans="1:22" s="30" customFormat="1" ht="17.25" hidden="1" customHeight="1" x14ac:dyDescent="0.25">
      <c r="A184" s="110" t="s">
        <v>89</v>
      </c>
      <c r="B184" s="110"/>
      <c r="C184" s="110"/>
      <c r="D184" s="110"/>
      <c r="E184" s="110"/>
      <c r="F184" s="111"/>
      <c r="G184" s="111"/>
      <c r="H184" s="111"/>
      <c r="R184"/>
      <c r="S184">
        <v>1300000</v>
      </c>
      <c r="T184">
        <v>400000</v>
      </c>
      <c r="U184">
        <v>350000</v>
      </c>
      <c r="V184" s="20">
        <v>400000</v>
      </c>
    </row>
    <row r="185" spans="1:22" s="30" customFormat="1" ht="17.25" hidden="1" customHeight="1" x14ac:dyDescent="0.25">
      <c r="A185" s="110" t="s">
        <v>90</v>
      </c>
      <c r="B185" s="110"/>
      <c r="C185" s="110"/>
      <c r="D185" s="110"/>
      <c r="E185" s="110"/>
      <c r="F185" s="111"/>
      <c r="G185" s="111"/>
      <c r="H185" s="111"/>
      <c r="R185"/>
      <c r="S185">
        <v>1400000</v>
      </c>
      <c r="T185">
        <v>500000</v>
      </c>
      <c r="U185">
        <v>400000</v>
      </c>
      <c r="V185"/>
    </row>
    <row r="186" spans="1:22" s="30" customFormat="1" ht="17.25" hidden="1" customHeight="1" x14ac:dyDescent="0.25">
      <c r="A186" s="110" t="s">
        <v>91</v>
      </c>
      <c r="B186" s="110"/>
      <c r="C186" s="110"/>
      <c r="D186" s="110"/>
      <c r="E186" s="110"/>
      <c r="F186" s="111"/>
      <c r="G186" s="111"/>
      <c r="H186" s="111"/>
      <c r="R186"/>
      <c r="S186">
        <v>1500000</v>
      </c>
      <c r="T186">
        <v>600000</v>
      </c>
      <c r="U186">
        <v>500000</v>
      </c>
      <c r="V186" s="20"/>
    </row>
    <row r="187" spans="1:22" s="30" customFormat="1" ht="17.25" hidden="1" customHeight="1" x14ac:dyDescent="0.25">
      <c r="A187" s="110" t="s">
        <v>92</v>
      </c>
      <c r="B187" s="110"/>
      <c r="C187" s="110"/>
      <c r="D187" s="110"/>
      <c r="E187" s="110"/>
      <c r="F187" s="111"/>
      <c r="G187" s="111"/>
      <c r="H187" s="111"/>
      <c r="R187"/>
      <c r="S187">
        <v>1600000</v>
      </c>
      <c r="T187">
        <v>700000</v>
      </c>
      <c r="U187">
        <v>600000</v>
      </c>
      <c r="V187"/>
    </row>
    <row r="188" spans="1:22" s="30" customFormat="1" ht="17.25" hidden="1" customHeight="1" x14ac:dyDescent="0.25">
      <c r="A188" s="110" t="s">
        <v>93</v>
      </c>
      <c r="B188" s="110"/>
      <c r="C188" s="110"/>
      <c r="D188" s="110"/>
      <c r="E188" s="110"/>
      <c r="F188" s="111"/>
      <c r="G188" s="111"/>
      <c r="H188" s="111"/>
      <c r="R188"/>
      <c r="S188">
        <v>1700000</v>
      </c>
      <c r="T188">
        <v>800000</v>
      </c>
      <c r="U188"/>
      <c r="V188" s="20"/>
    </row>
    <row r="189" spans="1:22" s="30" customFormat="1" ht="17.25" hidden="1" customHeight="1" x14ac:dyDescent="0.25">
      <c r="A189" s="110" t="s">
        <v>93</v>
      </c>
      <c r="B189" s="110"/>
      <c r="C189" s="110"/>
      <c r="D189" s="110"/>
      <c r="E189" s="110"/>
      <c r="F189" s="111"/>
      <c r="G189" s="111"/>
      <c r="H189" s="111"/>
      <c r="R189"/>
      <c r="S189"/>
      <c r="T189"/>
      <c r="U189"/>
      <c r="V189" s="20"/>
    </row>
    <row r="190" spans="1:22" x14ac:dyDescent="0.25">
      <c r="A190" s="110" t="s">
        <v>49</v>
      </c>
      <c r="B190" s="110"/>
      <c r="C190" s="110"/>
      <c r="D190" s="110"/>
      <c r="E190" s="110"/>
      <c r="F190" s="111">
        <v>250000</v>
      </c>
      <c r="G190" s="111"/>
      <c r="H190" s="111"/>
      <c r="R190"/>
      <c r="S190">
        <v>1800000</v>
      </c>
      <c r="T190">
        <v>900000</v>
      </c>
      <c r="U190"/>
    </row>
    <row r="191" spans="1:22" s="31" customFormat="1" x14ac:dyDescent="0.25">
      <c r="A191" s="208" t="s">
        <v>50</v>
      </c>
      <c r="B191" s="208"/>
      <c r="C191" s="208"/>
      <c r="D191" s="208"/>
      <c r="E191" s="208"/>
      <c r="F191" s="111">
        <f>F179*0.8</f>
        <v>4800</v>
      </c>
      <c r="G191" s="111"/>
      <c r="H191" s="111"/>
      <c r="R191" s="18"/>
      <c r="S191" s="18"/>
      <c r="T191">
        <v>1000000</v>
      </c>
      <c r="U191"/>
      <c r="V191" s="18"/>
    </row>
    <row r="192" spans="1:22" s="32" customFormat="1" ht="15.75" customHeight="1" x14ac:dyDescent="0.25">
      <c r="A192" s="116" t="s">
        <v>445</v>
      </c>
      <c r="B192" s="117"/>
      <c r="C192" s="117"/>
      <c r="D192" s="117"/>
      <c r="E192" s="117"/>
      <c r="F192" s="117"/>
      <c r="G192" s="117"/>
      <c r="H192" s="118"/>
      <c r="R192"/>
      <c r="S192" s="18"/>
      <c r="T192"/>
      <c r="U192"/>
      <c r="V192" s="18"/>
    </row>
    <row r="193" spans="1:22" s="32" customFormat="1" ht="15.75" customHeight="1" x14ac:dyDescent="0.25">
      <c r="A193" s="178" t="s">
        <v>448</v>
      </c>
      <c r="B193" s="178"/>
      <c r="C193" s="178"/>
      <c r="D193" s="178"/>
      <c r="E193" s="178"/>
      <c r="F193" s="178"/>
      <c r="G193" s="178"/>
      <c r="H193" s="178"/>
      <c r="R193"/>
      <c r="S193" s="18"/>
      <c r="T193"/>
      <c r="U193" s="18"/>
      <c r="V193" s="18"/>
    </row>
    <row r="194" spans="1:22" s="32" customFormat="1" x14ac:dyDescent="0.25">
      <c r="A194" s="183" t="s">
        <v>51</v>
      </c>
      <c r="B194" s="183"/>
      <c r="C194" s="180" t="s">
        <v>72</v>
      </c>
      <c r="D194" s="180"/>
      <c r="E194" s="182" t="s">
        <v>52</v>
      </c>
      <c r="F194" s="182"/>
      <c r="G194" s="183" t="s">
        <v>53</v>
      </c>
      <c r="H194" s="183"/>
      <c r="R194"/>
      <c r="S194" s="18"/>
      <c r="T194"/>
      <c r="U194" s="18"/>
      <c r="V194" s="18"/>
    </row>
    <row r="195" spans="1:22" s="32" customFormat="1" x14ac:dyDescent="0.25">
      <c r="A195" s="136" t="s">
        <v>393</v>
      </c>
      <c r="B195" s="136"/>
      <c r="C195" s="137">
        <f>COUNT(F218:F222)+COUNT(F224:F225)+COUNT(F227:F228)</f>
        <v>9</v>
      </c>
      <c r="D195" s="122"/>
      <c r="E195" s="123">
        <f>SUM(F218:F222)+SUM(F224:F225)+SUM(F227:F228)</f>
        <v>11460.32316</v>
      </c>
      <c r="F195" s="138"/>
      <c r="G195" s="123">
        <f>SUM(H218:H222)+SUM(H224:H225)+SUM(H227:H228)</f>
        <v>17190.48474</v>
      </c>
      <c r="H195" s="138"/>
      <c r="R195"/>
      <c r="S195" s="18"/>
      <c r="T195"/>
      <c r="U195" s="18"/>
      <c r="V195" s="18"/>
    </row>
    <row r="196" spans="1:22" s="32" customFormat="1" x14ac:dyDescent="0.25">
      <c r="A196" s="136" t="s">
        <v>394</v>
      </c>
      <c r="B196" s="136"/>
      <c r="C196" s="137">
        <f>COUNT(F231:F236)+COUNT(F238:F239)+COUNT(F241:F242)</f>
        <v>10</v>
      </c>
      <c r="D196" s="122"/>
      <c r="E196" s="123">
        <f>SUM(F231:F236)+SUM(F238:F239)+SUM(F241:F242)</f>
        <v>10099.43064</v>
      </c>
      <c r="F196" s="138"/>
      <c r="G196" s="123">
        <f>SUM(H231:H236)+SUM(H238:H239)+SUM(H241:H242)</f>
        <v>15149.145960000002</v>
      </c>
      <c r="H196" s="138"/>
      <c r="R196"/>
      <c r="S196" s="18"/>
      <c r="T196"/>
      <c r="U196" s="18"/>
      <c r="V196" s="18"/>
    </row>
    <row r="197" spans="1:22" s="32" customFormat="1" x14ac:dyDescent="0.25">
      <c r="A197" s="136" t="s">
        <v>395</v>
      </c>
      <c r="B197" s="136"/>
      <c r="C197" s="137">
        <f>COUNT(F245:F250)+COUNT(F252:F253)+COUNT(F255:F256)</f>
        <v>10</v>
      </c>
      <c r="D197" s="122"/>
      <c r="E197" s="123">
        <f>SUM(F245:F250)+SUM(F252:F253)+SUM(F255:F256)</f>
        <v>19032.258959999999</v>
      </c>
      <c r="F197" s="138"/>
      <c r="G197" s="123">
        <f>SUM(H245:H250)+SUM(H252:H253)+SUM(H255:H256)</f>
        <v>28548.388439999999</v>
      </c>
      <c r="H197" s="138"/>
      <c r="R197"/>
      <c r="S197" s="18"/>
      <c r="T197"/>
      <c r="U197" s="18"/>
      <c r="V197" s="18"/>
    </row>
    <row r="198" spans="1:22" s="32" customFormat="1" x14ac:dyDescent="0.25">
      <c r="A198" s="136" t="s">
        <v>392</v>
      </c>
      <c r="B198" s="136"/>
      <c r="C198" s="137">
        <f>COUNT(F259:F268)</f>
        <v>10</v>
      </c>
      <c r="D198" s="122"/>
      <c r="E198" s="123">
        <f>SUM(F259:F268)</f>
        <v>2231.8723439999999</v>
      </c>
      <c r="F198" s="138"/>
      <c r="G198" s="123">
        <f>SUM(H259:H268)</f>
        <v>3347.8085159999987</v>
      </c>
      <c r="H198" s="138"/>
      <c r="R198"/>
      <c r="S198" s="18"/>
      <c r="T198"/>
      <c r="U198" s="18"/>
      <c r="V198" s="18"/>
    </row>
    <row r="199" spans="1:22" s="32" customFormat="1" x14ac:dyDescent="0.25">
      <c r="A199" s="178" t="s">
        <v>141</v>
      </c>
      <c r="B199" s="178"/>
      <c r="C199" s="179">
        <f t="shared" ref="C199:G199" si="0">SUM(C195:D198)</f>
        <v>39</v>
      </c>
      <c r="D199" s="180"/>
      <c r="E199" s="181">
        <f t="shared" si="0"/>
        <v>42823.885104000001</v>
      </c>
      <c r="F199" s="182"/>
      <c r="G199" s="183">
        <f t="shared" si="0"/>
        <v>64235.827656000001</v>
      </c>
      <c r="H199" s="183"/>
      <c r="T199"/>
    </row>
    <row r="200" spans="1:22" s="32" customFormat="1" ht="15.75" customHeight="1" x14ac:dyDescent="0.25">
      <c r="A200" s="178" t="s">
        <v>449</v>
      </c>
      <c r="B200" s="178"/>
      <c r="C200" s="178"/>
      <c r="D200" s="178"/>
      <c r="E200" s="178"/>
      <c r="F200" s="178"/>
      <c r="G200" s="178"/>
      <c r="H200" s="178"/>
      <c r="T200"/>
    </row>
    <row r="201" spans="1:22" s="32" customFormat="1" ht="15.75" customHeight="1" x14ac:dyDescent="0.25">
      <c r="A201" s="183" t="s">
        <v>51</v>
      </c>
      <c r="B201" s="183"/>
      <c r="C201" s="180" t="s">
        <v>72</v>
      </c>
      <c r="D201" s="180"/>
      <c r="E201" s="182" t="s">
        <v>52</v>
      </c>
      <c r="F201" s="182"/>
      <c r="G201" s="183" t="s">
        <v>53</v>
      </c>
      <c r="H201" s="183"/>
      <c r="T201"/>
    </row>
    <row r="202" spans="1:22" s="32" customFormat="1" ht="15.75" customHeight="1" x14ac:dyDescent="0.25">
      <c r="A202" s="136" t="s">
        <v>393</v>
      </c>
      <c r="B202" s="136"/>
      <c r="C202" s="122">
        <f>COUNT(F275:F278)+COUNT(F280:F283)*15+COUNT(F285:F288)*3</f>
        <v>76</v>
      </c>
      <c r="D202" s="122"/>
      <c r="E202" s="123">
        <f>SUM(F275:F278)+SUM(F280:F283)*15+SUM(F285:F288)*3</f>
        <v>79506.348479999986</v>
      </c>
      <c r="F202" s="138"/>
      <c r="G202" s="123">
        <f>SUM(H275:H278)+SUM(H280:H283)*15+SUM(H285:H288)*3</f>
        <v>115435.569561</v>
      </c>
      <c r="H202" s="138"/>
      <c r="T202"/>
    </row>
    <row r="203" spans="1:22" s="32" customFormat="1" ht="15.75" customHeight="1" x14ac:dyDescent="0.25">
      <c r="A203" s="136" t="s">
        <v>394</v>
      </c>
      <c r="B203" s="136"/>
      <c r="C203" s="122">
        <f>COUNT(F292:F293)+COUNT(F295:F296)*15+COUNT(F298,F300)*3</f>
        <v>38</v>
      </c>
      <c r="D203" s="122"/>
      <c r="E203" s="123">
        <f>SUM(F292:F293)+SUM(F295:F296)*15+SUM(F298,F300)*3</f>
        <v>55107.374399999993</v>
      </c>
      <c r="F203" s="123"/>
      <c r="G203" s="123">
        <f>SUM(H292:H293)+SUM(H295:H296)*15+SUM(H298,H300)*3</f>
        <v>80172.101879999987</v>
      </c>
      <c r="H203" s="123"/>
      <c r="T203"/>
    </row>
    <row r="204" spans="1:22" s="32" customFormat="1" ht="15.75" customHeight="1" x14ac:dyDescent="0.25">
      <c r="A204" s="136" t="s">
        <v>395</v>
      </c>
      <c r="B204" s="136"/>
      <c r="C204" s="122">
        <f>COUNT(F303:F306)+COUNT(F308:F311)*15+COUNT(F313:F314,F316:F317)*3</f>
        <v>76</v>
      </c>
      <c r="D204" s="122"/>
      <c r="E204" s="123">
        <f>SUM(F303:F306)+SUM(F308:F311)*15+SUM(F313:F314,F316:F317)*3</f>
        <v>79466.144939999984</v>
      </c>
      <c r="F204" s="123"/>
      <c r="G204" s="123">
        <f>SUM(H303:H306)+SUM(H308:H311)*15+SUM(H313:H314,H316:H317)*3</f>
        <v>115917.52407299999</v>
      </c>
      <c r="H204" s="123"/>
      <c r="T204"/>
    </row>
    <row r="205" spans="1:22" s="32" customFormat="1" x14ac:dyDescent="0.25">
      <c r="A205" s="136" t="s">
        <v>396</v>
      </c>
      <c r="B205" s="136"/>
      <c r="C205" s="122">
        <f>COUNT(F324:F326)+COUNT(F331:F333)+COUNT(F335:F340)*17+COUNT(F342:F344,F346:F348)*3</f>
        <v>126</v>
      </c>
      <c r="D205" s="122"/>
      <c r="E205" s="123">
        <f>SUM(F324:F326)+SUM(F331:F333)+SUM(F335:F340)*17+SUM(F342:F344,F346:F348)*3</f>
        <v>90764.308439999993</v>
      </c>
      <c r="F205" s="123"/>
      <c r="G205" s="123">
        <f>SUM(H324:H326)+SUM(H331:H333)+SUM(H335:H340)*17+SUM(H342:H344,H346:H348)*3</f>
        <v>131608.24723799998</v>
      </c>
      <c r="H205" s="123"/>
      <c r="T205"/>
    </row>
    <row r="206" spans="1:22" s="32" customFormat="1" x14ac:dyDescent="0.25">
      <c r="A206" s="136" t="s">
        <v>400</v>
      </c>
      <c r="B206" s="136"/>
      <c r="C206" s="122">
        <f>COUNT(F356:F359)+COUNT(F365:F368)+COUNT(F370:F377)*17+COUNT(F379:F385)*3</f>
        <v>165</v>
      </c>
      <c r="D206" s="122"/>
      <c r="E206" s="123">
        <f>SUM(F356:F359)+SUM(F365:F368)+SUM(F370:F377)*17+SUM(F379:F385)*3</f>
        <v>102908.1456</v>
      </c>
      <c r="F206" s="123"/>
      <c r="G206" s="123">
        <f>SUM(H356:H359)+SUM(H365:H368)+SUM(H370:H377)*17+SUM(H379:H385)*3</f>
        <v>149216.81112</v>
      </c>
      <c r="H206" s="123"/>
      <c r="T206"/>
    </row>
    <row r="207" spans="1:22" s="32" customFormat="1" x14ac:dyDescent="0.25">
      <c r="A207" s="136" t="s">
        <v>402</v>
      </c>
      <c r="B207" s="136"/>
      <c r="C207" s="122">
        <f>COUNT(F394:F397)+COUNT(F404:F407)+COUNT(F410:F417)*17+COUNT(F419:F422,F424:F426)*3</f>
        <v>165</v>
      </c>
      <c r="D207" s="122"/>
      <c r="E207" s="123">
        <f>SUM(F394:F397)+SUM(F404:F407)+SUM(F410:F417)*17+SUM(F419:F422,F424:F426)*3</f>
        <v>102767.67539999999</v>
      </c>
      <c r="F207" s="123"/>
      <c r="G207" s="123">
        <f>SUM(H394:H397)+SUM(H404:H407)+SUM(H410:H417)*17+SUM(H419:H422,H424:H426)*3</f>
        <v>149013.12933</v>
      </c>
      <c r="H207" s="123"/>
      <c r="T207"/>
    </row>
    <row r="208" spans="1:22" s="32" customFormat="1" x14ac:dyDescent="0.25">
      <c r="A208" s="136" t="s">
        <v>392</v>
      </c>
      <c r="B208" s="136"/>
      <c r="C208" s="122">
        <f>COUNT(F429:F431)+COUNT(F436:F438)+COUNT(F443:F448)*17+COUNT(F450:F452,F454:F456)*3</f>
        <v>126</v>
      </c>
      <c r="D208" s="122"/>
      <c r="E208" s="123">
        <f>SUM(F429:F431)+SUM(F436:F438)+SUM(F443:F448)*17+SUM(F450:F452,F454:F456)*3</f>
        <v>90529.868519999989</v>
      </c>
      <c r="F208" s="123"/>
      <c r="G208" s="123">
        <f>SUM(H429:H431)+SUM(H436:H438)+SUM(H443:H448)*17+SUM(H450:H452,H454:H456)*3</f>
        <v>131442.686154</v>
      </c>
      <c r="H208" s="123"/>
      <c r="T208"/>
    </row>
    <row r="209" spans="1:20" s="32" customFormat="1" ht="16.5" thickBot="1" x14ac:dyDescent="0.3">
      <c r="A209" s="139" t="s">
        <v>141</v>
      </c>
      <c r="B209" s="139"/>
      <c r="C209" s="280">
        <f t="shared" ref="C209:G209" si="1">SUM(C202:D208)</f>
        <v>772</v>
      </c>
      <c r="D209" s="280"/>
      <c r="E209" s="140">
        <f t="shared" si="1"/>
        <v>601049.86577999999</v>
      </c>
      <c r="F209" s="140"/>
      <c r="G209" s="177">
        <f t="shared" si="1"/>
        <v>872806.06935599993</v>
      </c>
      <c r="H209" s="177"/>
      <c r="T209"/>
    </row>
    <row r="210" spans="1:20" s="31" customFormat="1" ht="16.5" thickBot="1" x14ac:dyDescent="0.3">
      <c r="A210" s="197" t="s">
        <v>155</v>
      </c>
      <c r="B210" s="198"/>
      <c r="C210" s="276">
        <f>C199+C209</f>
        <v>811</v>
      </c>
      <c r="D210" s="276"/>
      <c r="E210" s="196">
        <f>E199+E209</f>
        <v>643873.75088399998</v>
      </c>
      <c r="F210" s="196"/>
      <c r="G210" s="187">
        <f>G199+G209</f>
        <v>937041.89701199997</v>
      </c>
      <c r="H210" s="188"/>
      <c r="T210" s="32"/>
    </row>
    <row r="211" spans="1:20" x14ac:dyDescent="0.25">
      <c r="A211" s="278" t="s">
        <v>342</v>
      </c>
      <c r="B211" s="278"/>
      <c r="C211" s="278"/>
      <c r="D211" s="278"/>
      <c r="E211" s="278"/>
      <c r="F211" s="278"/>
      <c r="G211" s="278"/>
      <c r="H211" s="278"/>
      <c r="T211" s="32"/>
    </row>
    <row r="212" spans="1:20" x14ac:dyDescent="0.25">
      <c r="A212" s="286" t="s">
        <v>163</v>
      </c>
      <c r="B212" s="286"/>
      <c r="C212" s="286"/>
      <c r="D212" s="286"/>
      <c r="E212" s="286"/>
      <c r="F212" s="286"/>
      <c r="G212" s="286"/>
      <c r="H212" s="286"/>
      <c r="T212" s="32"/>
    </row>
    <row r="213" spans="1:20" s="34" customFormat="1" ht="47.25" x14ac:dyDescent="0.25">
      <c r="A213" s="151" t="s">
        <v>444</v>
      </c>
      <c r="B213" s="151" t="s">
        <v>164</v>
      </c>
      <c r="C213" s="151" t="s">
        <v>54</v>
      </c>
      <c r="D213" s="151" t="s">
        <v>220</v>
      </c>
      <c r="E213" s="141" t="s">
        <v>147</v>
      </c>
      <c r="F213" s="151" t="s">
        <v>55</v>
      </c>
      <c r="G213" s="141" t="s">
        <v>56</v>
      </c>
      <c r="H213" s="102" t="s">
        <v>140</v>
      </c>
      <c r="T213" s="32"/>
    </row>
    <row r="214" spans="1:20" s="91" customFormat="1" x14ac:dyDescent="0.25">
      <c r="A214" s="152"/>
      <c r="B214" s="152"/>
      <c r="C214" s="152"/>
      <c r="D214" s="152"/>
      <c r="E214" s="142"/>
      <c r="F214" s="152"/>
      <c r="G214" s="142"/>
      <c r="H214" s="103">
        <v>0.5</v>
      </c>
      <c r="T214" s="32"/>
    </row>
    <row r="215" spans="1:20" s="88" customFormat="1" x14ac:dyDescent="0.25">
      <c r="A215" s="116" t="s">
        <v>445</v>
      </c>
      <c r="B215" s="117"/>
      <c r="C215" s="117"/>
      <c r="D215" s="117"/>
      <c r="E215" s="117"/>
      <c r="F215" s="117"/>
      <c r="G215" s="117"/>
      <c r="H215" s="118"/>
      <c r="I215" s="104">
        <v>10.763999999999999</v>
      </c>
      <c r="J215" s="33"/>
      <c r="T215" s="32"/>
    </row>
    <row r="216" spans="1:20" s="34" customFormat="1" x14ac:dyDescent="0.25">
      <c r="A216" s="143" t="s">
        <v>393</v>
      </c>
      <c r="B216" s="144"/>
      <c r="C216" s="144"/>
      <c r="D216" s="144"/>
      <c r="E216" s="144"/>
      <c r="F216" s="144"/>
      <c r="G216" s="144"/>
      <c r="H216" s="145"/>
      <c r="J216" s="33"/>
      <c r="T216" s="32"/>
    </row>
    <row r="217" spans="1:20" s="34" customFormat="1" ht="15.75" customHeight="1" x14ac:dyDescent="0.25">
      <c r="A217" s="124" t="s">
        <v>430</v>
      </c>
      <c r="B217" s="125"/>
      <c r="C217" s="125"/>
      <c r="D217" s="125"/>
      <c r="E217" s="125"/>
      <c r="F217" s="125"/>
      <c r="G217" s="125"/>
      <c r="H217" s="126"/>
      <c r="I217" s="87">
        <f>7.55*13.46+7.51*6.4+1.35*4.9+1.53*0.5+1.25*1.38+1.2*1.5</f>
        <v>160.59200000000001</v>
      </c>
      <c r="L217" s="184"/>
      <c r="M217" s="184"/>
      <c r="N217" s="33"/>
      <c r="T217" s="32"/>
    </row>
    <row r="218" spans="1:20" s="34" customFormat="1" ht="15.75" customHeight="1" x14ac:dyDescent="0.25">
      <c r="A218" s="113">
        <v>1</v>
      </c>
      <c r="B218" s="114"/>
      <c r="C218" s="39" t="s">
        <v>391</v>
      </c>
      <c r="D218" s="104">
        <f>(165.24)*10.764</f>
        <v>1778.64336</v>
      </c>
      <c r="E218" s="39">
        <v>0</v>
      </c>
      <c r="F218" s="39">
        <f t="shared" ref="F218:F250" si="2">D218+(IF(E218&lt;201,E218,IF(E218&lt;301,E218/2,E218/3)))</f>
        <v>1778.64336</v>
      </c>
      <c r="G218" s="39">
        <v>0</v>
      </c>
      <c r="H218" s="39">
        <f>(F218+(IF(G218&lt;101,G218,IF(G218&lt;201,G218/2,IF(G218&lt;=301,G218/3,G218/4)))))*(($H$214)+1)</f>
        <v>2667.96504</v>
      </c>
      <c r="I218" s="297" t="s">
        <v>456</v>
      </c>
      <c r="J218" s="298"/>
      <c r="K218" s="298"/>
      <c r="L218" s="298"/>
      <c r="M218" s="298"/>
      <c r="N218" s="33"/>
      <c r="T218" s="31"/>
    </row>
    <row r="219" spans="1:20" s="34" customFormat="1" ht="15.75" customHeight="1" x14ac:dyDescent="0.25">
      <c r="A219" s="113">
        <v>2</v>
      </c>
      <c r="B219" s="114"/>
      <c r="C219" s="87" t="s">
        <v>391</v>
      </c>
      <c r="D219" s="104">
        <f>(47.85)*10.764</f>
        <v>515.05740000000003</v>
      </c>
      <c r="E219" s="39">
        <v>0</v>
      </c>
      <c r="F219" s="39">
        <f t="shared" si="2"/>
        <v>515.05740000000003</v>
      </c>
      <c r="G219" s="39">
        <v>0</v>
      </c>
      <c r="H219" s="39">
        <f>(F219+(IF(G219&lt;101,G219,IF(G219&lt;201,G219/2,IF(G219&lt;=301,G219/3,G219/4)))))*(($H$214)+1)</f>
        <v>772.58609999999999</v>
      </c>
      <c r="I219" s="297"/>
      <c r="J219" s="298"/>
      <c r="K219" s="298"/>
      <c r="L219" s="298"/>
      <c r="M219" s="298"/>
      <c r="N219" s="33"/>
      <c r="T219" s="18"/>
    </row>
    <row r="220" spans="1:20" s="34" customFormat="1" ht="15.75" customHeight="1" x14ac:dyDescent="0.25">
      <c r="A220" s="113">
        <v>3</v>
      </c>
      <c r="B220" s="114"/>
      <c r="C220" s="87" t="s">
        <v>391</v>
      </c>
      <c r="D220" s="104">
        <f>(28.1)*10.764</f>
        <v>302.46839999999997</v>
      </c>
      <c r="E220" s="39">
        <v>0</v>
      </c>
      <c r="F220" s="39">
        <f t="shared" si="2"/>
        <v>302.46839999999997</v>
      </c>
      <c r="G220" s="39">
        <v>0</v>
      </c>
      <c r="H220" s="39">
        <f>(F220+(IF(G220&lt;101,G220,IF(G220&lt;201,G220/2,IF(G220&lt;=301,G220/3,G220/4)))))*(($H$214)+1)</f>
        <v>453.70259999999996</v>
      </c>
      <c r="I220" s="297"/>
      <c r="J220" s="298"/>
      <c r="K220" s="298"/>
      <c r="L220" s="298"/>
      <c r="M220" s="298"/>
      <c r="N220" s="33"/>
      <c r="T220" s="18"/>
    </row>
    <row r="221" spans="1:20" s="88" customFormat="1" ht="15.75" customHeight="1" x14ac:dyDescent="0.25">
      <c r="A221" s="113">
        <v>4</v>
      </c>
      <c r="B221" s="114"/>
      <c r="C221" s="87" t="s">
        <v>391</v>
      </c>
      <c r="D221" s="104">
        <f>(54.27)*10.764</f>
        <v>584.16228000000001</v>
      </c>
      <c r="E221" s="39">
        <v>0</v>
      </c>
      <c r="F221" s="39">
        <f t="shared" si="2"/>
        <v>584.16228000000001</v>
      </c>
      <c r="G221" s="39">
        <v>0</v>
      </c>
      <c r="H221" s="39">
        <f>(F221+(IF(G221&lt;101,G221,IF(G221&lt;201,G221/2,IF(G221&lt;=301,G221/3,G221/4)))))*(($H$214)+1)</f>
        <v>876.24342000000001</v>
      </c>
      <c r="I221" s="33"/>
      <c r="L221" s="184"/>
      <c r="M221" s="184"/>
      <c r="N221" s="33"/>
      <c r="T221" s="32"/>
    </row>
    <row r="222" spans="1:20" s="88" customFormat="1" ht="15.75" customHeight="1" x14ac:dyDescent="0.25">
      <c r="A222" s="113">
        <v>5</v>
      </c>
      <c r="B222" s="114"/>
      <c r="C222" s="87" t="s">
        <v>391</v>
      </c>
      <c r="D222" s="104">
        <f>(44.37)*10.764</f>
        <v>477.59867999999994</v>
      </c>
      <c r="E222" s="87">
        <v>0</v>
      </c>
      <c r="F222" s="87">
        <f t="shared" si="2"/>
        <v>477.59867999999994</v>
      </c>
      <c r="G222" s="87">
        <v>0</v>
      </c>
      <c r="H222" s="87">
        <f>(F222+(IF(G222&lt;101,G222,IF(G222&lt;201,G222/2,IF(G222&lt;=301,G222/3,G222/4)))))*(($H$214)+1)</f>
        <v>716.39801999999986</v>
      </c>
      <c r="I222" s="33"/>
      <c r="L222" s="184"/>
      <c r="M222" s="184"/>
      <c r="N222" s="33"/>
      <c r="T222" s="31"/>
    </row>
    <row r="223" spans="1:20" s="88" customFormat="1" ht="15.75" customHeight="1" x14ac:dyDescent="0.25">
      <c r="A223" s="124" t="s">
        <v>462</v>
      </c>
      <c r="B223" s="125"/>
      <c r="C223" s="125"/>
      <c r="D223" s="125"/>
      <c r="E223" s="125"/>
      <c r="F223" s="125"/>
      <c r="G223" s="125"/>
      <c r="H223" s="126"/>
      <c r="I223" s="33"/>
      <c r="L223" s="184"/>
      <c r="M223" s="184"/>
      <c r="N223" s="33"/>
      <c r="T223" s="18"/>
    </row>
    <row r="224" spans="1:20" s="88" customFormat="1" ht="15.75" customHeight="1" x14ac:dyDescent="0.25">
      <c r="A224" s="113">
        <v>1</v>
      </c>
      <c r="B224" s="114"/>
      <c r="C224" s="92" t="s">
        <v>391</v>
      </c>
      <c r="D224" s="104">
        <f>(263.57)*10.764</f>
        <v>2837.0674799999997</v>
      </c>
      <c r="E224" s="92">
        <v>0</v>
      </c>
      <c r="F224" s="92">
        <f t="shared" ref="F224:F225" si="3">D224+(IF(E224&lt;201,E224,IF(E224&lt;301,E224/2,E224/3)))</f>
        <v>2837.0674799999997</v>
      </c>
      <c r="G224" s="92">
        <v>0</v>
      </c>
      <c r="H224" s="92">
        <f>(F224+(IF(G224&lt;101,G224,IF(G224&lt;201,G224/2,IF(G224&lt;=301,G224/3,G224/4)))))*(($H$214)+1)</f>
        <v>4255.6012199999996</v>
      </c>
      <c r="I224" s="33"/>
      <c r="L224" s="184"/>
      <c r="M224" s="184"/>
      <c r="N224" s="33"/>
      <c r="T224" s="18"/>
    </row>
    <row r="225" spans="1:20" s="88" customFormat="1" ht="15.75" customHeight="1" x14ac:dyDescent="0.25">
      <c r="A225" s="113">
        <v>2</v>
      </c>
      <c r="B225" s="114"/>
      <c r="C225" s="92" t="s">
        <v>391</v>
      </c>
      <c r="D225" s="104">
        <f>(98.86)*10.764</f>
        <v>1064.12904</v>
      </c>
      <c r="E225" s="92">
        <v>0</v>
      </c>
      <c r="F225" s="92">
        <f t="shared" si="3"/>
        <v>1064.12904</v>
      </c>
      <c r="G225" s="92">
        <v>0</v>
      </c>
      <c r="H225" s="92">
        <f>(F225+(IF(G225&lt;101,G225,IF(G225&lt;201,G225/2,IF(G225&lt;=301,G225/3,G225/4)))))*(($H$214)+1)</f>
        <v>1596.1935600000002</v>
      </c>
      <c r="I225" s="33"/>
      <c r="L225" s="184"/>
      <c r="M225" s="184"/>
      <c r="N225" s="33"/>
      <c r="T225" s="32"/>
    </row>
    <row r="226" spans="1:20" s="88" customFormat="1" ht="15.75" customHeight="1" x14ac:dyDescent="0.25">
      <c r="A226" s="124" t="s">
        <v>463</v>
      </c>
      <c r="B226" s="125"/>
      <c r="C226" s="125"/>
      <c r="D226" s="125"/>
      <c r="E226" s="125"/>
      <c r="F226" s="125"/>
      <c r="G226" s="125"/>
      <c r="H226" s="126"/>
      <c r="I226" s="33"/>
      <c r="L226" s="184"/>
      <c r="M226" s="184"/>
      <c r="N226" s="33"/>
      <c r="T226" s="31"/>
    </row>
    <row r="227" spans="1:20" s="88" customFormat="1" ht="15.75" customHeight="1" x14ac:dyDescent="0.25">
      <c r="A227" s="113">
        <v>1</v>
      </c>
      <c r="B227" s="114"/>
      <c r="C227" s="87" t="s">
        <v>391</v>
      </c>
      <c r="D227" s="104">
        <f>(263.57)*10.764</f>
        <v>2837.0674799999997</v>
      </c>
      <c r="E227" s="87">
        <v>0</v>
      </c>
      <c r="F227" s="87">
        <f>D227+(IF(E227&lt;201,E227,IF(E227&lt;301,E227/2,E227/3)))</f>
        <v>2837.0674799999997</v>
      </c>
      <c r="G227" s="87">
        <v>0</v>
      </c>
      <c r="H227" s="87">
        <f>(F227+(IF(G227&lt;101,G227,IF(G227&lt;201,G227/2,IF(G227&lt;=301,G227/3,G227/4)))))*(($H$214)+1)</f>
        <v>4255.6012199999996</v>
      </c>
      <c r="I227" s="33"/>
      <c r="L227" s="184"/>
      <c r="M227" s="184"/>
      <c r="N227" s="33"/>
      <c r="T227" s="18"/>
    </row>
    <row r="228" spans="1:20" s="88" customFormat="1" ht="15.75" customHeight="1" x14ac:dyDescent="0.25">
      <c r="A228" s="113">
        <v>2</v>
      </c>
      <c r="B228" s="114"/>
      <c r="C228" s="87" t="s">
        <v>391</v>
      </c>
      <c r="D228" s="104">
        <f>(98.86)*10.764</f>
        <v>1064.12904</v>
      </c>
      <c r="E228" s="87">
        <v>0</v>
      </c>
      <c r="F228" s="87">
        <f>D228+(IF(E228&lt;201,E228,IF(E228&lt;301,E228/2,E228/3)))</f>
        <v>1064.12904</v>
      </c>
      <c r="G228" s="87">
        <v>0</v>
      </c>
      <c r="H228" s="87">
        <f>(F228+(IF(G228&lt;101,G228,IF(G228&lt;201,G228/2,IF(G228&lt;=301,G228/3,G228/4)))))*(($H$214)+1)</f>
        <v>1596.1935600000002</v>
      </c>
      <c r="I228" s="33"/>
      <c r="L228" s="184"/>
      <c r="M228" s="184"/>
      <c r="N228" s="33"/>
      <c r="T228" s="18"/>
    </row>
    <row r="229" spans="1:20" s="88" customFormat="1" ht="15.75" customHeight="1" x14ac:dyDescent="0.25">
      <c r="A229" s="143" t="s">
        <v>394</v>
      </c>
      <c r="B229" s="144"/>
      <c r="C229" s="144"/>
      <c r="D229" s="144"/>
      <c r="E229" s="144"/>
      <c r="F229" s="144"/>
      <c r="G229" s="144"/>
      <c r="H229" s="145"/>
      <c r="I229" s="33"/>
      <c r="L229" s="184"/>
      <c r="M229" s="184"/>
      <c r="N229" s="33"/>
      <c r="T229" s="32"/>
    </row>
    <row r="230" spans="1:20" s="88" customFormat="1" ht="15.75" customHeight="1" x14ac:dyDescent="0.25">
      <c r="A230" s="124" t="s">
        <v>430</v>
      </c>
      <c r="B230" s="125"/>
      <c r="C230" s="125"/>
      <c r="D230" s="125"/>
      <c r="E230" s="125"/>
      <c r="F230" s="125"/>
      <c r="G230" s="125"/>
      <c r="H230" s="126"/>
      <c r="I230" s="33"/>
      <c r="L230" s="184"/>
      <c r="M230" s="184"/>
      <c r="N230" s="33"/>
      <c r="T230" s="31"/>
    </row>
    <row r="231" spans="1:20" s="88" customFormat="1" ht="15.75" customHeight="1" x14ac:dyDescent="0.25">
      <c r="A231" s="113">
        <v>6</v>
      </c>
      <c r="B231" s="114"/>
      <c r="C231" s="87" t="s">
        <v>391</v>
      </c>
      <c r="D231" s="104">
        <f>(48.07)*10.764</f>
        <v>517.42547999999999</v>
      </c>
      <c r="E231" s="87">
        <v>0</v>
      </c>
      <c r="F231" s="87">
        <f t="shared" si="2"/>
        <v>517.42547999999999</v>
      </c>
      <c r="G231" s="87">
        <v>0</v>
      </c>
      <c r="H231" s="87">
        <f t="shared" ref="H231:H236" si="4">(F231+(IF(G231&lt;101,G231,IF(G231&lt;201,G231/2,IF(G231&lt;=301,G231/3,G231/4)))))*(($H$214)+1)</f>
        <v>776.13822000000005</v>
      </c>
      <c r="I231" s="33"/>
      <c r="J231" s="88">
        <f>10000/1.45</f>
        <v>6896.5517241379312</v>
      </c>
      <c r="L231" s="184"/>
      <c r="M231" s="184"/>
      <c r="N231" s="33"/>
      <c r="T231" s="18"/>
    </row>
    <row r="232" spans="1:20" s="88" customFormat="1" ht="15.75" customHeight="1" x14ac:dyDescent="0.25">
      <c r="A232" s="113">
        <v>7</v>
      </c>
      <c r="B232" s="114"/>
      <c r="C232" s="87" t="s">
        <v>391</v>
      </c>
      <c r="D232" s="104">
        <f>(50.52)*10.764</f>
        <v>543.79728</v>
      </c>
      <c r="E232" s="87">
        <v>0</v>
      </c>
      <c r="F232" s="87">
        <f t="shared" si="2"/>
        <v>543.79728</v>
      </c>
      <c r="G232" s="87">
        <v>0</v>
      </c>
      <c r="H232" s="87">
        <f t="shared" si="4"/>
        <v>815.69592</v>
      </c>
      <c r="I232" s="33"/>
      <c r="L232" s="184"/>
      <c r="M232" s="184"/>
      <c r="N232" s="33"/>
      <c r="T232" s="18"/>
    </row>
    <row r="233" spans="1:20" s="88" customFormat="1" ht="15.75" customHeight="1" x14ac:dyDescent="0.25">
      <c r="A233" s="113">
        <v>8</v>
      </c>
      <c r="B233" s="114"/>
      <c r="C233" s="87" t="s">
        <v>391</v>
      </c>
      <c r="D233" s="104">
        <f>(46.16)*10.764</f>
        <v>496.86623999999995</v>
      </c>
      <c r="E233" s="87">
        <v>0</v>
      </c>
      <c r="F233" s="87">
        <f t="shared" si="2"/>
        <v>496.86623999999995</v>
      </c>
      <c r="G233" s="87">
        <v>0</v>
      </c>
      <c r="H233" s="87">
        <f t="shared" si="4"/>
        <v>745.29935999999998</v>
      </c>
      <c r="I233" s="33"/>
      <c r="L233" s="184"/>
      <c r="M233" s="184"/>
      <c r="N233" s="33"/>
      <c r="T233" s="32"/>
    </row>
    <row r="234" spans="1:20" s="88" customFormat="1" x14ac:dyDescent="0.25">
      <c r="A234" s="113">
        <v>9</v>
      </c>
      <c r="B234" s="114"/>
      <c r="C234" s="87" t="s">
        <v>391</v>
      </c>
      <c r="D234" s="104">
        <f>(51.7)*10.764</f>
        <v>556.49879999999996</v>
      </c>
      <c r="E234" s="87">
        <v>0</v>
      </c>
      <c r="F234" s="87">
        <f t="shared" si="2"/>
        <v>556.49879999999996</v>
      </c>
      <c r="G234" s="87">
        <v>0</v>
      </c>
      <c r="H234" s="87">
        <f t="shared" si="4"/>
        <v>834.7482</v>
      </c>
      <c r="J234" s="33"/>
      <c r="T234" s="32"/>
    </row>
    <row r="235" spans="1:20" s="88" customFormat="1" ht="15.75" customHeight="1" x14ac:dyDescent="0.25">
      <c r="A235" s="113">
        <v>10</v>
      </c>
      <c r="B235" s="114"/>
      <c r="C235" s="87" t="s">
        <v>391</v>
      </c>
      <c r="D235" s="104">
        <f>(56.69)*10.764</f>
        <v>610.21115999999995</v>
      </c>
      <c r="E235" s="87">
        <v>0</v>
      </c>
      <c r="F235" s="87">
        <f t="shared" si="2"/>
        <v>610.21115999999995</v>
      </c>
      <c r="G235" s="87">
        <v>0</v>
      </c>
      <c r="H235" s="87">
        <f t="shared" si="4"/>
        <v>915.31673999999998</v>
      </c>
      <c r="L235" s="184"/>
      <c r="M235" s="184"/>
      <c r="N235" s="33"/>
      <c r="T235" s="32"/>
    </row>
    <row r="236" spans="1:20" s="88" customFormat="1" ht="15.75" customHeight="1" x14ac:dyDescent="0.25">
      <c r="A236" s="113">
        <v>11</v>
      </c>
      <c r="B236" s="114"/>
      <c r="C236" s="87" t="s">
        <v>391</v>
      </c>
      <c r="D236" s="104">
        <f>(57.36)*10.764</f>
        <v>617.4230399999999</v>
      </c>
      <c r="E236" s="87">
        <v>0</v>
      </c>
      <c r="F236" s="87">
        <f t="shared" si="2"/>
        <v>617.4230399999999</v>
      </c>
      <c r="G236" s="87">
        <v>0</v>
      </c>
      <c r="H236" s="87">
        <f t="shared" si="4"/>
        <v>926.13455999999985</v>
      </c>
      <c r="I236" s="33"/>
      <c r="L236" s="184"/>
      <c r="M236" s="184"/>
      <c r="N236" s="33"/>
      <c r="T236" s="31"/>
    </row>
    <row r="237" spans="1:20" s="88" customFormat="1" ht="15.75" customHeight="1" x14ac:dyDescent="0.25">
      <c r="A237" s="124" t="s">
        <v>462</v>
      </c>
      <c r="B237" s="125"/>
      <c r="C237" s="125"/>
      <c r="D237" s="125"/>
      <c r="E237" s="125"/>
      <c r="F237" s="125"/>
      <c r="G237" s="125"/>
      <c r="H237" s="126"/>
      <c r="I237" s="33"/>
      <c r="L237" s="184"/>
      <c r="M237" s="184"/>
      <c r="N237" s="33"/>
      <c r="T237" s="18"/>
    </row>
    <row r="238" spans="1:20" s="88" customFormat="1" ht="15.75" customHeight="1" x14ac:dyDescent="0.25">
      <c r="A238" s="113">
        <v>3</v>
      </c>
      <c r="B238" s="114"/>
      <c r="C238" s="87" t="s">
        <v>391</v>
      </c>
      <c r="D238" s="104">
        <f>(146.3)*10.764</f>
        <v>1574.7732000000001</v>
      </c>
      <c r="E238" s="87">
        <v>0</v>
      </c>
      <c r="F238" s="87">
        <f>D238+(IF(E238&lt;201,E238,IF(E238&lt;301,E238/2,E238/3)))</f>
        <v>1574.7732000000001</v>
      </c>
      <c r="G238" s="87">
        <v>0</v>
      </c>
      <c r="H238" s="87">
        <f>(F238+(IF(G238&lt;101,G238,IF(G238&lt;201,G238/2,IF(G238&lt;=301,G238/3,G238/4)))))*(($H$214)+1)</f>
        <v>2362.1598000000004</v>
      </c>
      <c r="I238" s="33"/>
      <c r="L238" s="184"/>
      <c r="M238" s="184"/>
      <c r="N238" s="33"/>
      <c r="T238" s="18"/>
    </row>
    <row r="239" spans="1:20" s="88" customFormat="1" ht="15.75" customHeight="1" x14ac:dyDescent="0.25">
      <c r="A239" s="113">
        <v>4</v>
      </c>
      <c r="B239" s="114"/>
      <c r="C239" s="87" t="s">
        <v>391</v>
      </c>
      <c r="D239" s="104">
        <f>(167.58)*10.764</f>
        <v>1803.8311200000001</v>
      </c>
      <c r="E239" s="87">
        <v>0</v>
      </c>
      <c r="F239" s="87">
        <f>D239+(IF(E239&lt;201,E239,IF(E239&lt;301,E239/2,E239/3)))</f>
        <v>1803.8311200000001</v>
      </c>
      <c r="G239" s="87">
        <v>0</v>
      </c>
      <c r="H239" s="87">
        <f>(F239+(IF(G239&lt;101,G239,IF(G239&lt;201,G239/2,IF(G239&lt;=301,G239/3,G239/4)))))*(($H$214)+1)</f>
        <v>2705.7466800000002</v>
      </c>
      <c r="I239" s="33"/>
      <c r="L239" s="184"/>
      <c r="M239" s="184"/>
      <c r="N239" s="33"/>
      <c r="T239" s="32"/>
    </row>
    <row r="240" spans="1:20" s="88" customFormat="1" ht="15.75" customHeight="1" x14ac:dyDescent="0.25">
      <c r="A240" s="124" t="s">
        <v>463</v>
      </c>
      <c r="B240" s="125"/>
      <c r="C240" s="125"/>
      <c r="D240" s="125"/>
      <c r="E240" s="125"/>
      <c r="F240" s="125"/>
      <c r="G240" s="125"/>
      <c r="H240" s="126"/>
      <c r="I240" s="33"/>
      <c r="L240" s="184"/>
      <c r="M240" s="184"/>
      <c r="N240" s="33"/>
      <c r="T240" s="31"/>
    </row>
    <row r="241" spans="1:20" s="88" customFormat="1" x14ac:dyDescent="0.25">
      <c r="A241" s="113">
        <v>3</v>
      </c>
      <c r="B241" s="114"/>
      <c r="C241" s="87" t="s">
        <v>391</v>
      </c>
      <c r="D241" s="104">
        <f>(146.3)*10.764</f>
        <v>1574.7732000000001</v>
      </c>
      <c r="E241" s="87">
        <v>0</v>
      </c>
      <c r="F241" s="87">
        <f>D241+(IF(E241&lt;201,E241,IF(E241&lt;301,E241/2,E241/3)))</f>
        <v>1574.7732000000001</v>
      </c>
      <c r="G241" s="87">
        <v>0</v>
      </c>
      <c r="H241" s="87">
        <f>(F241+(IF(G241&lt;101,G241,IF(G241&lt;201,G241/2,IF(G241&lt;=301,G241/3,G241/4)))))*(($H$214)+1)</f>
        <v>2362.1598000000004</v>
      </c>
      <c r="J241" s="33"/>
      <c r="T241" s="32"/>
    </row>
    <row r="242" spans="1:20" s="88" customFormat="1" ht="15.75" customHeight="1" x14ac:dyDescent="0.25">
      <c r="A242" s="113">
        <v>4</v>
      </c>
      <c r="B242" s="114"/>
      <c r="C242" s="87" t="s">
        <v>391</v>
      </c>
      <c r="D242" s="104">
        <f>(167.58)*10.764</f>
        <v>1803.8311200000001</v>
      </c>
      <c r="E242" s="87">
        <v>0</v>
      </c>
      <c r="F242" s="87">
        <f>D242+(IF(E242&lt;201,E242,IF(E242&lt;301,E242/2,E242/3)))</f>
        <v>1803.8311200000001</v>
      </c>
      <c r="G242" s="87">
        <v>0</v>
      </c>
      <c r="H242" s="87">
        <f>(F242+(IF(G242&lt;101,G242,IF(G242&lt;201,G242/2,IF(G242&lt;=301,G242/3,G242/4)))))*(($H$214)+1)</f>
        <v>2705.7466800000002</v>
      </c>
      <c r="L242" s="184"/>
      <c r="M242" s="184"/>
      <c r="N242" s="33"/>
      <c r="T242" s="32"/>
    </row>
    <row r="243" spans="1:20" s="88" customFormat="1" ht="15.75" customHeight="1" x14ac:dyDescent="0.25">
      <c r="A243" s="143" t="s">
        <v>395</v>
      </c>
      <c r="B243" s="144"/>
      <c r="C243" s="144"/>
      <c r="D243" s="144"/>
      <c r="E243" s="144"/>
      <c r="F243" s="144"/>
      <c r="G243" s="144"/>
      <c r="H243" s="145"/>
      <c r="I243" s="33"/>
      <c r="L243" s="184"/>
      <c r="M243" s="184"/>
      <c r="N243" s="33"/>
      <c r="T243" s="31"/>
    </row>
    <row r="244" spans="1:20" s="88" customFormat="1" ht="15.75" customHeight="1" x14ac:dyDescent="0.25">
      <c r="A244" s="124" t="s">
        <v>430</v>
      </c>
      <c r="B244" s="125"/>
      <c r="C244" s="125"/>
      <c r="D244" s="125"/>
      <c r="E244" s="125"/>
      <c r="F244" s="125"/>
      <c r="G244" s="125"/>
      <c r="H244" s="126"/>
      <c r="I244" s="33"/>
      <c r="L244" s="184"/>
      <c r="M244" s="184"/>
      <c r="N244" s="33"/>
      <c r="T244" s="18"/>
    </row>
    <row r="245" spans="1:20" s="88" customFormat="1" ht="15.75" customHeight="1" x14ac:dyDescent="0.25">
      <c r="A245" s="113">
        <v>12</v>
      </c>
      <c r="B245" s="114"/>
      <c r="C245" s="87" t="s">
        <v>391</v>
      </c>
      <c r="D245" s="104">
        <f>(57.12)*10.764</f>
        <v>614.83967999999993</v>
      </c>
      <c r="E245" s="87">
        <v>0</v>
      </c>
      <c r="F245" s="87">
        <f t="shared" si="2"/>
        <v>614.83967999999993</v>
      </c>
      <c r="G245" s="87">
        <v>0</v>
      </c>
      <c r="H245" s="87">
        <f t="shared" ref="H245:H250" si="5">(F245+(IF(G245&lt;101,G245,IF(G245&lt;201,G245/2,IF(G245&lt;=301,G245/3,G245/4)))))*(($H$214)+1)</f>
        <v>922.25951999999984</v>
      </c>
      <c r="I245" s="33"/>
      <c r="L245" s="184"/>
      <c r="M245" s="184"/>
      <c r="N245" s="33"/>
      <c r="T245" s="31"/>
    </row>
    <row r="246" spans="1:20" s="88" customFormat="1" x14ac:dyDescent="0.25">
      <c r="A246" s="113">
        <v>13</v>
      </c>
      <c r="B246" s="114"/>
      <c r="C246" s="87" t="s">
        <v>391</v>
      </c>
      <c r="D246" s="104">
        <f>(74.59)*10.764</f>
        <v>802.88675999999998</v>
      </c>
      <c r="E246" s="87">
        <v>0</v>
      </c>
      <c r="F246" s="87">
        <f t="shared" si="2"/>
        <v>802.88675999999998</v>
      </c>
      <c r="G246" s="87">
        <v>0</v>
      </c>
      <c r="H246" s="87">
        <f t="shared" si="5"/>
        <v>1204.33014</v>
      </c>
      <c r="J246" s="33"/>
      <c r="T246" s="32"/>
    </row>
    <row r="247" spans="1:20" s="88" customFormat="1" x14ac:dyDescent="0.25">
      <c r="A247" s="113">
        <v>14</v>
      </c>
      <c r="B247" s="114"/>
      <c r="C247" s="87" t="s">
        <v>391</v>
      </c>
      <c r="D247" s="104">
        <f>(44.7)*10.764</f>
        <v>481.1508</v>
      </c>
      <c r="E247" s="87">
        <v>0</v>
      </c>
      <c r="F247" s="87">
        <f t="shared" si="2"/>
        <v>481.1508</v>
      </c>
      <c r="G247" s="87">
        <v>0</v>
      </c>
      <c r="H247" s="87">
        <f t="shared" si="5"/>
        <v>721.72620000000006</v>
      </c>
      <c r="J247" s="33"/>
      <c r="T247" s="32"/>
    </row>
    <row r="248" spans="1:20" s="88" customFormat="1" ht="15.75" customHeight="1" x14ac:dyDescent="0.25">
      <c r="A248" s="113">
        <v>15</v>
      </c>
      <c r="B248" s="114"/>
      <c r="C248" s="87" t="s">
        <v>391</v>
      </c>
      <c r="D248" s="104">
        <f>(78.78)*10.764</f>
        <v>847.98791999999992</v>
      </c>
      <c r="E248" s="87">
        <v>0</v>
      </c>
      <c r="F248" s="87">
        <f t="shared" si="2"/>
        <v>847.98791999999992</v>
      </c>
      <c r="G248" s="87">
        <v>0</v>
      </c>
      <c r="H248" s="87">
        <f t="shared" si="5"/>
        <v>1271.9818799999998</v>
      </c>
      <c r="I248" s="33"/>
      <c r="L248" s="184"/>
      <c r="M248" s="184"/>
      <c r="N248" s="33"/>
      <c r="T248" s="32"/>
    </row>
    <row r="249" spans="1:20" s="88" customFormat="1" ht="15.75" customHeight="1" x14ac:dyDescent="0.25">
      <c r="A249" s="113">
        <v>16</v>
      </c>
      <c r="B249" s="114"/>
      <c r="C249" s="87" t="s">
        <v>391</v>
      </c>
      <c r="D249" s="104">
        <f>(63.37)*10.764</f>
        <v>682.11467999999991</v>
      </c>
      <c r="E249" s="87">
        <v>0</v>
      </c>
      <c r="F249" s="87">
        <f t="shared" si="2"/>
        <v>682.11467999999991</v>
      </c>
      <c r="G249" s="87">
        <v>0</v>
      </c>
      <c r="H249" s="87">
        <f t="shared" si="5"/>
        <v>1023.1720199999999</v>
      </c>
      <c r="I249" s="33"/>
      <c r="L249" s="184"/>
      <c r="M249" s="184"/>
      <c r="N249" s="33"/>
      <c r="T249" s="31"/>
    </row>
    <row r="250" spans="1:20" s="88" customFormat="1" ht="15.75" customHeight="1" x14ac:dyDescent="0.25">
      <c r="A250" s="113">
        <v>17</v>
      </c>
      <c r="B250" s="114"/>
      <c r="C250" s="87" t="s">
        <v>391</v>
      </c>
      <c r="D250" s="104">
        <f>(253.27)*10.764</f>
        <v>2726.1982800000001</v>
      </c>
      <c r="E250" s="87">
        <v>0</v>
      </c>
      <c r="F250" s="87">
        <f t="shared" si="2"/>
        <v>2726.1982800000001</v>
      </c>
      <c r="G250" s="87">
        <v>0</v>
      </c>
      <c r="H250" s="87">
        <f t="shared" si="5"/>
        <v>4089.2974199999999</v>
      </c>
      <c r="I250" s="33"/>
      <c r="L250" s="184"/>
      <c r="M250" s="184"/>
      <c r="N250" s="33"/>
      <c r="T250" s="18"/>
    </row>
    <row r="251" spans="1:20" s="88" customFormat="1" ht="15.75" customHeight="1" x14ac:dyDescent="0.25">
      <c r="A251" s="124" t="s">
        <v>462</v>
      </c>
      <c r="B251" s="125"/>
      <c r="C251" s="125"/>
      <c r="D251" s="125"/>
      <c r="E251" s="125"/>
      <c r="F251" s="125"/>
      <c r="G251" s="125"/>
      <c r="H251" s="126"/>
      <c r="I251" s="33"/>
      <c r="L251" s="184"/>
      <c r="M251" s="184"/>
      <c r="N251" s="33"/>
      <c r="T251" s="18"/>
    </row>
    <row r="252" spans="1:20" s="88" customFormat="1" ht="15.75" customHeight="1" x14ac:dyDescent="0.25">
      <c r="A252" s="113">
        <v>5</v>
      </c>
      <c r="B252" s="114"/>
      <c r="C252" s="87" t="s">
        <v>391</v>
      </c>
      <c r="D252" s="104">
        <f>(132.39)*10.764</f>
        <v>1425.0459599999997</v>
      </c>
      <c r="E252" s="87">
        <v>0</v>
      </c>
      <c r="F252" s="87">
        <f t="shared" ref="F252:F253" si="6">D252+(IF(E252&lt;201,E252,IF(E252&lt;301,E252/2,E252/3)))</f>
        <v>1425.0459599999997</v>
      </c>
      <c r="G252" s="87">
        <v>0</v>
      </c>
      <c r="H252" s="87">
        <f>(F252+(IF(G252&lt;101,G252,IF(G252&lt;201,G252/2,IF(G252&lt;=301,G252/3,G252/4)))))*(($H$214)+1)</f>
        <v>2137.5689399999997</v>
      </c>
      <c r="I252" s="33"/>
      <c r="L252" s="184"/>
      <c r="M252" s="184"/>
      <c r="N252" s="33"/>
      <c r="T252" s="32"/>
    </row>
    <row r="253" spans="1:20" s="88" customFormat="1" ht="15.75" customHeight="1" x14ac:dyDescent="0.25">
      <c r="A253" s="113">
        <v>6</v>
      </c>
      <c r="B253" s="114"/>
      <c r="C253" s="87" t="s">
        <v>391</v>
      </c>
      <c r="D253" s="104">
        <f>(465.78)*10.764</f>
        <v>5013.6559199999992</v>
      </c>
      <c r="E253" s="87">
        <v>0</v>
      </c>
      <c r="F253" s="87">
        <f t="shared" si="6"/>
        <v>5013.6559199999992</v>
      </c>
      <c r="G253" s="87">
        <v>0</v>
      </c>
      <c r="H253" s="87">
        <f>(F253+(IF(G253&lt;101,G253,IF(G253&lt;201,G253/2,IF(G253&lt;=301,G253/3,G253/4)))))*(($H$214)+1)</f>
        <v>7520.4838799999989</v>
      </c>
      <c r="I253" s="33"/>
      <c r="L253" s="184"/>
      <c r="M253" s="184"/>
      <c r="N253" s="33"/>
      <c r="T253" s="31"/>
    </row>
    <row r="254" spans="1:20" s="88" customFormat="1" ht="15.75" customHeight="1" x14ac:dyDescent="0.25">
      <c r="A254" s="124" t="s">
        <v>463</v>
      </c>
      <c r="B254" s="125"/>
      <c r="C254" s="125"/>
      <c r="D254" s="125"/>
      <c r="E254" s="125"/>
      <c r="F254" s="125"/>
      <c r="G254" s="125"/>
      <c r="H254" s="126"/>
      <c r="I254" s="33"/>
      <c r="L254" s="184"/>
      <c r="M254" s="184"/>
      <c r="N254" s="33"/>
      <c r="T254" s="18"/>
    </row>
    <row r="255" spans="1:20" s="88" customFormat="1" ht="15.75" customHeight="1" x14ac:dyDescent="0.25">
      <c r="A255" s="113">
        <v>5</v>
      </c>
      <c r="B255" s="114"/>
      <c r="C255" s="87" t="s">
        <v>391</v>
      </c>
      <c r="D255" s="104">
        <f>(132.36)*10.764</f>
        <v>1424.7230400000001</v>
      </c>
      <c r="E255" s="87">
        <v>0</v>
      </c>
      <c r="F255" s="87">
        <f t="shared" ref="F255:F256" si="7">D255+(IF(E255&lt;201,E255,IF(E255&lt;301,E255/2,E255/3)))</f>
        <v>1424.7230400000001</v>
      </c>
      <c r="G255" s="87">
        <v>0</v>
      </c>
      <c r="H255" s="87">
        <f>(F255+(IF(G255&lt;101,G255,IF(G255&lt;201,G255/2,IF(G255&lt;=301,G255/3,G255/4)))))*(($H$214)+1)</f>
        <v>2137.0845600000002</v>
      </c>
      <c r="I255" s="33"/>
      <c r="L255" s="184"/>
      <c r="M255" s="184"/>
      <c r="N255" s="33"/>
      <c r="T255" s="18"/>
    </row>
    <row r="256" spans="1:20" s="88" customFormat="1" ht="15.75" customHeight="1" x14ac:dyDescent="0.25">
      <c r="A256" s="113">
        <v>6</v>
      </c>
      <c r="B256" s="114"/>
      <c r="C256" s="87" t="s">
        <v>391</v>
      </c>
      <c r="D256" s="104">
        <f>(465.78)*10.764</f>
        <v>5013.6559199999992</v>
      </c>
      <c r="E256" s="87">
        <v>0</v>
      </c>
      <c r="F256" s="87">
        <f t="shared" si="7"/>
        <v>5013.6559199999992</v>
      </c>
      <c r="G256" s="87">
        <v>0</v>
      </c>
      <c r="H256" s="87">
        <f>(F256+(IF(G256&lt;101,G256,IF(G256&lt;201,G256/2,IF(G256&lt;=301,G256/3,G256/4)))))*(($H$214)+1)</f>
        <v>7520.4838799999989</v>
      </c>
      <c r="I256" s="33"/>
      <c r="L256" s="184"/>
      <c r="M256" s="184"/>
      <c r="N256" s="33"/>
      <c r="T256" s="32"/>
    </row>
    <row r="257" spans="1:20" s="88" customFormat="1" ht="15.75" customHeight="1" x14ac:dyDescent="0.25">
      <c r="A257" s="143" t="s">
        <v>392</v>
      </c>
      <c r="B257" s="144"/>
      <c r="C257" s="144"/>
      <c r="D257" s="144"/>
      <c r="E257" s="144"/>
      <c r="F257" s="144"/>
      <c r="G257" s="144"/>
      <c r="H257" s="145"/>
      <c r="I257" s="33"/>
      <c r="L257" s="184"/>
      <c r="M257" s="184"/>
      <c r="N257" s="33"/>
      <c r="T257" s="31"/>
    </row>
    <row r="258" spans="1:20" s="34" customFormat="1" x14ac:dyDescent="0.25">
      <c r="A258" s="124" t="s">
        <v>430</v>
      </c>
      <c r="B258" s="125"/>
      <c r="C258" s="125"/>
      <c r="D258" s="125"/>
      <c r="E258" s="125"/>
      <c r="F258" s="125"/>
      <c r="G258" s="125"/>
      <c r="H258" s="126"/>
      <c r="I258" s="33">
        <f>7.3*3.3</f>
        <v>24.09</v>
      </c>
      <c r="N258" s="33"/>
    </row>
    <row r="259" spans="1:20" x14ac:dyDescent="0.25">
      <c r="A259" s="113">
        <v>18</v>
      </c>
      <c r="B259" s="114"/>
      <c r="C259" s="87" t="s">
        <v>391</v>
      </c>
      <c r="D259" s="104">
        <f>(24.05)*10.764</f>
        <v>258.87419999999997</v>
      </c>
      <c r="E259" s="87">
        <v>0</v>
      </c>
      <c r="F259" s="87">
        <f t="shared" ref="F259:F268" si="8">D259+(IF(E259&lt;201,E259,IF(E259&lt;301,E259/2,E259/3)))</f>
        <v>258.87419999999997</v>
      </c>
      <c r="G259" s="87">
        <v>0</v>
      </c>
      <c r="H259" s="87">
        <f t="shared" ref="H259:H268" si="9">(F259+(IF(G259&lt;101,G259,IF(G259&lt;201,G259/2,IF(G259&lt;=301,G259/3,G259/4)))))*(($H$214)+1)</f>
        <v>388.31129999999996</v>
      </c>
      <c r="I259" s="33"/>
      <c r="T259" s="34"/>
    </row>
    <row r="260" spans="1:20" s="34" customFormat="1" x14ac:dyDescent="0.25">
      <c r="A260" s="113">
        <v>19</v>
      </c>
      <c r="B260" s="114"/>
      <c r="C260" s="87" t="s">
        <v>391</v>
      </c>
      <c r="D260" s="104">
        <f>(22.37)*10.764</f>
        <v>240.79068000000001</v>
      </c>
      <c r="E260" s="87">
        <v>0</v>
      </c>
      <c r="F260" s="87">
        <f t="shared" si="8"/>
        <v>240.79068000000001</v>
      </c>
      <c r="G260" s="87">
        <v>0</v>
      </c>
      <c r="H260" s="87">
        <f t="shared" si="9"/>
        <v>361.18601999999998</v>
      </c>
      <c r="I260" s="33"/>
    </row>
    <row r="261" spans="1:20" s="88" customFormat="1" x14ac:dyDescent="0.25">
      <c r="A261" s="113">
        <v>20</v>
      </c>
      <c r="B261" s="114"/>
      <c r="C261" s="87" t="s">
        <v>391</v>
      </c>
      <c r="D261" s="104">
        <f>(19.99)*10.764</f>
        <v>215.17235999999997</v>
      </c>
      <c r="E261" s="87">
        <v>0</v>
      </c>
      <c r="F261" s="87">
        <f t="shared" si="8"/>
        <v>215.17235999999997</v>
      </c>
      <c r="G261" s="87">
        <v>0</v>
      </c>
      <c r="H261" s="87">
        <f t="shared" si="9"/>
        <v>322.75853999999993</v>
      </c>
      <c r="J261" s="33"/>
    </row>
    <row r="262" spans="1:20" s="88" customFormat="1" ht="15.75" customHeight="1" x14ac:dyDescent="0.25">
      <c r="A262" s="113">
        <v>21</v>
      </c>
      <c r="B262" s="114"/>
      <c r="C262" s="87" t="s">
        <v>391</v>
      </c>
      <c r="D262" s="104">
        <f>(19.99)*10.764</f>
        <v>215.17235999999997</v>
      </c>
      <c r="E262" s="87">
        <v>0</v>
      </c>
      <c r="F262" s="87">
        <f t="shared" si="8"/>
        <v>215.17235999999997</v>
      </c>
      <c r="G262" s="87">
        <v>0</v>
      </c>
      <c r="H262" s="87">
        <f t="shared" si="9"/>
        <v>322.75853999999993</v>
      </c>
      <c r="J262" s="33"/>
    </row>
    <row r="263" spans="1:20" s="88" customFormat="1" ht="15.75" customHeight="1" x14ac:dyDescent="0.25">
      <c r="A263" s="113">
        <v>22</v>
      </c>
      <c r="B263" s="114"/>
      <c r="C263" s="87" t="s">
        <v>391</v>
      </c>
      <c r="D263" s="104">
        <f>(19.99)*10.764</f>
        <v>215.17235999999997</v>
      </c>
      <c r="E263" s="87">
        <v>0</v>
      </c>
      <c r="F263" s="87">
        <f t="shared" si="8"/>
        <v>215.17235999999997</v>
      </c>
      <c r="G263" s="87">
        <v>0</v>
      </c>
      <c r="H263" s="87">
        <f t="shared" si="9"/>
        <v>322.75853999999993</v>
      </c>
      <c r="I263" s="90">
        <f>3.2*5.5+2.3*2.9+3.05*3.9+3.05*3.8+3.45*3.05+2*(2.15*1.3)+1.3*2.45+1.4*1.4+6.2*1+1.45*1+1.3*1.3</f>
        <v>78.352499999999992</v>
      </c>
      <c r="L263" s="184"/>
      <c r="M263" s="184"/>
      <c r="N263" s="33"/>
      <c r="T263" s="18"/>
    </row>
    <row r="264" spans="1:20" s="88" customFormat="1" ht="15.75" customHeight="1" x14ac:dyDescent="0.25">
      <c r="A264" s="113">
        <v>23</v>
      </c>
      <c r="B264" s="114"/>
      <c r="C264" s="87" t="s">
        <v>391</v>
      </c>
      <c r="D264" s="104">
        <f>(14.89)*10.764</f>
        <v>160.27596</v>
      </c>
      <c r="E264" s="87">
        <v>0</v>
      </c>
      <c r="F264" s="87">
        <f t="shared" si="8"/>
        <v>160.27596</v>
      </c>
      <c r="G264" s="87">
        <v>0</v>
      </c>
      <c r="H264" s="87">
        <f t="shared" si="9"/>
        <v>240.41394</v>
      </c>
      <c r="I264" s="33"/>
      <c r="L264" s="184"/>
      <c r="M264" s="184"/>
      <c r="N264" s="33"/>
    </row>
    <row r="265" spans="1:20" s="88" customFormat="1" ht="15.75" customHeight="1" x14ac:dyDescent="0.25">
      <c r="A265" s="113">
        <v>24</v>
      </c>
      <c r="B265" s="114"/>
      <c r="C265" s="87" t="s">
        <v>391</v>
      </c>
      <c r="D265" s="104">
        <f>(19.99)*10.764</f>
        <v>215.17235999999997</v>
      </c>
      <c r="E265" s="87">
        <v>0</v>
      </c>
      <c r="F265" s="87">
        <f t="shared" si="8"/>
        <v>215.17235999999997</v>
      </c>
      <c r="G265" s="87">
        <v>0</v>
      </c>
      <c r="H265" s="87">
        <f t="shared" si="9"/>
        <v>322.75853999999993</v>
      </c>
      <c r="I265" s="33"/>
      <c r="L265" s="184"/>
      <c r="M265" s="184"/>
      <c r="N265" s="33"/>
    </row>
    <row r="266" spans="1:20" s="88" customFormat="1" ht="15.75" customHeight="1" x14ac:dyDescent="0.25">
      <c r="A266" s="113">
        <v>25</v>
      </c>
      <c r="B266" s="114"/>
      <c r="C266" s="87" t="s">
        <v>391</v>
      </c>
      <c r="D266" s="104">
        <f>(19.99)*10.764</f>
        <v>215.17235999999997</v>
      </c>
      <c r="E266" s="87">
        <v>0</v>
      </c>
      <c r="F266" s="87">
        <f t="shared" si="8"/>
        <v>215.17235999999997</v>
      </c>
      <c r="G266" s="87">
        <v>0</v>
      </c>
      <c r="H266" s="87">
        <f t="shared" si="9"/>
        <v>322.75853999999993</v>
      </c>
      <c r="I266" s="33"/>
      <c r="L266" s="184"/>
      <c r="M266" s="184"/>
      <c r="N266" s="33"/>
    </row>
    <row r="267" spans="1:20" s="88" customFormat="1" ht="15.75" customHeight="1" x14ac:dyDescent="0.25">
      <c r="A267" s="113">
        <v>26</v>
      </c>
      <c r="B267" s="114"/>
      <c r="C267" s="87" t="s">
        <v>391</v>
      </c>
      <c r="D267" s="104">
        <f>(21.73)*10.764</f>
        <v>233.90171999999998</v>
      </c>
      <c r="E267" s="87">
        <v>0</v>
      </c>
      <c r="F267" s="87">
        <f t="shared" si="8"/>
        <v>233.90171999999998</v>
      </c>
      <c r="G267" s="87">
        <v>0</v>
      </c>
      <c r="H267" s="87">
        <f t="shared" si="9"/>
        <v>350.85257999999999</v>
      </c>
      <c r="J267" s="33"/>
    </row>
    <row r="268" spans="1:20" s="88" customFormat="1" ht="15.75" customHeight="1" x14ac:dyDescent="0.25">
      <c r="A268" s="113">
        <v>27</v>
      </c>
      <c r="B268" s="114"/>
      <c r="C268" s="87" t="s">
        <v>391</v>
      </c>
      <c r="D268" s="104">
        <f>(24.356)*10.764</f>
        <v>262.16798399999999</v>
      </c>
      <c r="E268" s="87">
        <v>0</v>
      </c>
      <c r="F268" s="87">
        <f t="shared" si="8"/>
        <v>262.16798399999999</v>
      </c>
      <c r="G268" s="87">
        <v>0</v>
      </c>
      <c r="H268" s="87">
        <f t="shared" si="9"/>
        <v>393.25197600000001</v>
      </c>
      <c r="I268" s="90">
        <f>3.2*5.5+2.3*2.9+3.05*3.9+3.05*3.8+3.45*3.05+2*(2.15*1.3)+1.3*2.45+1.4*1.4+6.2*1+1.45*1+1.3*1.3</f>
        <v>78.352499999999992</v>
      </c>
      <c r="L268" s="184"/>
      <c r="M268" s="184"/>
      <c r="N268" s="33"/>
      <c r="T268" s="18"/>
    </row>
    <row r="269" spans="1:20" s="88" customFormat="1" x14ac:dyDescent="0.25">
      <c r="A269" s="292"/>
      <c r="B269" s="293"/>
      <c r="C269" s="293"/>
      <c r="D269" s="293"/>
      <c r="E269" s="293"/>
      <c r="F269" s="293"/>
      <c r="G269" s="293"/>
      <c r="H269" s="294"/>
      <c r="I269" s="33"/>
      <c r="L269" s="184"/>
      <c r="M269" s="184"/>
      <c r="N269" s="33"/>
    </row>
    <row r="270" spans="1:20" s="88" customFormat="1" ht="52.5" customHeight="1" x14ac:dyDescent="0.25">
      <c r="A270" s="282" t="s">
        <v>443</v>
      </c>
      <c r="B270" s="151" t="s">
        <v>165</v>
      </c>
      <c r="C270" s="151" t="s">
        <v>54</v>
      </c>
      <c r="D270" s="151" t="s">
        <v>446</v>
      </c>
      <c r="E270" s="151" t="s">
        <v>431</v>
      </c>
      <c r="F270" s="151" t="s">
        <v>55</v>
      </c>
      <c r="G270" s="141" t="s">
        <v>56</v>
      </c>
      <c r="H270" s="102" t="s">
        <v>140</v>
      </c>
      <c r="I270" s="33"/>
      <c r="L270" s="184"/>
      <c r="M270" s="184"/>
      <c r="N270" s="33"/>
    </row>
    <row r="271" spans="1:20" s="88" customFormat="1" ht="15.75" customHeight="1" x14ac:dyDescent="0.25">
      <c r="A271" s="283"/>
      <c r="B271" s="152"/>
      <c r="C271" s="152"/>
      <c r="D271" s="152"/>
      <c r="E271" s="152"/>
      <c r="F271" s="152"/>
      <c r="G271" s="142"/>
      <c r="H271" s="103">
        <v>0.45</v>
      </c>
      <c r="I271" s="33"/>
      <c r="L271" s="184"/>
      <c r="M271" s="184"/>
      <c r="N271" s="33"/>
    </row>
    <row r="272" spans="1:20" s="88" customFormat="1" x14ac:dyDescent="0.25">
      <c r="A272" s="116" t="s">
        <v>445</v>
      </c>
      <c r="B272" s="117"/>
      <c r="C272" s="117"/>
      <c r="D272" s="117"/>
      <c r="E272" s="117"/>
      <c r="F272" s="117"/>
      <c r="G272" s="117"/>
      <c r="H272" s="118"/>
      <c r="J272" s="33"/>
    </row>
    <row r="273" spans="1:20" s="88" customFormat="1" ht="15.75" customHeight="1" x14ac:dyDescent="0.25">
      <c r="A273" s="302" t="s">
        <v>393</v>
      </c>
      <c r="B273" s="303"/>
      <c r="C273" s="303"/>
      <c r="D273" s="303"/>
      <c r="E273" s="303"/>
      <c r="F273" s="303"/>
      <c r="G273" s="303"/>
      <c r="H273" s="304"/>
      <c r="I273" s="33"/>
      <c r="J273" s="90">
        <f>2.3*1.2+3.2*1.2</f>
        <v>6.6</v>
      </c>
      <c r="K273" s="88">
        <f>2.93*6.8</f>
        <v>19.923999999999999</v>
      </c>
    </row>
    <row r="274" spans="1:20" s="88" customFormat="1" ht="15.75" customHeight="1" x14ac:dyDescent="0.25">
      <c r="A274" s="124" t="s">
        <v>404</v>
      </c>
      <c r="B274" s="125"/>
      <c r="C274" s="125"/>
      <c r="D274" s="125"/>
      <c r="E274" s="125"/>
      <c r="F274" s="125"/>
      <c r="G274" s="125"/>
      <c r="H274" s="126"/>
      <c r="I274" s="90"/>
      <c r="J274" s="88" t="s">
        <v>306</v>
      </c>
      <c r="L274" s="184"/>
      <c r="M274" s="184"/>
      <c r="N274" s="33"/>
      <c r="T274" s="18"/>
    </row>
    <row r="275" spans="1:20" s="88" customFormat="1" ht="15.75" customHeight="1" x14ac:dyDescent="0.25">
      <c r="A275" s="113">
        <v>1</v>
      </c>
      <c r="B275" s="114"/>
      <c r="C275" s="87" t="s">
        <v>405</v>
      </c>
      <c r="D275" s="104">
        <f>(88.55)*10.764</f>
        <v>953.15219999999988</v>
      </c>
      <c r="E275" s="104">
        <f>(6.92+3.05*0.9)*10.764</f>
        <v>104.03405999999998</v>
      </c>
      <c r="F275" s="87">
        <f>D275+E275</f>
        <v>1057.1862599999999</v>
      </c>
      <c r="G275" s="104">
        <f>(19.26+0.5*5*0.55)*10.764</f>
        <v>222.11514</v>
      </c>
      <c r="H275" s="87">
        <f>F275*(($H$271)+1)+(IF(G275&lt;101,G275,IF(G275&lt;201,G275/2,IF(G275&lt;=301,G275/3,G275/4))))</f>
        <v>1606.9584569999997</v>
      </c>
      <c r="I275" s="98">
        <f>3.2*5.2+2.3*2.9+3.05*3.8+3.05*3.8+3.53*3.3+1.3*2.3+2.15*1.3+2.15*1.3+1.45*1+6.5</f>
        <v>74.668999999999997</v>
      </c>
      <c r="J275" s="99">
        <f>3.2*1.2+2.3*0.9+3</f>
        <v>8.91</v>
      </c>
      <c r="L275" s="184"/>
      <c r="M275" s="184"/>
      <c r="N275" s="33"/>
    </row>
    <row r="276" spans="1:20" s="88" customFormat="1" ht="15.75" customHeight="1" x14ac:dyDescent="0.25">
      <c r="A276" s="113">
        <f t="shared" ref="A276:A278" si="10">A275+1</f>
        <v>2</v>
      </c>
      <c r="B276" s="114"/>
      <c r="C276" s="87" t="s">
        <v>405</v>
      </c>
      <c r="D276" s="104">
        <f>(86.91)*10.764</f>
        <v>935.49923999999987</v>
      </c>
      <c r="E276" s="104">
        <f>(6.92+3.05*0.9)*10.764</f>
        <v>104.03405999999998</v>
      </c>
      <c r="F276" s="87">
        <f>D276+E276</f>
        <v>1039.5332999999998</v>
      </c>
      <c r="G276" s="104">
        <f>(0.5*(0.55+1.2)*8+0.45*3+0.5*(1.6+1.9)*3.05+1.7*0.4)*10.764</f>
        <v>154.65177</v>
      </c>
      <c r="H276" s="87">
        <f>F276*(($H$271)+1)+(IF(G276&lt;101,G276,IF(G276&lt;201,G276/2,IF(G276&lt;=301,G276/3,G276/4))))</f>
        <v>1584.6491699999997</v>
      </c>
      <c r="J276" s="33"/>
    </row>
    <row r="277" spans="1:20" s="88" customFormat="1" ht="15.75" customHeight="1" x14ac:dyDescent="0.25">
      <c r="A277" s="113">
        <f t="shared" si="10"/>
        <v>3</v>
      </c>
      <c r="B277" s="114"/>
      <c r="C277" s="87" t="s">
        <v>405</v>
      </c>
      <c r="D277" s="104">
        <f>(78.14)*10.764</f>
        <v>841.09895999999992</v>
      </c>
      <c r="E277" s="104">
        <f>(8.42+0.9*(3.3+3.05+3.05))*10.764</f>
        <v>181.69631999999999</v>
      </c>
      <c r="F277" s="87">
        <f>D277+E277</f>
        <v>1022.7952799999999</v>
      </c>
      <c r="G277" s="104">
        <v>0</v>
      </c>
      <c r="H277" s="87">
        <f>F277*(($H$271)+1)+(IF(G277&lt;101,G277,IF(G277&lt;201,G277/2,IF(G277&lt;=301,G277/3,G277/4))))</f>
        <v>1483.0531559999999</v>
      </c>
      <c r="I277" s="90">
        <f>6.36*4.55+2.3*3.35+3.05*(3.35+3.35+3.95+3.95)+2*(1.3*2.45)+1.3*(2.2+2.2+1.35)+6.4+2.86*1.05</f>
        <v>104.42100000000001</v>
      </c>
      <c r="L277" s="184"/>
      <c r="M277" s="184"/>
      <c r="N277" s="33"/>
      <c r="T277" s="18"/>
    </row>
    <row r="278" spans="1:20" s="88" customFormat="1" ht="15.75" customHeight="1" x14ac:dyDescent="0.25">
      <c r="A278" s="113">
        <f t="shared" si="10"/>
        <v>4</v>
      </c>
      <c r="B278" s="114"/>
      <c r="C278" s="87" t="s">
        <v>405</v>
      </c>
      <c r="D278" s="104">
        <f>(79.61)*10.764</f>
        <v>856.92203999999992</v>
      </c>
      <c r="E278" s="104">
        <f>(8.42+0.9*(3.3+3.05+3.05))*10.764</f>
        <v>181.69631999999999</v>
      </c>
      <c r="F278" s="87">
        <f>D278+E278</f>
        <v>1038.6183599999999</v>
      </c>
      <c r="G278" s="104">
        <v>0</v>
      </c>
      <c r="H278" s="87">
        <f>F278*(($H$271)+1)+(IF(G278&lt;101,G278,IF(G278&lt;201,G278/2,IF(G278&lt;=301,G278/3,G278/4))))</f>
        <v>1505.9966219999999</v>
      </c>
      <c r="I278" s="33"/>
      <c r="L278" s="184"/>
      <c r="M278" s="184"/>
      <c r="N278" s="33"/>
    </row>
    <row r="279" spans="1:20" s="88" customFormat="1" x14ac:dyDescent="0.25">
      <c r="A279" s="124" t="s">
        <v>450</v>
      </c>
      <c r="B279" s="125"/>
      <c r="C279" s="125"/>
      <c r="D279" s="125"/>
      <c r="E279" s="125"/>
      <c r="F279" s="125"/>
      <c r="G279" s="125"/>
      <c r="H279" s="126"/>
      <c r="I279" s="88">
        <f>4+4+4+4</f>
        <v>16</v>
      </c>
      <c r="J279" s="33"/>
    </row>
    <row r="280" spans="1:20" s="88" customFormat="1" ht="15.75" customHeight="1" x14ac:dyDescent="0.25">
      <c r="A280" s="113">
        <v>1</v>
      </c>
      <c r="B280" s="114"/>
      <c r="C280" s="87" t="s">
        <v>405</v>
      </c>
      <c r="D280" s="104">
        <f>(85.01)*10.764</f>
        <v>915.04764</v>
      </c>
      <c r="E280" s="104">
        <f>(6.02+0.9*(3.05+3.05+3.05))*10.764</f>
        <v>153.44081999999997</v>
      </c>
      <c r="F280" s="87">
        <f>D280+E280</f>
        <v>1068.48846</v>
      </c>
      <c r="G280" s="87">
        <v>0</v>
      </c>
      <c r="H280" s="87">
        <f>F280*(($H$271)+1)+(IF(G280&lt;101,G280,IF(G280&lt;201,G280/2,IF(G280&lt;=301,G280/3,G280/4))))</f>
        <v>1549.3082669999999</v>
      </c>
      <c r="J280" s="33"/>
    </row>
    <row r="281" spans="1:20" s="88" customFormat="1" ht="15.75" customHeight="1" x14ac:dyDescent="0.25">
      <c r="A281" s="113">
        <f t="shared" ref="A281:A283" si="11">A280+1</f>
        <v>2</v>
      </c>
      <c r="B281" s="114"/>
      <c r="C281" s="87" t="s">
        <v>405</v>
      </c>
      <c r="D281" s="104">
        <f>(85.33)*10.764</f>
        <v>918.49211999999989</v>
      </c>
      <c r="E281" s="104">
        <f>(6.02+0.9*(3.05+3.05+3.05))*10.764</f>
        <v>153.44081999999997</v>
      </c>
      <c r="F281" s="87">
        <f>D281+E281</f>
        <v>1071.9329399999999</v>
      </c>
      <c r="G281" s="87">
        <v>0</v>
      </c>
      <c r="H281" s="87">
        <f>F281*(($H$271)+1)+(IF(G281&lt;101,G281,IF(G281&lt;201,G281/2,IF(G281&lt;=301,G281/3,G281/4))))</f>
        <v>1554.3027629999999</v>
      </c>
      <c r="I281" s="90">
        <f>3.2*5.5+2.3*2.9+3.05*3.9+3.05*3.8+3.45*3.05+2*(2.15*1.3)+1.3*2.45+1.4*1.4+6.2*1+1.45*1+1.3*1.3</f>
        <v>78.352499999999992</v>
      </c>
      <c r="L281" s="184"/>
      <c r="M281" s="184"/>
      <c r="N281" s="33"/>
      <c r="T281" s="18"/>
    </row>
    <row r="282" spans="1:20" s="88" customFormat="1" ht="15.75" customHeight="1" x14ac:dyDescent="0.25">
      <c r="A282" s="113">
        <f t="shared" si="11"/>
        <v>3</v>
      </c>
      <c r="B282" s="114"/>
      <c r="C282" s="87" t="s">
        <v>405</v>
      </c>
      <c r="D282" s="104">
        <f>(78.14)*10.764</f>
        <v>841.09895999999992</v>
      </c>
      <c r="E282" s="104">
        <f>(8.42+0.9*(3.3+3.05+3.05))*10.764</f>
        <v>181.69631999999999</v>
      </c>
      <c r="F282" s="87">
        <f>D282+E282</f>
        <v>1022.7952799999999</v>
      </c>
      <c r="G282" s="87">
        <v>0</v>
      </c>
      <c r="H282" s="87">
        <f>F282*(($H$271)+1)+(IF(G282&lt;101,G282,IF(G282&lt;201,G282/2,IF(G282&lt;=301,G282/3,G282/4))))</f>
        <v>1483.0531559999999</v>
      </c>
      <c r="I282" s="33"/>
      <c r="L282" s="184"/>
      <c r="M282" s="184"/>
      <c r="N282" s="33"/>
    </row>
    <row r="283" spans="1:20" s="88" customFormat="1" ht="15.75" customHeight="1" x14ac:dyDescent="0.25">
      <c r="A283" s="113">
        <f t="shared" si="11"/>
        <v>4</v>
      </c>
      <c r="B283" s="114"/>
      <c r="C283" s="87" t="s">
        <v>405</v>
      </c>
      <c r="D283" s="104">
        <f>(78.14)*10.764</f>
        <v>841.09895999999992</v>
      </c>
      <c r="E283" s="104">
        <f>(8.42+0.9*(3.3+3.05+3.05))*10.764</f>
        <v>181.69631999999999</v>
      </c>
      <c r="F283" s="87">
        <f>D283+E283</f>
        <v>1022.7952799999999</v>
      </c>
      <c r="G283" s="87">
        <v>0</v>
      </c>
      <c r="H283" s="87">
        <f>F283*(($H$271)+1)+(IF(G283&lt;101,G283,IF(G283&lt;201,G283/2,IF(G283&lt;=301,G283/3,G283/4))))</f>
        <v>1483.0531559999999</v>
      </c>
      <c r="I283" s="33"/>
      <c r="L283" s="184"/>
      <c r="M283" s="184"/>
      <c r="N283" s="33"/>
    </row>
    <row r="284" spans="1:20" s="88" customFormat="1" ht="15.75" customHeight="1" x14ac:dyDescent="0.25">
      <c r="A284" s="124" t="s">
        <v>432</v>
      </c>
      <c r="B284" s="125"/>
      <c r="C284" s="125"/>
      <c r="D284" s="125"/>
      <c r="E284" s="125"/>
      <c r="F284" s="125"/>
      <c r="G284" s="125"/>
      <c r="H284" s="126"/>
      <c r="I284" s="33"/>
      <c r="L284" s="184"/>
      <c r="M284" s="184"/>
      <c r="N284" s="33"/>
    </row>
    <row r="285" spans="1:20" s="88" customFormat="1" ht="15.75" customHeight="1" x14ac:dyDescent="0.25">
      <c r="A285" s="113">
        <v>1</v>
      </c>
      <c r="B285" s="114"/>
      <c r="C285" s="92" t="s">
        <v>405</v>
      </c>
      <c r="D285" s="104">
        <f>(85.01)*10.764</f>
        <v>915.04764</v>
      </c>
      <c r="E285" s="104">
        <f>(6.02+0.9*(3.05+3.05+3.05))*10.764</f>
        <v>153.44081999999997</v>
      </c>
      <c r="F285" s="92">
        <f>D285+E285</f>
        <v>1068.48846</v>
      </c>
      <c r="G285" s="92">
        <v>0</v>
      </c>
      <c r="H285" s="92">
        <f>F285*(($H$271)+1)+(IF(G285&lt;101,G285,IF(G285&lt;201,G285/2,IF(G285&lt;=301,G285/3,G285/4))))</f>
        <v>1549.3082669999999</v>
      </c>
      <c r="J285" s="33"/>
    </row>
    <row r="286" spans="1:20" s="88" customFormat="1" ht="15.75" customHeight="1" x14ac:dyDescent="0.25">
      <c r="A286" s="113">
        <f t="shared" ref="A286:A288" si="12">A285+1</f>
        <v>2</v>
      </c>
      <c r="B286" s="114"/>
      <c r="C286" s="92" t="s">
        <v>405</v>
      </c>
      <c r="D286" s="104">
        <f>(85.33)*10.764</f>
        <v>918.49211999999989</v>
      </c>
      <c r="E286" s="104">
        <f>(6.02+0.9*(3.05+3.05+3.05))*10.764</f>
        <v>153.44081999999997</v>
      </c>
      <c r="F286" s="92">
        <f>D286+E286</f>
        <v>1071.9329399999999</v>
      </c>
      <c r="G286" s="92">
        <v>0</v>
      </c>
      <c r="H286" s="92">
        <f>F286*(($H$271)+1)+(IF(G286&lt;101,G286,IF(G286&lt;201,G286/2,IF(G286&lt;=301,G286/3,G286/4))))</f>
        <v>1554.3027629999999</v>
      </c>
      <c r="I286" s="90">
        <f>3.2*5.5+2.3*2.9+3.05*3.9+3.05*3.8+3.45*3.05+2*(2.15*1.3)+1.3*2.45+1.4*1.4+6.2*1+1.45*1+1.3*1.3</f>
        <v>78.352499999999992</v>
      </c>
      <c r="L286" s="184"/>
      <c r="M286" s="184"/>
      <c r="N286" s="33"/>
      <c r="T286" s="18"/>
    </row>
    <row r="287" spans="1:20" s="91" customFormat="1" ht="15.75" customHeight="1" x14ac:dyDescent="0.25">
      <c r="A287" s="113">
        <f t="shared" si="12"/>
        <v>3</v>
      </c>
      <c r="B287" s="114"/>
      <c r="C287" s="92" t="s">
        <v>405</v>
      </c>
      <c r="D287" s="104">
        <f>(78.14)*10.764</f>
        <v>841.09895999999992</v>
      </c>
      <c r="E287" s="104">
        <f>(8.42+0.9*(3.3+3.05+3.05))*10.764</f>
        <v>181.69631999999999</v>
      </c>
      <c r="F287" s="92">
        <f>D287+E287</f>
        <v>1022.7952799999999</v>
      </c>
      <c r="G287" s="92">
        <v>0</v>
      </c>
      <c r="H287" s="92">
        <f>F287*(($H$271)+1)+(IF(G287&lt;101,G287,IF(G287&lt;201,G287/2,IF(G287&lt;=301,G287/3,G287/4))))</f>
        <v>1483.0531559999999</v>
      </c>
      <c r="I287" s="90"/>
      <c r="N287" s="33"/>
      <c r="T287" s="18"/>
    </row>
    <row r="288" spans="1:20" s="88" customFormat="1" ht="15.75" customHeight="1" x14ac:dyDescent="0.25">
      <c r="A288" s="113">
        <f t="shared" si="12"/>
        <v>4</v>
      </c>
      <c r="B288" s="114"/>
      <c r="C288" s="92" t="s">
        <v>405</v>
      </c>
      <c r="D288" s="104">
        <f>(78.14)*10.764</f>
        <v>841.09895999999992</v>
      </c>
      <c r="E288" s="104">
        <f>(8.42+0.9*(3.3+3.05+3.05))*10.764</f>
        <v>181.69631999999999</v>
      </c>
      <c r="F288" s="92">
        <f>D288+E288</f>
        <v>1022.7952799999999</v>
      </c>
      <c r="G288" s="92">
        <v>0</v>
      </c>
      <c r="H288" s="92">
        <f>F288*(($H$271)+1)+(IF(G288&lt;101,G288,IF(G288&lt;201,G288/2,IF(G288&lt;=301,G288/3,G288/4))))</f>
        <v>1483.0531559999999</v>
      </c>
      <c r="I288" s="33"/>
      <c r="L288" s="184"/>
      <c r="M288" s="184"/>
      <c r="N288" s="33"/>
    </row>
    <row r="289" spans="1:20" s="88" customFormat="1" ht="15.75" customHeight="1" x14ac:dyDescent="0.25">
      <c r="A289" s="113" t="s">
        <v>433</v>
      </c>
      <c r="B289" s="114"/>
      <c r="C289" s="113" t="s">
        <v>434</v>
      </c>
      <c r="D289" s="115"/>
      <c r="E289" s="115"/>
      <c r="F289" s="115"/>
      <c r="G289" s="115"/>
      <c r="H289" s="114"/>
      <c r="I289" s="33"/>
      <c r="L289" s="184"/>
      <c r="M289" s="184"/>
      <c r="N289" s="33"/>
    </row>
    <row r="290" spans="1:20" s="88" customFormat="1" ht="15.75" customHeight="1" x14ac:dyDescent="0.25">
      <c r="A290" s="143" t="s">
        <v>394</v>
      </c>
      <c r="B290" s="144"/>
      <c r="C290" s="144"/>
      <c r="D290" s="144"/>
      <c r="E290" s="144"/>
      <c r="F290" s="144"/>
      <c r="G290" s="144"/>
      <c r="H290" s="145"/>
      <c r="I290" s="33"/>
      <c r="J290" s="88">
        <f>6.36*1.35+0.9*2.3</f>
        <v>10.656000000000001</v>
      </c>
      <c r="L290" s="184"/>
      <c r="M290" s="184"/>
      <c r="N290" s="33"/>
    </row>
    <row r="291" spans="1:20" s="88" customFormat="1" x14ac:dyDescent="0.25">
      <c r="A291" s="124" t="s">
        <v>404</v>
      </c>
      <c r="B291" s="125"/>
      <c r="C291" s="125"/>
      <c r="D291" s="125"/>
      <c r="E291" s="125"/>
      <c r="F291" s="125"/>
      <c r="G291" s="125"/>
      <c r="H291" s="126"/>
      <c r="J291" s="33"/>
    </row>
    <row r="292" spans="1:20" s="88" customFormat="1" x14ac:dyDescent="0.25">
      <c r="A292" s="113">
        <v>1</v>
      </c>
      <c r="B292" s="114"/>
      <c r="C292" s="87" t="s">
        <v>406</v>
      </c>
      <c r="D292" s="104">
        <f>(116.5)*10.764</f>
        <v>1254.0059999999999</v>
      </c>
      <c r="E292" s="104">
        <f>(10.78+0.9*(3.05+3.05))*10.764</f>
        <v>175.13027999999997</v>
      </c>
      <c r="F292" s="87">
        <f>D292+E292</f>
        <v>1429.1362799999997</v>
      </c>
      <c r="G292" s="104">
        <f>(3.05*2.8+3.2*1.8+3*3+6.4*2.4)*10.764</f>
        <v>416.13623999999993</v>
      </c>
      <c r="H292" s="87">
        <f>F292*(($H$271)+1)+(IF(G292&lt;101,G292,IF(G292&lt;201,G292/2,IF(G292&lt;=301,G292/3,G292/4))))</f>
        <v>2176.2816659999994</v>
      </c>
      <c r="J292" s="33"/>
    </row>
    <row r="293" spans="1:20" s="88" customFormat="1" ht="15.75" customHeight="1" x14ac:dyDescent="0.25">
      <c r="A293" s="113">
        <f t="shared" ref="A293" si="13">A292+1</f>
        <v>2</v>
      </c>
      <c r="B293" s="114"/>
      <c r="C293" s="87" t="s">
        <v>406</v>
      </c>
      <c r="D293" s="104">
        <f>(116.5)*10.764</f>
        <v>1254.0059999999999</v>
      </c>
      <c r="E293" s="104">
        <f>(10.78+0.9*(3.05+3.05))*10.764</f>
        <v>175.13027999999997</v>
      </c>
      <c r="F293" s="87">
        <f>D293+E293</f>
        <v>1429.1362799999997</v>
      </c>
      <c r="G293" s="104">
        <f>(0.5*(2.8+3.2)*6.36+3.2*4.2+3*3.3+3.2*5.6)*10.764</f>
        <v>649.49976000000004</v>
      </c>
      <c r="H293" s="87">
        <f>F293*(($H$271)+1)+(IF(G293&lt;101,G293,IF(G293&lt;201,G293/2,IF(G293&lt;=301,G293/3,G293/4))))</f>
        <v>2234.6225459999996</v>
      </c>
      <c r="J293" s="33"/>
    </row>
    <row r="294" spans="1:20" s="88" customFormat="1" ht="15.75" customHeight="1" x14ac:dyDescent="0.25">
      <c r="A294" s="124" t="s">
        <v>450</v>
      </c>
      <c r="B294" s="125"/>
      <c r="C294" s="125"/>
      <c r="D294" s="125"/>
      <c r="E294" s="125"/>
      <c r="F294" s="125"/>
      <c r="G294" s="125"/>
      <c r="H294" s="126"/>
      <c r="I294" s="33"/>
      <c r="L294" s="184"/>
      <c r="M294" s="184"/>
      <c r="N294" s="33"/>
    </row>
    <row r="295" spans="1:20" s="88" customFormat="1" ht="15.75" customHeight="1" x14ac:dyDescent="0.25">
      <c r="A295" s="113">
        <v>1</v>
      </c>
      <c r="B295" s="114"/>
      <c r="C295" s="87" t="s">
        <v>406</v>
      </c>
      <c r="D295" s="104">
        <f>(115.55)*10.764</f>
        <v>1243.7801999999999</v>
      </c>
      <c r="E295" s="104">
        <f>(9.7+0.9*(3.05*4))*10.764</f>
        <v>222.59951999999998</v>
      </c>
      <c r="F295" s="87">
        <f>D295+E295</f>
        <v>1466.3797199999999</v>
      </c>
      <c r="G295" s="87">
        <v>0</v>
      </c>
      <c r="H295" s="87">
        <f>F295*(($H$271)+1)+(IF(G295&lt;101,G295,IF(G295&lt;201,G295/2,IF(G295&lt;=301,G295/3,G295/4))))</f>
        <v>2126.2505939999996</v>
      </c>
      <c r="I295" s="33">
        <f>10780000/H295</f>
        <v>5069.9574313675666</v>
      </c>
      <c r="L295" s="184"/>
      <c r="M295" s="184"/>
      <c r="N295" s="33"/>
    </row>
    <row r="296" spans="1:20" s="88" customFormat="1" ht="15.75" customHeight="1" x14ac:dyDescent="0.25">
      <c r="A296" s="113">
        <f t="shared" ref="A296" si="14">A295+1</f>
        <v>2</v>
      </c>
      <c r="B296" s="114"/>
      <c r="C296" s="87" t="s">
        <v>406</v>
      </c>
      <c r="D296" s="104">
        <f>(115.55)*10.764</f>
        <v>1243.7801999999999</v>
      </c>
      <c r="E296" s="104">
        <f>(9.7+0.9*(3.05*4))*10.764</f>
        <v>222.59951999999998</v>
      </c>
      <c r="F296" s="87">
        <f>D296+E296</f>
        <v>1466.3797199999999</v>
      </c>
      <c r="G296" s="87">
        <v>0</v>
      </c>
      <c r="H296" s="87">
        <f>F296*(($H$271)+1)+(IF(G296&lt;101,G296,IF(G296&lt;201,G296/2,IF(G296&lt;=301,G296/3,G296/4))))</f>
        <v>2126.2505939999996</v>
      </c>
      <c r="I296" s="33"/>
      <c r="L296" s="184"/>
      <c r="M296" s="184"/>
      <c r="N296" s="33"/>
    </row>
    <row r="297" spans="1:20" s="91" customFormat="1" ht="15.75" customHeight="1" x14ac:dyDescent="0.25">
      <c r="A297" s="124" t="s">
        <v>432</v>
      </c>
      <c r="B297" s="125"/>
      <c r="C297" s="125"/>
      <c r="D297" s="125"/>
      <c r="E297" s="125"/>
      <c r="F297" s="125"/>
      <c r="G297" s="125"/>
      <c r="H297" s="126"/>
      <c r="I297" s="33"/>
      <c r="N297" s="33"/>
    </row>
    <row r="298" spans="1:20" s="88" customFormat="1" ht="15.75" customHeight="1" x14ac:dyDescent="0.25">
      <c r="A298" s="113">
        <v>1</v>
      </c>
      <c r="B298" s="114"/>
      <c r="C298" s="92" t="s">
        <v>406</v>
      </c>
      <c r="D298" s="104">
        <f>(108.87)*10.764</f>
        <v>1171.8766800000001</v>
      </c>
      <c r="E298" s="104">
        <f>(8.01+0.9*(3.05*4))*10.764</f>
        <v>204.40836000000002</v>
      </c>
      <c r="F298" s="92">
        <f>D298+E298</f>
        <v>1376.2850400000002</v>
      </c>
      <c r="G298" s="92">
        <v>0</v>
      </c>
      <c r="H298" s="92">
        <f>F298*(($H$271)+1)+(IF(G298&lt;101,G298,IF(G298&lt;201,G298/2,IF(G298&lt;=301,G298/3,G298/4))))</f>
        <v>1995.6133080000002</v>
      </c>
      <c r="I298" s="33">
        <f>4.7*2.9+3.35*2.15+3.35*2.9+2.9*3.33+1.25*(2.1+2.15)+1.2*2.05+1*3.2</f>
        <v>51.177</v>
      </c>
      <c r="L298" s="184"/>
      <c r="M298" s="184"/>
      <c r="N298" s="33"/>
      <c r="T298" s="18"/>
    </row>
    <row r="299" spans="1:20" s="88" customFormat="1" ht="15.75" customHeight="1" x14ac:dyDescent="0.25">
      <c r="A299" s="113" t="s">
        <v>433</v>
      </c>
      <c r="B299" s="114"/>
      <c r="C299" s="113" t="s">
        <v>434</v>
      </c>
      <c r="D299" s="115"/>
      <c r="E299" s="115"/>
      <c r="F299" s="115"/>
      <c r="G299" s="115"/>
      <c r="H299" s="114"/>
      <c r="I299" s="33">
        <f>4.7*2.9+3.35*2.15+3.35*2.9+2.9*3.6+2*(2.15*1.25)+2.6*1.58+4.1*1+1*1.2</f>
        <v>55.770500000000006</v>
      </c>
      <c r="L299" s="184"/>
      <c r="M299" s="184"/>
      <c r="N299" s="33"/>
    </row>
    <row r="300" spans="1:20" s="88" customFormat="1" ht="15.75" customHeight="1" x14ac:dyDescent="0.25">
      <c r="A300" s="113">
        <f t="shared" ref="A300" si="15">A298+1</f>
        <v>2</v>
      </c>
      <c r="B300" s="114"/>
      <c r="C300" s="92" t="s">
        <v>406</v>
      </c>
      <c r="D300" s="104">
        <f>(108.87)*10.764</f>
        <v>1171.8766800000001</v>
      </c>
      <c r="E300" s="104">
        <f>(8.01+0.9*(3.05*4))*10.764</f>
        <v>204.40836000000002</v>
      </c>
      <c r="F300" s="92">
        <f>D300+E300</f>
        <v>1376.2850400000002</v>
      </c>
      <c r="G300" s="92">
        <v>0</v>
      </c>
      <c r="H300" s="92">
        <f>F300*(($H$271)+1)+(IF(G300&lt;101,G300,IF(G300&lt;201,G300/2,IF(G300&lt;=301,G300/3,G300/4))))</f>
        <v>1995.6133080000002</v>
      </c>
      <c r="I300" s="33"/>
      <c r="L300" s="184"/>
      <c r="M300" s="184"/>
      <c r="N300" s="33"/>
    </row>
    <row r="301" spans="1:20" s="88" customFormat="1" x14ac:dyDescent="0.25">
      <c r="A301" s="143" t="s">
        <v>395</v>
      </c>
      <c r="B301" s="144"/>
      <c r="C301" s="144"/>
      <c r="D301" s="144"/>
      <c r="E301" s="144"/>
      <c r="F301" s="144"/>
      <c r="G301" s="144"/>
      <c r="H301" s="145"/>
      <c r="J301" s="33"/>
    </row>
    <row r="302" spans="1:20" s="88" customFormat="1" ht="15.75" customHeight="1" x14ac:dyDescent="0.25">
      <c r="A302" s="124" t="s">
        <v>404</v>
      </c>
      <c r="B302" s="125"/>
      <c r="C302" s="125"/>
      <c r="D302" s="125"/>
      <c r="E302" s="125"/>
      <c r="F302" s="125"/>
      <c r="G302" s="125"/>
      <c r="H302" s="126"/>
      <c r="I302" s="33"/>
      <c r="L302" s="184"/>
      <c r="M302" s="184"/>
      <c r="N302" s="33"/>
    </row>
    <row r="303" spans="1:20" s="88" customFormat="1" ht="15.75" customHeight="1" x14ac:dyDescent="0.25">
      <c r="A303" s="113">
        <v>1</v>
      </c>
      <c r="B303" s="114"/>
      <c r="C303" s="87" t="s">
        <v>405</v>
      </c>
      <c r="D303" s="104">
        <f>(86.91)*10.764</f>
        <v>935.49923999999987</v>
      </c>
      <c r="E303" s="104">
        <f>(6.92+3.05*0.9)*10.764</f>
        <v>104.03405999999998</v>
      </c>
      <c r="F303" s="87">
        <f>D303+E303</f>
        <v>1039.5332999999998</v>
      </c>
      <c r="G303" s="104">
        <f>(3.05*4+1.6*3+3.2*4.4+0.5*(4.2+4.6)*5.3)*10.764</f>
        <v>585.5616</v>
      </c>
      <c r="H303" s="87">
        <f>F303*(($H$271)+1)+(IF(G303&lt;101,G303,IF(G303&lt;201,G303/2,IF(G303&lt;=301,G303/3,G303/4))))</f>
        <v>1653.7136849999997</v>
      </c>
      <c r="I303" s="33"/>
      <c r="L303" s="184"/>
      <c r="M303" s="184"/>
      <c r="N303" s="33"/>
    </row>
    <row r="304" spans="1:20" s="88" customFormat="1" ht="15.75" customHeight="1" x14ac:dyDescent="0.25">
      <c r="A304" s="113">
        <f t="shared" ref="A304:A306" si="16">A303+1</f>
        <v>2</v>
      </c>
      <c r="B304" s="114"/>
      <c r="C304" s="87" t="s">
        <v>405</v>
      </c>
      <c r="D304" s="104">
        <f>(89.04)*10.764</f>
        <v>958.42655999999999</v>
      </c>
      <c r="E304" s="104">
        <f>(6.92)*10.764</f>
        <v>74.486879999999999</v>
      </c>
      <c r="F304" s="87">
        <f>D304+E304</f>
        <v>1032.91344</v>
      </c>
      <c r="G304" s="104">
        <f>(0.5*(4.6+5.6)*8.4+1.7*4.6+6*12.8)*10.764</f>
        <v>1371.9794400000001</v>
      </c>
      <c r="H304" s="87">
        <f>F304*(($H$271)+1)+(IF(G304&lt;101,G304,IF(G304&lt;201,G304/2,IF(G304&lt;=301,G304/3,G304/4))))</f>
        <v>1840.7193480000001</v>
      </c>
      <c r="I304" s="33"/>
      <c r="L304" s="184"/>
      <c r="M304" s="184"/>
      <c r="N304" s="33"/>
    </row>
    <row r="305" spans="1:20" s="88" customFormat="1" ht="15.75" customHeight="1" x14ac:dyDescent="0.25">
      <c r="A305" s="113">
        <f t="shared" si="16"/>
        <v>3</v>
      </c>
      <c r="B305" s="114"/>
      <c r="C305" s="87" t="s">
        <v>405</v>
      </c>
      <c r="D305" s="104">
        <f>(80.7)*10.764</f>
        <v>868.65480000000002</v>
      </c>
      <c r="E305" s="104">
        <f>(8.42+0.9*(3.05*2))*10.764</f>
        <v>149.72723999999999</v>
      </c>
      <c r="F305" s="87">
        <f>D305+E305</f>
        <v>1018.38204</v>
      </c>
      <c r="G305" s="104">
        <f>(3.6*11.2+7*4.5+3.7*0.9)*10.764</f>
        <v>808.91459999999984</v>
      </c>
      <c r="H305" s="87">
        <f>F305*(($H$271)+1)+(IF(G305&lt;101,G305,IF(G305&lt;201,G305/2,IF(G305&lt;=301,G305/3,G305/4))))</f>
        <v>1678.8826079999999</v>
      </c>
      <c r="I305" s="33">
        <f>4.7*2.9+3.35*2.15+3.35*2.9+2.9*3.33+1.25*(2.1+2.15)+1.2*2.05+1*3.2</f>
        <v>51.177</v>
      </c>
      <c r="L305" s="184"/>
      <c r="M305" s="184"/>
      <c r="N305" s="33"/>
      <c r="T305" s="18"/>
    </row>
    <row r="306" spans="1:20" s="88" customFormat="1" ht="15.75" customHeight="1" x14ac:dyDescent="0.25">
      <c r="A306" s="113">
        <f t="shared" si="16"/>
        <v>4</v>
      </c>
      <c r="B306" s="114"/>
      <c r="C306" s="87" t="s">
        <v>405</v>
      </c>
      <c r="D306" s="104">
        <f>(78.54)*10.764</f>
        <v>845.40456000000006</v>
      </c>
      <c r="E306" s="104">
        <f>(8.42+0.9*(3.05*2+3.3))*10.764</f>
        <v>181.69631999999999</v>
      </c>
      <c r="F306" s="87">
        <f>D306+E306</f>
        <v>1027.10088</v>
      </c>
      <c r="G306" s="104">
        <v>0</v>
      </c>
      <c r="H306" s="87">
        <f>F306*(($H$271)+1)+(IF(G306&lt;101,G306,IF(G306&lt;201,G306/2,IF(G306&lt;=301,G306/3,G306/4))))</f>
        <v>1489.2962759999998</v>
      </c>
      <c r="I306" s="33">
        <f>4.7*2.9+3.35*2.15+3.35*2.9+2.9*3.6+2*(2.15*1.25)+2.6*1.58+4.1*1+1*1.2</f>
        <v>55.770500000000006</v>
      </c>
      <c r="L306" s="184"/>
      <c r="M306" s="184"/>
      <c r="N306" s="33"/>
    </row>
    <row r="307" spans="1:20" s="88" customFormat="1" ht="15.75" customHeight="1" x14ac:dyDescent="0.25">
      <c r="A307" s="124" t="s">
        <v>450</v>
      </c>
      <c r="B307" s="125"/>
      <c r="C307" s="125"/>
      <c r="D307" s="125"/>
      <c r="E307" s="125"/>
      <c r="F307" s="125"/>
      <c r="G307" s="125"/>
      <c r="H307" s="126"/>
      <c r="I307" s="33"/>
      <c r="L307" s="184"/>
      <c r="M307" s="184"/>
      <c r="N307" s="33"/>
    </row>
    <row r="308" spans="1:20" s="88" customFormat="1" ht="15.75" customHeight="1" x14ac:dyDescent="0.25">
      <c r="A308" s="113">
        <v>1</v>
      </c>
      <c r="B308" s="114"/>
      <c r="C308" s="87" t="s">
        <v>405</v>
      </c>
      <c r="D308" s="104">
        <f>(85.33)*10.764</f>
        <v>918.49211999999989</v>
      </c>
      <c r="E308" s="104">
        <f>(6.02+0.9*(3.05*3))*10.764</f>
        <v>153.44081999999997</v>
      </c>
      <c r="F308" s="87">
        <f>D308+E308</f>
        <v>1071.9329399999999</v>
      </c>
      <c r="G308" s="87">
        <v>0</v>
      </c>
      <c r="H308" s="87">
        <f>F308*(($H$271)+1)+(IF(G308&lt;101,G308,IF(G308&lt;201,G308/2,IF(G308&lt;=301,G308/3,G308/4))))</f>
        <v>1554.3027629999999</v>
      </c>
      <c r="I308" s="88" t="s">
        <v>457</v>
      </c>
      <c r="J308" s="33"/>
    </row>
    <row r="309" spans="1:20" s="88" customFormat="1" ht="15.75" customHeight="1" x14ac:dyDescent="0.25">
      <c r="A309" s="113">
        <f t="shared" ref="A309:A311" si="17">A308+1</f>
        <v>2</v>
      </c>
      <c r="B309" s="114"/>
      <c r="C309" s="87" t="s">
        <v>405</v>
      </c>
      <c r="D309" s="104">
        <f>(85.01)*10.764</f>
        <v>915.04764</v>
      </c>
      <c r="E309" s="104">
        <f>(6.02+0.9*(3.05*3))*10.764</f>
        <v>153.44081999999997</v>
      </c>
      <c r="F309" s="87">
        <f>D309+E309</f>
        <v>1068.48846</v>
      </c>
      <c r="G309" s="87">
        <v>0</v>
      </c>
      <c r="H309" s="87">
        <f>F309*(($H$271)+1)+(IF(G309&lt;101,G309,IF(G309&lt;201,G309/2,IF(G309&lt;=301,G309/3,G309/4))))</f>
        <v>1549.3082669999999</v>
      </c>
      <c r="I309" s="98">
        <f>10780000/H309</f>
        <v>6957.943896390505</v>
      </c>
      <c r="L309" s="184"/>
      <c r="M309" s="184"/>
      <c r="N309" s="33"/>
    </row>
    <row r="310" spans="1:20" s="88" customFormat="1" ht="15.75" customHeight="1" x14ac:dyDescent="0.25">
      <c r="A310" s="113">
        <f t="shared" si="17"/>
        <v>3</v>
      </c>
      <c r="B310" s="114"/>
      <c r="C310" s="87" t="s">
        <v>405</v>
      </c>
      <c r="D310" s="104">
        <f>(78.14)*10.764</f>
        <v>841.09895999999992</v>
      </c>
      <c r="E310" s="104">
        <f>(8.42+0.9*(3.05*2+3.3))*10.764</f>
        <v>181.69631999999999</v>
      </c>
      <c r="F310" s="87">
        <f>D310+E310</f>
        <v>1022.7952799999999</v>
      </c>
      <c r="G310" s="87">
        <v>0</v>
      </c>
      <c r="H310" s="87">
        <f>F310*(($H$271)+1)+(IF(G310&lt;101,G310,IF(G310&lt;201,G310/2,IF(G310&lt;=301,G310/3,G310/4))))</f>
        <v>1483.0531559999999</v>
      </c>
      <c r="I310" s="33"/>
      <c r="L310" s="184"/>
      <c r="M310" s="184"/>
      <c r="N310" s="33"/>
    </row>
    <row r="311" spans="1:20" s="88" customFormat="1" ht="15.75" customHeight="1" x14ac:dyDescent="0.25">
      <c r="A311" s="113">
        <f t="shared" si="17"/>
        <v>4</v>
      </c>
      <c r="B311" s="114"/>
      <c r="C311" s="87" t="s">
        <v>405</v>
      </c>
      <c r="D311" s="104">
        <f>(78.14)*10.764</f>
        <v>841.09895999999992</v>
      </c>
      <c r="E311" s="104">
        <f>(8.42+0.9*(3.05*2+3.3))*10.764</f>
        <v>181.69631999999999</v>
      </c>
      <c r="F311" s="87">
        <f>D311+E311</f>
        <v>1022.7952799999999</v>
      </c>
      <c r="G311" s="87">
        <v>0</v>
      </c>
      <c r="H311" s="87">
        <f>F311*(($H$271)+1)+(IF(G311&lt;101,G311,IF(G311&lt;201,G311/2,IF(G311&lt;=301,G311/3,G311/4))))</f>
        <v>1483.0531559999999</v>
      </c>
      <c r="I311" s="33"/>
      <c r="L311" s="184"/>
      <c r="M311" s="184"/>
      <c r="N311" s="33"/>
    </row>
    <row r="312" spans="1:20" s="88" customFormat="1" ht="15.75" customHeight="1" x14ac:dyDescent="0.25">
      <c r="A312" s="124" t="s">
        <v>432</v>
      </c>
      <c r="B312" s="125"/>
      <c r="C312" s="125"/>
      <c r="D312" s="125"/>
      <c r="E312" s="125"/>
      <c r="F312" s="125"/>
      <c r="G312" s="125"/>
      <c r="H312" s="126"/>
      <c r="I312" s="33">
        <f>4.7*2.9+3.35*2.15+3.35*2.9+2.9*3.33+1.25*(2.1+2.15)+1.2*2.05+1*3.2</f>
        <v>51.177</v>
      </c>
      <c r="L312" s="184"/>
      <c r="M312" s="184"/>
      <c r="N312" s="33"/>
      <c r="T312" s="18"/>
    </row>
    <row r="313" spans="1:20" s="91" customFormat="1" ht="15.75" customHeight="1" x14ac:dyDescent="0.25">
      <c r="A313" s="113">
        <v>1</v>
      </c>
      <c r="B313" s="114"/>
      <c r="C313" s="92" t="s">
        <v>405</v>
      </c>
      <c r="D313" s="104">
        <f>(85.33)*10.764</f>
        <v>918.49211999999989</v>
      </c>
      <c r="E313" s="104">
        <f>(6.02+0.9*(3.05*3))*10.764</f>
        <v>153.44081999999997</v>
      </c>
      <c r="F313" s="92">
        <f>D313+E313</f>
        <v>1071.9329399999999</v>
      </c>
      <c r="G313" s="92">
        <v>0</v>
      </c>
      <c r="H313" s="92">
        <f>F313*(($H$271)+1)+(IF(G313&lt;101,G313,IF(G313&lt;201,G313/2,IF(G313&lt;=301,G313/3,G313/4))))</f>
        <v>1554.3027629999999</v>
      </c>
      <c r="I313" s="33"/>
      <c r="N313" s="33"/>
      <c r="T313" s="18"/>
    </row>
    <row r="314" spans="1:20" s="88" customFormat="1" ht="15.75" customHeight="1" x14ac:dyDescent="0.25">
      <c r="A314" s="113">
        <f t="shared" ref="A314:A317" si="18">A313+1</f>
        <v>2</v>
      </c>
      <c r="B314" s="114"/>
      <c r="C314" s="92" t="s">
        <v>405</v>
      </c>
      <c r="D314" s="104">
        <f>(85.01)*10.764</f>
        <v>915.04764</v>
      </c>
      <c r="E314" s="104">
        <f>(6.02+0.9*(3.05*3))*10.764</f>
        <v>153.44081999999997</v>
      </c>
      <c r="F314" s="92">
        <f>D314+E314</f>
        <v>1068.48846</v>
      </c>
      <c r="G314" s="92">
        <v>0</v>
      </c>
      <c r="H314" s="92">
        <f>F314*(($H$271)+1)+(IF(G314&lt;101,G314,IF(G314&lt;201,G314/2,IF(G314&lt;=301,G314/3,G314/4))))</f>
        <v>1549.3082669999999</v>
      </c>
      <c r="I314" s="33">
        <f>4.7*2.9+3.35*2.15+3.35*2.9+2.9*3.6+2*(2.15*1.25)+2.6*1.58+4.1*1+1*1.2</f>
        <v>55.770500000000006</v>
      </c>
      <c r="L314" s="184"/>
      <c r="M314" s="184"/>
      <c r="N314" s="33"/>
    </row>
    <row r="315" spans="1:20" s="88" customFormat="1" ht="15.75" customHeight="1" x14ac:dyDescent="0.25">
      <c r="A315" s="113" t="s">
        <v>433</v>
      </c>
      <c r="B315" s="114"/>
      <c r="C315" s="113" t="s">
        <v>434</v>
      </c>
      <c r="D315" s="115"/>
      <c r="E315" s="115"/>
      <c r="F315" s="115"/>
      <c r="G315" s="115"/>
      <c r="H315" s="114"/>
      <c r="I315" s="33"/>
      <c r="L315" s="184"/>
      <c r="M315" s="184"/>
      <c r="N315" s="33"/>
    </row>
    <row r="316" spans="1:20" s="88" customFormat="1" ht="15.75" customHeight="1" x14ac:dyDescent="0.25">
      <c r="A316" s="113">
        <f>A314+1</f>
        <v>3</v>
      </c>
      <c r="B316" s="114"/>
      <c r="C316" s="92" t="s">
        <v>405</v>
      </c>
      <c r="D316" s="104">
        <f>(78.14)*10.764</f>
        <v>841.09895999999992</v>
      </c>
      <c r="E316" s="104">
        <f>(8.42+0.9*(3.05*2+3.3))*10.764</f>
        <v>181.69631999999999</v>
      </c>
      <c r="F316" s="92">
        <f>D316+E316</f>
        <v>1022.7952799999999</v>
      </c>
      <c r="G316" s="92">
        <v>0</v>
      </c>
      <c r="H316" s="92">
        <f>F316*(($H$271)+1)+(IF(G316&lt;101,G316,IF(G316&lt;201,G316/2,IF(G316&lt;=301,G316/3,G316/4))))</f>
        <v>1483.0531559999999</v>
      </c>
      <c r="J316" s="33"/>
    </row>
    <row r="317" spans="1:20" s="88" customFormat="1" ht="15.75" customHeight="1" x14ac:dyDescent="0.25">
      <c r="A317" s="113">
        <f t="shared" si="18"/>
        <v>4</v>
      </c>
      <c r="B317" s="114"/>
      <c r="C317" s="92" t="s">
        <v>405</v>
      </c>
      <c r="D317" s="104">
        <f>(78.14)*10.764</f>
        <v>841.09895999999992</v>
      </c>
      <c r="E317" s="104">
        <f>(8.42+0.9*(3.05*2+3.3))*10.764</f>
        <v>181.69631999999999</v>
      </c>
      <c r="F317" s="92">
        <f>D317+E317</f>
        <v>1022.7952799999999</v>
      </c>
      <c r="G317" s="92">
        <v>0</v>
      </c>
      <c r="H317" s="92">
        <f>F317*(($H$271)+1)+(IF(G317&lt;101,G317,IF(G317&lt;201,G317/2,IF(G317&lt;=301,G317/3,G317/4))))</f>
        <v>1483.0531559999999</v>
      </c>
      <c r="I317" s="33"/>
      <c r="L317" s="184"/>
      <c r="M317" s="184"/>
      <c r="N317" s="33"/>
    </row>
    <row r="318" spans="1:20" s="88" customFormat="1" ht="15.75" customHeight="1" x14ac:dyDescent="0.25">
      <c r="A318" s="143" t="s">
        <v>396</v>
      </c>
      <c r="B318" s="144"/>
      <c r="C318" s="144"/>
      <c r="D318" s="144"/>
      <c r="E318" s="144"/>
      <c r="F318" s="144"/>
      <c r="G318" s="144"/>
      <c r="H318" s="145"/>
      <c r="I318" s="33"/>
      <c r="L318" s="184"/>
      <c r="M318" s="184"/>
      <c r="N318" s="33"/>
    </row>
    <row r="319" spans="1:20" s="88" customFormat="1" ht="15.75" customHeight="1" x14ac:dyDescent="0.25">
      <c r="A319" s="124" t="s">
        <v>399</v>
      </c>
      <c r="B319" s="125"/>
      <c r="C319" s="125"/>
      <c r="D319" s="125"/>
      <c r="E319" s="125"/>
      <c r="F319" s="125"/>
      <c r="G319" s="125"/>
      <c r="H319" s="126"/>
      <c r="I319" s="33"/>
      <c r="L319" s="184"/>
      <c r="M319" s="184"/>
      <c r="N319" s="33"/>
    </row>
    <row r="320" spans="1:20" s="88" customFormat="1" ht="15.75" customHeight="1" x14ac:dyDescent="0.25">
      <c r="A320" s="124" t="s">
        <v>435</v>
      </c>
      <c r="B320" s="125"/>
      <c r="C320" s="125"/>
      <c r="D320" s="125"/>
      <c r="E320" s="125"/>
      <c r="F320" s="125"/>
      <c r="G320" s="125"/>
      <c r="H320" s="126"/>
      <c r="I320" s="33">
        <f>4.7*2.9+3.35*2.15+3.35*2.9+2.9*3.33+1.25*(2.1+2.15)+1.2*2.05+1*3.2</f>
        <v>51.177</v>
      </c>
      <c r="L320" s="184"/>
      <c r="M320" s="184"/>
      <c r="N320" s="33"/>
      <c r="T320" s="18"/>
    </row>
    <row r="321" spans="1:20" s="88" customFormat="1" ht="15.75" customHeight="1" x14ac:dyDescent="0.25">
      <c r="A321" s="113" t="s">
        <v>397</v>
      </c>
      <c r="B321" s="114"/>
      <c r="C321" s="127" t="s">
        <v>442</v>
      </c>
      <c r="D321" s="128"/>
      <c r="E321" s="128"/>
      <c r="F321" s="128"/>
      <c r="G321" s="128"/>
      <c r="H321" s="129"/>
      <c r="I321" s="33">
        <f>4.7*2.9+3.35*2.15+3.35*2.9+2.9*3.6+2*(2.15*1.25)+2.6*1.58+4.1*1+1*1.2</f>
        <v>55.770500000000006</v>
      </c>
      <c r="L321" s="184"/>
      <c r="M321" s="184"/>
      <c r="N321" s="33"/>
    </row>
    <row r="322" spans="1:20" s="88" customFormat="1" ht="15.75" customHeight="1" x14ac:dyDescent="0.25">
      <c r="A322" s="113" t="s">
        <v>397</v>
      </c>
      <c r="B322" s="114"/>
      <c r="C322" s="130"/>
      <c r="D322" s="131"/>
      <c r="E322" s="131"/>
      <c r="F322" s="131"/>
      <c r="G322" s="131"/>
      <c r="H322" s="132"/>
      <c r="I322" s="33"/>
      <c r="J322" s="88">
        <f>2.9*1.2</f>
        <v>3.48</v>
      </c>
      <c r="L322" s="184"/>
      <c r="M322" s="184"/>
      <c r="N322" s="33"/>
    </row>
    <row r="323" spans="1:20" s="88" customFormat="1" x14ac:dyDescent="0.25">
      <c r="A323" s="113" t="s">
        <v>397</v>
      </c>
      <c r="B323" s="114"/>
      <c r="C323" s="133"/>
      <c r="D323" s="134"/>
      <c r="E323" s="134"/>
      <c r="F323" s="134"/>
      <c r="G323" s="134"/>
      <c r="H323" s="135"/>
      <c r="J323" s="33"/>
    </row>
    <row r="324" spans="1:20" s="88" customFormat="1" x14ac:dyDescent="0.25">
      <c r="A324" s="113">
        <v>4</v>
      </c>
      <c r="B324" s="114"/>
      <c r="C324" s="87" t="s">
        <v>398</v>
      </c>
      <c r="D324" s="104">
        <f>(55.99)*10.764</f>
        <v>602.67635999999993</v>
      </c>
      <c r="E324" s="104">
        <f>(3.05+0.9*(2.9*2+2.15))*10.764</f>
        <v>109.84661999999997</v>
      </c>
      <c r="F324" s="87">
        <f>D324+E324</f>
        <v>712.52297999999996</v>
      </c>
      <c r="G324" s="87">
        <v>0</v>
      </c>
      <c r="H324" s="87">
        <f>F324*(($H$271)+1)+(IF(G324&lt;101,G324,IF(G324&lt;201,G324/2,IF(G324&lt;=301,G324/3,G324/4))))</f>
        <v>1033.1583209999999</v>
      </c>
      <c r="J324" s="33"/>
    </row>
    <row r="325" spans="1:20" s="88" customFormat="1" x14ac:dyDescent="0.25">
      <c r="A325" s="113">
        <f t="shared" ref="A325:A326" si="19">A324+1</f>
        <v>5</v>
      </c>
      <c r="B325" s="114"/>
      <c r="C325" s="87" t="s">
        <v>398</v>
      </c>
      <c r="D325" s="104">
        <f>(61.94)*10.764</f>
        <v>666.72215999999992</v>
      </c>
      <c r="E325" s="104">
        <f>(3.05+0.9*(2.15+2.9+2.9))*10.764</f>
        <v>109.84661999999997</v>
      </c>
      <c r="F325" s="87">
        <f>D325+E325</f>
        <v>776.56877999999983</v>
      </c>
      <c r="G325" s="87">
        <v>0</v>
      </c>
      <c r="H325" s="87">
        <f>F325*(($H$271)+1)+(IF(G325&lt;101,G325,IF(G325&lt;201,G325/2,IF(G325&lt;=301,G325/3,G325/4))))</f>
        <v>1126.0247309999997</v>
      </c>
      <c r="J325" s="33"/>
    </row>
    <row r="326" spans="1:20" s="88" customFormat="1" ht="15.75" customHeight="1" x14ac:dyDescent="0.25">
      <c r="A326" s="113">
        <f t="shared" si="19"/>
        <v>6</v>
      </c>
      <c r="B326" s="114"/>
      <c r="C326" s="87" t="s">
        <v>398</v>
      </c>
      <c r="D326" s="104">
        <f>(56.06)*10.764</f>
        <v>603.42984000000001</v>
      </c>
      <c r="E326" s="104">
        <f>(3.05+0.9*(2.9*2+2.15))*10.764</f>
        <v>109.84661999999997</v>
      </c>
      <c r="F326" s="87">
        <f>D326+E326</f>
        <v>713.27646000000004</v>
      </c>
      <c r="G326" s="87">
        <v>0</v>
      </c>
      <c r="H326" s="87">
        <f>F326*(($H$271)+1)+(IF(G326&lt;101,G326,IF(G326&lt;201,G326/2,IF(G326&lt;=301,G326/3,G326/4))))</f>
        <v>1034.250867</v>
      </c>
      <c r="I326" s="33"/>
      <c r="L326" s="184"/>
      <c r="M326" s="184"/>
      <c r="N326" s="33"/>
    </row>
    <row r="327" spans="1:20" s="88" customFormat="1" ht="15.75" customHeight="1" x14ac:dyDescent="0.25">
      <c r="A327" s="124" t="s">
        <v>437</v>
      </c>
      <c r="B327" s="125"/>
      <c r="C327" s="125"/>
      <c r="D327" s="125"/>
      <c r="E327" s="125"/>
      <c r="F327" s="125"/>
      <c r="G327" s="125"/>
      <c r="H327" s="126"/>
      <c r="I327" s="33"/>
      <c r="L327" s="184"/>
      <c r="M327" s="184"/>
      <c r="N327" s="33"/>
    </row>
    <row r="328" spans="1:20" s="88" customFormat="1" ht="15.75" customHeight="1" x14ac:dyDescent="0.25">
      <c r="A328" s="113" t="s">
        <v>397</v>
      </c>
      <c r="B328" s="114"/>
      <c r="C328" s="127" t="s">
        <v>442</v>
      </c>
      <c r="D328" s="128"/>
      <c r="E328" s="128"/>
      <c r="F328" s="128"/>
      <c r="G328" s="128"/>
      <c r="H328" s="129"/>
      <c r="I328" s="33"/>
      <c r="L328" s="184"/>
      <c r="M328" s="184"/>
      <c r="N328" s="33"/>
    </row>
    <row r="329" spans="1:20" s="88" customFormat="1" ht="15.75" customHeight="1" x14ac:dyDescent="0.25">
      <c r="A329" s="113" t="s">
        <v>397</v>
      </c>
      <c r="B329" s="114"/>
      <c r="C329" s="130"/>
      <c r="D329" s="131"/>
      <c r="E329" s="131"/>
      <c r="F329" s="131"/>
      <c r="G329" s="131"/>
      <c r="H329" s="132"/>
      <c r="I329" s="33"/>
      <c r="L329" s="184"/>
      <c r="M329" s="184"/>
      <c r="N329" s="33"/>
    </row>
    <row r="330" spans="1:20" s="88" customFormat="1" ht="15.75" customHeight="1" x14ac:dyDescent="0.25">
      <c r="A330" s="113" t="s">
        <v>397</v>
      </c>
      <c r="B330" s="114"/>
      <c r="C330" s="133"/>
      <c r="D330" s="134"/>
      <c r="E330" s="134"/>
      <c r="F330" s="134"/>
      <c r="G330" s="134"/>
      <c r="H330" s="135"/>
      <c r="I330" s="33"/>
      <c r="L330" s="184"/>
      <c r="M330" s="184"/>
      <c r="N330" s="33"/>
      <c r="T330" s="18"/>
    </row>
    <row r="331" spans="1:20" s="88" customFormat="1" ht="15.75" customHeight="1" x14ac:dyDescent="0.25">
      <c r="A331" s="113">
        <v>4</v>
      </c>
      <c r="B331" s="114"/>
      <c r="C331" s="87" t="s">
        <v>398</v>
      </c>
      <c r="D331" s="104">
        <f>(55.99)*10.764</f>
        <v>602.67635999999993</v>
      </c>
      <c r="E331" s="104">
        <f>(3.05+0.9*(2.9*2+2.15))*10.764</f>
        <v>109.84661999999997</v>
      </c>
      <c r="F331" s="87">
        <f>D331+E331</f>
        <v>712.52297999999996</v>
      </c>
      <c r="G331" s="87">
        <v>0</v>
      </c>
      <c r="H331" s="87">
        <f>F331*(($H$271)+1)+(IF(G331&lt;101,G331,IF(G331&lt;201,G331/2,IF(G331&lt;=301,G331/3,G331/4))))</f>
        <v>1033.1583209999999</v>
      </c>
      <c r="I331" s="33"/>
      <c r="L331" s="184"/>
      <c r="M331" s="184"/>
      <c r="N331" s="33"/>
    </row>
    <row r="332" spans="1:20" s="88" customFormat="1" ht="15.75" customHeight="1" x14ac:dyDescent="0.25">
      <c r="A332" s="113">
        <f t="shared" ref="A332:A333" si="20">A331+1</f>
        <v>5</v>
      </c>
      <c r="B332" s="114"/>
      <c r="C332" s="87" t="s">
        <v>398</v>
      </c>
      <c r="D332" s="104">
        <f>(61.94)*10.764</f>
        <v>666.72215999999992</v>
      </c>
      <c r="E332" s="104">
        <f>(3.05+0.9*(2.15+2.9+2.9))*10.764</f>
        <v>109.84661999999997</v>
      </c>
      <c r="F332" s="87">
        <f>D332+E332</f>
        <v>776.56877999999983</v>
      </c>
      <c r="G332" s="87">
        <v>0</v>
      </c>
      <c r="H332" s="87">
        <f>F332*(($H$271)+1)+(IF(G332&lt;101,G332,IF(G332&lt;201,G332/2,IF(G332&lt;=301,G332/3,G332/4))))</f>
        <v>1126.0247309999997</v>
      </c>
      <c r="I332" s="33"/>
      <c r="L332" s="184"/>
      <c r="M332" s="184"/>
      <c r="N332" s="33"/>
      <c r="T332" s="18"/>
    </row>
    <row r="333" spans="1:20" s="88" customFormat="1" ht="15.75" customHeight="1" x14ac:dyDescent="0.25">
      <c r="A333" s="113">
        <f t="shared" si="20"/>
        <v>6</v>
      </c>
      <c r="B333" s="114"/>
      <c r="C333" s="87" t="s">
        <v>398</v>
      </c>
      <c r="D333" s="104">
        <f>(56.06)*10.764</f>
        <v>603.42984000000001</v>
      </c>
      <c r="E333" s="104">
        <f>(3.05+0.9*(2.9*2+2.15))*10.764</f>
        <v>109.84661999999997</v>
      </c>
      <c r="F333" s="87">
        <f>D333+E333</f>
        <v>713.27646000000004</v>
      </c>
      <c r="G333" s="87">
        <v>0</v>
      </c>
      <c r="H333" s="87">
        <f>F333*(($H$271)+1)+(IF(G333&lt;101,G333,IF(G333&lt;201,G333/2,IF(G333&lt;=301,G333/3,G333/4))))</f>
        <v>1034.250867</v>
      </c>
      <c r="I333" s="33"/>
      <c r="L333" s="184"/>
      <c r="M333" s="184"/>
      <c r="N333" s="33"/>
    </row>
    <row r="334" spans="1:20" s="88" customFormat="1" ht="15.75" customHeight="1" x14ac:dyDescent="0.25">
      <c r="A334" s="124" t="s">
        <v>436</v>
      </c>
      <c r="B334" s="125"/>
      <c r="C334" s="125"/>
      <c r="D334" s="125"/>
      <c r="E334" s="125"/>
      <c r="F334" s="125"/>
      <c r="G334" s="125"/>
      <c r="H334" s="126"/>
      <c r="I334" s="33"/>
      <c r="L334" s="184"/>
      <c r="M334" s="184"/>
      <c r="N334" s="33"/>
    </row>
    <row r="335" spans="1:20" s="88" customFormat="1" ht="15.75" customHeight="1" x14ac:dyDescent="0.25">
      <c r="A335" s="113">
        <v>1</v>
      </c>
      <c r="B335" s="114"/>
      <c r="C335" s="87" t="s">
        <v>398</v>
      </c>
      <c r="D335" s="104">
        <f>(53.71)*10.764</f>
        <v>578.13443999999993</v>
      </c>
      <c r="E335" s="104">
        <f t="shared" ref="E335:E340" si="21">(3.05+0.9*(2.9*2+2.15))*10.764</f>
        <v>109.84661999999997</v>
      </c>
      <c r="F335" s="87">
        <f t="shared" ref="F335:F340" si="22">D335+E335</f>
        <v>687.98105999999984</v>
      </c>
      <c r="G335" s="87">
        <v>0</v>
      </c>
      <c r="H335" s="87">
        <f t="shared" ref="H335:H340" si="23">F335*(($H$271)+1)+(IF(G335&lt;101,G335,IF(G335&lt;201,G335/2,IF(G335&lt;=301,G335/3,G335/4))))</f>
        <v>997.57253699999978</v>
      </c>
      <c r="I335" s="33">
        <f>2.9*3.2+2.2*2.35+2.9*2.35+2.15*1.4+1.25*2.15</f>
        <v>26.962499999999999</v>
      </c>
      <c r="J335" s="88">
        <f>2.9+2.2+2.9*1.5</f>
        <v>9.4499999999999993</v>
      </c>
      <c r="L335" s="184"/>
      <c r="M335" s="184"/>
      <c r="N335" s="33"/>
    </row>
    <row r="336" spans="1:20" s="88" customFormat="1" ht="15.75" customHeight="1" x14ac:dyDescent="0.25">
      <c r="A336" s="113">
        <v>2</v>
      </c>
      <c r="B336" s="114"/>
      <c r="C336" s="87" t="s">
        <v>398</v>
      </c>
      <c r="D336" s="104">
        <f>(58.71)*10.764</f>
        <v>631.95443999999998</v>
      </c>
      <c r="E336" s="104">
        <f t="shared" si="21"/>
        <v>109.84661999999997</v>
      </c>
      <c r="F336" s="87">
        <f t="shared" si="22"/>
        <v>741.80106000000001</v>
      </c>
      <c r="G336" s="87">
        <v>0</v>
      </c>
      <c r="H336" s="87">
        <f t="shared" si="23"/>
        <v>1075.611537</v>
      </c>
      <c r="J336" s="33"/>
    </row>
    <row r="337" spans="1:20" s="88" customFormat="1" ht="15.75" customHeight="1" x14ac:dyDescent="0.25">
      <c r="A337" s="113">
        <v>3</v>
      </c>
      <c r="B337" s="114"/>
      <c r="C337" s="87" t="s">
        <v>398</v>
      </c>
      <c r="D337" s="104">
        <f>(53.51)*10.764</f>
        <v>575.98163999999997</v>
      </c>
      <c r="E337" s="104">
        <f t="shared" si="21"/>
        <v>109.84661999999997</v>
      </c>
      <c r="F337" s="87">
        <f t="shared" si="22"/>
        <v>685.82826</v>
      </c>
      <c r="G337" s="87">
        <v>0</v>
      </c>
      <c r="H337" s="87">
        <f t="shared" si="23"/>
        <v>994.45097699999997</v>
      </c>
      <c r="I337" s="33"/>
      <c r="L337" s="184"/>
      <c r="M337" s="184"/>
      <c r="N337" s="33"/>
    </row>
    <row r="338" spans="1:20" s="88" customFormat="1" ht="15.75" customHeight="1" x14ac:dyDescent="0.25">
      <c r="A338" s="113">
        <v>4</v>
      </c>
      <c r="B338" s="114"/>
      <c r="C338" s="87" t="s">
        <v>398</v>
      </c>
      <c r="D338" s="104">
        <f>(55.99)*10.764</f>
        <v>602.67635999999993</v>
      </c>
      <c r="E338" s="104">
        <f t="shared" si="21"/>
        <v>109.84661999999997</v>
      </c>
      <c r="F338" s="87">
        <f t="shared" si="22"/>
        <v>712.52297999999996</v>
      </c>
      <c r="G338" s="87">
        <v>0</v>
      </c>
      <c r="H338" s="87">
        <f t="shared" si="23"/>
        <v>1033.1583209999999</v>
      </c>
      <c r="I338" s="33"/>
      <c r="L338" s="184"/>
      <c r="M338" s="184"/>
      <c r="N338" s="33"/>
    </row>
    <row r="339" spans="1:20" s="88" customFormat="1" ht="15.75" customHeight="1" x14ac:dyDescent="0.25">
      <c r="A339" s="113">
        <v>5</v>
      </c>
      <c r="B339" s="114"/>
      <c r="C339" s="87" t="s">
        <v>398</v>
      </c>
      <c r="D339" s="104">
        <f>(61.94)*10.764</f>
        <v>666.72215999999992</v>
      </c>
      <c r="E339" s="104">
        <f t="shared" si="21"/>
        <v>109.84661999999997</v>
      </c>
      <c r="F339" s="87">
        <f t="shared" si="22"/>
        <v>776.56877999999983</v>
      </c>
      <c r="G339" s="87">
        <v>0</v>
      </c>
      <c r="H339" s="87">
        <f t="shared" si="23"/>
        <v>1126.0247309999997</v>
      </c>
      <c r="I339" s="33"/>
      <c r="L339" s="184"/>
      <c r="M339" s="184"/>
      <c r="N339" s="33"/>
    </row>
    <row r="340" spans="1:20" s="88" customFormat="1" ht="15.75" customHeight="1" x14ac:dyDescent="0.25">
      <c r="A340" s="113">
        <v>6</v>
      </c>
      <c r="B340" s="114"/>
      <c r="C340" s="87" t="s">
        <v>398</v>
      </c>
      <c r="D340" s="104">
        <f>(56.06)*10.764</f>
        <v>603.42984000000001</v>
      </c>
      <c r="E340" s="104">
        <f t="shared" si="21"/>
        <v>109.84661999999997</v>
      </c>
      <c r="F340" s="87">
        <f t="shared" si="22"/>
        <v>713.27646000000004</v>
      </c>
      <c r="G340" s="87">
        <v>0</v>
      </c>
      <c r="H340" s="87">
        <f t="shared" si="23"/>
        <v>1034.250867</v>
      </c>
      <c r="I340" s="33"/>
      <c r="L340" s="184"/>
      <c r="M340" s="184"/>
      <c r="N340" s="33"/>
    </row>
    <row r="341" spans="1:20" s="88" customFormat="1" ht="15.75" customHeight="1" x14ac:dyDescent="0.25">
      <c r="A341" s="124" t="s">
        <v>432</v>
      </c>
      <c r="B341" s="125"/>
      <c r="C341" s="125"/>
      <c r="D341" s="125"/>
      <c r="E341" s="125"/>
      <c r="F341" s="125"/>
      <c r="G341" s="125"/>
      <c r="H341" s="126"/>
      <c r="I341" s="33"/>
      <c r="L341" s="184"/>
      <c r="M341" s="184"/>
      <c r="N341" s="33"/>
      <c r="T341" s="18"/>
    </row>
    <row r="342" spans="1:20" s="88" customFormat="1" ht="15.75" customHeight="1" x14ac:dyDescent="0.25">
      <c r="A342" s="113">
        <v>1</v>
      </c>
      <c r="B342" s="114"/>
      <c r="C342" s="92" t="s">
        <v>398</v>
      </c>
      <c r="D342" s="104">
        <f>(53.71)*10.764</f>
        <v>578.13443999999993</v>
      </c>
      <c r="E342" s="104">
        <f>(3.05+0.9*(2.9*2+2.15))*10.764</f>
        <v>109.84661999999997</v>
      </c>
      <c r="F342" s="92">
        <f t="shared" ref="F342:F348" si="24">D342+E342</f>
        <v>687.98105999999984</v>
      </c>
      <c r="G342" s="92">
        <v>0</v>
      </c>
      <c r="H342" s="92">
        <f>F342*(($H$271)+1)+(IF(G342&lt;101,G342,IF(G342&lt;201,G342/2,IF(G342&lt;=301,G342/3,G342/4))))</f>
        <v>997.57253699999978</v>
      </c>
      <c r="I342" s="98">
        <f>6145200/H342</f>
        <v>6160.1535448043323</v>
      </c>
      <c r="L342" s="184"/>
      <c r="M342" s="184"/>
      <c r="N342" s="33"/>
    </row>
    <row r="343" spans="1:20" s="88" customFormat="1" ht="15.75" customHeight="1" x14ac:dyDescent="0.25">
      <c r="A343" s="113">
        <v>2</v>
      </c>
      <c r="B343" s="114"/>
      <c r="C343" s="92" t="s">
        <v>398</v>
      </c>
      <c r="D343" s="104">
        <f>(58.71)*10.764</f>
        <v>631.95443999999998</v>
      </c>
      <c r="E343" s="104">
        <f>(3.05+0.9*(2.9*2+2.15))*10.764</f>
        <v>109.84661999999997</v>
      </c>
      <c r="F343" s="92">
        <f t="shared" si="24"/>
        <v>741.80106000000001</v>
      </c>
      <c r="G343" s="92">
        <v>0</v>
      </c>
      <c r="H343" s="92">
        <f>F343*(($H$271)+1)+(IF(G343&lt;101,G343,IF(G343&lt;201,G343/2,IF(G343&lt;=301,G343/3,G343/4))))</f>
        <v>1075.611537</v>
      </c>
      <c r="I343" s="33"/>
      <c r="L343" s="184"/>
      <c r="M343" s="184"/>
      <c r="N343" s="33"/>
    </row>
    <row r="344" spans="1:20" s="88" customFormat="1" ht="15.75" customHeight="1" x14ac:dyDescent="0.25">
      <c r="A344" s="113">
        <v>3</v>
      </c>
      <c r="B344" s="114"/>
      <c r="C344" s="92" t="s">
        <v>398</v>
      </c>
      <c r="D344" s="104">
        <f>(53.51)*10.764</f>
        <v>575.98163999999997</v>
      </c>
      <c r="E344" s="104">
        <f>(3.05+0.9*(2.9*2+2.15))*10.764</f>
        <v>109.84661999999997</v>
      </c>
      <c r="F344" s="92">
        <f t="shared" si="24"/>
        <v>685.82826</v>
      </c>
      <c r="G344" s="92">
        <v>0</v>
      </c>
      <c r="H344" s="92">
        <f>F344*(($H$271)+1)+(IF(G344&lt;101,G344,IF(G344&lt;201,G344/2,IF(G344&lt;=301,G344/3,G344/4))))</f>
        <v>994.45097699999997</v>
      </c>
      <c r="I344" s="33">
        <f>2.9*3.2+2.2*2.35+2.9*2.35+2.15*1.4+1.25*2.15</f>
        <v>26.962499999999999</v>
      </c>
      <c r="J344" s="88">
        <f>2.9+2.2+2.9*1.5</f>
        <v>9.4499999999999993</v>
      </c>
      <c r="L344" s="184"/>
      <c r="M344" s="184"/>
      <c r="N344" s="33"/>
    </row>
    <row r="345" spans="1:20" s="88" customFormat="1" ht="15.75" customHeight="1" x14ac:dyDescent="0.25">
      <c r="A345" s="113" t="s">
        <v>433</v>
      </c>
      <c r="B345" s="114"/>
      <c r="C345" s="113" t="s">
        <v>434</v>
      </c>
      <c r="D345" s="115"/>
      <c r="E345" s="115"/>
      <c r="F345" s="115"/>
      <c r="G345" s="115"/>
      <c r="H345" s="114"/>
      <c r="J345" s="33"/>
    </row>
    <row r="346" spans="1:20" s="88" customFormat="1" ht="15.75" customHeight="1" x14ac:dyDescent="0.25">
      <c r="A346" s="113">
        <v>4</v>
      </c>
      <c r="B346" s="114"/>
      <c r="C346" s="92" t="s">
        <v>398</v>
      </c>
      <c r="D346" s="104">
        <f>(55.99)*10.764</f>
        <v>602.67635999999993</v>
      </c>
      <c r="E346" s="104">
        <f>(3.05+0.9*(2.9*2+2.15))*10.764</f>
        <v>109.84661999999997</v>
      </c>
      <c r="F346" s="92">
        <f t="shared" si="24"/>
        <v>712.52297999999996</v>
      </c>
      <c r="G346" s="92">
        <v>0</v>
      </c>
      <c r="H346" s="92">
        <f>F346*(($H$271)+1)+(IF(G346&lt;101,G346,IF(G346&lt;201,G346/2,IF(G346&lt;=301,G346/3,G346/4))))</f>
        <v>1033.1583209999999</v>
      </c>
      <c r="I346" s="33"/>
      <c r="L346" s="184"/>
      <c r="M346" s="184"/>
      <c r="N346" s="33"/>
    </row>
    <row r="347" spans="1:20" s="88" customFormat="1" ht="15.75" customHeight="1" x14ac:dyDescent="0.25">
      <c r="A347" s="113">
        <v>5</v>
      </c>
      <c r="B347" s="114"/>
      <c r="C347" s="92" t="s">
        <v>398</v>
      </c>
      <c r="D347" s="104">
        <f>(61.94)*10.764</f>
        <v>666.72215999999992</v>
      </c>
      <c r="E347" s="104">
        <f>(3.05+0.9*(2.9*2+2.15))*10.764</f>
        <v>109.84661999999997</v>
      </c>
      <c r="F347" s="92">
        <f t="shared" si="24"/>
        <v>776.56877999999983</v>
      </c>
      <c r="G347" s="92">
        <v>0</v>
      </c>
      <c r="H347" s="92">
        <f>F347*(($H$271)+1)+(IF(G347&lt;101,G347,IF(G347&lt;201,G347/2,IF(G347&lt;=301,G347/3,G347/4))))</f>
        <v>1126.0247309999997</v>
      </c>
      <c r="I347" s="33"/>
      <c r="L347" s="184"/>
      <c r="M347" s="184"/>
      <c r="N347" s="33"/>
    </row>
    <row r="348" spans="1:20" s="88" customFormat="1" ht="15.75" customHeight="1" x14ac:dyDescent="0.25">
      <c r="A348" s="113">
        <v>6</v>
      </c>
      <c r="B348" s="114"/>
      <c r="C348" s="92" t="s">
        <v>398</v>
      </c>
      <c r="D348" s="104">
        <f>(56.06)*10.764</f>
        <v>603.42984000000001</v>
      </c>
      <c r="E348" s="104">
        <f>(3.05+0.9*(2.9*2+2.15))*10.764</f>
        <v>109.84661999999997</v>
      </c>
      <c r="F348" s="92">
        <f t="shared" si="24"/>
        <v>713.27646000000004</v>
      </c>
      <c r="G348" s="92">
        <v>0</v>
      </c>
      <c r="H348" s="92">
        <f>F348*(($H$271)+1)+(IF(G348&lt;101,G348,IF(G348&lt;201,G348/2,IF(G348&lt;=301,G348/3,G348/4))))</f>
        <v>1034.250867</v>
      </c>
      <c r="I348" s="33"/>
      <c r="L348" s="184"/>
      <c r="M348" s="184"/>
      <c r="N348" s="33"/>
    </row>
    <row r="349" spans="1:20" s="88" customFormat="1" ht="15.75" customHeight="1" x14ac:dyDescent="0.25">
      <c r="A349" s="143" t="s">
        <v>400</v>
      </c>
      <c r="B349" s="144"/>
      <c r="C349" s="144"/>
      <c r="D349" s="144"/>
      <c r="E349" s="144"/>
      <c r="F349" s="144"/>
      <c r="G349" s="144"/>
      <c r="H349" s="145"/>
      <c r="I349" s="33"/>
      <c r="L349" s="184"/>
      <c r="M349" s="184"/>
      <c r="N349" s="33"/>
    </row>
    <row r="350" spans="1:20" s="88" customFormat="1" ht="15.75" customHeight="1" x14ac:dyDescent="0.25">
      <c r="A350" s="124" t="s">
        <v>399</v>
      </c>
      <c r="B350" s="125"/>
      <c r="C350" s="125"/>
      <c r="D350" s="125"/>
      <c r="E350" s="125"/>
      <c r="F350" s="125"/>
      <c r="G350" s="125"/>
      <c r="H350" s="126"/>
      <c r="I350" s="33"/>
      <c r="L350" s="184"/>
      <c r="M350" s="184"/>
      <c r="N350" s="33"/>
      <c r="T350" s="18"/>
    </row>
    <row r="351" spans="1:20" s="88" customFormat="1" ht="15.75" customHeight="1" x14ac:dyDescent="0.25">
      <c r="A351" s="124" t="s">
        <v>435</v>
      </c>
      <c r="B351" s="125"/>
      <c r="C351" s="125"/>
      <c r="D351" s="125"/>
      <c r="E351" s="125"/>
      <c r="F351" s="125"/>
      <c r="G351" s="125"/>
      <c r="H351" s="126"/>
      <c r="I351" s="33"/>
      <c r="L351" s="184"/>
      <c r="M351" s="184"/>
      <c r="N351" s="33"/>
    </row>
    <row r="352" spans="1:20" s="88" customFormat="1" ht="15.75" customHeight="1" x14ac:dyDescent="0.25">
      <c r="A352" s="113" t="s">
        <v>397</v>
      </c>
      <c r="B352" s="114"/>
      <c r="C352" s="127" t="s">
        <v>442</v>
      </c>
      <c r="D352" s="128"/>
      <c r="E352" s="128"/>
      <c r="F352" s="128"/>
      <c r="G352" s="128"/>
      <c r="H352" s="129"/>
      <c r="I352" s="33"/>
      <c r="L352" s="184"/>
      <c r="M352" s="184"/>
      <c r="N352" s="33"/>
    </row>
    <row r="353" spans="1:20" s="88" customFormat="1" ht="15.75" customHeight="1" x14ac:dyDescent="0.25">
      <c r="A353" s="113" t="s">
        <v>397</v>
      </c>
      <c r="B353" s="114"/>
      <c r="C353" s="130"/>
      <c r="D353" s="131"/>
      <c r="E353" s="131"/>
      <c r="F353" s="131"/>
      <c r="G353" s="131"/>
      <c r="H353" s="132"/>
      <c r="I353" s="33">
        <f>2.9*3.2+2.2*2.35+2.9*2.35+2.15*1.4+1.25*2.15</f>
        <v>26.962499999999999</v>
      </c>
      <c r="J353" s="88">
        <f>2.9+2.2+2.9*1.5</f>
        <v>9.4499999999999993</v>
      </c>
      <c r="L353" s="184"/>
      <c r="M353" s="184"/>
      <c r="N353" s="33"/>
    </row>
    <row r="354" spans="1:20" s="88" customFormat="1" x14ac:dyDescent="0.25">
      <c r="A354" s="113" t="s">
        <v>397</v>
      </c>
      <c r="B354" s="114"/>
      <c r="C354" s="130"/>
      <c r="D354" s="131"/>
      <c r="E354" s="131"/>
      <c r="F354" s="131"/>
      <c r="G354" s="131"/>
      <c r="H354" s="132"/>
      <c r="J354" s="33"/>
    </row>
    <row r="355" spans="1:20" s="88" customFormat="1" x14ac:dyDescent="0.25">
      <c r="A355" s="113" t="s">
        <v>397</v>
      </c>
      <c r="B355" s="114"/>
      <c r="C355" s="133"/>
      <c r="D355" s="134"/>
      <c r="E355" s="134"/>
      <c r="F355" s="134"/>
      <c r="G355" s="134"/>
      <c r="H355" s="135"/>
      <c r="J355" s="33"/>
    </row>
    <row r="356" spans="1:20" s="88" customFormat="1" x14ac:dyDescent="0.25">
      <c r="A356" s="113">
        <v>5</v>
      </c>
      <c r="B356" s="114"/>
      <c r="C356" s="87" t="s">
        <v>398</v>
      </c>
      <c r="D356" s="104">
        <f>(52.87)*10.764</f>
        <v>569.09267999999997</v>
      </c>
      <c r="E356" s="104">
        <f>(0.9*(2.9+2.9+2.2+2.9))*10.764</f>
        <v>105.59484</v>
      </c>
      <c r="F356" s="87">
        <f>D356+E356</f>
        <v>674.68751999999995</v>
      </c>
      <c r="G356" s="87">
        <v>0</v>
      </c>
      <c r="H356" s="87">
        <f>F356*(($H$271)+1)+(IF(G356&lt;101,G356,IF(G356&lt;201,G356/2,IF(G356&lt;=301,G356/3,G356/4))))</f>
        <v>978.29690399999993</v>
      </c>
      <c r="J356" s="33"/>
    </row>
    <row r="357" spans="1:20" s="88" customFormat="1" ht="15.75" customHeight="1" x14ac:dyDescent="0.25">
      <c r="A357" s="113">
        <f t="shared" ref="A357:A359" si="25">A356+1</f>
        <v>6</v>
      </c>
      <c r="B357" s="114"/>
      <c r="C357" s="87" t="s">
        <v>398</v>
      </c>
      <c r="D357" s="104">
        <f>(51.27)*10.764</f>
        <v>551.87027999999998</v>
      </c>
      <c r="E357" s="104">
        <f>(0.9*(2.9+2.9+2.2+2.9))*10.764</f>
        <v>105.59484</v>
      </c>
      <c r="F357" s="87">
        <f>D357+E357</f>
        <v>657.46511999999996</v>
      </c>
      <c r="G357" s="87">
        <v>0</v>
      </c>
      <c r="H357" s="87">
        <f>F357*(($H$271)+1)+(IF(G357&lt;101,G357,IF(G357&lt;201,G357/2,IF(G357&lt;=301,G357/3,G357/4))))</f>
        <v>953.32442399999991</v>
      </c>
      <c r="I357" s="90">
        <f>2.9+2.2+2.9</f>
        <v>8</v>
      </c>
      <c r="L357" s="184"/>
      <c r="M357" s="184"/>
      <c r="N357" s="33"/>
    </row>
    <row r="358" spans="1:20" s="88" customFormat="1" ht="15.75" customHeight="1" x14ac:dyDescent="0.25">
      <c r="A358" s="113">
        <f t="shared" si="25"/>
        <v>7</v>
      </c>
      <c r="B358" s="114"/>
      <c r="C358" s="87" t="s">
        <v>398</v>
      </c>
      <c r="D358" s="104">
        <f>(51.27)*10.764</f>
        <v>551.87027999999998</v>
      </c>
      <c r="E358" s="104">
        <f>(0.9*(2.9+2.9+2.2+2.9))*10.764</f>
        <v>105.59484</v>
      </c>
      <c r="F358" s="87">
        <f>D358+E358</f>
        <v>657.46511999999996</v>
      </c>
      <c r="G358" s="87">
        <v>0</v>
      </c>
      <c r="H358" s="87">
        <f>F358*(($H$271)+1)+(IF(G358&lt;101,G358,IF(G358&lt;201,G358/2,IF(G358&lt;=301,G358/3,G358/4))))</f>
        <v>953.32442399999991</v>
      </c>
      <c r="I358" s="33"/>
      <c r="L358" s="184"/>
      <c r="M358" s="184"/>
      <c r="N358" s="33"/>
    </row>
    <row r="359" spans="1:20" s="88" customFormat="1" ht="15.75" customHeight="1" x14ac:dyDescent="0.25">
      <c r="A359" s="113">
        <f t="shared" si="25"/>
        <v>8</v>
      </c>
      <c r="B359" s="114"/>
      <c r="C359" s="87" t="s">
        <v>401</v>
      </c>
      <c r="D359" s="104">
        <f>(29.28+9.6)*10.764</f>
        <v>418.50432000000001</v>
      </c>
      <c r="E359" s="104">
        <f>(0.9*(2.9+2.9+2.2))*10.764</f>
        <v>77.500799999999998</v>
      </c>
      <c r="F359" s="87">
        <f>D359+E359</f>
        <v>496.00512000000003</v>
      </c>
      <c r="G359" s="87">
        <v>0</v>
      </c>
      <c r="H359" s="87">
        <f>F359*(($H$271)+1)+(IF(G359&lt;101,G359,IF(G359&lt;201,G359/2,IF(G359&lt;=301,G359/3,G359/4))))</f>
        <v>719.20742400000006</v>
      </c>
      <c r="I359" s="33"/>
      <c r="L359" s="184"/>
      <c r="M359" s="184"/>
      <c r="N359" s="33"/>
    </row>
    <row r="360" spans="1:20" s="88" customFormat="1" ht="15.75" customHeight="1" x14ac:dyDescent="0.25">
      <c r="A360" s="124" t="s">
        <v>437</v>
      </c>
      <c r="B360" s="125"/>
      <c r="C360" s="125"/>
      <c r="D360" s="125"/>
      <c r="E360" s="125"/>
      <c r="F360" s="125"/>
      <c r="G360" s="125"/>
      <c r="H360" s="126"/>
      <c r="I360" s="33"/>
      <c r="L360" s="184"/>
      <c r="M360" s="184"/>
      <c r="N360" s="33"/>
    </row>
    <row r="361" spans="1:20" s="88" customFormat="1" ht="15.75" customHeight="1" x14ac:dyDescent="0.25">
      <c r="A361" s="113" t="s">
        <v>397</v>
      </c>
      <c r="B361" s="114"/>
      <c r="C361" s="127" t="s">
        <v>442</v>
      </c>
      <c r="D361" s="128"/>
      <c r="E361" s="128"/>
      <c r="F361" s="128"/>
      <c r="G361" s="128"/>
      <c r="H361" s="129"/>
      <c r="I361" s="33"/>
      <c r="L361" s="184"/>
      <c r="M361" s="184"/>
      <c r="N361" s="33"/>
      <c r="T361" s="18"/>
    </row>
    <row r="362" spans="1:20" s="88" customFormat="1" ht="15.75" customHeight="1" x14ac:dyDescent="0.25">
      <c r="A362" s="113" t="s">
        <v>397</v>
      </c>
      <c r="B362" s="114"/>
      <c r="C362" s="130"/>
      <c r="D362" s="131"/>
      <c r="E362" s="131"/>
      <c r="F362" s="131"/>
      <c r="G362" s="131"/>
      <c r="H362" s="132"/>
      <c r="I362" s="33"/>
      <c r="L362" s="184"/>
      <c r="M362" s="184"/>
      <c r="N362" s="33"/>
    </row>
    <row r="363" spans="1:20" s="88" customFormat="1" ht="15.75" customHeight="1" x14ac:dyDescent="0.25">
      <c r="A363" s="113" t="s">
        <v>397</v>
      </c>
      <c r="B363" s="114"/>
      <c r="C363" s="130"/>
      <c r="D363" s="131"/>
      <c r="E363" s="131"/>
      <c r="F363" s="131"/>
      <c r="G363" s="131"/>
      <c r="H363" s="132"/>
      <c r="I363" s="33"/>
      <c r="L363" s="184"/>
      <c r="M363" s="184"/>
      <c r="N363" s="33"/>
    </row>
    <row r="364" spans="1:20" s="88" customFormat="1" ht="15.75" customHeight="1" x14ac:dyDescent="0.25">
      <c r="A364" s="113" t="s">
        <v>397</v>
      </c>
      <c r="B364" s="114"/>
      <c r="C364" s="133"/>
      <c r="D364" s="134"/>
      <c r="E364" s="134"/>
      <c r="F364" s="134"/>
      <c r="G364" s="134"/>
      <c r="H364" s="135"/>
      <c r="I364" s="33">
        <f>2.9*4.7+2.2*3.05+2.9*3.05+2*(1.25*2.15)+1*3.5+1.19*1.4</f>
        <v>39.725999999999999</v>
      </c>
      <c r="L364" s="184"/>
      <c r="M364" s="184"/>
      <c r="N364" s="33"/>
    </row>
    <row r="365" spans="1:20" s="88" customFormat="1" ht="15.75" customHeight="1" x14ac:dyDescent="0.25">
      <c r="A365" s="113">
        <v>5</v>
      </c>
      <c r="B365" s="114"/>
      <c r="C365" s="87" t="s">
        <v>398</v>
      </c>
      <c r="D365" s="104">
        <f>(52.87)*10.764</f>
        <v>569.09267999999997</v>
      </c>
      <c r="E365" s="104">
        <f>(0.9*(2.9+2.9+2.2+2.9))*10.764</f>
        <v>105.59484</v>
      </c>
      <c r="F365" s="87">
        <f>D365+E365</f>
        <v>674.68751999999995</v>
      </c>
      <c r="G365" s="87">
        <v>0</v>
      </c>
      <c r="H365" s="87">
        <f>F365*(($H$271)+1)+(IF(G365&lt;101,G365,IF(G365&lt;201,G365/2,IF(G365&lt;=301,G365/3,G365/4))))</f>
        <v>978.29690399999993</v>
      </c>
      <c r="I365" s="33"/>
      <c r="L365" s="184"/>
      <c r="M365" s="184"/>
      <c r="N365" s="33"/>
    </row>
    <row r="366" spans="1:20" s="88" customFormat="1" x14ac:dyDescent="0.25">
      <c r="A366" s="113">
        <f t="shared" ref="A366:A368" si="26">A365+1</f>
        <v>6</v>
      </c>
      <c r="B366" s="114"/>
      <c r="C366" s="87" t="s">
        <v>398</v>
      </c>
      <c r="D366" s="104">
        <f>(51.27)*10.764</f>
        <v>551.87027999999998</v>
      </c>
      <c r="E366" s="104">
        <f>(0.9*(2.9+2.9+2.2+2.9))*10.764</f>
        <v>105.59484</v>
      </c>
      <c r="F366" s="87">
        <f>D366+E366</f>
        <v>657.46511999999996</v>
      </c>
      <c r="G366" s="87">
        <v>0</v>
      </c>
      <c r="H366" s="87">
        <f>F366*(($H$271)+1)+(IF(G366&lt;101,G366,IF(G366&lt;201,G366/2,IF(G366&lt;=301,G366/3,G366/4))))</f>
        <v>953.32442399999991</v>
      </c>
      <c r="J366" s="33"/>
    </row>
    <row r="367" spans="1:20" s="88" customFormat="1" x14ac:dyDescent="0.25">
      <c r="A367" s="113">
        <f t="shared" si="26"/>
        <v>7</v>
      </c>
      <c r="B367" s="114"/>
      <c r="C367" s="87" t="s">
        <v>398</v>
      </c>
      <c r="D367" s="104">
        <f>(51.27)*10.764</f>
        <v>551.87027999999998</v>
      </c>
      <c r="E367" s="104">
        <f>(0.9*(2.9+2.9+2.2+2.9))*10.764</f>
        <v>105.59484</v>
      </c>
      <c r="F367" s="87">
        <f>D367+E367</f>
        <v>657.46511999999996</v>
      </c>
      <c r="G367" s="87">
        <v>0</v>
      </c>
      <c r="H367" s="87">
        <f>F367*(($H$271)+1)+(IF(G367&lt;101,G367,IF(G367&lt;201,G367/2,IF(G367&lt;=301,G367/3,G367/4))))</f>
        <v>953.32442399999991</v>
      </c>
      <c r="J367" s="33"/>
      <c r="L367" s="88">
        <f>10000/1.45</f>
        <v>6896.5517241379312</v>
      </c>
    </row>
    <row r="368" spans="1:20" s="88" customFormat="1" ht="15.75" customHeight="1" x14ac:dyDescent="0.25">
      <c r="A368" s="113">
        <f t="shared" si="26"/>
        <v>8</v>
      </c>
      <c r="B368" s="114"/>
      <c r="C368" s="87" t="s">
        <v>401</v>
      </c>
      <c r="D368" s="104">
        <f>(29.28+9.6)*10.764</f>
        <v>418.50432000000001</v>
      </c>
      <c r="E368" s="104">
        <f>(0.9*(2.9+2.9+2.2))*10.764</f>
        <v>77.500799999999998</v>
      </c>
      <c r="F368" s="87">
        <f>D368+E368</f>
        <v>496.00512000000003</v>
      </c>
      <c r="G368" s="87">
        <v>0</v>
      </c>
      <c r="H368" s="87">
        <f>F368*(($H$271)+1)+(IF(G368&lt;101,G368,IF(G368&lt;201,G368/2,IF(G368&lt;=301,G368/3,G368/4))))</f>
        <v>719.20742400000006</v>
      </c>
      <c r="I368" s="33"/>
      <c r="L368" s="184"/>
      <c r="M368" s="184"/>
      <c r="N368" s="33"/>
    </row>
    <row r="369" spans="1:20" s="88" customFormat="1" ht="15.75" customHeight="1" x14ac:dyDescent="0.25">
      <c r="A369" s="124" t="s">
        <v>436</v>
      </c>
      <c r="B369" s="125"/>
      <c r="C369" s="125"/>
      <c r="D369" s="125"/>
      <c r="E369" s="125"/>
      <c r="F369" s="125"/>
      <c r="G369" s="125"/>
      <c r="H369" s="126"/>
      <c r="I369" s="33"/>
      <c r="K369" s="88">
        <v>6000</v>
      </c>
      <c r="L369" s="184"/>
      <c r="M369" s="184"/>
      <c r="N369" s="33"/>
    </row>
    <row r="370" spans="1:20" s="88" customFormat="1" ht="15.75" customHeight="1" x14ac:dyDescent="0.25">
      <c r="A370" s="113">
        <v>1</v>
      </c>
      <c r="B370" s="114"/>
      <c r="C370" s="87" t="s">
        <v>401</v>
      </c>
      <c r="D370" s="104">
        <f>(29.28+9.6)*10.764</f>
        <v>418.50432000000001</v>
      </c>
      <c r="E370" s="104">
        <f>(0.9*(2.9+2.9+2.2))*10.764</f>
        <v>77.500799999999998</v>
      </c>
      <c r="F370" s="87">
        <f t="shared" ref="F370:F377" si="27">D370+E370</f>
        <v>496.00512000000003</v>
      </c>
      <c r="G370" s="87">
        <v>0</v>
      </c>
      <c r="H370" s="87">
        <f t="shared" ref="H370:H377" si="28">F370*(($H$271)+1)+(IF(G370&lt;101,G370,IF(G370&lt;201,G370/2,IF(G370&lt;=301,G370/3,G370/4))))</f>
        <v>719.20742400000006</v>
      </c>
      <c r="I370" s="33"/>
      <c r="J370" s="99"/>
      <c r="K370" s="99">
        <f>H370*$K$369</f>
        <v>4315244.5440000007</v>
      </c>
      <c r="L370" s="184"/>
      <c r="M370" s="184"/>
      <c r="N370" s="33"/>
    </row>
    <row r="371" spans="1:20" s="88" customFormat="1" ht="15.75" customHeight="1" x14ac:dyDescent="0.25">
      <c r="A371" s="113">
        <v>2</v>
      </c>
      <c r="B371" s="114"/>
      <c r="C371" s="87" t="s">
        <v>398</v>
      </c>
      <c r="D371" s="104">
        <f>(51.27)*10.764</f>
        <v>551.87027999999998</v>
      </c>
      <c r="E371" s="104">
        <f t="shared" ref="E371:E376" si="29">(0.9*(2.9+2.9+2.2+2.9))*10.764</f>
        <v>105.59484</v>
      </c>
      <c r="F371" s="87">
        <f t="shared" si="27"/>
        <v>657.46511999999996</v>
      </c>
      <c r="G371" s="87">
        <v>0</v>
      </c>
      <c r="H371" s="87">
        <f t="shared" si="28"/>
        <v>953.32442399999991</v>
      </c>
      <c r="I371" s="109" t="s">
        <v>461</v>
      </c>
      <c r="K371" s="106">
        <f t="shared" ref="K371:K377" si="30">H371*$K$369</f>
        <v>5719946.5439999998</v>
      </c>
      <c r="L371" s="184"/>
      <c r="M371" s="184"/>
      <c r="N371" s="33"/>
    </row>
    <row r="372" spans="1:20" s="88" customFormat="1" ht="15.75" customHeight="1" x14ac:dyDescent="0.25">
      <c r="A372" s="113">
        <v>3</v>
      </c>
      <c r="B372" s="114"/>
      <c r="C372" s="87" t="s">
        <v>398</v>
      </c>
      <c r="D372" s="104">
        <f>(51.27)*10.764</f>
        <v>551.87027999999998</v>
      </c>
      <c r="E372" s="104">
        <f t="shared" si="29"/>
        <v>105.59484</v>
      </c>
      <c r="F372" s="87">
        <f t="shared" si="27"/>
        <v>657.46511999999996</v>
      </c>
      <c r="G372" s="87">
        <v>0</v>
      </c>
      <c r="H372" s="87">
        <f t="shared" si="28"/>
        <v>953.32442399999991</v>
      </c>
      <c r="I372" s="98">
        <f>6145200/H372</f>
        <v>6446.0742275076764</v>
      </c>
      <c r="K372" s="99">
        <f t="shared" si="30"/>
        <v>5719946.5439999998</v>
      </c>
      <c r="L372" s="184"/>
      <c r="M372" s="184"/>
      <c r="N372" s="33"/>
      <c r="T372" s="18"/>
    </row>
    <row r="373" spans="1:20" s="88" customFormat="1" ht="15.75" customHeight="1" x14ac:dyDescent="0.25">
      <c r="A373" s="113">
        <v>4</v>
      </c>
      <c r="B373" s="114"/>
      <c r="C373" s="87" t="s">
        <v>398</v>
      </c>
      <c r="D373" s="104">
        <f>(52.87)*10.764</f>
        <v>569.09267999999997</v>
      </c>
      <c r="E373" s="104">
        <f t="shared" si="29"/>
        <v>105.59484</v>
      </c>
      <c r="F373" s="87">
        <f t="shared" si="27"/>
        <v>674.68751999999995</v>
      </c>
      <c r="G373" s="87">
        <v>0</v>
      </c>
      <c r="H373" s="87">
        <f t="shared" si="28"/>
        <v>978.29690399999993</v>
      </c>
      <c r="I373" s="33"/>
      <c r="K373" s="106">
        <f t="shared" si="30"/>
        <v>5869781.4239999996</v>
      </c>
      <c r="L373" s="184"/>
      <c r="M373" s="184"/>
      <c r="N373" s="33"/>
    </row>
    <row r="374" spans="1:20" s="88" customFormat="1" ht="15.75" customHeight="1" x14ac:dyDescent="0.25">
      <c r="A374" s="113">
        <v>5</v>
      </c>
      <c r="B374" s="114"/>
      <c r="C374" s="87" t="s">
        <v>398</v>
      </c>
      <c r="D374" s="104">
        <f>(52.87)*10.764</f>
        <v>569.09267999999997</v>
      </c>
      <c r="E374" s="104">
        <f t="shared" si="29"/>
        <v>105.59484</v>
      </c>
      <c r="F374" s="87">
        <f t="shared" si="27"/>
        <v>674.68751999999995</v>
      </c>
      <c r="G374" s="87">
        <v>0</v>
      </c>
      <c r="H374" s="87">
        <f t="shared" si="28"/>
        <v>978.29690399999993</v>
      </c>
      <c r="I374" s="33"/>
      <c r="K374" s="106">
        <f t="shared" si="30"/>
        <v>5869781.4239999996</v>
      </c>
      <c r="L374" s="184"/>
      <c r="M374" s="184"/>
      <c r="N374" s="33"/>
    </row>
    <row r="375" spans="1:20" s="88" customFormat="1" ht="15.75" customHeight="1" x14ac:dyDescent="0.25">
      <c r="A375" s="113">
        <f t="shared" ref="A375:A377" si="31">A374+1</f>
        <v>6</v>
      </c>
      <c r="B375" s="114"/>
      <c r="C375" s="87" t="s">
        <v>398</v>
      </c>
      <c r="D375" s="104">
        <f>(51.27)*10.764</f>
        <v>551.87027999999998</v>
      </c>
      <c r="E375" s="104">
        <f t="shared" si="29"/>
        <v>105.59484</v>
      </c>
      <c r="F375" s="87">
        <f t="shared" si="27"/>
        <v>657.46511999999996</v>
      </c>
      <c r="G375" s="87">
        <v>0</v>
      </c>
      <c r="H375" s="87">
        <f t="shared" si="28"/>
        <v>953.32442399999991</v>
      </c>
      <c r="I375" s="33"/>
      <c r="K375" s="106">
        <f t="shared" si="30"/>
        <v>5719946.5439999998</v>
      </c>
      <c r="L375" s="184"/>
      <c r="M375" s="184"/>
      <c r="N375" s="33"/>
    </row>
    <row r="376" spans="1:20" s="88" customFormat="1" ht="15.75" customHeight="1" x14ac:dyDescent="0.25">
      <c r="A376" s="113">
        <f t="shared" si="31"/>
        <v>7</v>
      </c>
      <c r="B376" s="114"/>
      <c r="C376" s="87" t="s">
        <v>398</v>
      </c>
      <c r="D376" s="104">
        <f>(51.27)*10.764</f>
        <v>551.87027999999998</v>
      </c>
      <c r="E376" s="104">
        <f t="shared" si="29"/>
        <v>105.59484</v>
      </c>
      <c r="F376" s="87">
        <f t="shared" si="27"/>
        <v>657.46511999999996</v>
      </c>
      <c r="G376" s="87">
        <v>0</v>
      </c>
      <c r="H376" s="87">
        <f t="shared" si="28"/>
        <v>953.32442399999991</v>
      </c>
      <c r="J376" s="33"/>
      <c r="K376" s="106">
        <f t="shared" si="30"/>
        <v>5719946.5439999998</v>
      </c>
    </row>
    <row r="377" spans="1:20" s="88" customFormat="1" ht="15.75" customHeight="1" x14ac:dyDescent="0.25">
      <c r="A377" s="113">
        <f t="shared" si="31"/>
        <v>8</v>
      </c>
      <c r="B377" s="114"/>
      <c r="C377" s="87" t="s">
        <v>401</v>
      </c>
      <c r="D377" s="104">
        <f>(29.28+9.6)*10.764</f>
        <v>418.50432000000001</v>
      </c>
      <c r="E377" s="104">
        <f>(0.9*(2.9+2.9+2.2))*10.764</f>
        <v>77.500799999999998</v>
      </c>
      <c r="F377" s="87">
        <f t="shared" si="27"/>
        <v>496.00512000000003</v>
      </c>
      <c r="G377" s="87">
        <v>0</v>
      </c>
      <c r="H377" s="87">
        <f t="shared" si="28"/>
        <v>719.20742400000006</v>
      </c>
      <c r="I377" s="33"/>
      <c r="K377" s="106">
        <f t="shared" si="30"/>
        <v>4315244.5440000007</v>
      </c>
      <c r="L377" s="184"/>
      <c r="M377" s="184"/>
      <c r="N377" s="33"/>
    </row>
    <row r="378" spans="1:20" s="88" customFormat="1" ht="15.75" customHeight="1" x14ac:dyDescent="0.25">
      <c r="A378" s="124" t="s">
        <v>432</v>
      </c>
      <c r="B378" s="125"/>
      <c r="C378" s="125"/>
      <c r="D378" s="125"/>
      <c r="E378" s="125"/>
      <c r="F378" s="125"/>
      <c r="G378" s="125"/>
      <c r="H378" s="126"/>
      <c r="I378" s="33"/>
      <c r="L378" s="184"/>
      <c r="M378" s="184"/>
      <c r="N378" s="33"/>
    </row>
    <row r="379" spans="1:20" s="88" customFormat="1" ht="15.75" customHeight="1" x14ac:dyDescent="0.25">
      <c r="A379" s="113">
        <v>1</v>
      </c>
      <c r="B379" s="114"/>
      <c r="C379" s="92" t="s">
        <v>401</v>
      </c>
      <c r="D379" s="104">
        <f>(29.28+9.6)*10.764</f>
        <v>418.50432000000001</v>
      </c>
      <c r="E379" s="104">
        <f>(0.9*(2.9+2.9+2.2))*10.764</f>
        <v>77.500799999999998</v>
      </c>
      <c r="F379" s="92">
        <f t="shared" ref="F379:F385" si="32">D379+E379</f>
        <v>496.00512000000003</v>
      </c>
      <c r="G379" s="92">
        <v>0</v>
      </c>
      <c r="H379" s="92">
        <f t="shared" ref="H379:H385" si="33">F379*(($H$271)+1)+(IF(G379&lt;101,G379,IF(G379&lt;201,G379/2,IF(G379&lt;=301,G379/3,G379/4))))</f>
        <v>719.20742400000006</v>
      </c>
      <c r="I379" s="33"/>
      <c r="L379" s="184"/>
      <c r="M379" s="184"/>
      <c r="N379" s="33"/>
    </row>
    <row r="380" spans="1:20" s="88" customFormat="1" ht="15.75" customHeight="1" x14ac:dyDescent="0.25">
      <c r="A380" s="113">
        <v>2</v>
      </c>
      <c r="B380" s="114"/>
      <c r="C380" s="92" t="s">
        <v>398</v>
      </c>
      <c r="D380" s="104">
        <f>(51.27)*10.764</f>
        <v>551.87027999999998</v>
      </c>
      <c r="E380" s="104">
        <f t="shared" ref="E380:E385" si="34">(0.9*(2.9+2.9+2.2+2.9))*10.764</f>
        <v>105.59484</v>
      </c>
      <c r="F380" s="92">
        <f t="shared" si="32"/>
        <v>657.46511999999996</v>
      </c>
      <c r="G380" s="92">
        <v>0</v>
      </c>
      <c r="H380" s="92">
        <f t="shared" si="33"/>
        <v>953.32442399999991</v>
      </c>
      <c r="I380" s="33"/>
      <c r="L380" s="184"/>
      <c r="M380" s="184"/>
      <c r="N380" s="33"/>
    </row>
    <row r="381" spans="1:20" s="88" customFormat="1" ht="15.75" customHeight="1" x14ac:dyDescent="0.25">
      <c r="A381" s="113">
        <v>3</v>
      </c>
      <c r="B381" s="114"/>
      <c r="C381" s="92" t="s">
        <v>398</v>
      </c>
      <c r="D381" s="104">
        <f>(51.27)*10.764</f>
        <v>551.87027999999998</v>
      </c>
      <c r="E381" s="104">
        <f t="shared" si="34"/>
        <v>105.59484</v>
      </c>
      <c r="F381" s="92">
        <f t="shared" si="32"/>
        <v>657.46511999999996</v>
      </c>
      <c r="G381" s="92">
        <v>0</v>
      </c>
      <c r="H381" s="92">
        <f t="shared" si="33"/>
        <v>953.32442399999991</v>
      </c>
      <c r="I381" s="33"/>
      <c r="L381" s="184"/>
      <c r="M381" s="184"/>
      <c r="N381" s="33"/>
      <c r="T381" s="18"/>
    </row>
    <row r="382" spans="1:20" s="88" customFormat="1" ht="15.75" customHeight="1" x14ac:dyDescent="0.25">
      <c r="A382" s="113">
        <v>4</v>
      </c>
      <c r="B382" s="114"/>
      <c r="C382" s="92" t="s">
        <v>398</v>
      </c>
      <c r="D382" s="104">
        <f>(52.87)*10.764</f>
        <v>569.09267999999997</v>
      </c>
      <c r="E382" s="104">
        <f t="shared" si="34"/>
        <v>105.59484</v>
      </c>
      <c r="F382" s="92">
        <f t="shared" si="32"/>
        <v>674.68751999999995</v>
      </c>
      <c r="G382" s="92">
        <v>0</v>
      </c>
      <c r="H382" s="92">
        <f t="shared" si="33"/>
        <v>978.29690399999993</v>
      </c>
      <c r="I382" s="33"/>
      <c r="L382" s="184"/>
      <c r="M382" s="184"/>
      <c r="N382" s="33"/>
    </row>
    <row r="383" spans="1:20" s="88" customFormat="1" ht="15.75" customHeight="1" x14ac:dyDescent="0.25">
      <c r="A383" s="113">
        <v>5</v>
      </c>
      <c r="B383" s="114"/>
      <c r="C383" s="92" t="s">
        <v>398</v>
      </c>
      <c r="D383" s="104">
        <f>(52.87)*10.764</f>
        <v>569.09267999999997</v>
      </c>
      <c r="E383" s="104">
        <f t="shared" si="34"/>
        <v>105.59484</v>
      </c>
      <c r="F383" s="92">
        <f t="shared" si="32"/>
        <v>674.68751999999995</v>
      </c>
      <c r="G383" s="92">
        <v>0</v>
      </c>
      <c r="H383" s="92">
        <f t="shared" si="33"/>
        <v>978.29690399999993</v>
      </c>
      <c r="I383" s="33"/>
      <c r="L383" s="184"/>
      <c r="M383" s="184"/>
      <c r="N383" s="33"/>
    </row>
    <row r="384" spans="1:20" s="88" customFormat="1" ht="15.75" customHeight="1" x14ac:dyDescent="0.25">
      <c r="A384" s="113">
        <f t="shared" ref="A384:A386" si="35">A383+1</f>
        <v>6</v>
      </c>
      <c r="B384" s="114"/>
      <c r="C384" s="92" t="s">
        <v>398</v>
      </c>
      <c r="D384" s="104">
        <f>(51.27)*10.764</f>
        <v>551.87027999999998</v>
      </c>
      <c r="E384" s="104">
        <f t="shared" si="34"/>
        <v>105.59484</v>
      </c>
      <c r="F384" s="92">
        <f t="shared" si="32"/>
        <v>657.46511999999996</v>
      </c>
      <c r="G384" s="92">
        <v>0</v>
      </c>
      <c r="H384" s="92">
        <f t="shared" si="33"/>
        <v>953.32442399999991</v>
      </c>
      <c r="I384" s="33"/>
      <c r="L384" s="184"/>
      <c r="M384" s="184"/>
      <c r="N384" s="33"/>
    </row>
    <row r="385" spans="1:14" s="88" customFormat="1" x14ac:dyDescent="0.25">
      <c r="A385" s="113">
        <f t="shared" si="35"/>
        <v>7</v>
      </c>
      <c r="B385" s="114"/>
      <c r="C385" s="92" t="s">
        <v>398</v>
      </c>
      <c r="D385" s="104">
        <f>(51.27)*10.764</f>
        <v>551.87027999999998</v>
      </c>
      <c r="E385" s="104">
        <f t="shared" si="34"/>
        <v>105.59484</v>
      </c>
      <c r="F385" s="92">
        <f t="shared" si="32"/>
        <v>657.46511999999996</v>
      </c>
      <c r="G385" s="92">
        <v>0</v>
      </c>
      <c r="H385" s="92">
        <f t="shared" si="33"/>
        <v>953.32442399999991</v>
      </c>
      <c r="J385" s="33"/>
    </row>
    <row r="386" spans="1:14" s="34" customFormat="1" ht="15.75" customHeight="1" x14ac:dyDescent="0.25">
      <c r="A386" s="113">
        <f t="shared" si="35"/>
        <v>8</v>
      </c>
      <c r="B386" s="114"/>
      <c r="C386" s="113" t="s">
        <v>438</v>
      </c>
      <c r="D386" s="115"/>
      <c r="E386" s="115"/>
      <c r="F386" s="115"/>
      <c r="G386" s="115"/>
      <c r="H386" s="114"/>
      <c r="I386" s="33"/>
      <c r="L386" s="184"/>
      <c r="M386" s="184"/>
    </row>
    <row r="387" spans="1:14" s="34" customFormat="1" ht="15.75" customHeight="1" x14ac:dyDescent="0.25">
      <c r="A387" s="143" t="s">
        <v>402</v>
      </c>
      <c r="B387" s="144"/>
      <c r="C387" s="144"/>
      <c r="D387" s="144"/>
      <c r="E387" s="144"/>
      <c r="F387" s="144"/>
      <c r="G387" s="144"/>
      <c r="H387" s="145"/>
      <c r="I387" s="33"/>
      <c r="N387" s="33"/>
    </row>
    <row r="388" spans="1:14" s="34" customFormat="1" x14ac:dyDescent="0.25">
      <c r="A388" s="124" t="s">
        <v>439</v>
      </c>
      <c r="B388" s="125"/>
      <c r="C388" s="125"/>
      <c r="D388" s="125"/>
      <c r="E388" s="125"/>
      <c r="F388" s="125"/>
      <c r="G388" s="125"/>
      <c r="H388" s="126"/>
      <c r="I388" s="33"/>
      <c r="N388" s="33"/>
    </row>
    <row r="389" spans="1:14" s="34" customFormat="1" x14ac:dyDescent="0.25">
      <c r="A389" s="124" t="s">
        <v>440</v>
      </c>
      <c r="B389" s="125"/>
      <c r="C389" s="125"/>
      <c r="D389" s="125"/>
      <c r="E389" s="125"/>
      <c r="F389" s="125"/>
      <c r="G389" s="125"/>
      <c r="H389" s="126"/>
      <c r="I389" s="33"/>
      <c r="N389" s="33"/>
    </row>
    <row r="390" spans="1:14" s="34" customFormat="1" x14ac:dyDescent="0.25">
      <c r="A390" s="113" t="s">
        <v>397</v>
      </c>
      <c r="B390" s="114"/>
      <c r="C390" s="127" t="s">
        <v>442</v>
      </c>
      <c r="D390" s="128"/>
      <c r="E390" s="128"/>
      <c r="F390" s="128"/>
      <c r="G390" s="128"/>
      <c r="H390" s="129"/>
      <c r="I390" s="33"/>
      <c r="N390" s="33"/>
    </row>
    <row r="391" spans="1:14" s="34" customFormat="1" x14ac:dyDescent="0.25">
      <c r="A391" s="113" t="s">
        <v>397</v>
      </c>
      <c r="B391" s="114"/>
      <c r="C391" s="130"/>
      <c r="D391" s="131"/>
      <c r="E391" s="131"/>
      <c r="F391" s="131"/>
      <c r="G391" s="131"/>
      <c r="H391" s="132"/>
      <c r="I391" s="33"/>
      <c r="N391" s="33"/>
    </row>
    <row r="392" spans="1:14" s="88" customFormat="1" x14ac:dyDescent="0.25">
      <c r="A392" s="113" t="s">
        <v>397</v>
      </c>
      <c r="B392" s="114"/>
      <c r="C392" s="130"/>
      <c r="D392" s="131"/>
      <c r="E392" s="131"/>
      <c r="F392" s="131"/>
      <c r="G392" s="131"/>
      <c r="H392" s="132"/>
      <c r="I392" s="33"/>
      <c r="N392" s="33"/>
    </row>
    <row r="393" spans="1:14" s="88" customFormat="1" ht="15.75" customHeight="1" x14ac:dyDescent="0.25">
      <c r="A393" s="113" t="s">
        <v>397</v>
      </c>
      <c r="B393" s="114"/>
      <c r="C393" s="133"/>
      <c r="D393" s="134"/>
      <c r="E393" s="134"/>
      <c r="F393" s="134"/>
      <c r="G393" s="134"/>
      <c r="H393" s="135"/>
      <c r="I393" s="33"/>
      <c r="L393" s="184"/>
      <c r="M393" s="184"/>
    </row>
    <row r="394" spans="1:14" s="88" customFormat="1" x14ac:dyDescent="0.25">
      <c r="A394" s="113">
        <v>5</v>
      </c>
      <c r="B394" s="114"/>
      <c r="C394" s="87" t="s">
        <v>401</v>
      </c>
      <c r="D394" s="104">
        <f>(29.28+9.6)*10.764</f>
        <v>418.50432000000001</v>
      </c>
      <c r="E394" s="104">
        <f>(0.9*(2.9+2.9+2.2))*10.764</f>
        <v>77.500799999999998</v>
      </c>
      <c r="F394" s="87">
        <f>D394+E394</f>
        <v>496.00512000000003</v>
      </c>
      <c r="G394" s="87">
        <v>0</v>
      </c>
      <c r="H394" s="87">
        <f>F394*(($H$271)+1)+(IF(G394&lt;101,G394,IF(G394&lt;201,G394/2,IF(G394&lt;=301,G394/3,G394/4))))</f>
        <v>719.20742400000006</v>
      </c>
      <c r="I394" s="33"/>
      <c r="N394" s="33"/>
    </row>
    <row r="395" spans="1:14" s="88" customFormat="1" x14ac:dyDescent="0.25">
      <c r="A395" s="113">
        <f t="shared" ref="A395:A397" si="36">A394+1</f>
        <v>6</v>
      </c>
      <c r="B395" s="114"/>
      <c r="C395" s="87" t="s">
        <v>398</v>
      </c>
      <c r="D395" s="104">
        <f>(51.27)*10.764</f>
        <v>551.87027999999998</v>
      </c>
      <c r="E395" s="104">
        <f>(0.9*(2.9+2.9+2.2+2.9))*10.764</f>
        <v>105.59484</v>
      </c>
      <c r="F395" s="87">
        <f>D395+E395</f>
        <v>657.46511999999996</v>
      </c>
      <c r="G395" s="87">
        <v>0</v>
      </c>
      <c r="H395" s="87">
        <f>F395*(($H$271)+1)+(IF(G395&lt;101,G395,IF(G395&lt;201,G395/2,IF(G395&lt;=301,G395/3,G395/4))))</f>
        <v>953.32442399999991</v>
      </c>
      <c r="I395" s="33"/>
      <c r="N395" s="33"/>
    </row>
    <row r="396" spans="1:14" s="88" customFormat="1" x14ac:dyDescent="0.25">
      <c r="A396" s="113">
        <f t="shared" si="36"/>
        <v>7</v>
      </c>
      <c r="B396" s="114"/>
      <c r="C396" s="87" t="s">
        <v>398</v>
      </c>
      <c r="D396" s="104">
        <f>(51.27)*10.764</f>
        <v>551.87027999999998</v>
      </c>
      <c r="E396" s="104">
        <f>(0.9*(2.9+2.9+2.2+2.9))*10.764</f>
        <v>105.59484</v>
      </c>
      <c r="F396" s="87">
        <f>D396+E396</f>
        <v>657.46511999999996</v>
      </c>
      <c r="G396" s="87">
        <v>0</v>
      </c>
      <c r="H396" s="87">
        <f>F396*(($H$271)+1)+(IF(G396&lt;101,G396,IF(G396&lt;201,G396/2,IF(G396&lt;=301,G396/3,G396/4))))</f>
        <v>953.32442399999991</v>
      </c>
      <c r="I396" s="33"/>
      <c r="N396" s="33"/>
    </row>
    <row r="397" spans="1:14" s="88" customFormat="1" ht="15.75" customHeight="1" x14ac:dyDescent="0.25">
      <c r="A397" s="113">
        <f t="shared" si="36"/>
        <v>8</v>
      </c>
      <c r="B397" s="114"/>
      <c r="C397" s="87" t="s">
        <v>401</v>
      </c>
      <c r="D397" s="104">
        <f>(42.43)*10.764</f>
        <v>456.71651999999995</v>
      </c>
      <c r="E397" s="104">
        <f>(0.9*(2.9+2.9+2.2))*10.764</f>
        <v>77.500799999999998</v>
      </c>
      <c r="F397" s="87">
        <f>D397+E397</f>
        <v>534.21731999999997</v>
      </c>
      <c r="G397" s="87">
        <v>0</v>
      </c>
      <c r="H397" s="87">
        <f>F397*(($H$271)+1)+(IF(G397&lt;101,G397,IF(G397&lt;201,G397/2,IF(G397&lt;=301,G397/3,G397/4))))</f>
        <v>774.61511399999995</v>
      </c>
      <c r="I397" s="33"/>
      <c r="N397" s="33"/>
    </row>
    <row r="398" spans="1:14" s="88" customFormat="1" x14ac:dyDescent="0.25">
      <c r="A398" s="113" t="s">
        <v>397</v>
      </c>
      <c r="B398" s="114"/>
      <c r="C398" s="113" t="s">
        <v>403</v>
      </c>
      <c r="D398" s="115"/>
      <c r="E398" s="115"/>
      <c r="F398" s="115"/>
      <c r="G398" s="115"/>
      <c r="H398" s="114"/>
      <c r="I398" s="33"/>
      <c r="N398" s="33"/>
    </row>
    <row r="399" spans="1:14" s="88" customFormat="1" ht="15.75" customHeight="1" x14ac:dyDescent="0.25">
      <c r="A399" s="124" t="s">
        <v>441</v>
      </c>
      <c r="B399" s="125"/>
      <c r="C399" s="125"/>
      <c r="D399" s="125"/>
      <c r="E399" s="125"/>
      <c r="F399" s="125"/>
      <c r="G399" s="125"/>
      <c r="H399" s="126"/>
      <c r="I399" s="33"/>
      <c r="N399" s="33"/>
    </row>
    <row r="400" spans="1:14" s="88" customFormat="1" ht="15.75" customHeight="1" x14ac:dyDescent="0.25">
      <c r="A400" s="113" t="s">
        <v>397</v>
      </c>
      <c r="B400" s="114"/>
      <c r="C400" s="127" t="s">
        <v>442</v>
      </c>
      <c r="D400" s="128"/>
      <c r="E400" s="128"/>
      <c r="F400" s="128"/>
      <c r="G400" s="128"/>
      <c r="H400" s="129"/>
      <c r="I400" s="33"/>
      <c r="L400" s="184"/>
      <c r="M400" s="184"/>
    </row>
    <row r="401" spans="1:20" s="88" customFormat="1" x14ac:dyDescent="0.25">
      <c r="A401" s="113" t="s">
        <v>397</v>
      </c>
      <c r="B401" s="114"/>
      <c r="C401" s="130"/>
      <c r="D401" s="131"/>
      <c r="E401" s="131"/>
      <c r="F401" s="131"/>
      <c r="G401" s="131"/>
      <c r="H401" s="132"/>
      <c r="I401" s="33"/>
      <c r="N401" s="33"/>
    </row>
    <row r="402" spans="1:20" s="88" customFormat="1" x14ac:dyDescent="0.25">
      <c r="A402" s="113" t="s">
        <v>397</v>
      </c>
      <c r="B402" s="114"/>
      <c r="C402" s="130"/>
      <c r="D402" s="131"/>
      <c r="E402" s="131"/>
      <c r="F402" s="131"/>
      <c r="G402" s="131"/>
      <c r="H402" s="132"/>
      <c r="I402" s="33"/>
      <c r="N402" s="33"/>
    </row>
    <row r="403" spans="1:20" s="88" customFormat="1" x14ac:dyDescent="0.25">
      <c r="A403" s="113" t="s">
        <v>397</v>
      </c>
      <c r="B403" s="114"/>
      <c r="C403" s="133"/>
      <c r="D403" s="134"/>
      <c r="E403" s="134"/>
      <c r="F403" s="134"/>
      <c r="G403" s="134"/>
      <c r="H403" s="135"/>
      <c r="I403" s="33"/>
      <c r="N403" s="33"/>
    </row>
    <row r="404" spans="1:20" s="88" customFormat="1" x14ac:dyDescent="0.25">
      <c r="A404" s="113">
        <v>5</v>
      </c>
      <c r="B404" s="114"/>
      <c r="C404" s="87" t="s">
        <v>401</v>
      </c>
      <c r="D404" s="104">
        <f>(29.28+9.6)*10.764</f>
        <v>418.50432000000001</v>
      </c>
      <c r="E404" s="104">
        <f>(0.9*(2.9+2.9+2.2))*10.764</f>
        <v>77.500799999999998</v>
      </c>
      <c r="F404" s="87">
        <f>D404+E404</f>
        <v>496.00512000000003</v>
      </c>
      <c r="G404" s="87">
        <v>0</v>
      </c>
      <c r="H404" s="87">
        <f>F404*(($H$271)+1)+(IF(G404&lt;101,G404,IF(G404&lt;201,G404/2,IF(G404&lt;=301,G404/3,G404/4))))</f>
        <v>719.20742400000006</v>
      </c>
      <c r="I404" s="98">
        <f>4525200/H404</f>
        <v>6291.9261523084606</v>
      </c>
      <c r="N404" s="33"/>
    </row>
    <row r="405" spans="1:20" s="88" customFormat="1" x14ac:dyDescent="0.25">
      <c r="A405" s="113">
        <f t="shared" ref="A405:A407" si="37">A404+1</f>
        <v>6</v>
      </c>
      <c r="B405" s="114"/>
      <c r="C405" s="87" t="s">
        <v>398</v>
      </c>
      <c r="D405" s="104">
        <f>(51.27)*10.764</f>
        <v>551.87027999999998</v>
      </c>
      <c r="E405" s="104">
        <f>(0.9*(2.9+2.9+2.2+2.9))*10.764</f>
        <v>105.59484</v>
      </c>
      <c r="F405" s="87">
        <f>D405+E405</f>
        <v>657.46511999999996</v>
      </c>
      <c r="G405" s="87">
        <v>0</v>
      </c>
      <c r="H405" s="87">
        <f>F405*(($H$271)+1)+(IF(G405&lt;101,G405,IF(G405&lt;201,G405/2,IF(G405&lt;=301,G405/3,G405/4))))</f>
        <v>953.32442399999991</v>
      </c>
      <c r="I405" s="33"/>
      <c r="N405" s="33"/>
    </row>
    <row r="406" spans="1:20" s="88" customFormat="1" x14ac:dyDescent="0.25">
      <c r="A406" s="113">
        <f t="shared" si="37"/>
        <v>7</v>
      </c>
      <c r="B406" s="114"/>
      <c r="C406" s="87" t="s">
        <v>398</v>
      </c>
      <c r="D406" s="104">
        <f>(51.27)*10.764</f>
        <v>551.87027999999998</v>
      </c>
      <c r="E406" s="104">
        <f>(0.9*(2.9+2.9+2.2+2.9))*10.764</f>
        <v>105.59484</v>
      </c>
      <c r="F406" s="87">
        <f>D406+E406</f>
        <v>657.46511999999996</v>
      </c>
      <c r="G406" s="87">
        <v>0</v>
      </c>
      <c r="H406" s="87">
        <f>F406*(($H$271)+1)+(IF(G406&lt;101,G406,IF(G406&lt;201,G406/2,IF(G406&lt;=301,G406/3,G406/4))))</f>
        <v>953.32442399999991</v>
      </c>
      <c r="I406" s="33"/>
      <c r="N406" s="33"/>
    </row>
    <row r="407" spans="1:20" s="32" customFormat="1" x14ac:dyDescent="0.25">
      <c r="A407" s="113">
        <f t="shared" si="37"/>
        <v>8</v>
      </c>
      <c r="B407" s="114"/>
      <c r="C407" s="87" t="s">
        <v>398</v>
      </c>
      <c r="D407" s="104">
        <f>(52.87)*10.764</f>
        <v>569.09267999999997</v>
      </c>
      <c r="E407" s="104">
        <f>(0.9*(2.9+2.9+2.2+2.9))*10.764</f>
        <v>105.59484</v>
      </c>
      <c r="F407" s="87">
        <f>D407+E407</f>
        <v>674.68751999999995</v>
      </c>
      <c r="G407" s="87">
        <v>0</v>
      </c>
      <c r="H407" s="87">
        <f>F407*(($H$271)+1)+(IF(G407&lt;101,G407,IF(G407&lt;201,G407/2,IF(G407&lt;=301,G407/3,G407/4))))</f>
        <v>978.29690399999993</v>
      </c>
      <c r="T407" s="34"/>
    </row>
    <row r="408" spans="1:20" s="32" customFormat="1" x14ac:dyDescent="0.25">
      <c r="A408" s="113" t="s">
        <v>397</v>
      </c>
      <c r="B408" s="114"/>
      <c r="C408" s="113" t="s">
        <v>403</v>
      </c>
      <c r="D408" s="115"/>
      <c r="E408" s="115"/>
      <c r="F408" s="115"/>
      <c r="G408" s="115"/>
      <c r="H408" s="114"/>
      <c r="T408" s="34"/>
    </row>
    <row r="409" spans="1:20" s="32" customFormat="1" x14ac:dyDescent="0.25">
      <c r="A409" s="124" t="s">
        <v>436</v>
      </c>
      <c r="B409" s="125"/>
      <c r="C409" s="125"/>
      <c r="D409" s="125"/>
      <c r="E409" s="125"/>
      <c r="F409" s="125"/>
      <c r="G409" s="125"/>
      <c r="H409" s="126"/>
      <c r="T409" s="34"/>
    </row>
    <row r="410" spans="1:20" s="32" customFormat="1" x14ac:dyDescent="0.25">
      <c r="A410" s="113">
        <v>1</v>
      </c>
      <c r="B410" s="114"/>
      <c r="C410" s="87" t="s">
        <v>398</v>
      </c>
      <c r="D410" s="104">
        <f>(52.87)*10.764</f>
        <v>569.09267999999997</v>
      </c>
      <c r="E410" s="104">
        <f>(0.9*(2.9+2.9+2.2+2.9))*10.764</f>
        <v>105.59484</v>
      </c>
      <c r="F410" s="87">
        <f t="shared" ref="F410:F417" si="38">D410+E410</f>
        <v>674.68751999999995</v>
      </c>
      <c r="G410" s="87">
        <v>0</v>
      </c>
      <c r="H410" s="87">
        <f t="shared" ref="H410:H417" si="39">F410*(($H$271)+1)+(IF(G410&lt;101,G410,IF(G410&lt;201,G410/2,IF(G410&lt;=301,G410/3,G410/4))))</f>
        <v>978.29690399999993</v>
      </c>
      <c r="T410" s="34"/>
    </row>
    <row r="411" spans="1:20" s="32" customFormat="1" x14ac:dyDescent="0.25">
      <c r="A411" s="113">
        <f t="shared" ref="A411:A413" si="40">A410+1</f>
        <v>2</v>
      </c>
      <c r="B411" s="114"/>
      <c r="C411" s="87" t="s">
        <v>398</v>
      </c>
      <c r="D411" s="104">
        <f>(51.27)*10.764</f>
        <v>551.87027999999998</v>
      </c>
      <c r="E411" s="104">
        <f>(0.9*(2.9+2.9+2.2+2.9))*10.764</f>
        <v>105.59484</v>
      </c>
      <c r="F411" s="87">
        <f t="shared" si="38"/>
        <v>657.46511999999996</v>
      </c>
      <c r="G411" s="87">
        <v>0</v>
      </c>
      <c r="H411" s="87">
        <f t="shared" si="39"/>
        <v>953.32442399999991</v>
      </c>
    </row>
    <row r="412" spans="1:20" s="32" customFormat="1" x14ac:dyDescent="0.25">
      <c r="A412" s="113">
        <f t="shared" si="40"/>
        <v>3</v>
      </c>
      <c r="B412" s="114"/>
      <c r="C412" s="87" t="s">
        <v>398</v>
      </c>
      <c r="D412" s="104">
        <f>(51.27)*10.764</f>
        <v>551.87027999999998</v>
      </c>
      <c r="E412" s="104">
        <f>(0.9*(2.9+2.9+2.2+2.9))*10.764</f>
        <v>105.59484</v>
      </c>
      <c r="F412" s="87">
        <f t="shared" si="38"/>
        <v>657.46511999999996</v>
      </c>
      <c r="G412" s="87">
        <v>0</v>
      </c>
      <c r="H412" s="87">
        <f t="shared" si="39"/>
        <v>953.32442399999991</v>
      </c>
    </row>
    <row r="413" spans="1:20" s="32" customFormat="1" x14ac:dyDescent="0.25">
      <c r="A413" s="113">
        <f t="shared" si="40"/>
        <v>4</v>
      </c>
      <c r="B413" s="114"/>
      <c r="C413" s="87" t="s">
        <v>401</v>
      </c>
      <c r="D413" s="104">
        <f>(29.28+9.6)*10.764</f>
        <v>418.50432000000001</v>
      </c>
      <c r="E413" s="104">
        <f>(0.9*(2.9+2.9+2.2))*10.764</f>
        <v>77.500799999999998</v>
      </c>
      <c r="F413" s="87">
        <f t="shared" si="38"/>
        <v>496.00512000000003</v>
      </c>
      <c r="G413" s="87">
        <v>0</v>
      </c>
      <c r="H413" s="87">
        <f t="shared" si="39"/>
        <v>719.20742400000006</v>
      </c>
    </row>
    <row r="414" spans="1:20" s="32" customFormat="1" x14ac:dyDescent="0.25">
      <c r="A414" s="113">
        <v>5</v>
      </c>
      <c r="B414" s="114"/>
      <c r="C414" s="92" t="s">
        <v>401</v>
      </c>
      <c r="D414" s="104">
        <f>(29.28+9.6)*10.764</f>
        <v>418.50432000000001</v>
      </c>
      <c r="E414" s="104">
        <f>(0.9*(2.9+2.9+2.2))*10.764</f>
        <v>77.500799999999998</v>
      </c>
      <c r="F414" s="92">
        <f t="shared" si="38"/>
        <v>496.00512000000003</v>
      </c>
      <c r="G414" s="92">
        <v>0</v>
      </c>
      <c r="H414" s="92">
        <f t="shared" si="39"/>
        <v>719.20742400000006</v>
      </c>
    </row>
    <row r="415" spans="1:20" s="32" customFormat="1" x14ac:dyDescent="0.25">
      <c r="A415" s="113">
        <f t="shared" ref="A415:A417" si="41">A414+1</f>
        <v>6</v>
      </c>
      <c r="B415" s="114"/>
      <c r="C415" s="87" t="s">
        <v>398</v>
      </c>
      <c r="D415" s="104">
        <f>(51.27)*10.764</f>
        <v>551.87027999999998</v>
      </c>
      <c r="E415" s="104">
        <f>(0.9*(2.9+2.9+2.2+2.9))*10.764</f>
        <v>105.59484</v>
      </c>
      <c r="F415" s="87">
        <f t="shared" si="38"/>
        <v>657.46511999999996</v>
      </c>
      <c r="G415" s="87">
        <v>0</v>
      </c>
      <c r="H415" s="87">
        <f t="shared" si="39"/>
        <v>953.32442399999991</v>
      </c>
    </row>
    <row r="416" spans="1:20" s="100" customFormat="1" ht="15.75" customHeight="1" x14ac:dyDescent="0.25">
      <c r="A416" s="113">
        <f t="shared" si="41"/>
        <v>7</v>
      </c>
      <c r="B416" s="114"/>
      <c r="C416" s="87" t="s">
        <v>398</v>
      </c>
      <c r="D416" s="104">
        <f>(51.27)*10.764</f>
        <v>551.87027999999998</v>
      </c>
      <c r="E416" s="104">
        <f>(0.9*(2.9+2.9+2.2+2.9))*10.764</f>
        <v>105.59484</v>
      </c>
      <c r="F416" s="87">
        <f t="shared" si="38"/>
        <v>657.46511999999996</v>
      </c>
      <c r="G416" s="87">
        <v>0</v>
      </c>
      <c r="H416" s="87">
        <f t="shared" si="39"/>
        <v>953.32442399999991</v>
      </c>
    </row>
    <row r="417" spans="1:20" s="32" customFormat="1" x14ac:dyDescent="0.25">
      <c r="A417" s="113">
        <f t="shared" si="41"/>
        <v>8</v>
      </c>
      <c r="B417" s="114"/>
      <c r="C417" s="87" t="s">
        <v>398</v>
      </c>
      <c r="D417" s="104">
        <f>(52.87)*10.764</f>
        <v>569.09267999999997</v>
      </c>
      <c r="E417" s="104">
        <f>(0.9*(2.9+2.9+2.2+2.9))*10.764</f>
        <v>105.59484</v>
      </c>
      <c r="F417" s="87">
        <f t="shared" si="38"/>
        <v>674.68751999999995</v>
      </c>
      <c r="G417" s="87">
        <v>0</v>
      </c>
      <c r="H417" s="87">
        <f t="shared" si="39"/>
        <v>978.29690399999993</v>
      </c>
    </row>
    <row r="418" spans="1:20" s="32" customFormat="1" x14ac:dyDescent="0.25">
      <c r="A418" s="124" t="s">
        <v>432</v>
      </c>
      <c r="B418" s="125"/>
      <c r="C418" s="125"/>
      <c r="D418" s="125"/>
      <c r="E418" s="125"/>
      <c r="F418" s="125"/>
      <c r="G418" s="125"/>
      <c r="H418" s="126"/>
    </row>
    <row r="419" spans="1:20" s="32" customFormat="1" x14ac:dyDescent="0.25">
      <c r="A419" s="113">
        <v>1</v>
      </c>
      <c r="B419" s="114"/>
      <c r="C419" s="92" t="s">
        <v>398</v>
      </c>
      <c r="D419" s="104">
        <f>(52.87)*10.764</f>
        <v>569.09267999999997</v>
      </c>
      <c r="E419" s="104">
        <f>(0.9*(2.9+2.9+2.2+2.9))*10.764</f>
        <v>105.59484</v>
      </c>
      <c r="F419" s="92">
        <f t="shared" ref="F419:F426" si="42">D419+E419</f>
        <v>674.68751999999995</v>
      </c>
      <c r="G419" s="92">
        <v>0</v>
      </c>
      <c r="H419" s="92">
        <f>F419*(($H$271)+1)+(IF(G419&lt;101,G419,IF(G419&lt;201,G419/2,IF(G419&lt;=301,G419/3,G419/4))))</f>
        <v>978.29690399999993</v>
      </c>
    </row>
    <row r="420" spans="1:20" x14ac:dyDescent="0.25">
      <c r="A420" s="113">
        <f t="shared" ref="A420:A423" si="43">A419+1</f>
        <v>2</v>
      </c>
      <c r="B420" s="114"/>
      <c r="C420" s="92" t="s">
        <v>398</v>
      </c>
      <c r="D420" s="104">
        <f>(51.27)*10.764</f>
        <v>551.87027999999998</v>
      </c>
      <c r="E420" s="104">
        <f>(0.9*(2.9+2.9+2.2+2.9))*10.764</f>
        <v>105.59484</v>
      </c>
      <c r="F420" s="92">
        <f t="shared" si="42"/>
        <v>657.46511999999996</v>
      </c>
      <c r="G420" s="92">
        <v>0</v>
      </c>
      <c r="H420" s="92">
        <f>F420*(($H$271)+1)+(IF(G420&lt;101,G420,IF(G420&lt;201,G420/2,IF(G420&lt;=301,G420/3,G420/4))))</f>
        <v>953.32442399999991</v>
      </c>
      <c r="T420" s="32"/>
    </row>
    <row r="421" spans="1:20" ht="15.75" customHeight="1" x14ac:dyDescent="0.25">
      <c r="A421" s="113">
        <f t="shared" si="43"/>
        <v>3</v>
      </c>
      <c r="B421" s="114"/>
      <c r="C421" s="92" t="s">
        <v>398</v>
      </c>
      <c r="D421" s="104">
        <f>(51.27)*10.764</f>
        <v>551.87027999999998</v>
      </c>
      <c r="E421" s="104">
        <f>(0.9*(2.9+2.9+2.2+2.9))*10.764</f>
        <v>105.59484</v>
      </c>
      <c r="F421" s="92">
        <f t="shared" si="42"/>
        <v>657.46511999999996</v>
      </c>
      <c r="G421" s="92">
        <v>0</v>
      </c>
      <c r="H421" s="92">
        <f>F421*(($H$271)+1)+(IF(G421&lt;101,G421,IF(G421&lt;201,G421/2,IF(G421&lt;=301,G421/3,G421/4))))</f>
        <v>953.32442399999991</v>
      </c>
      <c r="T421" s="32"/>
    </row>
    <row r="422" spans="1:20" ht="15.75" customHeight="1" x14ac:dyDescent="0.25">
      <c r="A422" s="113">
        <f t="shared" si="43"/>
        <v>4</v>
      </c>
      <c r="B422" s="114"/>
      <c r="C422" s="92" t="s">
        <v>401</v>
      </c>
      <c r="D422" s="104">
        <f>(29.28+9.6)*10.764</f>
        <v>418.50432000000001</v>
      </c>
      <c r="E422" s="104">
        <f>(0.9*(2.9+2.9+2.2))*10.764</f>
        <v>77.500799999999998</v>
      </c>
      <c r="F422" s="92">
        <f t="shared" si="42"/>
        <v>496.00512000000003</v>
      </c>
      <c r="G422" s="92">
        <v>0</v>
      </c>
      <c r="H422" s="92">
        <f>F422*(($H$271)+1)+(IF(G422&lt;101,G422,IF(G422&lt;201,G422/2,IF(G422&lt;=301,G422/3,G422/4))))</f>
        <v>719.20742400000006</v>
      </c>
      <c r="T422" s="32"/>
    </row>
    <row r="423" spans="1:20" x14ac:dyDescent="0.25">
      <c r="A423" s="113">
        <f t="shared" si="43"/>
        <v>5</v>
      </c>
      <c r="B423" s="114"/>
      <c r="C423" s="113" t="s">
        <v>438</v>
      </c>
      <c r="D423" s="115"/>
      <c r="E423" s="115"/>
      <c r="F423" s="115"/>
      <c r="G423" s="115"/>
      <c r="H423" s="114"/>
      <c r="T423" s="32"/>
    </row>
    <row r="424" spans="1:20" x14ac:dyDescent="0.25">
      <c r="A424" s="113">
        <f t="shared" ref="A424:A426" si="44">A423+1</f>
        <v>6</v>
      </c>
      <c r="B424" s="114"/>
      <c r="C424" s="92" t="s">
        <v>398</v>
      </c>
      <c r="D424" s="104">
        <f>(51.27)*10.764</f>
        <v>551.87027999999998</v>
      </c>
      <c r="E424" s="104">
        <f>(0.9*(2.9+2.9+2.2+2.9))*10.764</f>
        <v>105.59484</v>
      </c>
      <c r="F424" s="92">
        <f t="shared" si="42"/>
        <v>657.46511999999996</v>
      </c>
      <c r="G424" s="92">
        <v>0</v>
      </c>
      <c r="H424" s="92">
        <f>F424*(($H$271)+1)+(IF(G424&lt;101,G424,IF(G424&lt;201,G424/2,IF(G424&lt;=301,G424/3,G424/4))))</f>
        <v>953.32442399999991</v>
      </c>
      <c r="T424" s="32"/>
    </row>
    <row r="425" spans="1:20" x14ac:dyDescent="0.25">
      <c r="A425" s="113">
        <f t="shared" si="44"/>
        <v>7</v>
      </c>
      <c r="B425" s="114"/>
      <c r="C425" s="92" t="s">
        <v>398</v>
      </c>
      <c r="D425" s="104">
        <f>(51.27)*10.764</f>
        <v>551.87027999999998</v>
      </c>
      <c r="E425" s="104">
        <f>(0.9*(2.9+2.9+2.2+2.9))*10.764</f>
        <v>105.59484</v>
      </c>
      <c r="F425" s="92">
        <f t="shared" si="42"/>
        <v>657.46511999999996</v>
      </c>
      <c r="G425" s="92">
        <v>0</v>
      </c>
      <c r="H425" s="92">
        <f>F425*(($H$271)+1)+(IF(G425&lt;101,G425,IF(G425&lt;201,G425/2,IF(G425&lt;=301,G425/3,G425/4))))</f>
        <v>953.32442399999991</v>
      </c>
      <c r="T425" s="32"/>
    </row>
    <row r="426" spans="1:20" ht="15.75" customHeight="1" x14ac:dyDescent="0.25">
      <c r="A426" s="113">
        <f t="shared" si="44"/>
        <v>8</v>
      </c>
      <c r="B426" s="114"/>
      <c r="C426" s="92" t="s">
        <v>398</v>
      </c>
      <c r="D426" s="104">
        <f>(52.87)*10.764</f>
        <v>569.09267999999997</v>
      </c>
      <c r="E426" s="104">
        <f>(0.9*(2.9+2.9+2.2+2.9))*10.764</f>
        <v>105.59484</v>
      </c>
      <c r="F426" s="92">
        <f t="shared" si="42"/>
        <v>674.68751999999995</v>
      </c>
      <c r="G426" s="92">
        <v>0</v>
      </c>
      <c r="H426" s="92">
        <f>F426*(($H$271)+1)+(IF(G426&lt;101,G426,IF(G426&lt;201,G426/2,IF(G426&lt;=301,G426/3,G426/4))))</f>
        <v>978.29690399999993</v>
      </c>
    </row>
    <row r="427" spans="1:20" x14ac:dyDescent="0.25">
      <c r="A427" s="143" t="s">
        <v>392</v>
      </c>
      <c r="B427" s="144"/>
      <c r="C427" s="144"/>
      <c r="D427" s="144"/>
      <c r="E427" s="144"/>
      <c r="F427" s="144"/>
      <c r="G427" s="144"/>
      <c r="H427" s="145"/>
      <c r="I427" s="105">
        <v>10.763999999999999</v>
      </c>
    </row>
    <row r="428" spans="1:20" x14ac:dyDescent="0.25">
      <c r="A428" s="124" t="s">
        <v>435</v>
      </c>
      <c r="B428" s="125"/>
      <c r="C428" s="125"/>
      <c r="D428" s="125"/>
      <c r="E428" s="125"/>
      <c r="F428" s="125"/>
      <c r="G428" s="125"/>
      <c r="H428" s="126"/>
    </row>
    <row r="429" spans="1:20" x14ac:dyDescent="0.25">
      <c r="A429" s="112">
        <v>1</v>
      </c>
      <c r="B429" s="112"/>
      <c r="C429" s="87" t="s">
        <v>398</v>
      </c>
      <c r="D429" s="104">
        <f>(55.02)*10.764</f>
        <v>592.23527999999999</v>
      </c>
      <c r="E429" s="104">
        <f>(3.48+0.9*(2.9))*10.764</f>
        <v>65.552759999999992</v>
      </c>
      <c r="F429" s="39">
        <f>D429+E429</f>
        <v>657.78804000000002</v>
      </c>
      <c r="G429" s="105">
        <f>(9.5+0.75*1.2)*10.764</f>
        <v>111.9456</v>
      </c>
      <c r="H429" s="39">
        <f>F429*(($H$271)+1)+(IF(G429&lt;101,G429,IF(G429&lt;201,G429/2,IF(G429&lt;=301,G429/3,G429/4))))</f>
        <v>1009.765458</v>
      </c>
    </row>
    <row r="430" spans="1:20" x14ac:dyDescent="0.25">
      <c r="A430" s="112">
        <f>A429+1</f>
        <v>2</v>
      </c>
      <c r="B430" s="112"/>
      <c r="C430" s="87" t="s">
        <v>398</v>
      </c>
      <c r="D430" s="104">
        <f>(59.55)*10.764</f>
        <v>640.99619999999993</v>
      </c>
      <c r="E430" s="104">
        <f>(3.48+0.9*(2.9+2.15))*10.764</f>
        <v>86.381100000000004</v>
      </c>
      <c r="F430" s="39">
        <f>D430+E430</f>
        <v>727.37729999999988</v>
      </c>
      <c r="G430" s="105">
        <f>(2.9+2.9)*10.764</f>
        <v>62.431199999999997</v>
      </c>
      <c r="H430" s="39">
        <f>F430*(($H$271)+1)+(IF(G430&lt;101,G430,IF(G430&lt;201,G430/2,IF(G430&lt;=301,G430/3,G430/4))))</f>
        <v>1117.1282849999998</v>
      </c>
    </row>
    <row r="431" spans="1:20" x14ac:dyDescent="0.25">
      <c r="A431" s="112">
        <f>A430+1</f>
        <v>3</v>
      </c>
      <c r="B431" s="112"/>
      <c r="C431" s="87" t="s">
        <v>398</v>
      </c>
      <c r="D431" s="104">
        <f>(54.82)*10.764</f>
        <v>590.08247999999992</v>
      </c>
      <c r="E431" s="104">
        <f>(3.48+0.9*(2.9))*10.764</f>
        <v>65.552759999999992</v>
      </c>
      <c r="F431" s="39">
        <f>D431+E431</f>
        <v>655.63523999999995</v>
      </c>
      <c r="G431" s="105">
        <f>(9.5+0.75*1.2)*10.764</f>
        <v>111.9456</v>
      </c>
      <c r="H431" s="39">
        <f>F431*(($H$271)+1)+(IF(G431&lt;101,G431,IF(G431&lt;201,G431/2,IF(G431&lt;=301,G431/3,G431/4))))</f>
        <v>1006.6438979999999</v>
      </c>
    </row>
    <row r="432" spans="1:20" x14ac:dyDescent="0.25">
      <c r="A432" s="112">
        <f>A431+1</f>
        <v>4</v>
      </c>
      <c r="B432" s="112"/>
      <c r="C432" s="127" t="s">
        <v>442</v>
      </c>
      <c r="D432" s="128"/>
      <c r="E432" s="128"/>
      <c r="F432" s="128"/>
      <c r="G432" s="128"/>
      <c r="H432" s="129"/>
    </row>
    <row r="433" spans="1:9" ht="15.75" customHeight="1" x14ac:dyDescent="0.25">
      <c r="A433" s="112">
        <f>A432+1</f>
        <v>5</v>
      </c>
      <c r="B433" s="112"/>
      <c r="C433" s="130"/>
      <c r="D433" s="131"/>
      <c r="E433" s="131"/>
      <c r="F433" s="131"/>
      <c r="G433" s="131"/>
      <c r="H433" s="132"/>
    </row>
    <row r="434" spans="1:9" x14ac:dyDescent="0.25">
      <c r="A434" s="112">
        <f>A433+1</f>
        <v>6</v>
      </c>
      <c r="B434" s="112"/>
      <c r="C434" s="133"/>
      <c r="D434" s="134"/>
      <c r="E434" s="134"/>
      <c r="F434" s="134"/>
      <c r="G434" s="134"/>
      <c r="H434" s="135"/>
    </row>
    <row r="435" spans="1:9" ht="15" customHeight="1" x14ac:dyDescent="0.25">
      <c r="A435" s="124" t="s">
        <v>441</v>
      </c>
      <c r="B435" s="125"/>
      <c r="C435" s="125"/>
      <c r="D435" s="125"/>
      <c r="E435" s="125"/>
      <c r="F435" s="125"/>
      <c r="G435" s="125"/>
      <c r="H435" s="126"/>
    </row>
    <row r="436" spans="1:9" x14ac:dyDescent="0.25">
      <c r="A436" s="112">
        <v>1</v>
      </c>
      <c r="B436" s="112"/>
      <c r="C436" s="87" t="s">
        <v>398</v>
      </c>
      <c r="D436" s="104">
        <f>(53.71)*10.764</f>
        <v>578.13443999999993</v>
      </c>
      <c r="E436" s="104">
        <f>(3.48+0.9*(2.9*2+2.15))*10.764</f>
        <v>114.47514</v>
      </c>
      <c r="F436" s="87">
        <f>D436+E436</f>
        <v>692.60957999999994</v>
      </c>
      <c r="G436" s="87">
        <v>0</v>
      </c>
      <c r="H436" s="87">
        <f>F436*(($H$271)+1)+(IF(G436&lt;101,G436,IF(G436&lt;201,G436/2,IF(G436&lt;=301,G436/3,G436/4))))</f>
        <v>1004.2838909999999</v>
      </c>
    </row>
    <row r="437" spans="1:9" x14ac:dyDescent="0.25">
      <c r="A437" s="112">
        <f>A436+1</f>
        <v>2</v>
      </c>
      <c r="B437" s="112"/>
      <c r="C437" s="87" t="s">
        <v>398</v>
      </c>
      <c r="D437" s="104">
        <f>(58.71)*10.764</f>
        <v>631.95443999999998</v>
      </c>
      <c r="E437" s="104">
        <f>(3.48+0.9*(2.9*2+2.15))*10.764</f>
        <v>114.47514</v>
      </c>
      <c r="F437" s="87">
        <f>D437+E437</f>
        <v>746.42957999999999</v>
      </c>
      <c r="G437" s="87">
        <v>0</v>
      </c>
      <c r="H437" s="87">
        <f>F437*(($H$271)+1)+(IF(G437&lt;101,G437,IF(G437&lt;201,G437/2,IF(G437&lt;=301,G437/3,G437/4))))</f>
        <v>1082.322891</v>
      </c>
    </row>
    <row r="438" spans="1:9" x14ac:dyDescent="0.25">
      <c r="A438" s="112">
        <f>A437+1</f>
        <v>3</v>
      </c>
      <c r="B438" s="112"/>
      <c r="C438" s="87" t="s">
        <v>398</v>
      </c>
      <c r="D438" s="104">
        <f>(53.51)*10.764</f>
        <v>575.98163999999997</v>
      </c>
      <c r="E438" s="104">
        <f>(3.48+0.9*(2.9*2+2.15))*10.764</f>
        <v>114.47514</v>
      </c>
      <c r="F438" s="87">
        <f>D438+E438</f>
        <v>690.45677999999998</v>
      </c>
      <c r="G438" s="87">
        <v>0</v>
      </c>
      <c r="H438" s="87">
        <f>F438*(($H$271)+1)+(IF(G438&lt;101,G438,IF(G438&lt;201,G438/2,IF(G438&lt;=301,G438/3,G438/4))))</f>
        <v>1001.162331</v>
      </c>
    </row>
    <row r="439" spans="1:9" x14ac:dyDescent="0.25">
      <c r="A439" s="112">
        <f>A438+1</f>
        <v>4</v>
      </c>
      <c r="B439" s="112"/>
      <c r="C439" s="127" t="s">
        <v>442</v>
      </c>
      <c r="D439" s="128"/>
      <c r="E439" s="128"/>
      <c r="F439" s="128"/>
      <c r="G439" s="128"/>
      <c r="H439" s="129"/>
    </row>
    <row r="440" spans="1:9" ht="15.75" customHeight="1" x14ac:dyDescent="0.25">
      <c r="A440" s="112">
        <f>A439+1</f>
        <v>5</v>
      </c>
      <c r="B440" s="112"/>
      <c r="C440" s="130"/>
      <c r="D440" s="131"/>
      <c r="E440" s="131"/>
      <c r="F440" s="131"/>
      <c r="G440" s="131"/>
      <c r="H440" s="132"/>
    </row>
    <row r="441" spans="1:9" x14ac:dyDescent="0.25">
      <c r="A441" s="112">
        <f>A440+1</f>
        <v>6</v>
      </c>
      <c r="B441" s="112"/>
      <c r="C441" s="133"/>
      <c r="D441" s="134"/>
      <c r="E441" s="134"/>
      <c r="F441" s="134"/>
      <c r="G441" s="134"/>
      <c r="H441" s="135"/>
    </row>
    <row r="442" spans="1:9" x14ac:dyDescent="0.25">
      <c r="A442" s="124" t="s">
        <v>436</v>
      </c>
      <c r="B442" s="125"/>
      <c r="C442" s="125"/>
      <c r="D442" s="125"/>
      <c r="E442" s="125"/>
      <c r="F442" s="125"/>
      <c r="G442" s="125"/>
      <c r="H442" s="126"/>
    </row>
    <row r="443" spans="1:9" x14ac:dyDescent="0.25">
      <c r="A443" s="112">
        <v>1</v>
      </c>
      <c r="B443" s="112"/>
      <c r="C443" s="87" t="s">
        <v>398</v>
      </c>
      <c r="D443" s="104">
        <f>(53.71)*10.764</f>
        <v>578.13443999999993</v>
      </c>
      <c r="E443" s="104">
        <f t="shared" ref="E443:E448" si="45">(3.05+0.9*(2.9*2+2.15))*10.764</f>
        <v>109.84661999999997</v>
      </c>
      <c r="F443" s="87">
        <f t="shared" ref="F443:F448" si="46">D443+E443</f>
        <v>687.98105999999984</v>
      </c>
      <c r="G443" s="87">
        <v>0</v>
      </c>
      <c r="H443" s="87">
        <f t="shared" ref="H443:H448" si="47">F443*(($H$271)+1)+(IF(G443&lt;101,G443,IF(G443&lt;201,G443/2,IF(G443&lt;=301,G443/3,G443/4))))</f>
        <v>997.57253699999978</v>
      </c>
    </row>
    <row r="444" spans="1:9" x14ac:dyDescent="0.25">
      <c r="A444" s="112">
        <f>A443+1</f>
        <v>2</v>
      </c>
      <c r="B444" s="112"/>
      <c r="C444" s="87" t="s">
        <v>398</v>
      </c>
      <c r="D444" s="104">
        <f>(58.71)*10.764</f>
        <v>631.95443999999998</v>
      </c>
      <c r="E444" s="104">
        <f t="shared" si="45"/>
        <v>109.84661999999997</v>
      </c>
      <c r="F444" s="87">
        <f t="shared" si="46"/>
        <v>741.80106000000001</v>
      </c>
      <c r="G444" s="87">
        <v>0</v>
      </c>
      <c r="H444" s="87">
        <f t="shared" si="47"/>
        <v>1075.611537</v>
      </c>
      <c r="I444" s="18" t="s">
        <v>457</v>
      </c>
    </row>
    <row r="445" spans="1:9" x14ac:dyDescent="0.25">
      <c r="A445" s="112">
        <f>A444+1</f>
        <v>3</v>
      </c>
      <c r="B445" s="112"/>
      <c r="C445" s="87" t="s">
        <v>398</v>
      </c>
      <c r="D445" s="104">
        <f>(53.51)*10.764</f>
        <v>575.98163999999997</v>
      </c>
      <c r="E445" s="104">
        <f t="shared" si="45"/>
        <v>109.84661999999997</v>
      </c>
      <c r="F445" s="87">
        <f t="shared" si="46"/>
        <v>685.82826</v>
      </c>
      <c r="G445" s="87">
        <v>0</v>
      </c>
      <c r="H445" s="87">
        <f t="shared" si="47"/>
        <v>994.45097699999997</v>
      </c>
      <c r="I445" s="108">
        <f>6566400/H445</f>
        <v>6603.0404231781458</v>
      </c>
    </row>
    <row r="446" spans="1:9" x14ac:dyDescent="0.25">
      <c r="A446" s="112">
        <f>A445+1</f>
        <v>4</v>
      </c>
      <c r="B446" s="112"/>
      <c r="C446" s="87" t="s">
        <v>398</v>
      </c>
      <c r="D446" s="104">
        <f>(55.99)*10.764</f>
        <v>602.67635999999993</v>
      </c>
      <c r="E446" s="104">
        <f t="shared" si="45"/>
        <v>109.84661999999997</v>
      </c>
      <c r="F446" s="87">
        <f t="shared" si="46"/>
        <v>712.52297999999996</v>
      </c>
      <c r="G446" s="87">
        <v>0</v>
      </c>
      <c r="H446" s="87">
        <f t="shared" si="47"/>
        <v>1033.1583209999999</v>
      </c>
    </row>
    <row r="447" spans="1:9" x14ac:dyDescent="0.25">
      <c r="A447" s="112">
        <f>A446+1</f>
        <v>5</v>
      </c>
      <c r="B447" s="112"/>
      <c r="C447" s="87" t="s">
        <v>398</v>
      </c>
      <c r="D447" s="104">
        <f>(61.94)*10.764</f>
        <v>666.72215999999992</v>
      </c>
      <c r="E447" s="104">
        <f t="shared" si="45"/>
        <v>109.84661999999997</v>
      </c>
      <c r="F447" s="87">
        <f t="shared" si="46"/>
        <v>776.56877999999983</v>
      </c>
      <c r="G447" s="87">
        <v>0</v>
      </c>
      <c r="H447" s="87">
        <f t="shared" si="47"/>
        <v>1126.0247309999997</v>
      </c>
    </row>
    <row r="448" spans="1:9" ht="15.75" customHeight="1" x14ac:dyDescent="0.25">
      <c r="A448" s="112">
        <f>A447+1</f>
        <v>6</v>
      </c>
      <c r="B448" s="112"/>
      <c r="C448" s="87" t="s">
        <v>398</v>
      </c>
      <c r="D448" s="104">
        <f>(56.06)*10.764</f>
        <v>603.42984000000001</v>
      </c>
      <c r="E448" s="104">
        <f t="shared" si="45"/>
        <v>109.84661999999997</v>
      </c>
      <c r="F448" s="87">
        <f t="shared" si="46"/>
        <v>713.27646000000004</v>
      </c>
      <c r="G448" s="87">
        <v>0</v>
      </c>
      <c r="H448" s="87">
        <f t="shared" si="47"/>
        <v>1034.250867</v>
      </c>
    </row>
    <row r="449" spans="1:10" x14ac:dyDescent="0.25">
      <c r="A449" s="124" t="s">
        <v>432</v>
      </c>
      <c r="B449" s="125"/>
      <c r="C449" s="125"/>
      <c r="D449" s="125"/>
      <c r="E449" s="125"/>
      <c r="F449" s="125"/>
      <c r="G449" s="125"/>
      <c r="H449" s="126"/>
    </row>
    <row r="450" spans="1:10" x14ac:dyDescent="0.25">
      <c r="A450" s="112">
        <v>1</v>
      </c>
      <c r="B450" s="112"/>
      <c r="C450" s="92" t="s">
        <v>398</v>
      </c>
      <c r="D450" s="104">
        <f>(53.71)*10.764</f>
        <v>578.13443999999993</v>
      </c>
      <c r="E450" s="104">
        <f>(3.05+0.9*(2.9*2+2.15))*10.764</f>
        <v>109.84661999999997</v>
      </c>
      <c r="F450" s="92">
        <f t="shared" ref="F450:F456" si="48">D450+E450</f>
        <v>687.98105999999984</v>
      </c>
      <c r="G450" s="92">
        <v>0</v>
      </c>
      <c r="H450" s="92">
        <f>F450*(($H$271)+1)+(IF(G450&lt;101,G450,IF(G450&lt;201,G450/2,IF(G450&lt;=301,G450/3,G450/4))))</f>
        <v>997.57253699999978</v>
      </c>
    </row>
    <row r="451" spans="1:10" x14ac:dyDescent="0.25">
      <c r="A451" s="112">
        <f>A450+1</f>
        <v>2</v>
      </c>
      <c r="B451" s="112"/>
      <c r="C451" s="92" t="s">
        <v>398</v>
      </c>
      <c r="D451" s="104">
        <f>(58.71)*10.764</f>
        <v>631.95443999999998</v>
      </c>
      <c r="E451" s="104">
        <f>(3.05+0.9*(2.9*2+2.15))*10.764</f>
        <v>109.84661999999997</v>
      </c>
      <c r="F451" s="92">
        <f t="shared" si="48"/>
        <v>741.80106000000001</v>
      </c>
      <c r="G451" s="92">
        <v>0</v>
      </c>
      <c r="H451" s="92">
        <f>F451*(($H$271)+1)+(IF(G451&lt;101,G451,IF(G451&lt;201,G451/2,IF(G451&lt;=301,G451/3,G451/4))))</f>
        <v>1075.611537</v>
      </c>
    </row>
    <row r="452" spans="1:10" x14ac:dyDescent="0.25">
      <c r="A452" s="112">
        <f>A451+1</f>
        <v>3</v>
      </c>
      <c r="B452" s="112"/>
      <c r="C452" s="92" t="s">
        <v>398</v>
      </c>
      <c r="D452" s="104">
        <f>(53.51)*10.764</f>
        <v>575.98163999999997</v>
      </c>
      <c r="E452" s="104">
        <f>(3.05+0.9*(2.9*2+2.15))*10.764</f>
        <v>109.84661999999997</v>
      </c>
      <c r="F452" s="92">
        <f t="shared" si="48"/>
        <v>685.82826</v>
      </c>
      <c r="G452" s="92">
        <v>0</v>
      </c>
      <c r="H452" s="92">
        <f>F452*(($H$271)+1)+(IF(G452&lt;101,G452,IF(G452&lt;201,G452/2,IF(G452&lt;=301,G452/3,G452/4))))</f>
        <v>994.45097699999997</v>
      </c>
    </row>
    <row r="453" spans="1:10" x14ac:dyDescent="0.25">
      <c r="A453" s="113" t="s">
        <v>433</v>
      </c>
      <c r="B453" s="114"/>
      <c r="C453" s="113" t="s">
        <v>438</v>
      </c>
      <c r="D453" s="115"/>
      <c r="E453" s="115"/>
      <c r="F453" s="115"/>
      <c r="G453" s="115"/>
      <c r="H453" s="114"/>
    </row>
    <row r="454" spans="1:10" x14ac:dyDescent="0.25">
      <c r="A454" s="112">
        <f>A452+1</f>
        <v>4</v>
      </c>
      <c r="B454" s="112"/>
      <c r="C454" s="92" t="s">
        <v>398</v>
      </c>
      <c r="D454" s="104">
        <f>(55.99)*10.764</f>
        <v>602.67635999999993</v>
      </c>
      <c r="E454" s="104">
        <f>(3.05+0.9*(2.9*2+2.15))*10.764</f>
        <v>109.84661999999997</v>
      </c>
      <c r="F454" s="92">
        <f t="shared" si="48"/>
        <v>712.52297999999996</v>
      </c>
      <c r="G454" s="92">
        <v>0</v>
      </c>
      <c r="H454" s="92">
        <f>F454*(($H$271)+1)+(IF(G454&lt;101,G454,IF(G454&lt;201,G454/2,IF(G454&lt;=301,G454/3,G454/4))))</f>
        <v>1033.1583209999999</v>
      </c>
    </row>
    <row r="455" spans="1:10" x14ac:dyDescent="0.25">
      <c r="A455" s="112">
        <f>A454+1</f>
        <v>5</v>
      </c>
      <c r="B455" s="112"/>
      <c r="C455" s="92" t="s">
        <v>398</v>
      </c>
      <c r="D455" s="104">
        <f>(61.94)*10.764</f>
        <v>666.72215999999992</v>
      </c>
      <c r="E455" s="104">
        <f>(3.05+0.9*(2.9*2+2.15))*10.764</f>
        <v>109.84661999999997</v>
      </c>
      <c r="F455" s="92">
        <f t="shared" si="48"/>
        <v>776.56877999999983</v>
      </c>
      <c r="G455" s="92">
        <v>0</v>
      </c>
      <c r="H455" s="92">
        <f>F455*(($H$271)+1)+(IF(G455&lt;101,G455,IF(G455&lt;201,G455/2,IF(G455&lt;=301,G455/3,G455/4))))</f>
        <v>1126.0247309999997</v>
      </c>
      <c r="I455" s="18" t="s">
        <v>457</v>
      </c>
    </row>
    <row r="456" spans="1:10" x14ac:dyDescent="0.25">
      <c r="A456" s="112">
        <f>A455+1</f>
        <v>6</v>
      </c>
      <c r="B456" s="112"/>
      <c r="C456" s="92" t="s">
        <v>398</v>
      </c>
      <c r="D456" s="104">
        <f>(56.06)*10.764</f>
        <v>603.42984000000001</v>
      </c>
      <c r="E456" s="104">
        <f>(3.05+0.9*(2.9*2+2.15))*10.764</f>
        <v>109.84661999999997</v>
      </c>
      <c r="F456" s="92">
        <f t="shared" si="48"/>
        <v>713.27646000000004</v>
      </c>
      <c r="G456" s="92">
        <v>0</v>
      </c>
      <c r="H456" s="92">
        <f>F456*(($H$271)+1)+(IF(G456&lt;101,G456,IF(G456&lt;201,G456/2,IF(G456&lt;=301,G456/3,G456/4))))</f>
        <v>1034.250867</v>
      </c>
      <c r="I456" s="108">
        <f>6868800/H456</f>
        <v>6641.3287328672841</v>
      </c>
    </row>
    <row r="457" spans="1:10" x14ac:dyDescent="0.25">
      <c r="A457" s="281" t="s">
        <v>64</v>
      </c>
      <c r="B457" s="281"/>
      <c r="C457" s="281"/>
      <c r="D457" s="281"/>
      <c r="E457" s="281"/>
      <c r="F457" s="281"/>
      <c r="G457" s="281"/>
      <c r="H457" s="281"/>
    </row>
    <row r="458" spans="1:10" x14ac:dyDescent="0.25">
      <c r="A458" s="41" t="s">
        <v>144</v>
      </c>
      <c r="B458" s="153" t="s">
        <v>428</v>
      </c>
      <c r="C458" s="154"/>
      <c r="D458" s="154"/>
      <c r="E458" s="154"/>
      <c r="F458" s="154"/>
      <c r="G458" s="154"/>
      <c r="H458" s="155"/>
    </row>
    <row r="459" spans="1:10" x14ac:dyDescent="0.25">
      <c r="A459" s="41" t="s">
        <v>144</v>
      </c>
      <c r="B459" s="153" t="str">
        <f>(IF(H270="Saleable area Loading :","We have considered Saleable area of Flats as per our Calculation.","We considered Saleable area of Flat as per Builder area Sheet."))</f>
        <v>We have considered Saleable area of Flats as per our Calculation.</v>
      </c>
      <c r="C459" s="154"/>
      <c r="D459" s="154"/>
      <c r="E459" s="154"/>
      <c r="F459" s="154"/>
      <c r="G459" s="154"/>
      <c r="H459" s="155"/>
    </row>
    <row r="460" spans="1:10" x14ac:dyDescent="0.25">
      <c r="A460" s="101" t="s">
        <v>144</v>
      </c>
      <c r="B460" s="153" t="str">
        <f>(IF(H213="Saleable area Loading :","We have considered Saleable area of Commercial as per our Calculation.","We considered Saleable area of Commercial as per Builder area Sheet."))</f>
        <v>We have considered Saleable area of Commercial as per our Calculation.</v>
      </c>
      <c r="C460" s="154"/>
      <c r="D460" s="154"/>
      <c r="E460" s="154"/>
      <c r="F460" s="154"/>
      <c r="G460" s="154"/>
      <c r="H460" s="155"/>
    </row>
    <row r="461" spans="1:10" x14ac:dyDescent="0.25">
      <c r="A461" s="101" t="s">
        <v>144</v>
      </c>
      <c r="B461" s="153" t="s">
        <v>114</v>
      </c>
      <c r="C461" s="154"/>
      <c r="D461" s="154"/>
      <c r="E461" s="154"/>
      <c r="F461" s="154"/>
      <c r="G461" s="154"/>
      <c r="H461" s="155"/>
    </row>
    <row r="462" spans="1:10" x14ac:dyDescent="0.25">
      <c r="A462" s="41" t="s">
        <v>144</v>
      </c>
      <c r="B462" s="153" t="s">
        <v>447</v>
      </c>
      <c r="C462" s="154"/>
      <c r="D462" s="154"/>
      <c r="E462" s="154"/>
      <c r="F462" s="154"/>
      <c r="G462" s="154"/>
      <c r="H462" s="155"/>
    </row>
    <row r="463" spans="1:10" x14ac:dyDescent="0.25">
      <c r="A463" s="41" t="s">
        <v>144</v>
      </c>
      <c r="B463" s="153" t="s">
        <v>143</v>
      </c>
      <c r="C463" s="154"/>
      <c r="D463" s="154"/>
      <c r="E463" s="154"/>
      <c r="F463" s="154"/>
      <c r="G463" s="154"/>
      <c r="H463" s="155"/>
      <c r="J463"/>
    </row>
    <row r="464" spans="1:10" x14ac:dyDescent="0.25">
      <c r="A464" s="41" t="s">
        <v>144</v>
      </c>
      <c r="B464" s="119" t="s">
        <v>115</v>
      </c>
      <c r="C464" s="120"/>
      <c r="D464" s="120"/>
      <c r="E464" s="120"/>
      <c r="F464" s="120"/>
      <c r="G464" s="120"/>
      <c r="H464" s="121"/>
    </row>
    <row r="465" spans="1:15" ht="33" customHeight="1" x14ac:dyDescent="0.25">
      <c r="A465" s="101" t="s">
        <v>144</v>
      </c>
      <c r="B465" s="153" t="s">
        <v>145</v>
      </c>
      <c r="C465" s="154"/>
      <c r="D465" s="154"/>
      <c r="E465" s="154"/>
      <c r="F465" s="154"/>
      <c r="G465" s="154"/>
      <c r="H465" s="155"/>
    </row>
    <row r="466" spans="1:15" x14ac:dyDescent="0.25">
      <c r="A466" s="41" t="s">
        <v>144</v>
      </c>
      <c r="B466" s="119" t="s">
        <v>116</v>
      </c>
      <c r="C466" s="120"/>
      <c r="D466" s="120"/>
      <c r="E466" s="120"/>
      <c r="F466" s="120"/>
      <c r="G466" s="120"/>
      <c r="H466" s="121"/>
    </row>
    <row r="467" spans="1:15" x14ac:dyDescent="0.25">
      <c r="A467" s="41" t="s">
        <v>144</v>
      </c>
      <c r="B467" s="153" t="s">
        <v>453</v>
      </c>
      <c r="C467" s="154"/>
      <c r="D467" s="154"/>
      <c r="E467" s="154"/>
      <c r="F467" s="154"/>
      <c r="G467" s="154"/>
      <c r="H467" s="155"/>
      <c r="I467" s="119" t="s">
        <v>454</v>
      </c>
      <c r="J467" s="120"/>
      <c r="K467" s="120"/>
      <c r="L467" s="120"/>
      <c r="M467" s="120"/>
      <c r="N467" s="120"/>
      <c r="O467" s="121"/>
    </row>
    <row r="468" spans="1:15" hidden="1" x14ac:dyDescent="0.25">
      <c r="A468" s="41" t="s">
        <v>144</v>
      </c>
      <c r="B468" s="146" t="s">
        <v>166</v>
      </c>
      <c r="C468" s="147"/>
      <c r="D468" s="147"/>
      <c r="E468" s="147"/>
      <c r="F468" s="147"/>
      <c r="G468" s="147"/>
      <c r="H468" s="148"/>
    </row>
    <row r="469" spans="1:15" hidden="1" x14ac:dyDescent="0.25">
      <c r="A469" s="41" t="s">
        <v>144</v>
      </c>
      <c r="B469" s="146" t="s">
        <v>337</v>
      </c>
      <c r="C469" s="147"/>
      <c r="D469" s="147"/>
      <c r="E469" s="147"/>
      <c r="F469" s="147"/>
      <c r="G469" s="147"/>
      <c r="H469" s="148"/>
    </row>
    <row r="470" spans="1:15" hidden="1" x14ac:dyDescent="0.25">
      <c r="A470" s="41" t="s">
        <v>144</v>
      </c>
      <c r="B470" s="146" t="str">
        <f ca="1">IF(G52&gt;EDATE(E3,-48),"NO REMARK FOR CC","REMARK FOR CC")</f>
        <v>NO REMARK FOR CC</v>
      </c>
      <c r="C470" s="147"/>
      <c r="D470" s="147"/>
      <c r="E470" s="147"/>
      <c r="F470" s="147"/>
      <c r="G470" s="147"/>
      <c r="H470" s="148"/>
    </row>
    <row r="471" spans="1:15" hidden="1" x14ac:dyDescent="0.25">
      <c r="A471" s="41" t="s">
        <v>144</v>
      </c>
      <c r="B471" s="146" t="s">
        <v>338</v>
      </c>
      <c r="C471" s="147"/>
      <c r="D471" s="147"/>
      <c r="E471" s="147"/>
      <c r="F471" s="147"/>
      <c r="G471" s="147"/>
      <c r="H471" s="148"/>
    </row>
    <row r="472" spans="1:15" x14ac:dyDescent="0.25">
      <c r="A472" s="243" t="s">
        <v>57</v>
      </c>
      <c r="B472" s="243"/>
      <c r="C472" s="243"/>
      <c r="D472" s="243"/>
      <c r="E472" s="243"/>
      <c r="F472" s="243"/>
      <c r="G472" s="243"/>
      <c r="H472" s="243"/>
    </row>
    <row r="473" spans="1:15" x14ac:dyDescent="0.25">
      <c r="A473" s="110" t="s">
        <v>58</v>
      </c>
      <c r="B473" s="110"/>
      <c r="C473" s="110"/>
      <c r="D473" s="110"/>
      <c r="E473" s="110"/>
      <c r="F473" s="110"/>
      <c r="G473" s="110"/>
      <c r="H473" s="110"/>
    </row>
    <row r="474" spans="1:15" x14ac:dyDescent="0.25">
      <c r="A474" s="279" t="s">
        <v>59</v>
      </c>
      <c r="B474" s="279"/>
      <c r="C474" s="279"/>
      <c r="D474" s="279"/>
      <c r="E474" s="279"/>
      <c r="F474" s="279"/>
      <c r="G474" s="279"/>
      <c r="H474" s="279"/>
    </row>
    <row r="475" spans="1:15" x14ac:dyDescent="0.25">
      <c r="A475" s="110" t="s">
        <v>60</v>
      </c>
      <c r="B475" s="110"/>
      <c r="C475" s="110"/>
      <c r="D475" s="110"/>
      <c r="E475" s="110"/>
      <c r="F475" s="110"/>
      <c r="G475" s="110"/>
      <c r="H475" s="110"/>
    </row>
    <row r="476" spans="1:15" x14ac:dyDescent="0.25">
      <c r="A476" s="110" t="s">
        <v>61</v>
      </c>
      <c r="B476" s="110"/>
      <c r="C476" s="110"/>
      <c r="D476" s="110"/>
      <c r="E476" s="110"/>
      <c r="F476" s="110"/>
      <c r="G476" s="110"/>
      <c r="H476" s="110"/>
    </row>
    <row r="477" spans="1:15" x14ac:dyDescent="0.25">
      <c r="A477" s="110" t="s">
        <v>117</v>
      </c>
      <c r="B477" s="110"/>
      <c r="C477" s="110"/>
      <c r="D477" s="110"/>
      <c r="E477" s="110"/>
      <c r="F477" s="110"/>
      <c r="G477" s="110"/>
      <c r="H477" s="110"/>
    </row>
    <row r="478" spans="1:15" x14ac:dyDescent="0.25">
      <c r="A478" s="244" t="s">
        <v>118</v>
      </c>
      <c r="B478" s="244"/>
      <c r="C478" s="244"/>
      <c r="D478" s="244"/>
      <c r="E478" s="244"/>
      <c r="F478" s="244"/>
      <c r="G478" s="244"/>
      <c r="H478" s="244"/>
    </row>
    <row r="479" spans="1:15" x14ac:dyDescent="0.25">
      <c r="A479" s="275" t="s">
        <v>71</v>
      </c>
      <c r="B479" s="275"/>
      <c r="C479" s="275" t="s">
        <v>429</v>
      </c>
      <c r="D479" s="275"/>
      <c r="E479" s="275" t="s">
        <v>100</v>
      </c>
      <c r="F479" s="275"/>
      <c r="G479" s="275" t="s">
        <v>411</v>
      </c>
      <c r="H479" s="275"/>
    </row>
    <row r="480" spans="1:15" x14ac:dyDescent="0.25">
      <c r="A480" s="274" t="s">
        <v>73</v>
      </c>
      <c r="B480" s="274"/>
      <c r="C480" s="274"/>
      <c r="D480" s="274"/>
      <c r="E480" s="274"/>
      <c r="F480" s="274"/>
      <c r="G480" s="274"/>
      <c r="H480" s="274"/>
    </row>
    <row r="481" spans="1:8" x14ac:dyDescent="0.25">
      <c r="A481" s="274"/>
      <c r="B481" s="274"/>
      <c r="C481" s="274"/>
      <c r="D481" s="274"/>
      <c r="E481" s="274"/>
      <c r="F481" s="274"/>
      <c r="G481" s="274"/>
      <c r="H481" s="274"/>
    </row>
    <row r="482" spans="1:8" x14ac:dyDescent="0.25">
      <c r="A482" s="274"/>
      <c r="B482" s="274"/>
      <c r="C482" s="274"/>
      <c r="D482" s="274"/>
      <c r="E482" s="274"/>
      <c r="F482" s="274"/>
      <c r="G482" s="274"/>
      <c r="H482" s="274"/>
    </row>
    <row r="483" spans="1:8" x14ac:dyDescent="0.25">
      <c r="A483" s="274"/>
      <c r="B483" s="274"/>
      <c r="C483" s="274"/>
      <c r="D483" s="274"/>
      <c r="E483" s="274"/>
      <c r="F483" s="274"/>
      <c r="G483" s="274"/>
      <c r="H483" s="274"/>
    </row>
    <row r="484" spans="1:8" x14ac:dyDescent="0.25">
      <c r="A484" s="35" t="s">
        <v>62</v>
      </c>
      <c r="B484" s="36"/>
      <c r="C484" s="36"/>
      <c r="D484" s="35" t="str">
        <f>E9</f>
        <v>Evara</v>
      </c>
      <c r="F484" s="36"/>
      <c r="G484" s="36"/>
      <c r="H484" s="36"/>
    </row>
    <row r="485" spans="1:8" x14ac:dyDescent="0.25">
      <c r="A485" s="36"/>
      <c r="B485" s="36"/>
      <c r="C485" s="36"/>
      <c r="D485" s="36"/>
      <c r="E485" s="36"/>
      <c r="F485" s="36"/>
      <c r="G485" s="36"/>
      <c r="H485" s="36"/>
    </row>
    <row r="486" spans="1:8" x14ac:dyDescent="0.25">
      <c r="A486" s="36"/>
      <c r="B486" s="36"/>
      <c r="C486" s="36"/>
      <c r="D486" s="36"/>
      <c r="E486" s="36"/>
      <c r="F486" s="36"/>
      <c r="G486" s="36"/>
      <c r="H486" s="36"/>
    </row>
    <row r="528" spans="1:1" x14ac:dyDescent="0.25">
      <c r="A528" s="38" t="s">
        <v>153</v>
      </c>
    </row>
    <row r="572" spans="1:1" x14ac:dyDescent="0.25">
      <c r="A572" s="38" t="s">
        <v>63</v>
      </c>
    </row>
  </sheetData>
  <mergeCells count="823">
    <mergeCell ref="A226:H226"/>
    <mergeCell ref="A227:B227"/>
    <mergeCell ref="L242:M242"/>
    <mergeCell ref="A228:B228"/>
    <mergeCell ref="L243:M243"/>
    <mergeCell ref="A241:B241"/>
    <mergeCell ref="L244:M244"/>
    <mergeCell ref="L289:M289"/>
    <mergeCell ref="I467:O467"/>
    <mergeCell ref="L281:M281"/>
    <mergeCell ref="A304:B304"/>
    <mergeCell ref="L282:M282"/>
    <mergeCell ref="A305:B305"/>
    <mergeCell ref="L283:M283"/>
    <mergeCell ref="L294:M294"/>
    <mergeCell ref="L295:M295"/>
    <mergeCell ref="L296:M296"/>
    <mergeCell ref="A273:H273"/>
    <mergeCell ref="A326:B326"/>
    <mergeCell ref="L300:M300"/>
    <mergeCell ref="A318:H318"/>
    <mergeCell ref="A319:H319"/>
    <mergeCell ref="A320:H320"/>
    <mergeCell ref="A306:B306"/>
    <mergeCell ref="L284:M284"/>
    <mergeCell ref="L309:M309"/>
    <mergeCell ref="L310:M310"/>
    <mergeCell ref="A302:H302"/>
    <mergeCell ref="A303:B303"/>
    <mergeCell ref="L286:M286"/>
    <mergeCell ref="A309:B309"/>
    <mergeCell ref="L288:M288"/>
    <mergeCell ref="A310:B310"/>
    <mergeCell ref="A311:B311"/>
    <mergeCell ref="L290:M290"/>
    <mergeCell ref="L304:M304"/>
    <mergeCell ref="A324:B324"/>
    <mergeCell ref="L298:M298"/>
    <mergeCell ref="L299:M299"/>
    <mergeCell ref="L400:M400"/>
    <mergeCell ref="A436:B436"/>
    <mergeCell ref="A437:B437"/>
    <mergeCell ref="A438:B438"/>
    <mergeCell ref="A439:B439"/>
    <mergeCell ref="A440:B440"/>
    <mergeCell ref="A441:B441"/>
    <mergeCell ref="A281:B281"/>
    <mergeCell ref="L269:M269"/>
    <mergeCell ref="A282:B282"/>
    <mergeCell ref="L270:M270"/>
    <mergeCell ref="A283:B283"/>
    <mergeCell ref="L271:M271"/>
    <mergeCell ref="A409:H409"/>
    <mergeCell ref="A410:B410"/>
    <mergeCell ref="L377:M377"/>
    <mergeCell ref="L378:M378"/>
    <mergeCell ref="L379:M379"/>
    <mergeCell ref="L384:M384"/>
    <mergeCell ref="A387:H387"/>
    <mergeCell ref="L320:M320"/>
    <mergeCell ref="A339:B339"/>
    <mergeCell ref="L321:M321"/>
    <mergeCell ref="A340:B340"/>
    <mergeCell ref="A443:B443"/>
    <mergeCell ref="A444:B444"/>
    <mergeCell ref="A445:B445"/>
    <mergeCell ref="A446:B446"/>
    <mergeCell ref="A447:B447"/>
    <mergeCell ref="A448:B448"/>
    <mergeCell ref="A411:B411"/>
    <mergeCell ref="A412:B412"/>
    <mergeCell ref="A406:B406"/>
    <mergeCell ref="A442:H442"/>
    <mergeCell ref="A413:B413"/>
    <mergeCell ref="L380:M380"/>
    <mergeCell ref="A369:H369"/>
    <mergeCell ref="A370:B370"/>
    <mergeCell ref="L346:M346"/>
    <mergeCell ref="A371:B371"/>
    <mergeCell ref="L347:M347"/>
    <mergeCell ref="L348:M348"/>
    <mergeCell ref="L349:M349"/>
    <mergeCell ref="L350:M350"/>
    <mergeCell ref="A407:B407"/>
    <mergeCell ref="A408:B408"/>
    <mergeCell ref="A399:H399"/>
    <mergeCell ref="A404:B404"/>
    <mergeCell ref="A405:B405"/>
    <mergeCell ref="A400:B400"/>
    <mergeCell ref="A401:B401"/>
    <mergeCell ref="A376:B376"/>
    <mergeCell ref="L352:M352"/>
    <mergeCell ref="A377:B377"/>
    <mergeCell ref="A402:B402"/>
    <mergeCell ref="A403:B403"/>
    <mergeCell ref="C400:H403"/>
    <mergeCell ref="C386:H386"/>
    <mergeCell ref="A435:H435"/>
    <mergeCell ref="A414:B414"/>
    <mergeCell ref="A427:H427"/>
    <mergeCell ref="A434:B434"/>
    <mergeCell ref="A420:B420"/>
    <mergeCell ref="A421:B421"/>
    <mergeCell ref="A422:B422"/>
    <mergeCell ref="A423:B423"/>
    <mergeCell ref="A424:B424"/>
    <mergeCell ref="A425:B425"/>
    <mergeCell ref="A417:B417"/>
    <mergeCell ref="A415:B415"/>
    <mergeCell ref="A416:B416"/>
    <mergeCell ref="L302:M302"/>
    <mergeCell ref="A329:B329"/>
    <mergeCell ref="L303:M303"/>
    <mergeCell ref="L326:M326"/>
    <mergeCell ref="L305:M305"/>
    <mergeCell ref="L306:M306"/>
    <mergeCell ref="L307:M307"/>
    <mergeCell ref="L312:M312"/>
    <mergeCell ref="L314:M314"/>
    <mergeCell ref="L315:M315"/>
    <mergeCell ref="L317:M317"/>
    <mergeCell ref="L318:M318"/>
    <mergeCell ref="L319:M319"/>
    <mergeCell ref="L311:M311"/>
    <mergeCell ref="A312:H312"/>
    <mergeCell ref="A313:B313"/>
    <mergeCell ref="A314:B314"/>
    <mergeCell ref="A316:B316"/>
    <mergeCell ref="A317:B317"/>
    <mergeCell ref="A315:B315"/>
    <mergeCell ref="L322:M322"/>
    <mergeCell ref="A307:H307"/>
    <mergeCell ref="A308:B308"/>
    <mergeCell ref="A325:B325"/>
    <mergeCell ref="A397:B397"/>
    <mergeCell ref="L364:M364"/>
    <mergeCell ref="A398:B398"/>
    <mergeCell ref="L365:M365"/>
    <mergeCell ref="A378:H378"/>
    <mergeCell ref="A379:B379"/>
    <mergeCell ref="A380:B380"/>
    <mergeCell ref="A381:B381"/>
    <mergeCell ref="A382:B382"/>
    <mergeCell ref="A383:B383"/>
    <mergeCell ref="A384:B384"/>
    <mergeCell ref="A385:B385"/>
    <mergeCell ref="A386:B386"/>
    <mergeCell ref="C390:H393"/>
    <mergeCell ref="L374:M374"/>
    <mergeCell ref="L368:M368"/>
    <mergeCell ref="L369:M369"/>
    <mergeCell ref="L370:M370"/>
    <mergeCell ref="L371:M371"/>
    <mergeCell ref="A360:H360"/>
    <mergeCell ref="L337:M337"/>
    <mergeCell ref="L338:M338"/>
    <mergeCell ref="L339:M339"/>
    <mergeCell ref="L340:M340"/>
    <mergeCell ref="L341:M341"/>
    <mergeCell ref="L353:M353"/>
    <mergeCell ref="A348:B348"/>
    <mergeCell ref="C352:H355"/>
    <mergeCell ref="L357:M357"/>
    <mergeCell ref="L358:M358"/>
    <mergeCell ref="L359:M359"/>
    <mergeCell ref="L360:M360"/>
    <mergeCell ref="L351:M351"/>
    <mergeCell ref="A342:B342"/>
    <mergeCell ref="A343:B343"/>
    <mergeCell ref="L342:M342"/>
    <mergeCell ref="L343:M343"/>
    <mergeCell ref="L344:M344"/>
    <mergeCell ref="A347:B347"/>
    <mergeCell ref="A345:B345"/>
    <mergeCell ref="L333:M333"/>
    <mergeCell ref="A356:B356"/>
    <mergeCell ref="L330:M330"/>
    <mergeCell ref="A357:B357"/>
    <mergeCell ref="L331:M331"/>
    <mergeCell ref="A358:B358"/>
    <mergeCell ref="A359:B359"/>
    <mergeCell ref="A330:B330"/>
    <mergeCell ref="C398:H398"/>
    <mergeCell ref="A394:B394"/>
    <mergeCell ref="L393:M393"/>
    <mergeCell ref="L372:M372"/>
    <mergeCell ref="L373:M373"/>
    <mergeCell ref="A366:B366"/>
    <mergeCell ref="C361:H364"/>
    <mergeCell ref="A362:B362"/>
    <mergeCell ref="L375:M375"/>
    <mergeCell ref="L383:M383"/>
    <mergeCell ref="A390:B390"/>
    <mergeCell ref="A391:B391"/>
    <mergeCell ref="A392:B392"/>
    <mergeCell ref="A393:B393"/>
    <mergeCell ref="A388:H388"/>
    <mergeCell ref="A389:H389"/>
    <mergeCell ref="L381:M381"/>
    <mergeCell ref="L382:M382"/>
    <mergeCell ref="L361:M361"/>
    <mergeCell ref="A375:B375"/>
    <mergeCell ref="A395:B395"/>
    <mergeCell ref="L362:M362"/>
    <mergeCell ref="A396:B396"/>
    <mergeCell ref="L363:M363"/>
    <mergeCell ref="L334:M334"/>
    <mergeCell ref="L335:M335"/>
    <mergeCell ref="A301:H301"/>
    <mergeCell ref="A276:B276"/>
    <mergeCell ref="A277:B277"/>
    <mergeCell ref="A294:H294"/>
    <mergeCell ref="A295:B295"/>
    <mergeCell ref="A293:B293"/>
    <mergeCell ref="A296:B296"/>
    <mergeCell ref="A297:H297"/>
    <mergeCell ref="A298:B298"/>
    <mergeCell ref="A300:B300"/>
    <mergeCell ref="A299:B299"/>
    <mergeCell ref="C299:H299"/>
    <mergeCell ref="C315:H315"/>
    <mergeCell ref="C321:H323"/>
    <mergeCell ref="C328:H330"/>
    <mergeCell ref="L332:M332"/>
    <mergeCell ref="L327:M327"/>
    <mergeCell ref="L328:M328"/>
    <mergeCell ref="L329:M329"/>
    <mergeCell ref="A331:B331"/>
    <mergeCell ref="A327:H327"/>
    <mergeCell ref="A328:B328"/>
    <mergeCell ref="A268:B268"/>
    <mergeCell ref="L257:M257"/>
    <mergeCell ref="A274:H274"/>
    <mergeCell ref="L264:M264"/>
    <mergeCell ref="L265:M265"/>
    <mergeCell ref="A278:B278"/>
    <mergeCell ref="L266:M266"/>
    <mergeCell ref="A291:H291"/>
    <mergeCell ref="A292:B292"/>
    <mergeCell ref="L274:M274"/>
    <mergeCell ref="L275:M275"/>
    <mergeCell ref="L277:M277"/>
    <mergeCell ref="L278:M278"/>
    <mergeCell ref="A284:H284"/>
    <mergeCell ref="A285:B285"/>
    <mergeCell ref="A286:B286"/>
    <mergeCell ref="A287:B287"/>
    <mergeCell ref="A288:B288"/>
    <mergeCell ref="A289:B289"/>
    <mergeCell ref="C289:H289"/>
    <mergeCell ref="A290:H290"/>
    <mergeCell ref="A279:H279"/>
    <mergeCell ref="A280:B280"/>
    <mergeCell ref="L268:M268"/>
    <mergeCell ref="A254:H254"/>
    <mergeCell ref="A266:B266"/>
    <mergeCell ref="L255:M255"/>
    <mergeCell ref="A267:B267"/>
    <mergeCell ref="L256:M256"/>
    <mergeCell ref="A258:H258"/>
    <mergeCell ref="A259:B259"/>
    <mergeCell ref="L248:M248"/>
    <mergeCell ref="A260:B260"/>
    <mergeCell ref="L249:M249"/>
    <mergeCell ref="A261:B261"/>
    <mergeCell ref="L250:M250"/>
    <mergeCell ref="A262:B262"/>
    <mergeCell ref="L251:M251"/>
    <mergeCell ref="A263:B263"/>
    <mergeCell ref="L252:M252"/>
    <mergeCell ref="A264:B264"/>
    <mergeCell ref="L253:M253"/>
    <mergeCell ref="A265:B265"/>
    <mergeCell ref="L254:M254"/>
    <mergeCell ref="A255:B255"/>
    <mergeCell ref="A256:B256"/>
    <mergeCell ref="L239:M239"/>
    <mergeCell ref="A253:B253"/>
    <mergeCell ref="L240:M240"/>
    <mergeCell ref="A251:H251"/>
    <mergeCell ref="L235:M235"/>
    <mergeCell ref="L236:M236"/>
    <mergeCell ref="A238:B238"/>
    <mergeCell ref="L237:M237"/>
    <mergeCell ref="A239:B239"/>
    <mergeCell ref="L238:M238"/>
    <mergeCell ref="A240:H240"/>
    <mergeCell ref="A242:B242"/>
    <mergeCell ref="L245:M245"/>
    <mergeCell ref="L221:M221"/>
    <mergeCell ref="A231:B231"/>
    <mergeCell ref="L222:M222"/>
    <mergeCell ref="A232:B232"/>
    <mergeCell ref="L223:M223"/>
    <mergeCell ref="A233:B233"/>
    <mergeCell ref="L224:M224"/>
    <mergeCell ref="L217:M217"/>
    <mergeCell ref="A217:H217"/>
    <mergeCell ref="A229:H229"/>
    <mergeCell ref="A230:H230"/>
    <mergeCell ref="I218:M220"/>
    <mergeCell ref="L225:M225"/>
    <mergeCell ref="L226:M226"/>
    <mergeCell ref="L227:M227"/>
    <mergeCell ref="L228:M228"/>
    <mergeCell ref="L229:M229"/>
    <mergeCell ref="A223:H223"/>
    <mergeCell ref="A224:B224"/>
    <mergeCell ref="A225:B225"/>
    <mergeCell ref="L230:M230"/>
    <mergeCell ref="L231:M231"/>
    <mergeCell ref="L232:M232"/>
    <mergeCell ref="L233:M233"/>
    <mergeCell ref="A163:B163"/>
    <mergeCell ref="A164:B164"/>
    <mergeCell ref="C164:H164"/>
    <mergeCell ref="A166:B166"/>
    <mergeCell ref="C166:H166"/>
    <mergeCell ref="A167:B167"/>
    <mergeCell ref="E167:F167"/>
    <mergeCell ref="G167:H167"/>
    <mergeCell ref="A168:B168"/>
    <mergeCell ref="E168:F177"/>
    <mergeCell ref="G168:H177"/>
    <mergeCell ref="A169:B169"/>
    <mergeCell ref="A170:B170"/>
    <mergeCell ref="A171:B171"/>
    <mergeCell ref="A172:B172"/>
    <mergeCell ref="A173:B173"/>
    <mergeCell ref="A174:B174"/>
    <mergeCell ref="A175:B175"/>
    <mergeCell ref="A176:B176"/>
    <mergeCell ref="A177:B177"/>
    <mergeCell ref="A84:B84"/>
    <mergeCell ref="G83:H83"/>
    <mergeCell ref="A92:B92"/>
    <mergeCell ref="A93:B93"/>
    <mergeCell ref="A88:B88"/>
    <mergeCell ref="A87:B87"/>
    <mergeCell ref="E83:F83"/>
    <mergeCell ref="A85:B85"/>
    <mergeCell ref="E201:F201"/>
    <mergeCell ref="G140:H149"/>
    <mergeCell ref="A141:B141"/>
    <mergeCell ref="A142:B142"/>
    <mergeCell ref="A143:B143"/>
    <mergeCell ref="A144:B144"/>
    <mergeCell ref="A145:B145"/>
    <mergeCell ref="A146:B146"/>
    <mergeCell ref="A147:B147"/>
    <mergeCell ref="A148:B148"/>
    <mergeCell ref="A149:B149"/>
    <mergeCell ref="A150:B150"/>
    <mergeCell ref="C150:H150"/>
    <mergeCell ref="A152:B152"/>
    <mergeCell ref="C152:H152"/>
    <mergeCell ref="A153:B153"/>
    <mergeCell ref="A90:B90"/>
    <mergeCell ref="I15:P15"/>
    <mergeCell ref="F188:H188"/>
    <mergeCell ref="F186:H186"/>
    <mergeCell ref="A368:B368"/>
    <mergeCell ref="A212:H212"/>
    <mergeCell ref="G194:H194"/>
    <mergeCell ref="A187:E187"/>
    <mergeCell ref="A219:B219"/>
    <mergeCell ref="A61:B61"/>
    <mergeCell ref="C61:E61"/>
    <mergeCell ref="D63:H63"/>
    <mergeCell ref="F187:H187"/>
    <mergeCell ref="E194:F194"/>
    <mergeCell ref="A194:B194"/>
    <mergeCell ref="A196:B196"/>
    <mergeCell ref="C201:D201"/>
    <mergeCell ref="D77:H77"/>
    <mergeCell ref="D64:H64"/>
    <mergeCell ref="G61:H61"/>
    <mergeCell ref="A54:B55"/>
    <mergeCell ref="A269:H269"/>
    <mergeCell ref="A89:B89"/>
    <mergeCell ref="A50:B50"/>
    <mergeCell ref="A102:B102"/>
    <mergeCell ref="A104:B104"/>
    <mergeCell ref="F179:H179"/>
    <mergeCell ref="G195:H195"/>
    <mergeCell ref="A107:B107"/>
    <mergeCell ref="F185:H185"/>
    <mergeCell ref="C194:D194"/>
    <mergeCell ref="C209:D209"/>
    <mergeCell ref="B462:H462"/>
    <mergeCell ref="A337:B337"/>
    <mergeCell ref="A338:B338"/>
    <mergeCell ref="A374:B374"/>
    <mergeCell ref="F181:H181"/>
    <mergeCell ref="A185:E185"/>
    <mergeCell ref="D213:D214"/>
    <mergeCell ref="A184:E184"/>
    <mergeCell ref="A457:H457"/>
    <mergeCell ref="A335:B335"/>
    <mergeCell ref="A372:B372"/>
    <mergeCell ref="A211:H211"/>
    <mergeCell ref="A270:A271"/>
    <mergeCell ref="F270:F271"/>
    <mergeCell ref="G207:H207"/>
    <mergeCell ref="E153:F153"/>
    <mergeCell ref="A119:B119"/>
    <mergeCell ref="A218:B218"/>
    <mergeCell ref="A122:B122"/>
    <mergeCell ref="A477:H477"/>
    <mergeCell ref="A474:H474"/>
    <mergeCell ref="A429:B429"/>
    <mergeCell ref="A201:B201"/>
    <mergeCell ref="D270:D271"/>
    <mergeCell ref="E270:E271"/>
    <mergeCell ref="B470:H470"/>
    <mergeCell ref="B469:H469"/>
    <mergeCell ref="A473:H473"/>
    <mergeCell ref="G153:H153"/>
    <mergeCell ref="A154:B154"/>
    <mergeCell ref="E154:F163"/>
    <mergeCell ref="G154:H163"/>
    <mergeCell ref="A155:B155"/>
    <mergeCell ref="A156:B156"/>
    <mergeCell ref="A157:B157"/>
    <mergeCell ref="A158:B158"/>
    <mergeCell ref="A159:B159"/>
    <mergeCell ref="A160:B160"/>
    <mergeCell ref="A161:B161"/>
    <mergeCell ref="A162:B162"/>
    <mergeCell ref="A181:E181"/>
    <mergeCell ref="A178:E178"/>
    <mergeCell ref="F182:H182"/>
    <mergeCell ref="A182:E182"/>
    <mergeCell ref="A275:B275"/>
    <mergeCell ref="B465:H465"/>
    <mergeCell ref="G213:G214"/>
    <mergeCell ref="A352:B352"/>
    <mergeCell ref="A373:B373"/>
    <mergeCell ref="B458:H458"/>
    <mergeCell ref="B459:H459"/>
    <mergeCell ref="B461:H461"/>
    <mergeCell ref="F178:H178"/>
    <mergeCell ref="F183:H183"/>
    <mergeCell ref="A221:B221"/>
    <mergeCell ref="A220:B220"/>
    <mergeCell ref="F184:H184"/>
    <mergeCell ref="A186:E186"/>
    <mergeCell ref="A216:H216"/>
    <mergeCell ref="A222:B222"/>
    <mergeCell ref="A234:B234"/>
    <mergeCell ref="A235:B235"/>
    <mergeCell ref="A236:B236"/>
    <mergeCell ref="A245:B245"/>
    <mergeCell ref="A480:H483"/>
    <mergeCell ref="A479:B479"/>
    <mergeCell ref="E479:F479"/>
    <mergeCell ref="C479:D479"/>
    <mergeCell ref="G479:H479"/>
    <mergeCell ref="A193:H193"/>
    <mergeCell ref="A190:E190"/>
    <mergeCell ref="F190:H190"/>
    <mergeCell ref="A191:E191"/>
    <mergeCell ref="F191:H191"/>
    <mergeCell ref="A428:H428"/>
    <mergeCell ref="A206:B206"/>
    <mergeCell ref="A195:B195"/>
    <mergeCell ref="A475:H475"/>
    <mergeCell ref="A200:H200"/>
    <mergeCell ref="A478:H478"/>
    <mergeCell ref="A476:H476"/>
    <mergeCell ref="A472:H472"/>
    <mergeCell ref="G201:H201"/>
    <mergeCell ref="B463:H463"/>
    <mergeCell ref="A432:B432"/>
    <mergeCell ref="C210:D210"/>
    <mergeCell ref="B464:H464"/>
    <mergeCell ref="B468:H46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G12:H12"/>
    <mergeCell ref="E12:F1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D71:H71"/>
    <mergeCell ref="D72:H72"/>
    <mergeCell ref="A66:C72"/>
    <mergeCell ref="E43:H43"/>
    <mergeCell ref="A43:D43"/>
    <mergeCell ref="A36:B36"/>
    <mergeCell ref="C36:E36"/>
    <mergeCell ref="A37:B37"/>
    <mergeCell ref="C37:E37"/>
    <mergeCell ref="A42:D42"/>
    <mergeCell ref="A38:H38"/>
    <mergeCell ref="E42:H42"/>
    <mergeCell ref="A41:H41"/>
    <mergeCell ref="D68:H68"/>
    <mergeCell ref="A58:B60"/>
    <mergeCell ref="C60:H60"/>
    <mergeCell ref="C58:E59"/>
    <mergeCell ref="C80:H80"/>
    <mergeCell ref="A75:C75"/>
    <mergeCell ref="D75:H75"/>
    <mergeCell ref="C82:H82"/>
    <mergeCell ref="A76:C76"/>
    <mergeCell ref="D76:H76"/>
    <mergeCell ref="A79:C79"/>
    <mergeCell ref="D79:H79"/>
    <mergeCell ref="A78:C78"/>
    <mergeCell ref="A77:C77"/>
    <mergeCell ref="D78:H78"/>
    <mergeCell ref="A83:B83"/>
    <mergeCell ref="A46:D46"/>
    <mergeCell ref="A47:D47"/>
    <mergeCell ref="D74:H74"/>
    <mergeCell ref="A44:D44"/>
    <mergeCell ref="E44:H44"/>
    <mergeCell ref="E45:H45"/>
    <mergeCell ref="E46:H46"/>
    <mergeCell ref="E47:H47"/>
    <mergeCell ref="C57:H57"/>
    <mergeCell ref="A48:H48"/>
    <mergeCell ref="D65:H65"/>
    <mergeCell ref="A65:C65"/>
    <mergeCell ref="A45:D45"/>
    <mergeCell ref="A49:B49"/>
    <mergeCell ref="C49:H49"/>
    <mergeCell ref="D66:H66"/>
    <mergeCell ref="D67:H67"/>
    <mergeCell ref="G52:H52"/>
    <mergeCell ref="A62:H62"/>
    <mergeCell ref="A82:B82"/>
    <mergeCell ref="A80:B80"/>
    <mergeCell ref="C53:H53"/>
    <mergeCell ref="A63:C63"/>
    <mergeCell ref="A73:C73"/>
    <mergeCell ref="A74:C74"/>
    <mergeCell ref="D73:H73"/>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A64:C64"/>
    <mergeCell ref="C56:E56"/>
    <mergeCell ref="G54:H54"/>
    <mergeCell ref="A56:B57"/>
    <mergeCell ref="G59:H59"/>
    <mergeCell ref="D69:H69"/>
    <mergeCell ref="D70:H70"/>
    <mergeCell ref="C96:H96"/>
    <mergeCell ref="A99:B99"/>
    <mergeCell ref="A100:B100"/>
    <mergeCell ref="G98:H107"/>
    <mergeCell ref="A101:B101"/>
    <mergeCell ref="F180:H180"/>
    <mergeCell ref="A180:E180"/>
    <mergeCell ref="E210:F210"/>
    <mergeCell ref="A96:B96"/>
    <mergeCell ref="C122:H122"/>
    <mergeCell ref="A124:B124"/>
    <mergeCell ref="C124:H124"/>
    <mergeCell ref="A125:B125"/>
    <mergeCell ref="E125:F125"/>
    <mergeCell ref="G125:H125"/>
    <mergeCell ref="A126:B126"/>
    <mergeCell ref="E126:F135"/>
    <mergeCell ref="G126:H135"/>
    <mergeCell ref="A127:B127"/>
    <mergeCell ref="A128:B128"/>
    <mergeCell ref="A129:B129"/>
    <mergeCell ref="G97:H97"/>
    <mergeCell ref="A210:B210"/>
    <mergeCell ref="A106:B106"/>
    <mergeCell ref="A105:B105"/>
    <mergeCell ref="A91:B91"/>
    <mergeCell ref="C206:D206"/>
    <mergeCell ref="E206:F206"/>
    <mergeCell ref="G206:H206"/>
    <mergeCell ref="A179:E179"/>
    <mergeCell ref="A94:B94"/>
    <mergeCell ref="C94:H94"/>
    <mergeCell ref="A130:B130"/>
    <mergeCell ref="A131:B131"/>
    <mergeCell ref="A132:B132"/>
    <mergeCell ref="A133:B133"/>
    <mergeCell ref="A134:B134"/>
    <mergeCell ref="A135:B135"/>
    <mergeCell ref="A136:B136"/>
    <mergeCell ref="C136:H136"/>
    <mergeCell ref="A138:B138"/>
    <mergeCell ref="C138:H138"/>
    <mergeCell ref="A139:B139"/>
    <mergeCell ref="E139:F139"/>
    <mergeCell ref="G139:H139"/>
    <mergeCell ref="A140:B140"/>
    <mergeCell ref="E140:F149"/>
    <mergeCell ref="A98:B98"/>
    <mergeCell ref="B466:H466"/>
    <mergeCell ref="A367:B367"/>
    <mergeCell ref="L386:M386"/>
    <mergeCell ref="A433:B433"/>
    <mergeCell ref="A430:B430"/>
    <mergeCell ref="A431:B431"/>
    <mergeCell ref="A40:B40"/>
    <mergeCell ref="C40:H40"/>
    <mergeCell ref="F213:F214"/>
    <mergeCell ref="C195:D195"/>
    <mergeCell ref="E195:F195"/>
    <mergeCell ref="B213:B214"/>
    <mergeCell ref="A213:A214"/>
    <mergeCell ref="C270:C271"/>
    <mergeCell ref="G270:G271"/>
    <mergeCell ref="L263:M263"/>
    <mergeCell ref="G210:H210"/>
    <mergeCell ref="A116:B116"/>
    <mergeCell ref="A118:B118"/>
    <mergeCell ref="A120:B120"/>
    <mergeCell ref="A86:B86"/>
    <mergeCell ref="E84:F93"/>
    <mergeCell ref="G84:H93"/>
    <mergeCell ref="A103:B103"/>
    <mergeCell ref="A188:E188"/>
    <mergeCell ref="G209:H209"/>
    <mergeCell ref="C196:D196"/>
    <mergeCell ref="E196:F196"/>
    <mergeCell ref="G196:H196"/>
    <mergeCell ref="A199:B199"/>
    <mergeCell ref="C199:D199"/>
    <mergeCell ref="E199:F199"/>
    <mergeCell ref="G199:H199"/>
    <mergeCell ref="A207:B207"/>
    <mergeCell ref="C207:D207"/>
    <mergeCell ref="E207:F207"/>
    <mergeCell ref="G204:H204"/>
    <mergeCell ref="A202:B202"/>
    <mergeCell ref="C202:D202"/>
    <mergeCell ref="E202:F202"/>
    <mergeCell ref="G202:H202"/>
    <mergeCell ref="A205:B205"/>
    <mergeCell ref="C205:D205"/>
    <mergeCell ref="E205:F205"/>
    <mergeCell ref="G205:H205"/>
    <mergeCell ref="A208:B208"/>
    <mergeCell ref="E198:F198"/>
    <mergeCell ref="G198:H198"/>
    <mergeCell ref="B471:H471"/>
    <mergeCell ref="A121:B121"/>
    <mergeCell ref="C213:C214"/>
    <mergeCell ref="B270:B271"/>
    <mergeCell ref="B460:H460"/>
    <mergeCell ref="A97:B97"/>
    <mergeCell ref="E97:F97"/>
    <mergeCell ref="E98:F107"/>
    <mergeCell ref="A108:B108"/>
    <mergeCell ref="C108:H108"/>
    <mergeCell ref="A110:B110"/>
    <mergeCell ref="C110:H110"/>
    <mergeCell ref="A111:B111"/>
    <mergeCell ref="E111:F111"/>
    <mergeCell ref="G111:H111"/>
    <mergeCell ref="A112:B112"/>
    <mergeCell ref="E112:F121"/>
    <mergeCell ref="G112:H121"/>
    <mergeCell ref="A113:B113"/>
    <mergeCell ref="A114:B114"/>
    <mergeCell ref="A115:B115"/>
    <mergeCell ref="A117:B117"/>
    <mergeCell ref="B467:H467"/>
    <mergeCell ref="A183:E183"/>
    <mergeCell ref="C345:H345"/>
    <mergeCell ref="A321:B321"/>
    <mergeCell ref="A322:B322"/>
    <mergeCell ref="A323:B323"/>
    <mergeCell ref="C408:H408"/>
    <mergeCell ref="A418:H418"/>
    <mergeCell ref="A419:B419"/>
    <mergeCell ref="A363:B363"/>
    <mergeCell ref="A364:B364"/>
    <mergeCell ref="A365:B365"/>
    <mergeCell ref="A361:B361"/>
    <mergeCell ref="A350:H350"/>
    <mergeCell ref="A351:H351"/>
    <mergeCell ref="A353:B353"/>
    <mergeCell ref="A354:B354"/>
    <mergeCell ref="A355:B355"/>
    <mergeCell ref="A349:H349"/>
    <mergeCell ref="A332:B332"/>
    <mergeCell ref="A333:B333"/>
    <mergeCell ref="A334:H334"/>
    <mergeCell ref="A336:B336"/>
    <mergeCell ref="A341:H341"/>
    <mergeCell ref="A344:B344"/>
    <mergeCell ref="A346:B346"/>
    <mergeCell ref="A198:B198"/>
    <mergeCell ref="C198:D198"/>
    <mergeCell ref="A215:H215"/>
    <mergeCell ref="A272:H272"/>
    <mergeCell ref="A203:B203"/>
    <mergeCell ref="C203:D203"/>
    <mergeCell ref="E203:F203"/>
    <mergeCell ref="G203:H203"/>
    <mergeCell ref="A204:B204"/>
    <mergeCell ref="C204:D204"/>
    <mergeCell ref="E204:F204"/>
    <mergeCell ref="A209:B209"/>
    <mergeCell ref="E209:F209"/>
    <mergeCell ref="E213:E214"/>
    <mergeCell ref="A246:B246"/>
    <mergeCell ref="A243:H243"/>
    <mergeCell ref="A244:H244"/>
    <mergeCell ref="A237:H237"/>
    <mergeCell ref="A247:B247"/>
    <mergeCell ref="A248:B248"/>
    <mergeCell ref="A249:B249"/>
    <mergeCell ref="A250:B250"/>
    <mergeCell ref="A257:H257"/>
    <mergeCell ref="A252:B252"/>
    <mergeCell ref="A189:E189"/>
    <mergeCell ref="F189:H189"/>
    <mergeCell ref="A456:B456"/>
    <mergeCell ref="A453:B453"/>
    <mergeCell ref="C453:H453"/>
    <mergeCell ref="A192:H192"/>
    <mergeCell ref="C208:D208"/>
    <mergeCell ref="E208:F208"/>
    <mergeCell ref="G208:H208"/>
    <mergeCell ref="A449:H449"/>
    <mergeCell ref="A450:B450"/>
    <mergeCell ref="A451:B451"/>
    <mergeCell ref="A452:B452"/>
    <mergeCell ref="A454:B454"/>
    <mergeCell ref="A455:B455"/>
    <mergeCell ref="A426:B426"/>
    <mergeCell ref="C423:H423"/>
    <mergeCell ref="C432:H434"/>
    <mergeCell ref="C439:H441"/>
    <mergeCell ref="A197:B197"/>
    <mergeCell ref="C197:D197"/>
    <mergeCell ref="E197:F197"/>
    <mergeCell ref="G197:H197"/>
  </mergeCells>
  <dataValidations count="18">
    <dataValidation type="list" allowBlank="1" showInputMessage="1" showErrorMessage="1" sqref="E5:H5">
      <formula1>OFFSET($L$3,1,MATCH($E4,$L$3:$P$3,0)-1,10,1)</formula1>
    </dataValidation>
    <dataValidation type="list" allowBlank="1" showInputMessage="1" showErrorMessage="1" sqref="A17:B17">
      <formula1>"Old Survey No, CTS No,Survey No,Plot No,Gut No,FP No,"</formula1>
    </dataValidation>
    <dataValidation type="list" allowBlank="1" showInputMessage="1" showErrorMessage="1" sqref="G20:H20">
      <formula1>$S$13:$W$13</formula1>
    </dataValidation>
    <dataValidation type="list" allowBlank="1" showInputMessage="1" showErrorMessage="1" sqref="E213:E214">
      <formula1>"Attached Loft area,Attached Otla area,Attached Mezzanine area"</formula1>
    </dataValidation>
    <dataValidation type="list" allowBlank="1" showInputMessage="1" showErrorMessage="1" sqref="G479:H479">
      <formula1>"Kunal Kadam,Pranita Mhatre,Shruti Fule,Pooja Kawale,Gaurav Panchal,Shruti Tathare, Dipti Gothawade,Saurav Panse, Sachin Sawant"</formula1>
    </dataValidation>
    <dataValidation type="list" allowBlank="1" showInputMessage="1" showErrorMessage="1" sqref="F178:H178">
      <formula1>"On Saleable Area,On Builtup Area,On Carpet Area,On Plot Area"</formula1>
    </dataValidation>
    <dataValidation type="list" allowBlank="1" showInputMessage="1" showErrorMessage="1" sqref="F190:H190">
      <formula1>OFFSET($S$178,1,MATCH($G20,$S$178:$W$178,0)-1,15,1)</formula1>
    </dataValidation>
    <dataValidation type="list" allowBlank="1" showInputMessage="1" showErrorMessage="1" sqref="B213:B214">
      <formula1>"Shop No. (Sale Plan),Sale / Rehab,Sale / Mhada"</formula1>
    </dataValidation>
    <dataValidation type="list" allowBlank="1" showInputMessage="1" showErrorMessage="1" sqref="B270:B27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70:E271">
      <formula1>", Balcony + AP Area, Fungible area,Balcony Area,Chajja Area,Cornice Area,AP Area,WS Area"</formula1>
    </dataValidation>
    <dataValidation type="list" allowBlank="1" showInputMessage="1" showErrorMessage="1" sqref="H214 H27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213 H270">
      <formula1>"Saleable area Loading :,Builder Saleable Area"</formula1>
    </dataValidation>
    <dataValidation type="list" allowBlank="1" showInputMessage="1" showErrorMessage="1" sqref="D213:D214">
      <formula1>"Carpet area,RERA Carpet area"</formula1>
    </dataValidation>
    <dataValidation type="list" allowBlank="1" showInputMessage="1" showErrorMessage="1" sqref="D270:D271">
      <formula1>"Carpet Area,RERA 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9" fitToHeight="0" orientation="portrait" r:id="rId2"/>
  <headerFooter>
    <oddHeader>&amp;C&amp;G</oddHeader>
    <oddFooter>&amp;L&amp;"Times New Roman,Bold"&amp;12Ref No: &amp;F&amp;C&amp;G&amp;R&amp;"Times New Roman,Bold"&amp;12&amp;P</oddFooter>
  </headerFooter>
  <rowBreaks count="7" manualBreakCount="7">
    <brk id="79" max="7" man="1"/>
    <brk id="121" max="7" man="1"/>
    <brk id="163" max="7" man="1"/>
    <brk id="210" max="7" man="1"/>
    <brk id="483" max="7" man="1"/>
    <brk id="527" max="7" man="1"/>
    <brk id="571"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305" t="s">
        <v>101</v>
      </c>
      <c r="C3" s="305"/>
      <c r="D3" s="305"/>
      <c r="E3" s="305"/>
      <c r="F3" s="305"/>
      <c r="G3" s="305"/>
      <c r="H3" s="305"/>
    </row>
    <row r="4" spans="1:9" x14ac:dyDescent="0.25">
      <c r="A4" s="2"/>
      <c r="B4" s="3" t="s">
        <v>102</v>
      </c>
      <c r="C4" s="3" t="s">
        <v>103</v>
      </c>
      <c r="D4" s="3" t="s">
        <v>65</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167</v>
      </c>
      <c r="E4" s="48" t="s">
        <v>177</v>
      </c>
      <c r="F4" s="48" t="s">
        <v>161</v>
      </c>
      <c r="G4" s="48" t="s">
        <v>182</v>
      </c>
      <c r="H4" s="48" t="s">
        <v>200</v>
      </c>
      <c r="J4" t="s">
        <v>182</v>
      </c>
      <c r="K4" t="s">
        <v>198</v>
      </c>
    </row>
    <row r="5" spans="2:11" x14ac:dyDescent="0.25">
      <c r="B5" s="47"/>
      <c r="C5" s="47"/>
      <c r="D5" s="48" t="s">
        <v>168</v>
      </c>
      <c r="E5" s="48" t="s">
        <v>175</v>
      </c>
      <c r="F5" s="48" t="s">
        <v>197</v>
      </c>
      <c r="G5" s="48" t="s">
        <v>183</v>
      </c>
      <c r="H5" s="48" t="s">
        <v>201</v>
      </c>
    </row>
    <row r="6" spans="2:11" x14ac:dyDescent="0.25">
      <c r="B6" s="47"/>
      <c r="C6" s="47"/>
      <c r="D6" s="48" t="s">
        <v>169</v>
      </c>
      <c r="E6" s="48" t="s">
        <v>176</v>
      </c>
      <c r="F6" s="48" t="s">
        <v>198</v>
      </c>
      <c r="G6" s="48" t="s">
        <v>184</v>
      </c>
      <c r="H6" s="48" t="s">
        <v>214</v>
      </c>
    </row>
    <row r="7" spans="2:11" x14ac:dyDescent="0.25">
      <c r="B7" s="47"/>
      <c r="C7" s="47"/>
      <c r="D7" s="48" t="s">
        <v>170</v>
      </c>
      <c r="E7" s="48" t="s">
        <v>178</v>
      </c>
      <c r="F7" s="48" t="s">
        <v>199</v>
      </c>
      <c r="G7" s="48" t="s">
        <v>185</v>
      </c>
      <c r="H7" s="48" t="s">
        <v>202</v>
      </c>
    </row>
    <row r="8" spans="2:11" x14ac:dyDescent="0.25">
      <c r="B8" s="47"/>
      <c r="C8" s="47"/>
      <c r="D8" s="48" t="s">
        <v>171</v>
      </c>
      <c r="E8" s="48" t="s">
        <v>179</v>
      </c>
      <c r="F8" s="48"/>
      <c r="G8" s="48" t="s">
        <v>186</v>
      </c>
      <c r="H8" s="48" t="s">
        <v>203</v>
      </c>
    </row>
    <row r="9" spans="2:11" x14ac:dyDescent="0.25">
      <c r="B9" s="47"/>
      <c r="C9" s="47"/>
      <c r="D9" s="48" t="s">
        <v>172</v>
      </c>
      <c r="E9" s="48" t="s">
        <v>177</v>
      </c>
      <c r="F9" s="48"/>
      <c r="G9" s="48" t="s">
        <v>187</v>
      </c>
      <c r="H9" s="48" t="s">
        <v>204</v>
      </c>
    </row>
    <row r="10" spans="2:11" x14ac:dyDescent="0.25">
      <c r="B10" s="47"/>
      <c r="C10" s="47"/>
      <c r="D10" s="48" t="s">
        <v>173</v>
      </c>
      <c r="E10" s="48" t="s">
        <v>180</v>
      </c>
      <c r="F10" s="48"/>
      <c r="G10" s="48" t="s">
        <v>188</v>
      </c>
      <c r="H10" s="48" t="s">
        <v>205</v>
      </c>
    </row>
    <row r="11" spans="2:11" x14ac:dyDescent="0.25">
      <c r="B11" s="47"/>
      <c r="C11" s="47"/>
      <c r="D11" s="48" t="s">
        <v>174</v>
      </c>
      <c r="E11" s="48" t="s">
        <v>181</v>
      </c>
      <c r="F11" s="48"/>
      <c r="G11" s="48" t="s">
        <v>189</v>
      </c>
      <c r="H11" s="48" t="s">
        <v>206</v>
      </c>
    </row>
    <row r="12" spans="2:11" x14ac:dyDescent="0.25">
      <c r="B12" s="47"/>
      <c r="C12" s="47"/>
      <c r="D12" s="48"/>
      <c r="E12" s="48"/>
      <c r="F12" s="48"/>
      <c r="G12" s="48" t="s">
        <v>190</v>
      </c>
      <c r="H12" s="48" t="s">
        <v>207</v>
      </c>
    </row>
    <row r="13" spans="2:11" x14ac:dyDescent="0.25">
      <c r="B13" s="47"/>
      <c r="C13" s="47"/>
      <c r="D13" s="48"/>
      <c r="E13" s="48"/>
      <c r="F13" s="48"/>
      <c r="G13" s="48" t="s">
        <v>191</v>
      </c>
      <c r="H13" s="48" t="s">
        <v>208</v>
      </c>
    </row>
    <row r="14" spans="2:11" x14ac:dyDescent="0.25">
      <c r="B14" s="47"/>
      <c r="C14" s="47"/>
      <c r="D14" s="48"/>
      <c r="E14" s="48"/>
      <c r="F14" s="48"/>
      <c r="G14" s="48" t="s">
        <v>192</v>
      </c>
      <c r="H14" s="48" t="s">
        <v>209</v>
      </c>
    </row>
    <row r="15" spans="2:11" x14ac:dyDescent="0.25">
      <c r="B15" s="47"/>
      <c r="C15" s="47"/>
      <c r="D15" s="48"/>
      <c r="E15" s="48"/>
      <c r="F15" s="48"/>
      <c r="G15" s="48" t="s">
        <v>193</v>
      </c>
      <c r="H15" s="48" t="s">
        <v>210</v>
      </c>
    </row>
    <row r="16" spans="2:11" x14ac:dyDescent="0.25">
      <c r="B16" s="47"/>
      <c r="C16" s="47"/>
      <c r="D16" s="48"/>
      <c r="E16" s="48"/>
      <c r="F16" s="48"/>
      <c r="G16" s="48" t="s">
        <v>194</v>
      </c>
      <c r="H16" s="48" t="s">
        <v>211</v>
      </c>
    </row>
    <row r="17" spans="2:8" x14ac:dyDescent="0.25">
      <c r="B17" s="47"/>
      <c r="C17" s="47"/>
      <c r="D17" s="48"/>
      <c r="E17" s="48"/>
      <c r="F17" s="48"/>
      <c r="G17" s="48" t="s">
        <v>195</v>
      </c>
      <c r="H17" s="48" t="s">
        <v>212</v>
      </c>
    </row>
    <row r="18" spans="2:8" x14ac:dyDescent="0.25">
      <c r="B18" s="47"/>
      <c r="C18" s="47"/>
      <c r="D18" s="48"/>
      <c r="E18" s="48"/>
      <c r="F18" s="48"/>
      <c r="G18" s="48" t="s">
        <v>196</v>
      </c>
      <c r="H18" s="48" t="s">
        <v>213</v>
      </c>
    </row>
    <row r="24" spans="2:8" x14ac:dyDescent="0.25">
      <c r="C24" t="s">
        <v>158</v>
      </c>
    </row>
    <row r="25" spans="2:8" x14ac:dyDescent="0.25">
      <c r="C25" t="s">
        <v>215</v>
      </c>
    </row>
    <row r="26" spans="2:8" x14ac:dyDescent="0.25">
      <c r="C26" t="s">
        <v>216</v>
      </c>
    </row>
    <row r="27" spans="2:8" x14ac:dyDescent="0.25">
      <c r="C27" t="s">
        <v>217</v>
      </c>
    </row>
    <row r="28" spans="2:8" x14ac:dyDescent="0.25">
      <c r="C28" t="s">
        <v>218</v>
      </c>
    </row>
    <row r="29" spans="2:8" x14ac:dyDescent="0.25">
      <c r="C29" t="s">
        <v>219</v>
      </c>
    </row>
    <row r="30" spans="2:8" x14ac:dyDescent="0.25">
      <c r="C30" t="s">
        <v>158</v>
      </c>
    </row>
    <row r="33" spans="3:11" x14ac:dyDescent="0.25">
      <c r="J33">
        <v>1</v>
      </c>
      <c r="K33">
        <v>2</v>
      </c>
    </row>
    <row r="34" spans="3:11" x14ac:dyDescent="0.25">
      <c r="C34" s="49" t="s">
        <v>224</v>
      </c>
      <c r="D34" s="48" t="s">
        <v>222</v>
      </c>
      <c r="E34" s="48" t="s">
        <v>227</v>
      </c>
      <c r="F34" s="48" t="s">
        <v>225</v>
      </c>
      <c r="G34" s="48" t="s">
        <v>226</v>
      </c>
      <c r="H34" s="48" t="s">
        <v>228</v>
      </c>
      <c r="J34" t="s">
        <v>182</v>
      </c>
      <c r="K34" t="s">
        <v>198</v>
      </c>
    </row>
    <row r="35" spans="3:11" x14ac:dyDescent="0.25">
      <c r="C35" s="47" t="s">
        <v>223</v>
      </c>
      <c r="D35" s="48" t="s">
        <v>159</v>
      </c>
      <c r="E35" s="48" t="s">
        <v>232</v>
      </c>
      <c r="F35" s="48" t="s">
        <v>234</v>
      </c>
      <c r="G35" s="48" t="s">
        <v>236</v>
      </c>
      <c r="H35" s="48"/>
    </row>
    <row r="36" spans="3:11" x14ac:dyDescent="0.25">
      <c r="C36" s="47"/>
      <c r="D36" s="48" t="s">
        <v>229</v>
      </c>
      <c r="E36" s="48" t="s">
        <v>233</v>
      </c>
      <c r="F36" s="48" t="s">
        <v>235</v>
      </c>
      <c r="G36" s="48" t="s">
        <v>237</v>
      </c>
      <c r="H36" s="48"/>
    </row>
    <row r="37" spans="3:11" x14ac:dyDescent="0.25">
      <c r="C37" s="47"/>
      <c r="D37" s="48" t="s">
        <v>230</v>
      </c>
      <c r="E37" s="48"/>
      <c r="F37" s="48"/>
      <c r="G37" s="48" t="s">
        <v>238</v>
      </c>
      <c r="H37" s="48"/>
    </row>
    <row r="38" spans="3:11" x14ac:dyDescent="0.25">
      <c r="C38" s="47"/>
      <c r="D38" s="48" t="s">
        <v>231</v>
      </c>
      <c r="E38" s="48"/>
      <c r="F38" s="48"/>
      <c r="G38" s="48" t="s">
        <v>238</v>
      </c>
      <c r="H38" s="48"/>
    </row>
    <row r="39" spans="3:11" x14ac:dyDescent="0.25">
      <c r="C39" s="47"/>
      <c r="D39" s="48"/>
      <c r="E39" s="48"/>
      <c r="F39" s="48"/>
      <c r="G39" s="48" t="s">
        <v>239</v>
      </c>
      <c r="H39" s="48"/>
    </row>
    <row r="40" spans="3:11" x14ac:dyDescent="0.25">
      <c r="C40" s="47"/>
      <c r="D40" s="48"/>
      <c r="E40" s="48"/>
      <c r="F40" s="48"/>
      <c r="G40" s="48" t="s">
        <v>240</v>
      </c>
      <c r="H40" s="48"/>
    </row>
    <row r="41" spans="3:11" x14ac:dyDescent="0.25">
      <c r="C41" s="47"/>
      <c r="D41" s="48"/>
      <c r="E41" s="48"/>
      <c r="F41" s="48"/>
      <c r="G41" s="48"/>
      <c r="H41" s="48"/>
    </row>
    <row r="43" spans="3:11" x14ac:dyDescent="0.25">
      <c r="C43" t="s">
        <v>241</v>
      </c>
    </row>
    <row r="44" spans="3:11" x14ac:dyDescent="0.25">
      <c r="C44" t="s">
        <v>161</v>
      </c>
      <c r="D44" t="s">
        <v>242</v>
      </c>
    </row>
    <row r="45" spans="3:11" x14ac:dyDescent="0.25">
      <c r="D45" t="s">
        <v>243</v>
      </c>
    </row>
    <row r="46" spans="3:11" x14ac:dyDescent="0.25">
      <c r="D46" t="s">
        <v>244</v>
      </c>
    </row>
    <row r="47" spans="3:11" x14ac:dyDescent="0.25">
      <c r="D47" t="s">
        <v>245</v>
      </c>
    </row>
    <row r="48" spans="3:11" x14ac:dyDescent="0.25">
      <c r="D48" t="s">
        <v>246</v>
      </c>
    </row>
    <row r="49" spans="3:4" x14ac:dyDescent="0.25">
      <c r="C49" t="s">
        <v>167</v>
      </c>
      <c r="D49" t="s">
        <v>247</v>
      </c>
    </row>
    <row r="50" spans="3:4" x14ac:dyDescent="0.25">
      <c r="D50" t="s">
        <v>248</v>
      </c>
    </row>
    <row r="51" spans="3:4" x14ac:dyDescent="0.25">
      <c r="D51" t="s">
        <v>249</v>
      </c>
    </row>
    <row r="52" spans="3:4" x14ac:dyDescent="0.25">
      <c r="D52" t="s">
        <v>252</v>
      </c>
    </row>
    <row r="53" spans="3:4" x14ac:dyDescent="0.25">
      <c r="D53" t="s">
        <v>250</v>
      </c>
    </row>
    <row r="54" spans="3:4" x14ac:dyDescent="0.25">
      <c r="D54" t="s">
        <v>251</v>
      </c>
    </row>
    <row r="55" spans="3:4" x14ac:dyDescent="0.25">
      <c r="D55" t="s">
        <v>253</v>
      </c>
    </row>
    <row r="56" spans="3:4" x14ac:dyDescent="0.25">
      <c r="D56" t="s">
        <v>254</v>
      </c>
    </row>
    <row r="57" spans="3:4" x14ac:dyDescent="0.25">
      <c r="D57" t="s">
        <v>255</v>
      </c>
    </row>
    <row r="58" spans="3:4" x14ac:dyDescent="0.25">
      <c r="D58" t="s">
        <v>257</v>
      </c>
    </row>
    <row r="59" spans="3:4" x14ac:dyDescent="0.25">
      <c r="D59" t="s">
        <v>266</v>
      </c>
    </row>
    <row r="60" spans="3:4" x14ac:dyDescent="0.25">
      <c r="C60" t="s">
        <v>182</v>
      </c>
      <c r="D60" t="s">
        <v>258</v>
      </c>
    </row>
    <row r="61" spans="3:4" x14ac:dyDescent="0.25">
      <c r="D61" t="s">
        <v>256</v>
      </c>
    </row>
    <row r="62" spans="3:4" x14ac:dyDescent="0.25">
      <c r="D62" t="s">
        <v>246</v>
      </c>
    </row>
    <row r="63" spans="3:4" x14ac:dyDescent="0.25">
      <c r="D63" t="s">
        <v>259</v>
      </c>
    </row>
    <row r="64" spans="3:4" x14ac:dyDescent="0.25">
      <c r="D64" t="s">
        <v>260</v>
      </c>
    </row>
    <row r="65" spans="3:4" x14ac:dyDescent="0.25">
      <c r="D65" t="s">
        <v>261</v>
      </c>
    </row>
    <row r="66" spans="3:4" x14ac:dyDescent="0.25">
      <c r="D66" t="s">
        <v>262</v>
      </c>
    </row>
    <row r="67" spans="3:4" x14ac:dyDescent="0.25">
      <c r="C67" t="s">
        <v>177</v>
      </c>
      <c r="D67" t="s">
        <v>263</v>
      </c>
    </row>
    <row r="68" spans="3:4" x14ac:dyDescent="0.25">
      <c r="D68" t="s">
        <v>264</v>
      </c>
    </row>
    <row r="69" spans="3:4" x14ac:dyDescent="0.25">
      <c r="D69" t="s">
        <v>265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0" zoomScaleNormal="100" workbookViewId="0">
      <selection activeCell="C47" sqref="C47"/>
    </sheetView>
  </sheetViews>
  <sheetFormatPr defaultRowHeight="15" x14ac:dyDescent="0.25"/>
  <cols>
    <col min="2" max="2" width="3" bestFit="1" customWidth="1"/>
    <col min="3" max="3" width="155.28515625" customWidth="1"/>
  </cols>
  <sheetData>
    <row r="2" spans="2:3" ht="15" customHeight="1" x14ac:dyDescent="0.25">
      <c r="B2" s="50">
        <v>1</v>
      </c>
      <c r="C2" s="52" t="s">
        <v>271</v>
      </c>
    </row>
    <row r="3" spans="2:3" x14ac:dyDescent="0.25">
      <c r="B3" s="50">
        <v>2</v>
      </c>
      <c r="C3" s="51" t="s">
        <v>272</v>
      </c>
    </row>
    <row r="4" spans="2:3" x14ac:dyDescent="0.25">
      <c r="B4" s="50">
        <v>3</v>
      </c>
      <c r="C4" s="50" t="s">
        <v>273</v>
      </c>
    </row>
    <row r="5" spans="2:3" x14ac:dyDescent="0.25">
      <c r="B5" s="50">
        <v>4</v>
      </c>
      <c r="C5" s="51" t="s">
        <v>274</v>
      </c>
    </row>
    <row r="6" spans="2:3" x14ac:dyDescent="0.25">
      <c r="B6" s="50">
        <v>5</v>
      </c>
      <c r="C6" s="50" t="s">
        <v>275</v>
      </c>
    </row>
    <row r="7" spans="2:3" ht="30" x14ac:dyDescent="0.25">
      <c r="B7" s="50">
        <v>6</v>
      </c>
      <c r="C7" s="51" t="s">
        <v>276</v>
      </c>
    </row>
    <row r="8" spans="2:3" ht="75" x14ac:dyDescent="0.25">
      <c r="B8" s="50">
        <v>7</v>
      </c>
      <c r="C8" s="51" t="s">
        <v>277</v>
      </c>
    </row>
    <row r="9" spans="2:3" x14ac:dyDescent="0.25">
      <c r="B9" s="50">
        <v>8</v>
      </c>
      <c r="C9" s="50" t="s">
        <v>278</v>
      </c>
    </row>
    <row r="10" spans="2:3" x14ac:dyDescent="0.25">
      <c r="B10" s="50">
        <v>9</v>
      </c>
      <c r="C10" s="50" t="s">
        <v>279</v>
      </c>
    </row>
    <row r="11" spans="2:3" x14ac:dyDescent="0.25">
      <c r="B11" s="50">
        <v>10</v>
      </c>
      <c r="C11" s="50" t="s">
        <v>280</v>
      </c>
    </row>
    <row r="12" spans="2:3" x14ac:dyDescent="0.25">
      <c r="B12" s="50">
        <v>11</v>
      </c>
      <c r="C12" s="50" t="s">
        <v>281</v>
      </c>
    </row>
    <row r="13" spans="2:3" x14ac:dyDescent="0.25">
      <c r="B13" s="50">
        <v>12</v>
      </c>
      <c r="C13" s="50" t="s">
        <v>282</v>
      </c>
    </row>
    <row r="14" spans="2:3" x14ac:dyDescent="0.25">
      <c r="B14" s="50">
        <v>13</v>
      </c>
      <c r="C14" s="50" t="s">
        <v>283</v>
      </c>
    </row>
    <row r="15" spans="2:3" x14ac:dyDescent="0.25">
      <c r="B15" s="50">
        <v>14</v>
      </c>
      <c r="C15" s="50" t="s">
        <v>273</v>
      </c>
    </row>
    <row r="16" spans="2:3" x14ac:dyDescent="0.25">
      <c r="B16" s="50">
        <v>15</v>
      </c>
      <c r="C16" s="50" t="s">
        <v>285</v>
      </c>
    </row>
    <row r="17" spans="2:3" x14ac:dyDescent="0.25">
      <c r="B17" s="68">
        <v>16</v>
      </c>
      <c r="C17" s="55" t="s">
        <v>286</v>
      </c>
    </row>
    <row r="18" spans="2:3" x14ac:dyDescent="0.25">
      <c r="B18" s="54">
        <v>17</v>
      </c>
      <c r="C18" s="55" t="s">
        <v>287</v>
      </c>
    </row>
    <row r="19" spans="2:3" x14ac:dyDescent="0.25">
      <c r="B19" s="53">
        <v>18</v>
      </c>
      <c r="C19" s="50" t="s">
        <v>288</v>
      </c>
    </row>
    <row r="20" spans="2:3" x14ac:dyDescent="0.25">
      <c r="B20" s="54">
        <v>19</v>
      </c>
      <c r="C20" s="50" t="s">
        <v>324</v>
      </c>
    </row>
    <row r="21" spans="2:3" x14ac:dyDescent="0.25">
      <c r="B21" s="50">
        <v>20</v>
      </c>
      <c r="C21" s="50" t="s">
        <v>289</v>
      </c>
    </row>
    <row r="22" spans="2:3" x14ac:dyDescent="0.25">
      <c r="B22" s="54">
        <v>21</v>
      </c>
      <c r="C22" s="50" t="s">
        <v>288</v>
      </c>
    </row>
    <row r="23" spans="2:3" s="63" customFormat="1" ht="29.25" customHeight="1" x14ac:dyDescent="0.25">
      <c r="B23" s="62">
        <v>22</v>
      </c>
      <c r="C23" s="52" t="s">
        <v>316</v>
      </c>
    </row>
    <row r="24" spans="2:3" s="63" customFormat="1" ht="30.75" customHeight="1" x14ac:dyDescent="0.25">
      <c r="B24" s="64">
        <v>23</v>
      </c>
      <c r="C24" s="52" t="s">
        <v>317</v>
      </c>
    </row>
    <row r="25" spans="2:3" x14ac:dyDescent="0.25">
      <c r="B25" s="50">
        <v>24</v>
      </c>
      <c r="C25" s="50" t="s">
        <v>320</v>
      </c>
    </row>
    <row r="26" spans="2:3" x14ac:dyDescent="0.25">
      <c r="B26" s="54">
        <v>25</v>
      </c>
      <c r="C26" s="50" t="s">
        <v>318</v>
      </c>
    </row>
    <row r="27" spans="2:3" x14ac:dyDescent="0.25">
      <c r="B27" s="64">
        <v>26</v>
      </c>
      <c r="C27" s="50" t="s">
        <v>319</v>
      </c>
    </row>
    <row r="28" spans="2:3" x14ac:dyDescent="0.25">
      <c r="B28" s="54">
        <v>27</v>
      </c>
      <c r="C28" s="50" t="s">
        <v>321</v>
      </c>
    </row>
    <row r="29" spans="2:3" ht="60" x14ac:dyDescent="0.25">
      <c r="B29" s="67">
        <v>28</v>
      </c>
      <c r="C29" s="51" t="s">
        <v>322</v>
      </c>
    </row>
    <row r="30" spans="2:3" x14ac:dyDescent="0.25">
      <c r="B30" s="64">
        <v>29</v>
      </c>
      <c r="C30" s="50" t="s">
        <v>323</v>
      </c>
    </row>
    <row r="31" spans="2:3" ht="30" x14ac:dyDescent="0.25">
      <c r="B31" s="64">
        <v>30</v>
      </c>
      <c r="C31" s="51" t="s">
        <v>325</v>
      </c>
    </row>
    <row r="32" spans="2:3" x14ac:dyDescent="0.25">
      <c r="B32" s="64">
        <v>31</v>
      </c>
      <c r="C32" s="50" t="s">
        <v>326</v>
      </c>
    </row>
    <row r="33" spans="2:4" x14ac:dyDescent="0.25">
      <c r="B33" s="64">
        <v>32</v>
      </c>
      <c r="C33" s="50" t="s">
        <v>327</v>
      </c>
    </row>
    <row r="34" spans="2:4" ht="36.75" customHeight="1" x14ac:dyDescent="0.25">
      <c r="B34" s="64">
        <v>33</v>
      </c>
      <c r="C34" s="55" t="s">
        <v>328</v>
      </c>
    </row>
    <row r="35" spans="2:4" x14ac:dyDescent="0.25">
      <c r="B35" s="62">
        <v>34</v>
      </c>
      <c r="C35" s="50" t="s">
        <v>336</v>
      </c>
    </row>
    <row r="36" spans="2:4" ht="60" x14ac:dyDescent="0.25">
      <c r="B36" s="62">
        <v>35</v>
      </c>
      <c r="C36" s="51" t="s">
        <v>338</v>
      </c>
    </row>
    <row r="37" spans="2:4" x14ac:dyDescent="0.25">
      <c r="B37" s="50">
        <v>36</v>
      </c>
      <c r="C37" s="51" t="s">
        <v>349</v>
      </c>
    </row>
    <row r="38" spans="2:4" x14ac:dyDescent="0.25">
      <c r="B38" s="50">
        <f t="shared" ref="B38:B44" si="0">B37+1</f>
        <v>37</v>
      </c>
      <c r="C38" s="50" t="s">
        <v>345</v>
      </c>
    </row>
    <row r="39" spans="2:4" x14ac:dyDescent="0.25">
      <c r="B39" s="50">
        <f t="shared" si="0"/>
        <v>38</v>
      </c>
      <c r="C39" s="50" t="s">
        <v>346</v>
      </c>
    </row>
    <row r="40" spans="2:4" x14ac:dyDescent="0.25">
      <c r="B40" s="50">
        <f t="shared" si="0"/>
        <v>39</v>
      </c>
      <c r="C40" s="50" t="s">
        <v>347</v>
      </c>
    </row>
    <row r="41" spans="2:4" x14ac:dyDescent="0.25">
      <c r="B41" s="50">
        <f t="shared" si="0"/>
        <v>40</v>
      </c>
      <c r="C41" s="50" t="s">
        <v>348</v>
      </c>
    </row>
    <row r="42" spans="2:4" ht="30.75" thickBot="1" x14ac:dyDescent="0.3">
      <c r="B42" s="71">
        <f t="shared" si="0"/>
        <v>41</v>
      </c>
      <c r="C42" s="72" t="s">
        <v>350</v>
      </c>
    </row>
    <row r="43" spans="2:4" ht="30" x14ac:dyDescent="0.25">
      <c r="B43" s="75">
        <f t="shared" si="0"/>
        <v>42</v>
      </c>
      <c r="C43" s="80" t="s">
        <v>355</v>
      </c>
      <c r="D43" t="s">
        <v>356</v>
      </c>
    </row>
    <row r="44" spans="2:4" ht="15.75" thickBot="1" x14ac:dyDescent="0.3">
      <c r="B44" s="77">
        <f t="shared" si="0"/>
        <v>43</v>
      </c>
      <c r="C44" s="79" t="s">
        <v>351</v>
      </c>
    </row>
    <row r="45" spans="2:4" ht="15.75" thickBot="1" x14ac:dyDescent="0.3">
      <c r="B45" s="73">
        <f t="shared" ref="B45:B54" si="1">B44+1</f>
        <v>44</v>
      </c>
      <c r="C45" s="74" t="s">
        <v>352</v>
      </c>
    </row>
    <row r="46" spans="2:4" ht="30" x14ac:dyDescent="0.25">
      <c r="B46" s="75">
        <f t="shared" si="1"/>
        <v>45</v>
      </c>
      <c r="C46" s="76" t="s">
        <v>353</v>
      </c>
    </row>
    <row r="47" spans="2:4" ht="15.75" thickBot="1" x14ac:dyDescent="0.3">
      <c r="B47" s="77">
        <f t="shared" si="1"/>
        <v>46</v>
      </c>
      <c r="C47" s="78" t="s">
        <v>354</v>
      </c>
    </row>
    <row r="48" spans="2:4" x14ac:dyDescent="0.25">
      <c r="B48" s="81">
        <f t="shared" si="1"/>
        <v>47</v>
      </c>
      <c r="C48" s="82" t="s">
        <v>357</v>
      </c>
    </row>
    <row r="49" spans="2:4" x14ac:dyDescent="0.25">
      <c r="B49" s="81">
        <f t="shared" si="1"/>
        <v>48</v>
      </c>
      <c r="C49" s="82" t="s">
        <v>358</v>
      </c>
    </row>
    <row r="50" spans="2:4" x14ac:dyDescent="0.25">
      <c r="B50" s="81">
        <f t="shared" si="1"/>
        <v>49</v>
      </c>
      <c r="C50" s="82" t="s">
        <v>360</v>
      </c>
      <c r="D50" t="s">
        <v>359</v>
      </c>
    </row>
    <row r="51" spans="2:4" ht="30" x14ac:dyDescent="0.25">
      <c r="B51" s="83">
        <f t="shared" si="1"/>
        <v>50</v>
      </c>
      <c r="C51" s="84" t="s">
        <v>361</v>
      </c>
    </row>
    <row r="52" spans="2:4" x14ac:dyDescent="0.25">
      <c r="B52" s="83">
        <f t="shared" si="1"/>
        <v>51</v>
      </c>
      <c r="C52" s="85" t="s">
        <v>363</v>
      </c>
      <c r="D52" t="s">
        <v>364</v>
      </c>
    </row>
    <row r="53" spans="2:4" x14ac:dyDescent="0.25">
      <c r="B53" s="83">
        <f t="shared" si="1"/>
        <v>52</v>
      </c>
      <c r="C53" s="85" t="s">
        <v>366</v>
      </c>
      <c r="D53" t="s">
        <v>367</v>
      </c>
    </row>
    <row r="54" spans="2:4" ht="45" x14ac:dyDescent="0.25">
      <c r="B54" s="83">
        <f t="shared" si="1"/>
        <v>53</v>
      </c>
      <c r="C54" s="55" t="s">
        <v>371</v>
      </c>
      <c r="D54" t="s">
        <v>370</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47"/>
    <col min="2" max="2" width="12.28515625" style="47" customWidth="1"/>
    <col min="3" max="16384" width="9.140625" style="47"/>
  </cols>
  <sheetData>
    <row r="2" spans="1:12" x14ac:dyDescent="0.25">
      <c r="B2" s="56" t="s">
        <v>290</v>
      </c>
      <c r="C2" s="306"/>
      <c r="D2" s="306"/>
    </row>
    <row r="3" spans="1:12" x14ac:dyDescent="0.25">
      <c r="D3" s="57"/>
      <c r="E3" s="57"/>
      <c r="F3" s="57"/>
      <c r="G3" s="57"/>
      <c r="H3" s="57"/>
      <c r="I3" s="57"/>
    </row>
    <row r="4" spans="1:12" x14ac:dyDescent="0.25">
      <c r="A4" s="56" t="s">
        <v>65</v>
      </c>
      <c r="B4" s="58" t="s">
        <v>291</v>
      </c>
      <c r="C4" s="307" t="s">
        <v>292</v>
      </c>
      <c r="D4" s="307"/>
      <c r="E4" s="307"/>
      <c r="F4" s="58"/>
      <c r="G4" s="308" t="s">
        <v>293</v>
      </c>
      <c r="H4" s="308"/>
      <c r="I4" s="308"/>
      <c r="J4" s="309" t="s">
        <v>294</v>
      </c>
      <c r="K4" s="309"/>
      <c r="L4" s="309"/>
    </row>
    <row r="5" spans="1:12" x14ac:dyDescent="0.25">
      <c r="A5" s="56"/>
      <c r="B5" s="58"/>
      <c r="C5" s="58" t="s">
        <v>295</v>
      </c>
      <c r="D5" s="58" t="s">
        <v>296</v>
      </c>
      <c r="E5" s="58" t="s">
        <v>297</v>
      </c>
      <c r="F5" s="58"/>
      <c r="G5" s="58" t="s">
        <v>295</v>
      </c>
      <c r="H5" s="58" t="s">
        <v>296</v>
      </c>
      <c r="I5" s="58" t="s">
        <v>297</v>
      </c>
      <c r="J5" s="58" t="s">
        <v>295</v>
      </c>
      <c r="K5" s="58" t="s">
        <v>296</v>
      </c>
      <c r="L5" s="58" t="s">
        <v>297</v>
      </c>
    </row>
    <row r="6" spans="1:12" x14ac:dyDescent="0.25">
      <c r="B6" s="48" t="s">
        <v>298</v>
      </c>
      <c r="C6" s="48"/>
      <c r="D6" s="48"/>
      <c r="E6" s="48">
        <f>C6*D6</f>
        <v>0</v>
      </c>
      <c r="F6" s="48" t="s">
        <v>315</v>
      </c>
      <c r="G6" s="48"/>
      <c r="H6" s="48"/>
      <c r="I6" s="48">
        <f>G6*H6</f>
        <v>0</v>
      </c>
      <c r="J6" s="48"/>
      <c r="K6" s="48"/>
      <c r="L6" s="48">
        <f>J6*K6</f>
        <v>0</v>
      </c>
    </row>
    <row r="7" spans="1:12" x14ac:dyDescent="0.25">
      <c r="B7" s="48"/>
      <c r="C7" s="48"/>
      <c r="D7" s="48"/>
      <c r="E7" s="48">
        <f t="shared" ref="E7:E41" si="0">C7*D7</f>
        <v>0</v>
      </c>
      <c r="F7" s="48" t="s">
        <v>315</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299</v>
      </c>
      <c r="G9" s="48"/>
      <c r="H9" s="48"/>
      <c r="I9" s="48">
        <f t="shared" si="1"/>
        <v>0</v>
      </c>
      <c r="J9" s="48"/>
      <c r="K9" s="48"/>
      <c r="L9" s="48">
        <f t="shared" si="2"/>
        <v>0</v>
      </c>
    </row>
    <row r="10" spans="1:12" x14ac:dyDescent="0.25">
      <c r="B10" s="48" t="s">
        <v>300</v>
      </c>
      <c r="C10" s="48"/>
      <c r="D10" s="48"/>
      <c r="E10" s="48">
        <f t="shared" si="0"/>
        <v>0</v>
      </c>
      <c r="F10" s="48" t="s">
        <v>299</v>
      </c>
      <c r="G10" s="48"/>
      <c r="H10" s="48"/>
      <c r="I10" s="48">
        <f t="shared" si="1"/>
        <v>0</v>
      </c>
      <c r="J10" s="48"/>
      <c r="K10" s="48"/>
      <c r="L10" s="48">
        <f t="shared" si="2"/>
        <v>0</v>
      </c>
    </row>
    <row r="11" spans="1:12" x14ac:dyDescent="0.25">
      <c r="B11" s="48"/>
      <c r="C11" s="48"/>
      <c r="D11" s="48"/>
      <c r="E11" s="48">
        <f t="shared" si="0"/>
        <v>0</v>
      </c>
      <c r="F11" s="48" t="s">
        <v>301</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302</v>
      </c>
      <c r="C14" s="48"/>
      <c r="D14" s="48"/>
      <c r="E14" s="48">
        <f t="shared" si="0"/>
        <v>0</v>
      </c>
      <c r="F14" s="48" t="s">
        <v>299</v>
      </c>
      <c r="G14" s="48"/>
      <c r="H14" s="48"/>
      <c r="I14" s="48">
        <f t="shared" si="1"/>
        <v>0</v>
      </c>
      <c r="J14" s="48"/>
      <c r="K14" s="48"/>
      <c r="L14" s="48">
        <f t="shared" si="2"/>
        <v>0</v>
      </c>
    </row>
    <row r="15" spans="1:12" x14ac:dyDescent="0.25">
      <c r="B15" s="48"/>
      <c r="C15" s="48"/>
      <c r="D15" s="48"/>
      <c r="E15" s="48">
        <f t="shared" si="0"/>
        <v>0</v>
      </c>
      <c r="F15" s="48" t="s">
        <v>301</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303</v>
      </c>
      <c r="C18" s="48"/>
      <c r="D18" s="48"/>
      <c r="E18" s="48">
        <f t="shared" si="0"/>
        <v>0</v>
      </c>
      <c r="F18" s="48" t="s">
        <v>299</v>
      </c>
      <c r="G18" s="48"/>
      <c r="H18" s="48"/>
      <c r="I18" s="48">
        <f t="shared" si="1"/>
        <v>0</v>
      </c>
      <c r="J18" s="48"/>
      <c r="K18" s="48"/>
      <c r="L18" s="48">
        <f t="shared" si="2"/>
        <v>0</v>
      </c>
    </row>
    <row r="19" spans="2:12" x14ac:dyDescent="0.25">
      <c r="B19" s="48"/>
      <c r="C19" s="48"/>
      <c r="D19" s="48"/>
      <c r="E19" s="48">
        <f t="shared" si="0"/>
        <v>0</v>
      </c>
      <c r="F19" s="48" t="s">
        <v>301</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304</v>
      </c>
      <c r="C21" s="48"/>
      <c r="D21" s="48"/>
      <c r="E21" s="48">
        <f t="shared" si="0"/>
        <v>0</v>
      </c>
      <c r="F21" s="48" t="s">
        <v>299</v>
      </c>
      <c r="G21" s="48"/>
      <c r="H21" s="48"/>
      <c r="I21" s="48">
        <f t="shared" si="1"/>
        <v>0</v>
      </c>
      <c r="J21" s="48"/>
      <c r="K21" s="48"/>
      <c r="L21" s="48">
        <f t="shared" si="2"/>
        <v>0</v>
      </c>
    </row>
    <row r="22" spans="2:12" x14ac:dyDescent="0.25">
      <c r="B22" s="48"/>
      <c r="C22" s="48"/>
      <c r="D22" s="48"/>
      <c r="E22" s="48">
        <f t="shared" si="0"/>
        <v>0</v>
      </c>
      <c r="F22" s="48" t="s">
        <v>301</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305</v>
      </c>
      <c r="C24" s="48"/>
      <c r="D24" s="48"/>
      <c r="E24" s="48">
        <f t="shared" si="0"/>
        <v>0</v>
      </c>
      <c r="F24" s="48" t="s">
        <v>306</v>
      </c>
      <c r="G24" s="48"/>
      <c r="H24" s="48"/>
      <c r="I24" s="48">
        <f t="shared" si="1"/>
        <v>0</v>
      </c>
      <c r="J24" s="48"/>
      <c r="K24" s="48"/>
      <c r="L24" s="48">
        <f t="shared" si="2"/>
        <v>0</v>
      </c>
    </row>
    <row r="25" spans="2:12" x14ac:dyDescent="0.25">
      <c r="B25" s="48"/>
      <c r="C25" s="48"/>
      <c r="D25" s="48"/>
      <c r="E25" s="48">
        <f>C25*D25</f>
        <v>0</v>
      </c>
      <c r="F25" s="48" t="s">
        <v>306</v>
      </c>
      <c r="G25" s="48"/>
      <c r="H25" s="48"/>
      <c r="I25" s="48">
        <f>G25*H25</f>
        <v>0</v>
      </c>
      <c r="J25" s="48"/>
      <c r="K25" s="48"/>
      <c r="L25" s="48">
        <f>J25*K25</f>
        <v>0</v>
      </c>
    </row>
    <row r="26" spans="2:12" x14ac:dyDescent="0.25">
      <c r="B26" s="48"/>
      <c r="C26" s="48"/>
      <c r="D26" s="48"/>
      <c r="E26" s="48">
        <f>C26*D26</f>
        <v>0</v>
      </c>
      <c r="F26" s="48" t="s">
        <v>306</v>
      </c>
      <c r="G26" s="48"/>
      <c r="H26" s="48"/>
      <c r="I26" s="48">
        <f>G26*H26</f>
        <v>0</v>
      </c>
      <c r="J26" s="48"/>
      <c r="K26" s="48"/>
      <c r="L26" s="48">
        <f>J26*K26</f>
        <v>0</v>
      </c>
    </row>
    <row r="27" spans="2:12" x14ac:dyDescent="0.25">
      <c r="B27" s="48"/>
      <c r="C27" s="48"/>
      <c r="D27" s="48"/>
      <c r="E27" s="48">
        <f>C27*D27</f>
        <v>0</v>
      </c>
      <c r="F27" s="48" t="s">
        <v>306</v>
      </c>
      <c r="G27" s="48"/>
      <c r="H27" s="48"/>
      <c r="I27" s="48">
        <f>G27*H27</f>
        <v>0</v>
      </c>
      <c r="J27" s="48"/>
      <c r="K27" s="48"/>
      <c r="L27" s="48">
        <f>J27*K27</f>
        <v>0</v>
      </c>
    </row>
    <row r="28" spans="2:12" x14ac:dyDescent="0.25">
      <c r="B28" s="48" t="s">
        <v>307</v>
      </c>
      <c r="C28" s="48"/>
      <c r="D28" s="48"/>
      <c r="E28" s="48">
        <f t="shared" si="0"/>
        <v>0</v>
      </c>
      <c r="F28" s="48" t="s">
        <v>306</v>
      </c>
      <c r="G28" s="48"/>
      <c r="H28" s="48"/>
      <c r="I28" s="48">
        <f t="shared" si="1"/>
        <v>0</v>
      </c>
      <c r="J28" s="48"/>
      <c r="K28" s="48"/>
      <c r="L28" s="48">
        <f t="shared" si="2"/>
        <v>0</v>
      </c>
    </row>
    <row r="29" spans="2:12" x14ac:dyDescent="0.25">
      <c r="B29" s="48" t="s">
        <v>308</v>
      </c>
      <c r="C29" s="48"/>
      <c r="D29" s="48"/>
      <c r="E29" s="48">
        <f t="shared" si="0"/>
        <v>0</v>
      </c>
      <c r="F29" s="48" t="s">
        <v>306</v>
      </c>
      <c r="G29" s="48"/>
      <c r="H29" s="48"/>
      <c r="I29" s="48">
        <f t="shared" si="1"/>
        <v>0</v>
      </c>
      <c r="J29" s="48"/>
      <c r="K29" s="48"/>
      <c r="L29" s="48">
        <f t="shared" si="2"/>
        <v>0</v>
      </c>
    </row>
    <row r="30" spans="2:12" x14ac:dyDescent="0.25">
      <c r="B30" s="48" t="s">
        <v>312</v>
      </c>
      <c r="C30" s="48"/>
      <c r="D30" s="48"/>
      <c r="E30" s="48">
        <f t="shared" si="0"/>
        <v>0</v>
      </c>
      <c r="F30" s="48"/>
      <c r="G30" s="48"/>
      <c r="H30" s="48"/>
      <c r="I30" s="48">
        <f t="shared" si="1"/>
        <v>0</v>
      </c>
      <c r="J30" s="48"/>
      <c r="K30" s="48"/>
      <c r="L30" s="48">
        <f t="shared" si="2"/>
        <v>0</v>
      </c>
    </row>
    <row r="31" spans="2:12" x14ac:dyDescent="0.25">
      <c r="B31" s="48"/>
      <c r="C31" s="48"/>
      <c r="D31" s="48"/>
      <c r="E31" s="48">
        <f>C31*D31</f>
        <v>0</v>
      </c>
      <c r="F31" s="48"/>
      <c r="G31" s="48"/>
      <c r="H31" s="48"/>
      <c r="I31" s="48">
        <f>G31*H31</f>
        <v>0</v>
      </c>
      <c r="J31" s="48"/>
      <c r="K31" s="48"/>
      <c r="L31" s="48">
        <f>J31*K31</f>
        <v>0</v>
      </c>
    </row>
    <row r="32" spans="2:12" x14ac:dyDescent="0.25">
      <c r="B32" s="48"/>
      <c r="C32" s="48"/>
      <c r="D32" s="48"/>
      <c r="E32" s="48">
        <f>C32*D32</f>
        <v>0</v>
      </c>
      <c r="F32" s="48"/>
      <c r="G32" s="48"/>
      <c r="H32" s="48"/>
      <c r="I32" s="48">
        <f>G32*H32</f>
        <v>0</v>
      </c>
      <c r="J32" s="48"/>
      <c r="K32" s="48"/>
      <c r="L32" s="48">
        <f>J32*K32</f>
        <v>0</v>
      </c>
    </row>
    <row r="33" spans="2:12" x14ac:dyDescent="0.25">
      <c r="B33" s="48" t="s">
        <v>309</v>
      </c>
      <c r="C33" s="48"/>
      <c r="D33" s="48"/>
      <c r="E33" s="48">
        <f t="shared" si="0"/>
        <v>0</v>
      </c>
      <c r="F33" s="48"/>
      <c r="G33" s="48"/>
      <c r="H33" s="48"/>
      <c r="I33" s="48">
        <f t="shared" si="1"/>
        <v>0</v>
      </c>
      <c r="J33" s="48"/>
      <c r="K33" s="48"/>
      <c r="L33" s="48">
        <f t="shared" si="2"/>
        <v>0</v>
      </c>
    </row>
    <row r="34" spans="2:12" x14ac:dyDescent="0.25">
      <c r="B34" s="48" t="s">
        <v>313</v>
      </c>
      <c r="C34" s="48"/>
      <c r="D34" s="48"/>
      <c r="E34" s="48">
        <f t="shared" si="0"/>
        <v>0</v>
      </c>
      <c r="F34" s="48"/>
      <c r="G34" s="48"/>
      <c r="H34" s="48"/>
      <c r="I34" s="48">
        <f t="shared" si="1"/>
        <v>0</v>
      </c>
      <c r="J34" s="48"/>
      <c r="K34" s="48"/>
      <c r="L34" s="48">
        <f t="shared" si="2"/>
        <v>0</v>
      </c>
    </row>
    <row r="35" spans="2:12" x14ac:dyDescent="0.25">
      <c r="B35" s="48" t="s">
        <v>310</v>
      </c>
      <c r="C35" s="48"/>
      <c r="D35" s="48"/>
      <c r="E35" s="48">
        <f t="shared" si="0"/>
        <v>0</v>
      </c>
      <c r="F35" s="48"/>
      <c r="G35" s="48"/>
      <c r="H35" s="48"/>
      <c r="I35" s="48">
        <f t="shared" si="1"/>
        <v>0</v>
      </c>
      <c r="J35" s="48"/>
      <c r="K35" s="48"/>
      <c r="L35" s="48">
        <f t="shared" si="2"/>
        <v>0</v>
      </c>
    </row>
    <row r="36" spans="2:12" x14ac:dyDescent="0.25">
      <c r="B36" s="48" t="s">
        <v>311</v>
      </c>
      <c r="C36" s="48"/>
      <c r="D36" s="48"/>
      <c r="E36" s="48">
        <f t="shared" si="0"/>
        <v>0</v>
      </c>
      <c r="F36" s="48"/>
      <c r="G36" s="48"/>
      <c r="H36" s="48"/>
      <c r="I36" s="48">
        <f t="shared" ref="I36:I41" si="3">G36*H36</f>
        <v>0</v>
      </c>
      <c r="J36" s="48"/>
      <c r="K36" s="48"/>
      <c r="L36" s="48">
        <f t="shared" ref="L36:L41" si="4">J36*K36</f>
        <v>0</v>
      </c>
    </row>
    <row r="37" spans="2:12" x14ac:dyDescent="0.25">
      <c r="B37" s="48"/>
      <c r="C37" s="48"/>
      <c r="D37" s="48"/>
      <c r="E37" s="48">
        <f>C37*D37</f>
        <v>0</v>
      </c>
      <c r="F37" s="48"/>
      <c r="G37" s="48"/>
      <c r="H37" s="48"/>
      <c r="I37" s="48">
        <f t="shared" si="3"/>
        <v>0</v>
      </c>
      <c r="J37" s="48"/>
      <c r="K37" s="48"/>
      <c r="L37" s="48">
        <f t="shared" si="4"/>
        <v>0</v>
      </c>
    </row>
    <row r="38" spans="2:12" x14ac:dyDescent="0.25">
      <c r="B38" s="48" t="s">
        <v>314</v>
      </c>
      <c r="C38" s="48"/>
      <c r="D38" s="48"/>
      <c r="E38" s="48">
        <f>C38*D38</f>
        <v>0</v>
      </c>
      <c r="F38" s="48"/>
      <c r="G38" s="48"/>
      <c r="H38" s="48"/>
      <c r="I38" s="48">
        <f t="shared" si="3"/>
        <v>0</v>
      </c>
      <c r="J38" s="48"/>
      <c r="K38" s="48"/>
      <c r="L38" s="48">
        <f t="shared" si="4"/>
        <v>0</v>
      </c>
    </row>
    <row r="39" spans="2:12" x14ac:dyDescent="0.25">
      <c r="B39" s="48"/>
      <c r="C39" s="48"/>
      <c r="D39" s="48"/>
      <c r="E39" s="48">
        <f t="shared" si="0"/>
        <v>0</v>
      </c>
      <c r="F39" s="48"/>
      <c r="G39" s="48"/>
      <c r="H39" s="48"/>
      <c r="I39" s="48">
        <f t="shared" si="3"/>
        <v>0</v>
      </c>
      <c r="J39" s="48"/>
      <c r="K39" s="48"/>
      <c r="L39" s="48">
        <f t="shared" si="4"/>
        <v>0</v>
      </c>
    </row>
    <row r="40" spans="2:12" x14ac:dyDescent="0.25">
      <c r="B40" s="48"/>
      <c r="C40" s="48"/>
      <c r="D40" s="48"/>
      <c r="E40" s="48">
        <f t="shared" si="0"/>
        <v>0</v>
      </c>
      <c r="F40" s="48"/>
      <c r="G40" s="48"/>
      <c r="H40" s="48"/>
      <c r="I40" s="48">
        <f t="shared" si="3"/>
        <v>0</v>
      </c>
      <c r="J40" s="48"/>
      <c r="K40" s="48"/>
      <c r="L40" s="48">
        <f t="shared" si="4"/>
        <v>0</v>
      </c>
    </row>
    <row r="41" spans="2:12" x14ac:dyDescent="0.25">
      <c r="B41" s="48"/>
      <c r="C41" s="48"/>
      <c r="D41" s="48"/>
      <c r="E41" s="48">
        <f t="shared" si="0"/>
        <v>0</v>
      </c>
      <c r="F41" s="48"/>
      <c r="G41" s="48"/>
      <c r="H41" s="48"/>
      <c r="I41" s="48">
        <f t="shared" si="3"/>
        <v>0</v>
      </c>
      <c r="J41" s="48"/>
      <c r="K41" s="48"/>
      <c r="L41" s="48">
        <f t="shared" si="4"/>
        <v>0</v>
      </c>
    </row>
    <row r="42" spans="2:12" x14ac:dyDescent="0.25">
      <c r="B42" s="48" t="s">
        <v>141</v>
      </c>
      <c r="C42" s="48"/>
      <c r="D42" s="48">
        <f>E42*10.764</f>
        <v>0</v>
      </c>
      <c r="E42" s="61">
        <f>SUM(E6:E41)</f>
        <v>0</v>
      </c>
      <c r="F42" s="48"/>
      <c r="G42" s="48"/>
      <c r="H42" s="48">
        <f>I42*10.764</f>
        <v>0</v>
      </c>
      <c r="I42" s="60">
        <f>SUM(I6:I41)</f>
        <v>0</v>
      </c>
      <c r="J42" s="48"/>
      <c r="K42" s="48">
        <f>L42*10.764</f>
        <v>0</v>
      </c>
      <c r="L42" s="59">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2025-09-02T07:27:43Z</cp:lastPrinted>
  <dcterms:created xsi:type="dcterms:W3CDTF">2019-07-16T09:29:46Z</dcterms:created>
  <dcterms:modified xsi:type="dcterms:W3CDTF">2025-09-11T13:05:37Z</dcterms:modified>
</cp:coreProperties>
</file>