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Aug 2025\Checking\17251 - LA MER RESIDENCES\"/>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8" i="1" l="1"/>
  <c r="A149" i="1" s="1"/>
  <c r="A150" i="1" s="1"/>
  <c r="A151" i="1" s="1"/>
  <c r="A152" i="1" s="1"/>
  <c r="A153" i="1" s="1"/>
  <c r="A154" i="1" s="1"/>
  <c r="A155" i="1" s="1"/>
  <c r="A156" i="1" l="1"/>
  <c r="A157" i="1" s="1"/>
  <c r="A158" i="1" l="1"/>
  <c r="J127" i="1"/>
  <c r="I125" i="1"/>
  <c r="J105" i="1"/>
  <c r="I105" i="1"/>
  <c r="E143" i="1"/>
  <c r="D143" i="1"/>
  <c r="D137" i="1"/>
  <c r="E137" i="1"/>
  <c r="E136" i="1"/>
  <c r="D136" i="1"/>
  <c r="D130" i="1"/>
  <c r="E130" i="1"/>
  <c r="E129" i="1"/>
  <c r="D129" i="1"/>
  <c r="D122" i="1"/>
  <c r="I122" i="1"/>
  <c r="E122" i="1"/>
  <c r="D119" i="1"/>
  <c r="I137" i="1" l="1"/>
  <c r="I130" i="1"/>
  <c r="I123" i="1"/>
  <c r="I116" i="1"/>
  <c r="I115" i="1"/>
  <c r="I114" i="1"/>
  <c r="I113" i="1"/>
  <c r="I112" i="1"/>
  <c r="F143" i="1"/>
  <c r="H143" i="1" s="1"/>
  <c r="D142" i="1"/>
  <c r="F142" i="1" s="1"/>
  <c r="H142" i="1" s="1"/>
  <c r="D141" i="1"/>
  <c r="F141" i="1" s="1"/>
  <c r="H141" i="1" s="1"/>
  <c r="D140" i="1"/>
  <c r="F140" i="1" s="1"/>
  <c r="H140" i="1" s="1"/>
  <c r="D138" i="1"/>
  <c r="F138" i="1" s="1"/>
  <c r="H138" i="1" s="1"/>
  <c r="F137" i="1"/>
  <c r="H137" i="1" s="1"/>
  <c r="F136" i="1"/>
  <c r="H136" i="1" s="1"/>
  <c r="D135" i="1"/>
  <c r="F135" i="1" s="1"/>
  <c r="H135" i="1" s="1"/>
  <c r="D134" i="1"/>
  <c r="F134" i="1" s="1"/>
  <c r="H134" i="1" s="1"/>
  <c r="D133" i="1"/>
  <c r="F133" i="1" s="1"/>
  <c r="H133" i="1" s="1"/>
  <c r="D131" i="1"/>
  <c r="F131" i="1" s="1"/>
  <c r="H131" i="1" s="1"/>
  <c r="K131" i="1" s="1"/>
  <c r="F130" i="1"/>
  <c r="H130" i="1" s="1"/>
  <c r="K130" i="1" s="1"/>
  <c r="F129" i="1"/>
  <c r="H129" i="1" s="1"/>
  <c r="K129" i="1" s="1"/>
  <c r="D128" i="1"/>
  <c r="F128" i="1" s="1"/>
  <c r="H128" i="1" s="1"/>
  <c r="K128" i="1" s="1"/>
  <c r="D127" i="1"/>
  <c r="F127" i="1" s="1"/>
  <c r="H127" i="1" s="1"/>
  <c r="K127" i="1" s="1"/>
  <c r="D126" i="1"/>
  <c r="F126" i="1" s="1"/>
  <c r="H126" i="1" s="1"/>
  <c r="K126" i="1" s="1"/>
  <c r="F122" i="1"/>
  <c r="H122" i="1" s="1"/>
  <c r="D121" i="1"/>
  <c r="F121" i="1" s="1"/>
  <c r="H121" i="1" s="1"/>
  <c r="D120" i="1"/>
  <c r="F120" i="1" s="1"/>
  <c r="F119" i="1"/>
  <c r="H119" i="1" s="1"/>
  <c r="I108" i="1"/>
  <c r="A127" i="1"/>
  <c r="A128" i="1" s="1"/>
  <c r="A129" i="1" s="1"/>
  <c r="A130" i="1" s="1"/>
  <c r="A131" i="1" s="1"/>
  <c r="A120" i="1"/>
  <c r="A121" i="1" s="1"/>
  <c r="A122" i="1" s="1"/>
  <c r="A123" i="1" s="1"/>
  <c r="A124" i="1" s="1"/>
  <c r="C105" i="1" l="1"/>
  <c r="C106" i="1" s="1"/>
  <c r="H120" i="1"/>
  <c r="G105" i="1" s="1"/>
  <c r="E105" i="1"/>
  <c r="B38" i="6" l="1"/>
  <c r="B39" i="6" s="1"/>
  <c r="B40" i="6" s="1"/>
  <c r="B41" i="6" s="1"/>
  <c r="B42" i="6" s="1"/>
  <c r="B43" i="6" s="1"/>
  <c r="B44" i="6" s="1"/>
  <c r="B45" i="6" s="1"/>
  <c r="B46" i="6" s="1"/>
  <c r="B47" i="6" s="1"/>
  <c r="B48" i="6" s="1"/>
  <c r="B49" i="6" s="1"/>
  <c r="B50" i="6" s="1"/>
  <c r="B51" i="6" s="1"/>
  <c r="B52" i="6" s="1"/>
  <c r="B53" i="6" s="1"/>
  <c r="B54"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71" i="1"/>
  <c r="F102" i="1"/>
  <c r="C76" i="1"/>
  <c r="B77" i="1" s="1"/>
  <c r="D70" i="1"/>
  <c r="G58" i="1"/>
  <c r="K55" i="1"/>
  <c r="G52" i="1"/>
  <c r="C52" i="1"/>
  <c r="E45" i="1"/>
  <c r="E46" i="1" s="1"/>
  <c r="S33" i="1"/>
  <c r="E32" i="1"/>
  <c r="E29" i="1"/>
  <c r="E27" i="1"/>
  <c r="C17" i="1"/>
  <c r="I15" i="1"/>
  <c r="Z13" i="1"/>
  <c r="E8" i="1"/>
  <c r="E3" i="1"/>
  <c r="G106" i="1" l="1"/>
  <c r="E106" i="1"/>
  <c r="E42" i="7"/>
  <c r="J84" i="1"/>
  <c r="I42" i="7"/>
  <c r="H42" i="7" s="1"/>
  <c r="L42" i="7"/>
  <c r="K42" i="7" s="1"/>
  <c r="D42" i="7"/>
  <c r="L55" i="1"/>
  <c r="J85" i="1"/>
  <c r="J86" i="1"/>
  <c r="I52" i="1"/>
  <c r="H77" i="1"/>
  <c r="D88" i="1" l="1"/>
  <c r="D82" i="1"/>
  <c r="J81" i="1"/>
  <c r="J82" i="1" s="1"/>
  <c r="J87" i="1" s="1"/>
  <c r="J80" i="1"/>
  <c r="C80" i="1" s="1"/>
  <c r="D80" i="1" s="1"/>
  <c r="D87" i="1"/>
  <c r="D86" i="1"/>
  <c r="J75" i="1"/>
  <c r="J77" i="1" s="1"/>
  <c r="D85" i="1"/>
  <c r="D89" i="1"/>
  <c r="D83" i="1"/>
  <c r="J79" i="1"/>
  <c r="J78" i="1"/>
  <c r="D84" i="1"/>
  <c r="D44" i="7"/>
  <c r="E44" i="7"/>
  <c r="J83" i="1" l="1"/>
  <c r="J88" i="1" s="1"/>
  <c r="C81" i="1" s="1"/>
  <c r="D81" i="1" l="1"/>
  <c r="I76" i="1" s="1"/>
  <c r="I77" i="1" s="1"/>
  <c r="J76" i="1"/>
  <c r="G80" i="1"/>
  <c r="D74" i="1" s="1"/>
  <c r="D75" i="1" s="1"/>
  <c r="E80" i="1"/>
  <c r="I75" i="1" l="1"/>
  <c r="C78" i="1" s="1"/>
  <c r="F75" i="1"/>
</calcChain>
</file>

<file path=xl/comments1.xml><?xml version="1.0" encoding="utf-8"?>
<comments xmlns="http://schemas.openxmlformats.org/spreadsheetml/2006/main">
  <authors>
    <author>Sachin</author>
    <author>SACHIN</author>
  </authors>
  <commentList>
    <comment ref="I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<sst xmlns="http://schemas.openxmlformats.org/spreadsheetml/2006/main" count="630" uniqueCount="442">
  <si>
    <t xml:space="preserve">Valuation Report </t>
  </si>
  <si>
    <t>Date:</t>
  </si>
  <si>
    <t>CPC Name:</t>
  </si>
  <si>
    <t>Date Of Property Visit</t>
  </si>
  <si>
    <t>Name of the builder group</t>
  </si>
  <si>
    <t>Name of the builder company</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</si>
  <si>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</si>
  <si>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</si>
  <si>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</si>
  <si>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</si>
  <si>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</si>
  <si>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</si>
  <si>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</si>
  <si>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</si>
  <si>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</si>
  <si>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</si>
  <si>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</si>
  <si>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</si>
  <si>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</si>
  <si>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</si>
  <si>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</si>
  <si>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</si>
  <si>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</si>
  <si>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</si>
  <si>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</si>
  <si>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</si>
  <si>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</si>
  <si>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</si>
  <si>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</si>
  <si>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</si>
  <si>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</si>
  <si>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</si>
  <si>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</si>
  <si>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</si>
  <si>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</si>
  <si>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</si>
  <si>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</si>
  <si>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</si>
  <si>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</si>
  <si>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</si>
  <si>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</si>
  <si>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</si>
  <si>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</si>
  <si>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</si>
  <si>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</si>
  <si>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</si>
  <si>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</si>
  <si>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</si>
  <si>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</si>
  <si>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</si>
  <si>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</si>
  <si>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</si>
  <si>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</si>
  <si>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</si>
  <si>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</si>
  <si>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</si>
  <si>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</si>
  <si>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</si>
  <si>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</si>
  <si>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</si>
  <si>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</si>
  <si>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</si>
  <si>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</si>
  <si>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</si>
  <si>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</si>
  <si>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</si>
  <si>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</si>
  <si>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</si>
  <si>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</si>
  <si>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</si>
  <si>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</si>
  <si>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</si>
  <si>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</si>
  <si>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</si>
  <si>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</si>
  <si>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</si>
  <si>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</si>
  <si>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</si>
  <si>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</si>
  <si>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</si>
  <si>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</si>
  <si>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</si>
  <si>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</si>
  <si>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</si>
  <si>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</si>
  <si>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</si>
  <si>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</si>
  <si>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</si>
  <si>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</si>
  <si>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</si>
  <si>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</si>
  <si>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</si>
  <si>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</si>
  <si>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</si>
  <si>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</si>
  <si>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</si>
  <si>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</si>
  <si>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</si>
  <si>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</si>
  <si>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</si>
  <si>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</si>
  <si>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</si>
  <si>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</si>
  <si>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</si>
  <si>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</si>
  <si>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</si>
  <si>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</si>
  <si>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</si>
  <si>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</si>
  <si>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</si>
  <si>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</si>
  <si>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</si>
  <si>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</si>
  <si>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</si>
  <si>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</si>
  <si>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</si>
  <si>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</si>
  <si>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</si>
  <si>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</si>
  <si>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</si>
  <si>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</si>
  <si>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</si>
  <si>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</si>
  <si>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</si>
  <si>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</si>
  <si>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</si>
  <si>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</si>
  <si>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</si>
  <si>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</si>
  <si>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</si>
  <si>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</si>
  <si>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</si>
  <si>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</si>
  <si>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</si>
  <si>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</si>
  <si>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</si>
  <si>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</si>
  <si>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</si>
  <si>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</si>
  <si>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</si>
  <si>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</si>
  <si>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</si>
  <si>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</si>
  <si>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</si>
  <si>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</si>
  <si>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</si>
  <si>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</si>
  <si>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</si>
  <si>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</si>
  <si>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</si>
  <si>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</si>
  <si>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</si>
  <si>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</si>
  <si>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</si>
  <si>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</si>
  <si>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</si>
  <si>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</si>
  <si>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</si>
  <si>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</si>
  <si>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</si>
  <si>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</si>
  <si>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</si>
  <si>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</si>
  <si>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</si>
  <si>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</si>
  <si>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</si>
  <si>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</si>
  <si>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</si>
  <si>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</si>
  <si>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</si>
  <si>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</si>
  <si>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</si>
  <si>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</si>
  <si>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</si>
  <si>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</si>
  <si>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</si>
  <si>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</si>
  <si>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</si>
  <si>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</si>
  <si>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</si>
  <si>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</si>
  <si>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</si>
  <si>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</si>
  <si>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</si>
  <si>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</si>
  <si>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</si>
  <si>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</si>
  <si>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</si>
  <si>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</si>
  <si>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</si>
  <si>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</si>
  <si>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</si>
  <si>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</si>
  <si>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</si>
  <si>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</si>
  <si>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</si>
  <si>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</si>
  <si>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</si>
  <si>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</si>
  <si>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</si>
  <si>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</si>
  <si>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</si>
  <si>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</si>
  <si>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</si>
  <si>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</si>
  <si>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</si>
  <si>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</si>
  <si>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</si>
  <si>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</si>
  <si>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</si>
  <si>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</si>
  <si>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</si>
  <si>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</si>
  <si>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</si>
  <si>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</si>
  <si>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</si>
  <si>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</si>
  <si>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</si>
  <si>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</si>
  <si>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</si>
  <si>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</si>
  <si>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</si>
  <si>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</si>
  <si>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</si>
  <si>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</si>
  <si>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</si>
  <si>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</si>
  <si>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</si>
  <si>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</si>
  <si>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</si>
  <si>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</si>
  <si>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</si>
  <si>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</si>
  <si>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</si>
  <si>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</si>
  <si>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</si>
  <si>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</si>
  <si>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</si>
  <si>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</si>
  <si>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</si>
  <si>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</si>
  <si>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</si>
  <si>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</si>
  <si>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</si>
  <si>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</si>
  <si>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</si>
  <si>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</si>
  <si>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</si>
  <si>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</si>
  <si>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</si>
  <si>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</si>
  <si>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</si>
  <si>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</si>
  <si>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</si>
  <si>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</si>
  <si>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</si>
  <si>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</si>
  <si>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</si>
  <si>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</si>
  <si>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</si>
  <si>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</si>
  <si>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</si>
  <si>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</si>
  <si>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</si>
  <si>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</si>
  <si>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</si>
  <si>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</si>
  <si>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</si>
  <si>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</si>
  <si>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</si>
  <si>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</si>
  <si>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</si>
  <si>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</si>
  <si>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</si>
  <si>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</si>
  <si>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</si>
  <si>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</si>
  <si>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</si>
  <si>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</si>
  <si>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</si>
  <si>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</si>
  <si>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</si>
  <si>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</si>
  <si>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</si>
  <si>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</si>
  <si>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</si>
  <si>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</si>
  <si>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</si>
  <si>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</si>
  <si>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</si>
  <si>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</si>
  <si>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</si>
  <si>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</si>
  <si>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</si>
  <si>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</si>
  <si>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</si>
  <si>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</si>
  <si>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</si>
  <si>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</si>
  <si>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</si>
  <si>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</si>
  <si>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</si>
  <si>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</si>
  <si>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</si>
  <si>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</si>
  <si>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</si>
  <si>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</si>
  <si>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</si>
  <si>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</si>
  <si>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</si>
  <si>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</si>
  <si>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</si>
  <si>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</si>
  <si>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</si>
  <si>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</si>
  <si>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</si>
  <si>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</si>
  <si>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</si>
  <si>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</si>
  <si>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</si>
  <si>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</si>
  <si>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</si>
  <si>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</si>
  <si>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</si>
  <si>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</si>
  <si>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</si>
  <si>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</si>
  <si>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</si>
  <si>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</si>
  <si>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</si>
  <si>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</si>
  <si>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</si>
  <si>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</si>
  <si>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</si>
  <si>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</si>
  <si>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</si>
  <si>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</si>
  <si>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</si>
  <si>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</si>
  <si>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</si>
  <si>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</si>
  <si>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</si>
  <si>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</si>
  <si>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</si>
  <si>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</si>
  <si>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</si>
  <si>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</si>
  <si>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</si>
  <si>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</si>
  <si>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</si>
  <si>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</si>
  <si>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</si>
  <si>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</si>
  <si>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</si>
  <si>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</si>
  <si>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</si>
  <si>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</si>
  <si>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</si>
  <si>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</si>
  <si>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</si>
  <si>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</si>
  <si>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</si>
  <si>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</si>
  <si>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</si>
  <si>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M/s. Excellent Realtor Developers</t>
  </si>
  <si>
    <t>La Mer Casa</t>
  </si>
  <si>
    <t>La Mer Casa &amp; Ozone Biz Centre</t>
  </si>
  <si>
    <t>18.968360,72.826392</t>
  </si>
  <si>
    <t>https://maps.app.goo.gl/bFwNCz9QukKCHzAh7</t>
  </si>
  <si>
    <t>CS No</t>
  </si>
  <si>
    <t>Jahangir Boman Behram Road</t>
  </si>
  <si>
    <t>Byculla</t>
  </si>
  <si>
    <t>Maharashtra College of Arts Science and Commerce</t>
  </si>
  <si>
    <t>0.90 KM from Mumbai Central Railway Station</t>
  </si>
  <si>
    <t>9.00 MT. Wide Access</t>
  </si>
  <si>
    <t>6.00 MT. Wide Access</t>
  </si>
  <si>
    <t>Other Plot</t>
  </si>
  <si>
    <t>Aqua Pearl Road</t>
  </si>
  <si>
    <t>Jahangir Boman Behram Road / Belassis Road</t>
  </si>
  <si>
    <t>Buildings</t>
  </si>
  <si>
    <t>FB/HR/RI/37</t>
  </si>
  <si>
    <t xml:space="preserve">Wing A = B + G + 1st to 5th Floor (Total height = 26.25 Mtrs).
Wing B &amp; C = B + G + 1st to 4th Floor (Total height = 22.05 Mtrs)
</t>
  </si>
  <si>
    <t>Refuge Area</t>
  </si>
  <si>
    <t>Terrace Area</t>
  </si>
  <si>
    <r>
      <t xml:space="preserve">Flat No.
</t>
    </r>
    <r>
      <rPr>
        <b/>
        <sz val="11"/>
        <rFont val="Times New Roman"/>
        <family val="1"/>
      </rPr>
      <t>(Approved Plan)</t>
    </r>
  </si>
  <si>
    <t>Saurav Panse</t>
  </si>
  <si>
    <t>Construction work is in process at the time of Visit (labour found).</t>
  </si>
  <si>
    <t>1st &amp; 2nd Basment Floor For Parking, Driveway, Pump Room, Fire Tank, Domestic Tank &amp; STP</t>
  </si>
  <si>
    <t xml:space="preserve">Ground Floor For Parking, Entrance Lobby, Meter Room, DG Set &amp; STP Ventilation </t>
  </si>
  <si>
    <t>12th Floor For Fitness Center, Gym, Reception &amp; Swimming Pool</t>
  </si>
  <si>
    <t>13th Floor For Badminton Court, Squash Court, Walking Track, Table Tennis Court &amp; Society Office</t>
  </si>
  <si>
    <t>15th &amp; 22nd Floor For Residential (Part Refuge Area)</t>
  </si>
  <si>
    <t>3BHK</t>
  </si>
  <si>
    <t>2BHK</t>
  </si>
  <si>
    <t xml:space="preserve">26th to 28th Floor </t>
  </si>
  <si>
    <t>Could'nt Match Count</t>
  </si>
  <si>
    <t>EB/2925/E/A/337/2/Amend</t>
  </si>
  <si>
    <t>Flats -78</t>
  </si>
  <si>
    <t>As per RERA - 31/12/2027</t>
  </si>
  <si>
    <t>Fitness Center, Gym, Swimming Pool, Badminton Court, Squash Court, Walking Track, Table Tennis Court, Vitrified tiles flooring, Granite Kitchen Platform, Decorative Entrance etc.</t>
  </si>
  <si>
    <r>
      <t xml:space="preserve">Proposed Amenities :                                                                                                                                                                                                                         </t>
    </r>
    <r>
      <rPr>
        <b/>
        <sz val="12"/>
        <rFont val="Times New Roman"/>
        <family val="1"/>
      </rPr>
      <t xml:space="preserve">                                               </t>
    </r>
  </si>
  <si>
    <t>EB/2925/E/A/FCC/1/New</t>
  </si>
  <si>
    <t>This C.C. is further extended upto 12th floor as per last amended approved plan dated 24.07.2013</t>
  </si>
  <si>
    <t>Valid Upto 
Date</t>
  </si>
  <si>
    <t>Palghar Muncipal Council</t>
  </si>
  <si>
    <t xml:space="preserve">Commencement-CC No
Valid Up to: </t>
  </si>
  <si>
    <t>Madanpura</t>
  </si>
  <si>
    <t>Mr. Adnan 7977597445</t>
  </si>
  <si>
    <t>RERA Name &amp; No.</t>
  </si>
  <si>
    <t>La Mer Casa
(P51900004434)</t>
  </si>
  <si>
    <t>La Mer Casa &amp; 
Ozone Biz Centre</t>
  </si>
  <si>
    <t>Name of the Project (As per RERA)</t>
  </si>
  <si>
    <t>Name of the Project (As per Builder)</t>
  </si>
  <si>
    <t>Building No.2</t>
  </si>
  <si>
    <t>Ashirwad Co-Op Housing Society &amp; Maternity Hospital (STD Clinic)</t>
  </si>
  <si>
    <t>227, Redevelopment of "Ashirwad Co-Op Housing Society &amp; Maternity Hospital (STD Clinic)"</t>
  </si>
  <si>
    <t>Mumbai Central East</t>
  </si>
  <si>
    <t>Jahangir Boman Behram Marg
(30M Wide Road)</t>
  </si>
  <si>
    <t>Internal Road</t>
  </si>
  <si>
    <t>01 Buildings</t>
  </si>
  <si>
    <t>Approved Builtup Area of Building (Sq.Mt)</t>
  </si>
  <si>
    <t>Validity of CC is expired on 19/03/2021. Please provide revised CC.</t>
  </si>
  <si>
    <t>Building No.2 = 2B + G + 1st to 29th Floor</t>
  </si>
  <si>
    <t>1st to 11th Podium Floor For Parking</t>
  </si>
  <si>
    <t>14th &amp; 25th Floor For Service Floor</t>
  </si>
  <si>
    <t>16th to 21st, 23rd &amp; 24th Floor For Residential</t>
  </si>
  <si>
    <t>29th Floor For Part Terrace Area</t>
  </si>
  <si>
    <t>Please check for Fire NOC.</t>
  </si>
  <si>
    <t>Karan Misal</t>
  </si>
  <si>
    <t>Balcony Area</t>
  </si>
  <si>
    <t>We considered Gross carpet area = Net carpet + Balcony Area.</t>
  </si>
  <si>
    <t>Building No.2 = 2B + G + 1st to 55th Floor</t>
  </si>
  <si>
    <t>La' Mer Residences</t>
  </si>
  <si>
    <t>VISTO</t>
  </si>
  <si>
    <t>Building No.2 (Sale Building)</t>
  </si>
  <si>
    <t xml:space="preserve">As per RERA project La Mer Casa consist of La Mer Casa &amp; Ozone Biz Centre
As per approved plan consists Building No.2 &amp; Building No.1(Wing A, B &amp; C) </t>
  </si>
  <si>
    <t>With reference to the above remark. We were asked to follow the APF report for La Mer Casa (i.e Building No.2) by the bank official in the mail.
The builder nomenclature letter provided by the bank official in the mail is attached below.</t>
  </si>
  <si>
    <t>CC, RERA, Builder Profile</t>
  </si>
  <si>
    <t>022 69709999</t>
  </si>
  <si>
    <t>We have referred approved plans &amp; CC from MCGM Portal on 13/08/2025</t>
  </si>
  <si>
    <t>Remark No. 12 :</t>
  </si>
  <si>
    <t xml:space="preserve">Builder Nomenclature Letter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</si>
</sst>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6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0" fontId="14" fillId="0" borderId="1" xfId="1" applyFont="1" applyBorder="1" applyAlignment="1" applyProtection="1">
      <alignment vertical="top" wrapText="1"/>
      <protection locked="0"/>
    </xf>
    <xf numFmtId="9" fontId="12" fillId="0" borderId="16"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12" fillId="0" borderId="3"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4" fillId="0" borderId="0" xfId="1" applyNumberFormat="1" applyFont="1" applyAlignment="1">
      <alignment horizontal="center" vertical="center"/>
    </xf>
    <xf numFmtId="0" fontId="14" fillId="0" borderId="0" xfId="1" applyFont="1" applyAlignment="1">
      <alignment horizontal="center" vertical="center"/>
    </xf>
    <xf numFmtId="0" fontId="14" fillId="0" borderId="0" xfId="0" applyFont="1" applyAlignment="1">
      <alignment horizontal="left" vertical="center"/>
    </xf>
    <xf numFmtId="0" fontId="11"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7"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vertical="top" wrapText="1"/>
      <protection locked="0"/>
    </xf>
    <xf numFmtId="2" fontId="6" fillId="0" borderId="0" xfId="1" applyNumberFormat="1" applyFont="1" applyAlignment="1">
      <alignment horizontal="center" vertical="center"/>
    </xf>
    <xf numFmtId="0" fontId="9" fillId="0" borderId="0" xfId="0" applyFont="1" applyAlignment="1">
      <alignment horizontal="center" vertical="center"/>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9" fillId="0" borderId="0" xfId="1" applyNumberFormat="1" applyFont="1" applyAlignment="1">
      <alignment horizontal="center" vertical="center"/>
    </xf>
    <xf numFmtId="0" fontId="9" fillId="0" borderId="0" xfId="1"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0" fontId="11" fillId="0" borderId="3"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2" fontId="11" fillId="0" borderId="1" xfId="1" applyNumberFormat="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6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center"/>
      <protection locked="0"/>
    </xf>
    <xf numFmtId="0" fontId="11" fillId="0" borderId="8" xfId="1" applyFont="1" applyBorder="1" applyAlignment="1" applyProtection="1">
      <alignment horizontal="center" vertical="center" wrapText="1"/>
      <protection locked="0"/>
    </xf>
    <xf numFmtId="0" fontId="11" fillId="0" borderId="21" xfId="1" applyFont="1" applyBorder="1" applyAlignment="1" applyProtection="1">
      <alignment horizontal="center" vertical="center" wrapText="1"/>
      <protection locked="0"/>
    </xf>
    <xf numFmtId="0" fontId="11" fillId="0" borderId="9" xfId="1" applyFont="1" applyBorder="1" applyAlignment="1" applyProtection="1">
      <alignment horizontal="center" vertical="center"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6" fillId="0" borderId="0" xfId="1" applyFont="1" applyAlignment="1">
      <alignment horizontal="center" vertical="center"/>
    </xf>
    <xf numFmtId="0" fontId="11" fillId="0" borderId="9"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4" fontId="14" fillId="0" borderId="8" xfId="1" applyNumberFormat="1" applyFont="1" applyBorder="1" applyAlignment="1" applyProtection="1">
      <alignment horizontal="left" vertical="top" wrapText="1"/>
      <protection locked="0"/>
    </xf>
    <xf numFmtId="14" fontId="14"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1" fillId="0" borderId="16"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4" fillId="0" borderId="8" xfId="1" applyFont="1" applyBorder="1" applyAlignment="1" applyProtection="1">
      <alignment vertical="top" wrapText="1"/>
      <protection locked="0"/>
    </xf>
    <xf numFmtId="0" fontId="14" fillId="0" borderId="21" xfId="1" applyFont="1" applyBorder="1" applyAlignment="1" applyProtection="1">
      <alignment vertical="top" wrapText="1"/>
      <protection locked="0"/>
    </xf>
    <xf numFmtId="0" fontId="14" fillId="0" borderId="9" xfId="1" applyFont="1" applyBorder="1" applyAlignment="1" applyProtection="1">
      <alignment vertical="top" wrapText="1"/>
      <protection locked="0"/>
    </xf>
    <xf numFmtId="0" fontId="11" fillId="0" borderId="25"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8"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6" fillId="0" borderId="1"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6" xfId="1" applyFont="1" applyBorder="1" applyAlignment="1" applyProtection="1">
      <alignment horizontal="center" vertical="top"/>
      <protection locked="0"/>
    </xf>
    <xf numFmtId="1" fontId="7" fillId="0" borderId="1" xfId="0"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4" fillId="0" borderId="1" xfId="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7.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2.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1.jpeg"/><Relationship Id="rId38" Type="http://schemas.openxmlformats.org/officeDocument/2006/relationships/image" Target="../media/image36.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41" Type="http://schemas.openxmlformats.org/officeDocument/2006/relationships/image" Target="../media/image3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microsoft.com/office/2007/relationships/hdphoto" Target="../media/hdphoto2.wdp"/><Relationship Id="rId37" Type="http://schemas.openxmlformats.org/officeDocument/2006/relationships/image" Target="../media/image35.jpeg"/><Relationship Id="rId40" Type="http://schemas.openxmlformats.org/officeDocument/2006/relationships/image" Target="../media/image38.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4.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microsoft.com/office/2007/relationships/hdphoto" Target="../media/hdphoto1.wdp"/><Relationship Id="rId35" Type="http://schemas.openxmlformats.org/officeDocument/2006/relationships/image" Target="../media/image3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8</xdr:col>
      <xdr:colOff>630126</xdr:colOff>
      <xdr:row>11</xdr:row>
      <xdr:rowOff>151568</xdr:rowOff>
    </xdr:from>
    <xdr:to>
      <xdr:col>15</xdr:col>
      <xdr:colOff>19358</xdr:colOff>
      <xdr:row>15</xdr:row>
      <xdr:rowOff>332610</xdr:rowOff>
    </xdr:to>
    <xdr:pic>
      <xdr:nvPicPr>
        <xdr:cNvPr id="2" name="Picture 1"/>
        <xdr:cNvPicPr>
          <a:picLocks noChangeAspect="1"/>
        </xdr:cNvPicPr>
      </xdr:nvPicPr>
      <xdr:blipFill>
        <a:blip xmlns:r="http://schemas.openxmlformats.org/officeDocument/2006/relationships" r:embed="rId1"/>
        <a:stretch>
          <a:fillRect/>
        </a:stretch>
      </xdr:blipFill>
      <xdr:spPr>
        <a:xfrm>
          <a:off x="6939038" y="2751333"/>
          <a:ext cx="5429202" cy="1200777"/>
        </a:xfrm>
        <a:prstGeom prst="rect">
          <a:avLst/>
        </a:prstGeom>
      </xdr:spPr>
    </xdr:pic>
    <xdr:clientData/>
  </xdr:twoCellAnchor>
  <xdr:twoCellAnchor editAs="oneCell">
    <xdr:from>
      <xdr:col>9</xdr:col>
      <xdr:colOff>283509</xdr:colOff>
      <xdr:row>49</xdr:row>
      <xdr:rowOff>27454</xdr:rowOff>
    </xdr:from>
    <xdr:to>
      <xdr:col>18</xdr:col>
      <xdr:colOff>152119</xdr:colOff>
      <xdr:row>54</xdr:row>
      <xdr:rowOff>390884</xdr:rowOff>
    </xdr:to>
    <xdr:pic>
      <xdr:nvPicPr>
        <xdr:cNvPr id="3" name="Picture 2"/>
        <xdr:cNvPicPr>
          <a:picLocks noChangeAspect="1"/>
        </xdr:cNvPicPr>
      </xdr:nvPicPr>
      <xdr:blipFill>
        <a:blip xmlns:r="http://schemas.openxmlformats.org/officeDocument/2006/relationships" r:embed="rId2"/>
        <a:stretch>
          <a:fillRect/>
        </a:stretch>
      </xdr:blipFill>
      <xdr:spPr>
        <a:xfrm>
          <a:off x="7757833" y="12544425"/>
          <a:ext cx="6737815" cy="1584872"/>
        </a:xfrm>
        <a:prstGeom prst="rect">
          <a:avLst/>
        </a:prstGeom>
      </xdr:spPr>
    </xdr:pic>
    <xdr:clientData/>
  </xdr:twoCellAnchor>
  <xdr:twoCellAnchor editAs="oneCell">
    <xdr:from>
      <xdr:col>10</xdr:col>
      <xdr:colOff>180975</xdr:colOff>
      <xdr:row>51</xdr:row>
      <xdr:rowOff>85725</xdr:rowOff>
    </xdr:from>
    <xdr:to>
      <xdr:col>14</xdr:col>
      <xdr:colOff>256752</xdr:colOff>
      <xdr:row>80</xdr:row>
      <xdr:rowOff>7187</xdr:rowOff>
    </xdr:to>
    <xdr:pic>
      <xdr:nvPicPr>
        <xdr:cNvPr id="4" name="Picture 3"/>
        <xdr:cNvPicPr>
          <a:picLocks noChangeAspect="1"/>
        </xdr:cNvPicPr>
      </xdr:nvPicPr>
      <xdr:blipFill>
        <a:blip xmlns:r="http://schemas.openxmlformats.org/officeDocument/2006/relationships" r:embed="rId3"/>
        <a:stretch>
          <a:fillRect/>
        </a:stretch>
      </xdr:blipFill>
      <xdr:spPr>
        <a:xfrm>
          <a:off x="8420100" y="13096875"/>
          <a:ext cx="3380952" cy="5236413"/>
        </a:xfrm>
        <a:prstGeom prst="rect">
          <a:avLst/>
        </a:prstGeom>
      </xdr:spPr>
    </xdr:pic>
    <xdr:clientData/>
  </xdr:twoCellAnchor>
  <xdr:twoCellAnchor>
    <xdr:from>
      <xdr:col>9</xdr:col>
      <xdr:colOff>524435</xdr:colOff>
      <xdr:row>171</xdr:row>
      <xdr:rowOff>114300</xdr:rowOff>
    </xdr:from>
    <xdr:to>
      <xdr:col>17</xdr:col>
      <xdr:colOff>167657</xdr:colOff>
      <xdr:row>205</xdr:row>
      <xdr:rowOff>120883</xdr:rowOff>
    </xdr:to>
    <xdr:grpSp>
      <xdr:nvGrpSpPr>
        <xdr:cNvPr id="5" name="Group 4"/>
        <xdr:cNvGrpSpPr/>
      </xdr:nvGrpSpPr>
      <xdr:grpSpPr>
        <a:xfrm>
          <a:off x="7998759" y="36320506"/>
          <a:ext cx="5907310" cy="6853377"/>
          <a:chOff x="474785" y="0"/>
          <a:chExt cx="5908431" cy="6797908"/>
        </a:xfrm>
      </xdr:grpSpPr>
      <xdr:grpSp>
        <xdr:nvGrpSpPr>
          <xdr:cNvPr id="6" name="Group 5"/>
          <xdr:cNvGrpSpPr/>
        </xdr:nvGrpSpPr>
        <xdr:grpSpPr>
          <a:xfrm>
            <a:off x="474785" y="0"/>
            <a:ext cx="5908431" cy="2520000"/>
            <a:chOff x="3572" y="0"/>
            <a:chExt cx="5908431" cy="2520000"/>
          </a:xfrm>
        </xdr:grpSpPr>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72" y="0"/>
              <a:ext cx="1888031" cy="252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23972" y="0"/>
              <a:ext cx="1888031" cy="252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13772" y="0"/>
              <a:ext cx="1888031" cy="2520000"/>
            </a:xfrm>
            <a:prstGeom prst="rect">
              <a:avLst/>
            </a:prstGeom>
            <a:ln>
              <a:solidFill>
                <a:schemeClr val="tx1"/>
              </a:solidFill>
            </a:ln>
          </xdr:spPr>
        </xdr:pic>
      </xdr:grpSp>
      <xdr:grpSp>
        <xdr:nvGrpSpPr>
          <xdr:cNvPr id="7" name="Group 6"/>
          <xdr:cNvGrpSpPr/>
        </xdr:nvGrpSpPr>
        <xdr:grpSpPr>
          <a:xfrm>
            <a:off x="1274423" y="4997908"/>
            <a:ext cx="4309155" cy="1800000"/>
            <a:chOff x="1277595" y="4997908"/>
            <a:chExt cx="4309155" cy="1800000"/>
          </a:xfrm>
        </xdr:grpSpPr>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38156" y="4997908"/>
              <a:ext cx="1348594" cy="1800000"/>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77595" y="4997908"/>
              <a:ext cx="1348594" cy="180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61048" y="4997908"/>
              <a:ext cx="1348594" cy="1800000"/>
            </a:xfrm>
            <a:prstGeom prst="rect">
              <a:avLst/>
            </a:prstGeom>
            <a:ln>
              <a:solidFill>
                <a:schemeClr val="tx1"/>
              </a:solidFill>
            </a:ln>
          </xdr:spPr>
        </xdr:pic>
      </xdr:grpSp>
      <xdr:grpSp>
        <xdr:nvGrpSpPr>
          <xdr:cNvPr id="8" name="Group 7"/>
          <xdr:cNvGrpSpPr/>
        </xdr:nvGrpSpPr>
        <xdr:grpSpPr>
          <a:xfrm>
            <a:off x="879363" y="2663585"/>
            <a:ext cx="5099274" cy="2175369"/>
            <a:chOff x="543010" y="2663585"/>
            <a:chExt cx="5099274" cy="2175369"/>
          </a:xfrm>
        </xdr:grpSpPr>
        <xdr:pic>
          <xdr:nvPicPr>
            <xdr:cNvPr id="9" name="Picture 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23972" y="2678954"/>
              <a:ext cx="1618312" cy="2160000"/>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3010" y="2663585"/>
              <a:ext cx="1618312" cy="2160000"/>
            </a:xfrm>
            <a:prstGeom prst="rect">
              <a:avLst/>
            </a:prstGeom>
            <a:ln>
              <a:solidFill>
                <a:schemeClr val="tx1"/>
              </a:solidFill>
            </a:ln>
          </xdr:spPr>
        </xdr:pic>
        <xdr:pic>
          <xdr:nvPicPr>
            <xdr:cNvPr id="11" name="Picture 1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83491" y="2678954"/>
              <a:ext cx="1618312" cy="2160000"/>
            </a:xfrm>
            <a:prstGeom prst="rect">
              <a:avLst/>
            </a:prstGeom>
            <a:ln>
              <a:solidFill>
                <a:schemeClr val="tx1"/>
              </a:solidFill>
            </a:ln>
          </xdr:spPr>
        </xdr:pic>
      </xdr:grpSp>
    </xdr:grpSp>
    <xdr:clientData/>
  </xdr:twoCellAnchor>
  <xdr:twoCellAnchor>
    <xdr:from>
      <xdr:col>0</xdr:col>
      <xdr:colOff>699808</xdr:colOff>
      <xdr:row>338</xdr:row>
      <xdr:rowOff>33618</xdr:rowOff>
    </xdr:from>
    <xdr:to>
      <xdr:col>6</xdr:col>
      <xdr:colOff>526540</xdr:colOff>
      <xdr:row>378</xdr:row>
      <xdr:rowOff>107417</xdr:rowOff>
    </xdr:to>
    <xdr:grpSp>
      <xdr:nvGrpSpPr>
        <xdr:cNvPr id="23" name="Group 22"/>
        <xdr:cNvGrpSpPr/>
      </xdr:nvGrpSpPr>
      <xdr:grpSpPr>
        <a:xfrm>
          <a:off x="699808" y="69913500"/>
          <a:ext cx="4678879" cy="8142035"/>
          <a:chOff x="1089000" y="281356"/>
          <a:chExt cx="4680000" cy="8074799"/>
        </a:xfrm>
      </xdr:grpSpPr>
      <xdr:grpSp>
        <xdr:nvGrpSpPr>
          <xdr:cNvPr id="24" name="Group 23"/>
          <xdr:cNvGrpSpPr/>
        </xdr:nvGrpSpPr>
        <xdr:grpSpPr>
          <a:xfrm>
            <a:off x="1089000" y="281356"/>
            <a:ext cx="4680000" cy="3960000"/>
            <a:chOff x="334108" y="1811215"/>
            <a:chExt cx="5398478" cy="5117124"/>
          </a:xfrm>
        </xdr:grpSpPr>
        <xdr:pic>
          <xdr:nvPicPr>
            <xdr:cNvPr id="26" name="Picture 25"/>
            <xdr:cNvPicPr>
              <a:picLocks noChangeAspect="1"/>
            </xdr:cNvPicPr>
          </xdr:nvPicPr>
          <xdr:blipFill rotWithShape="1">
            <a:blip xmlns:r="http://schemas.openxmlformats.org/officeDocument/2006/relationships" r:embed="rId13"/>
            <a:srcRect l="8238" t="18510" r="50271" b="11538"/>
            <a:stretch/>
          </xdr:blipFill>
          <xdr:spPr>
            <a:xfrm>
              <a:off x="334108" y="1811215"/>
              <a:ext cx="5398478" cy="5117124"/>
            </a:xfrm>
            <a:prstGeom prst="rect">
              <a:avLst/>
            </a:prstGeom>
            <a:ln>
              <a:solidFill>
                <a:schemeClr val="tx1"/>
              </a:solidFill>
            </a:ln>
          </xdr:spPr>
        </xdr:pic>
        <xdr:sp macro="" textlink="">
          <xdr:nvSpPr>
            <xdr:cNvPr id="27" name="Rectangle 26"/>
            <xdr:cNvSpPr/>
          </xdr:nvSpPr>
          <xdr:spPr>
            <a:xfrm rot="900438">
              <a:off x="2673320" y="3963007"/>
              <a:ext cx="1466850" cy="111019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25" name="Picture 24"/>
          <xdr:cNvPicPr>
            <a:picLocks noChangeAspect="1"/>
          </xdr:cNvPicPr>
        </xdr:nvPicPr>
        <xdr:blipFill rotWithShape="1">
          <a:blip xmlns:r="http://schemas.openxmlformats.org/officeDocument/2006/relationships" r:embed="rId14"/>
          <a:srcRect l="48109" t="22355" r="7832" b="12982"/>
          <a:stretch/>
        </xdr:blipFill>
        <xdr:spPr>
          <a:xfrm>
            <a:off x="1089000" y="4396155"/>
            <a:ext cx="4680000" cy="3960000"/>
          </a:xfrm>
          <a:prstGeom prst="rect">
            <a:avLst/>
          </a:prstGeom>
          <a:ln>
            <a:solidFill>
              <a:schemeClr val="tx1"/>
            </a:solidFill>
          </a:ln>
        </xdr:spPr>
      </xdr:pic>
    </xdr:grpSp>
    <xdr:clientData/>
  </xdr:twoCellAnchor>
  <xdr:twoCellAnchor editAs="oneCell">
    <xdr:from>
      <xdr:col>8</xdr:col>
      <xdr:colOff>1148603</xdr:colOff>
      <xdr:row>51</xdr:row>
      <xdr:rowOff>138394</xdr:rowOff>
    </xdr:from>
    <xdr:to>
      <xdr:col>18</xdr:col>
      <xdr:colOff>285414</xdr:colOff>
      <xdr:row>66</xdr:row>
      <xdr:rowOff>147663</xdr:rowOff>
    </xdr:to>
    <xdr:pic>
      <xdr:nvPicPr>
        <xdr:cNvPr id="28" name="Picture 27"/>
        <xdr:cNvPicPr>
          <a:picLocks noChangeAspect="1"/>
        </xdr:cNvPicPr>
      </xdr:nvPicPr>
      <xdr:blipFill>
        <a:blip xmlns:r="http://schemas.openxmlformats.org/officeDocument/2006/relationships" r:embed="rId15"/>
        <a:stretch>
          <a:fillRect/>
        </a:stretch>
      </xdr:blipFill>
      <xdr:spPr>
        <a:xfrm>
          <a:off x="7457515" y="13058776"/>
          <a:ext cx="7171428" cy="2071152"/>
        </a:xfrm>
        <a:prstGeom prst="rect">
          <a:avLst/>
        </a:prstGeom>
      </xdr:spPr>
    </xdr:pic>
    <xdr:clientData/>
  </xdr:twoCellAnchor>
  <xdr:twoCellAnchor editAs="oneCell">
    <xdr:from>
      <xdr:col>10</xdr:col>
      <xdr:colOff>661147</xdr:colOff>
      <xdr:row>20</xdr:row>
      <xdr:rowOff>168088</xdr:rowOff>
    </xdr:from>
    <xdr:to>
      <xdr:col>18</xdr:col>
      <xdr:colOff>631740</xdr:colOff>
      <xdr:row>40</xdr:row>
      <xdr:rowOff>115504</xdr:rowOff>
    </xdr:to>
    <xdr:pic>
      <xdr:nvPicPr>
        <xdr:cNvPr id="29" name="Picture 28"/>
        <xdr:cNvPicPr>
          <a:picLocks noChangeAspect="1"/>
        </xdr:cNvPicPr>
      </xdr:nvPicPr>
      <xdr:blipFill>
        <a:blip xmlns:r="http://schemas.openxmlformats.org/officeDocument/2006/relationships" r:embed="rId16"/>
        <a:stretch>
          <a:fillRect/>
        </a:stretch>
      </xdr:blipFill>
      <xdr:spPr>
        <a:xfrm>
          <a:off x="8897471" y="5670176"/>
          <a:ext cx="6077798" cy="4620270"/>
        </a:xfrm>
        <a:prstGeom prst="rect">
          <a:avLst/>
        </a:prstGeom>
      </xdr:spPr>
    </xdr:pic>
    <xdr:clientData/>
  </xdr:twoCellAnchor>
  <xdr:twoCellAnchor editAs="oneCell">
    <xdr:from>
      <xdr:col>10</xdr:col>
      <xdr:colOff>717176</xdr:colOff>
      <xdr:row>13</xdr:row>
      <xdr:rowOff>291353</xdr:rowOff>
    </xdr:from>
    <xdr:to>
      <xdr:col>18</xdr:col>
      <xdr:colOff>259084</xdr:colOff>
      <xdr:row>26</xdr:row>
      <xdr:rowOff>113313</xdr:rowOff>
    </xdr:to>
    <xdr:pic>
      <xdr:nvPicPr>
        <xdr:cNvPr id="30" name="Picture 29"/>
        <xdr:cNvPicPr>
          <a:picLocks noChangeAspect="1"/>
        </xdr:cNvPicPr>
      </xdr:nvPicPr>
      <xdr:blipFill>
        <a:blip xmlns:r="http://schemas.openxmlformats.org/officeDocument/2006/relationships" r:embed="rId17"/>
        <a:stretch>
          <a:fillRect/>
        </a:stretch>
      </xdr:blipFill>
      <xdr:spPr>
        <a:xfrm>
          <a:off x="8953500" y="3294529"/>
          <a:ext cx="5649113" cy="4393960"/>
        </a:xfrm>
        <a:prstGeom prst="rect">
          <a:avLst/>
        </a:prstGeom>
      </xdr:spPr>
    </xdr:pic>
    <xdr:clientData/>
  </xdr:twoCellAnchor>
  <xdr:twoCellAnchor editAs="oneCell">
    <xdr:from>
      <xdr:col>9</xdr:col>
      <xdr:colOff>177613</xdr:colOff>
      <xdr:row>0</xdr:row>
      <xdr:rowOff>572062</xdr:rowOff>
    </xdr:from>
    <xdr:to>
      <xdr:col>15</xdr:col>
      <xdr:colOff>743710</xdr:colOff>
      <xdr:row>13</xdr:row>
      <xdr:rowOff>304623</xdr:rowOff>
    </xdr:to>
    <xdr:pic>
      <xdr:nvPicPr>
        <xdr:cNvPr id="31" name="Picture 30"/>
        <xdr:cNvPicPr>
          <a:picLocks noChangeAspect="1"/>
        </xdr:cNvPicPr>
      </xdr:nvPicPr>
      <xdr:blipFill>
        <a:blip xmlns:r="http://schemas.openxmlformats.org/officeDocument/2006/relationships" r:embed="rId18"/>
        <a:stretch>
          <a:fillRect/>
        </a:stretch>
      </xdr:blipFill>
      <xdr:spPr>
        <a:xfrm>
          <a:off x="7654738" y="572062"/>
          <a:ext cx="5442897" cy="2716687"/>
        </a:xfrm>
        <a:prstGeom prst="rect">
          <a:avLst/>
        </a:prstGeom>
      </xdr:spPr>
    </xdr:pic>
    <xdr:clientData/>
  </xdr:twoCellAnchor>
  <xdr:twoCellAnchor editAs="oneCell">
    <xdr:from>
      <xdr:col>8</xdr:col>
      <xdr:colOff>472684</xdr:colOff>
      <xdr:row>235</xdr:row>
      <xdr:rowOff>0</xdr:rowOff>
    </xdr:from>
    <xdr:to>
      <xdr:col>13</xdr:col>
      <xdr:colOff>700248</xdr:colOff>
      <xdr:row>252</xdr:row>
      <xdr:rowOff>67163</xdr:rowOff>
    </xdr:to>
    <xdr:pic>
      <xdr:nvPicPr>
        <xdr:cNvPr id="32" name="Picture 31"/>
        <xdr:cNvPicPr>
          <a:picLocks noChangeAspect="1"/>
        </xdr:cNvPicPr>
      </xdr:nvPicPr>
      <xdr:blipFill>
        <a:blip xmlns:r="http://schemas.openxmlformats.org/officeDocument/2006/relationships" r:embed="rId19"/>
        <a:stretch>
          <a:fillRect/>
        </a:stretch>
      </xdr:blipFill>
      <xdr:spPr>
        <a:xfrm>
          <a:off x="6776502" y="50066864"/>
          <a:ext cx="4609064" cy="3600072"/>
        </a:xfrm>
        <a:prstGeom prst="rect">
          <a:avLst/>
        </a:prstGeom>
      </xdr:spPr>
    </xdr:pic>
    <xdr:clientData/>
  </xdr:twoCellAnchor>
  <xdr:twoCellAnchor>
    <xdr:from>
      <xdr:col>0</xdr:col>
      <xdr:colOff>520208</xdr:colOff>
      <xdr:row>215</xdr:row>
      <xdr:rowOff>121227</xdr:rowOff>
    </xdr:from>
    <xdr:to>
      <xdr:col>6</xdr:col>
      <xdr:colOff>606136</xdr:colOff>
      <xdr:row>241</xdr:row>
      <xdr:rowOff>105946</xdr:rowOff>
    </xdr:to>
    <xdr:grpSp>
      <xdr:nvGrpSpPr>
        <xdr:cNvPr id="34" name="Group 33"/>
        <xdr:cNvGrpSpPr/>
      </xdr:nvGrpSpPr>
      <xdr:grpSpPr>
        <a:xfrm>
          <a:off x="520208" y="45191286"/>
          <a:ext cx="4938075" cy="5229072"/>
          <a:chOff x="718857" y="45271205"/>
          <a:chExt cx="5370979" cy="8404972"/>
        </a:xfrm>
      </xdr:grpSpPr>
      <xdr:grpSp>
        <xdr:nvGrpSpPr>
          <xdr:cNvPr id="18" name="Group 17"/>
          <xdr:cNvGrpSpPr/>
        </xdr:nvGrpSpPr>
        <xdr:grpSpPr>
          <a:xfrm>
            <a:off x="718857" y="45271205"/>
            <a:ext cx="5370979" cy="8404972"/>
            <a:chOff x="0" y="0"/>
            <a:chExt cx="5516944" cy="9144000"/>
          </a:xfrm>
        </xdr:grpSpPr>
        <xdr:pic>
          <xdr:nvPicPr>
            <xdr:cNvPr id="19" name="Picture 1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0" y="0"/>
              <a:ext cx="5516944" cy="9144000"/>
            </a:xfrm>
            <a:prstGeom prst="rect">
              <a:avLst/>
            </a:prstGeom>
            <a:ln>
              <a:solidFill>
                <a:schemeClr val="tx1"/>
              </a:solidFill>
            </a:ln>
          </xdr:spPr>
        </xdr:pic>
        <xdr:sp macro="" textlink="">
          <xdr:nvSpPr>
            <xdr:cNvPr id="20" name="Rectangle 19"/>
            <xdr:cNvSpPr/>
          </xdr:nvSpPr>
          <xdr:spPr>
            <a:xfrm>
              <a:off x="948982" y="5054990"/>
              <a:ext cx="3653497" cy="29612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xdr:cNvSpPr/>
          </xdr:nvSpPr>
          <xdr:spPr>
            <a:xfrm>
              <a:off x="1181100" y="1610751"/>
              <a:ext cx="2964180" cy="2641209"/>
            </a:xfrm>
            <a:prstGeom prst="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pic>
          <xdr:nvPicPr>
            <xdr:cNvPr id="22"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19748944">
              <a:off x="4418330" y="108971"/>
              <a:ext cx="1080000" cy="1080000"/>
            </a:xfrm>
            <a:prstGeom prst="rect">
              <a:avLst/>
            </a:prstGeom>
          </xdr:spPr>
        </xdr:pic>
      </xdr:grpSp>
      <xdr:sp macro="" textlink="">
        <xdr:nvSpPr>
          <xdr:cNvPr id="33" name="TextBox 32"/>
          <xdr:cNvSpPr txBox="1"/>
        </xdr:nvSpPr>
        <xdr:spPr>
          <a:xfrm>
            <a:off x="2622176" y="52634029"/>
            <a:ext cx="1613647" cy="498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No.1</a:t>
            </a:r>
          </a:p>
        </xdr:txBody>
      </xdr:sp>
      <xdr:sp macro="" textlink="">
        <xdr:nvSpPr>
          <xdr:cNvPr id="36" name="TextBox 35"/>
          <xdr:cNvSpPr txBox="1"/>
        </xdr:nvSpPr>
        <xdr:spPr>
          <a:xfrm>
            <a:off x="3361765" y="52006498"/>
            <a:ext cx="1613647" cy="97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37" name="TextBox 36"/>
          <xdr:cNvSpPr txBox="1"/>
        </xdr:nvSpPr>
        <xdr:spPr>
          <a:xfrm>
            <a:off x="3316942" y="50135116"/>
            <a:ext cx="1613647" cy="97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B</a:t>
            </a:r>
          </a:p>
        </xdr:txBody>
      </xdr:sp>
      <xdr:sp macro="" textlink="">
        <xdr:nvSpPr>
          <xdr:cNvPr id="38" name="TextBox 37"/>
          <xdr:cNvSpPr txBox="1"/>
        </xdr:nvSpPr>
        <xdr:spPr>
          <a:xfrm>
            <a:off x="1624854" y="50997969"/>
            <a:ext cx="1613647" cy="97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C</a:t>
            </a:r>
          </a:p>
        </xdr:txBody>
      </xdr:sp>
      <xdr:sp macro="" textlink="">
        <xdr:nvSpPr>
          <xdr:cNvPr id="39" name="TextBox 38"/>
          <xdr:cNvSpPr txBox="1"/>
        </xdr:nvSpPr>
        <xdr:spPr>
          <a:xfrm>
            <a:off x="2715388" y="48347563"/>
            <a:ext cx="1613647" cy="462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00FF"/>
                </a:solidFill>
                <a:latin typeface="Times New Roman" panose="02020603050405020304" pitchFamily="18" charset="0"/>
                <a:cs typeface="Times New Roman" panose="02020603050405020304" pitchFamily="18" charset="0"/>
              </a:rPr>
              <a:t>Building No.2</a:t>
            </a:r>
          </a:p>
        </xdr:txBody>
      </xdr:sp>
    </xdr:grpSp>
    <xdr:clientData/>
  </xdr:twoCellAnchor>
  <xdr:twoCellAnchor editAs="oneCell">
    <xdr:from>
      <xdr:col>1</xdr:col>
      <xdr:colOff>728382</xdr:colOff>
      <xdr:row>242</xdr:row>
      <xdr:rowOff>20605</xdr:rowOff>
    </xdr:from>
    <xdr:to>
      <xdr:col>5</xdr:col>
      <xdr:colOff>432955</xdr:colOff>
      <xdr:row>257</xdr:row>
      <xdr:rowOff>82403</xdr:rowOff>
    </xdr:to>
    <xdr:pic>
      <xdr:nvPicPr>
        <xdr:cNvPr id="35" name="Picture 34"/>
        <xdr:cNvPicPr>
          <a:picLocks noChangeAspect="1"/>
        </xdr:cNvPicPr>
      </xdr:nvPicPr>
      <xdr:blipFill>
        <a:blip xmlns:r="http://schemas.openxmlformats.org/officeDocument/2006/relationships" r:embed="rId22"/>
        <a:stretch>
          <a:fillRect/>
        </a:stretch>
      </xdr:blipFill>
      <xdr:spPr>
        <a:xfrm>
          <a:off x="1490382" y="52321514"/>
          <a:ext cx="3046982" cy="3179070"/>
        </a:xfrm>
        <a:prstGeom prst="rect">
          <a:avLst/>
        </a:prstGeom>
        <a:ln>
          <a:solidFill>
            <a:sysClr val="windowText" lastClr="000000"/>
          </a:solidFill>
        </a:ln>
      </xdr:spPr>
    </xdr:pic>
    <xdr:clientData/>
  </xdr:twoCellAnchor>
  <xdr:twoCellAnchor editAs="oneCell">
    <xdr:from>
      <xdr:col>10</xdr:col>
      <xdr:colOff>113739</xdr:colOff>
      <xdr:row>2</xdr:row>
      <xdr:rowOff>90766</xdr:rowOff>
    </xdr:from>
    <xdr:to>
      <xdr:col>17</xdr:col>
      <xdr:colOff>55107</xdr:colOff>
      <xdr:row>13</xdr:row>
      <xdr:rowOff>390311</xdr:rowOff>
    </xdr:to>
    <xdr:pic>
      <xdr:nvPicPr>
        <xdr:cNvPr id="40" name="Picture 39"/>
        <xdr:cNvPicPr>
          <a:picLocks noChangeAspect="1"/>
        </xdr:cNvPicPr>
      </xdr:nvPicPr>
      <xdr:blipFill>
        <a:blip xmlns:r="http://schemas.openxmlformats.org/officeDocument/2006/relationships" r:embed="rId23"/>
        <a:stretch>
          <a:fillRect/>
        </a:stretch>
      </xdr:blipFill>
      <xdr:spPr>
        <a:xfrm>
          <a:off x="8350063" y="897590"/>
          <a:ext cx="5443456" cy="2495897"/>
        </a:xfrm>
        <a:prstGeom prst="rect">
          <a:avLst/>
        </a:prstGeom>
      </xdr:spPr>
    </xdr:pic>
    <xdr:clientData/>
  </xdr:twoCellAnchor>
  <xdr:twoCellAnchor editAs="oneCell">
    <xdr:from>
      <xdr:col>12</xdr:col>
      <xdr:colOff>726782</xdr:colOff>
      <xdr:row>115</xdr:row>
      <xdr:rowOff>128228</xdr:rowOff>
    </xdr:from>
    <xdr:to>
      <xdr:col>21</xdr:col>
      <xdr:colOff>544686</xdr:colOff>
      <xdr:row>128</xdr:row>
      <xdr:rowOff>4748</xdr:rowOff>
    </xdr:to>
    <xdr:pic>
      <xdr:nvPicPr>
        <xdr:cNvPr id="41" name="Picture 40"/>
        <xdr:cNvPicPr>
          <a:picLocks noChangeAspect="1"/>
        </xdr:cNvPicPr>
      </xdr:nvPicPr>
      <xdr:blipFill>
        <a:blip xmlns:r="http://schemas.openxmlformats.org/officeDocument/2006/relationships" r:embed="rId24"/>
        <a:stretch>
          <a:fillRect/>
        </a:stretch>
      </xdr:blipFill>
      <xdr:spPr>
        <a:xfrm>
          <a:off x="10632782" y="24294514"/>
          <a:ext cx="6322118" cy="2529913"/>
        </a:xfrm>
        <a:prstGeom prst="rect">
          <a:avLst/>
        </a:prstGeom>
      </xdr:spPr>
    </xdr:pic>
    <xdr:clientData/>
  </xdr:twoCellAnchor>
  <xdr:twoCellAnchor editAs="oneCell">
    <xdr:from>
      <xdr:col>10</xdr:col>
      <xdr:colOff>609921</xdr:colOff>
      <xdr:row>95</xdr:row>
      <xdr:rowOff>98450</xdr:rowOff>
    </xdr:from>
    <xdr:to>
      <xdr:col>17</xdr:col>
      <xdr:colOff>5325</xdr:colOff>
      <xdr:row>111</xdr:row>
      <xdr:rowOff>7091</xdr:rowOff>
    </xdr:to>
    <xdr:pic>
      <xdr:nvPicPr>
        <xdr:cNvPr id="42" name="Picture 41"/>
        <xdr:cNvPicPr>
          <a:picLocks noChangeAspect="1"/>
        </xdr:cNvPicPr>
      </xdr:nvPicPr>
      <xdr:blipFill>
        <a:blip xmlns:r="http://schemas.openxmlformats.org/officeDocument/2006/relationships" r:embed="rId25"/>
        <a:stretch>
          <a:fillRect/>
        </a:stretch>
      </xdr:blipFill>
      <xdr:spPr>
        <a:xfrm>
          <a:off x="8846245" y="21557715"/>
          <a:ext cx="4897492" cy="2629267"/>
        </a:xfrm>
        <a:prstGeom prst="rect">
          <a:avLst/>
        </a:prstGeom>
      </xdr:spPr>
    </xdr:pic>
    <xdr:clientData/>
  </xdr:twoCellAnchor>
  <xdr:twoCellAnchor editAs="oneCell">
    <xdr:from>
      <xdr:col>9</xdr:col>
      <xdr:colOff>717176</xdr:colOff>
      <xdr:row>75</xdr:row>
      <xdr:rowOff>145677</xdr:rowOff>
    </xdr:from>
    <xdr:to>
      <xdr:col>17</xdr:col>
      <xdr:colOff>245096</xdr:colOff>
      <xdr:row>108</xdr:row>
      <xdr:rowOff>142432</xdr:rowOff>
    </xdr:to>
    <xdr:pic>
      <xdr:nvPicPr>
        <xdr:cNvPr id="45" name="Picture 44"/>
        <xdr:cNvPicPr>
          <a:picLocks noChangeAspect="1"/>
        </xdr:cNvPicPr>
      </xdr:nvPicPr>
      <xdr:blipFill>
        <a:blip xmlns:r="http://schemas.openxmlformats.org/officeDocument/2006/relationships" r:embed="rId26"/>
        <a:stretch>
          <a:fillRect/>
        </a:stretch>
      </xdr:blipFill>
      <xdr:spPr>
        <a:xfrm>
          <a:off x="8191500" y="17559618"/>
          <a:ext cx="5792008" cy="4848902"/>
        </a:xfrm>
        <a:prstGeom prst="rect">
          <a:avLst/>
        </a:prstGeom>
      </xdr:spPr>
    </xdr:pic>
    <xdr:clientData/>
  </xdr:twoCellAnchor>
  <xdr:twoCellAnchor editAs="oneCell">
    <xdr:from>
      <xdr:col>9</xdr:col>
      <xdr:colOff>212912</xdr:colOff>
      <xdr:row>0</xdr:row>
      <xdr:rowOff>0</xdr:rowOff>
    </xdr:from>
    <xdr:to>
      <xdr:col>19</xdr:col>
      <xdr:colOff>141124</xdr:colOff>
      <xdr:row>13</xdr:row>
      <xdr:rowOff>397724</xdr:rowOff>
    </xdr:to>
    <xdr:pic>
      <xdr:nvPicPr>
        <xdr:cNvPr id="46" name="Picture 45"/>
        <xdr:cNvPicPr>
          <a:picLocks noChangeAspect="1"/>
        </xdr:cNvPicPr>
      </xdr:nvPicPr>
      <xdr:blipFill>
        <a:blip xmlns:r="http://schemas.openxmlformats.org/officeDocument/2006/relationships" r:embed="rId27"/>
        <a:stretch>
          <a:fillRect/>
        </a:stretch>
      </xdr:blipFill>
      <xdr:spPr>
        <a:xfrm>
          <a:off x="7687236" y="0"/>
          <a:ext cx="7525800" cy="3400900"/>
        </a:xfrm>
        <a:prstGeom prst="rect">
          <a:avLst/>
        </a:prstGeom>
      </xdr:spPr>
    </xdr:pic>
    <xdr:clientData/>
  </xdr:twoCellAnchor>
  <xdr:twoCellAnchor editAs="oneCell">
    <xdr:from>
      <xdr:col>13</xdr:col>
      <xdr:colOff>116061</xdr:colOff>
      <xdr:row>127</xdr:row>
      <xdr:rowOff>203307</xdr:rowOff>
    </xdr:from>
    <xdr:to>
      <xdr:col>18</xdr:col>
      <xdr:colOff>181414</xdr:colOff>
      <xdr:row>143</xdr:row>
      <xdr:rowOff>60141</xdr:rowOff>
    </xdr:to>
    <xdr:pic>
      <xdr:nvPicPr>
        <xdr:cNvPr id="48" name="Picture 47"/>
        <xdr:cNvPicPr>
          <a:picLocks noChangeAspect="1"/>
        </xdr:cNvPicPr>
      </xdr:nvPicPr>
      <xdr:blipFill>
        <a:blip xmlns:r="http://schemas.openxmlformats.org/officeDocument/2006/relationships" r:embed="rId28"/>
        <a:stretch>
          <a:fillRect/>
        </a:stretch>
      </xdr:blipFill>
      <xdr:spPr>
        <a:xfrm>
          <a:off x="10811275" y="26818878"/>
          <a:ext cx="3725675" cy="3122549"/>
        </a:xfrm>
        <a:prstGeom prst="rect">
          <a:avLst/>
        </a:prstGeom>
      </xdr:spPr>
    </xdr:pic>
    <xdr:clientData/>
  </xdr:twoCellAnchor>
  <xdr:twoCellAnchor editAs="oneCell">
    <xdr:from>
      <xdr:col>10</xdr:col>
      <xdr:colOff>134469</xdr:colOff>
      <xdr:row>257</xdr:row>
      <xdr:rowOff>45842</xdr:rowOff>
    </xdr:from>
    <xdr:to>
      <xdr:col>17</xdr:col>
      <xdr:colOff>393058</xdr:colOff>
      <xdr:row>297</xdr:row>
      <xdr:rowOff>8283</xdr:rowOff>
    </xdr:to>
    <xdr:pic>
      <xdr:nvPicPr>
        <xdr:cNvPr id="61" name="Picture 60"/>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sharpenSoften amount="25000"/>
                  </a14:imgEffect>
                </a14:imgLayer>
              </a14:imgProps>
            </a:ext>
          </a:extLst>
        </a:blip>
        <a:stretch>
          <a:fillRect/>
        </a:stretch>
      </xdr:blipFill>
      <xdr:spPr>
        <a:xfrm>
          <a:off x="8370793" y="53665989"/>
          <a:ext cx="5760677" cy="8030676"/>
        </a:xfrm>
        <a:prstGeom prst="rect">
          <a:avLst/>
        </a:prstGeom>
        <a:ln>
          <a:solidFill>
            <a:schemeClr val="tx1"/>
          </a:solidFill>
        </a:ln>
      </xdr:spPr>
    </xdr:pic>
    <xdr:clientData/>
  </xdr:twoCellAnchor>
  <xdr:twoCellAnchor editAs="oneCell">
    <xdr:from>
      <xdr:col>10</xdr:col>
      <xdr:colOff>116526</xdr:colOff>
      <xdr:row>299</xdr:row>
      <xdr:rowOff>6925</xdr:rowOff>
    </xdr:from>
    <xdr:to>
      <xdr:col>17</xdr:col>
      <xdr:colOff>205236</xdr:colOff>
      <xdr:row>336</xdr:row>
      <xdr:rowOff>140383</xdr:rowOff>
    </xdr:to>
    <xdr:pic>
      <xdr:nvPicPr>
        <xdr:cNvPr id="62" name="Picture 61"/>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sharpenSoften amount="25000"/>
                  </a14:imgEffect>
                </a14:imgLayer>
              </a14:imgProps>
            </a:ext>
          </a:extLst>
        </a:blip>
        <a:stretch>
          <a:fillRect/>
        </a:stretch>
      </xdr:blipFill>
      <xdr:spPr>
        <a:xfrm>
          <a:off x="8352850" y="62905543"/>
          <a:ext cx="5590798" cy="7596576"/>
        </a:xfrm>
        <a:prstGeom prst="rect">
          <a:avLst/>
        </a:prstGeom>
        <a:ln>
          <a:solidFill>
            <a:schemeClr val="tx1"/>
          </a:solidFill>
        </a:ln>
      </xdr:spPr>
    </xdr:pic>
    <xdr:clientData/>
  </xdr:twoCellAnchor>
  <xdr:twoCellAnchor>
    <xdr:from>
      <xdr:col>0</xdr:col>
      <xdr:colOff>190500</xdr:colOff>
      <xdr:row>171</xdr:row>
      <xdr:rowOff>22412</xdr:rowOff>
    </xdr:from>
    <xdr:to>
      <xdr:col>7</xdr:col>
      <xdr:colOff>444010</xdr:colOff>
      <xdr:row>213</xdr:row>
      <xdr:rowOff>83509</xdr:rowOff>
    </xdr:to>
    <xdr:grpSp>
      <xdr:nvGrpSpPr>
        <xdr:cNvPr id="43" name="Group 42"/>
        <xdr:cNvGrpSpPr/>
      </xdr:nvGrpSpPr>
      <xdr:grpSpPr>
        <a:xfrm>
          <a:off x="190500" y="36228618"/>
          <a:ext cx="5834039" cy="8521538"/>
          <a:chOff x="190500" y="36307059"/>
          <a:chExt cx="5834039" cy="8521538"/>
        </a:xfrm>
      </xdr:grpSpPr>
      <xdr:pic>
        <xdr:nvPicPr>
          <xdr:cNvPr id="49" name="Picture 48" descr="insp-243586-1525.jpg (959×1280)"/>
          <xdr:cNvPicPr>
            <a:picLocks noChangeAspect="1" noChangeArrowheads="1"/>
          </xdr:cNvPicPr>
        </xdr:nvPicPr>
        <xdr:blipFill>
          <a:blip xmlns:r="http://schemas.openxmlformats.org/officeDocument/2006/relationships" r:embed="rId33" cstate="screen">
            <a:extLst>
              <a:ext uri="{28A0092B-C50C-407E-A947-70E740481C1C}">
                <a14:useLocalDpi xmlns:a14="http://schemas.microsoft.com/office/drawing/2010/main"/>
              </a:ext>
            </a:extLst>
          </a:blip>
          <a:srcRect/>
          <a:stretch>
            <a:fillRect/>
          </a:stretch>
        </xdr:blipFill>
        <xdr:spPr bwMode="auto">
          <a:xfrm>
            <a:off x="3242379" y="42668597"/>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insp-243586-843.jpg (959×1280)"/>
          <xdr:cNvPicPr>
            <a:picLocks noChangeAspect="1" noChangeArrowheads="1"/>
          </xdr:cNvPicPr>
        </xdr:nvPicPr>
        <xdr:blipFill>
          <a:blip xmlns:r="http://schemas.openxmlformats.org/officeDocument/2006/relationships" r:embed="rId34" cstate="screen">
            <a:extLst>
              <a:ext uri="{28A0092B-C50C-407E-A947-70E740481C1C}">
                <a14:useLocalDpi xmlns:a14="http://schemas.microsoft.com/office/drawing/2010/main"/>
              </a:ext>
            </a:extLst>
          </a:blip>
          <a:srcRect/>
          <a:stretch>
            <a:fillRect/>
          </a:stretch>
        </xdr:blipFill>
        <xdr:spPr bwMode="auto">
          <a:xfrm>
            <a:off x="3159279" y="36307059"/>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insp-243586-845.jpg (959×1280)"/>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4136508" y="40027828"/>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43586-849.jpg (959×1280)"/>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2163504" y="40027828"/>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insp-243586-851.jpg (959×1280)"/>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190500" y="40027828"/>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insp-243586-877.jpg (959×1280)"/>
          <xdr:cNvPicPr>
            <a:picLocks noChangeAspect="1" noChangeArrowheads="1"/>
          </xdr:cNvPicPr>
        </xdr:nvPicPr>
        <xdr:blipFill>
          <a:blip xmlns:r="http://schemas.openxmlformats.org/officeDocument/2006/relationships" r:embed="rId38" cstate="screen">
            <a:extLst>
              <a:ext uri="{28A0092B-C50C-407E-A947-70E740481C1C}">
                <a14:useLocalDpi xmlns:a14="http://schemas.microsoft.com/office/drawing/2010/main"/>
              </a:ext>
            </a:extLst>
          </a:blip>
          <a:srcRect/>
          <a:stretch>
            <a:fillRect/>
          </a:stretch>
        </xdr:blipFill>
        <xdr:spPr bwMode="auto">
          <a:xfrm>
            <a:off x="314074" y="36307059"/>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43586-1512.jpg (959×1280)"/>
          <xdr:cNvPicPr>
            <a:picLocks noChangeAspect="1" noChangeArrowheads="1"/>
          </xdr:cNvPicPr>
        </xdr:nvPicPr>
        <xdr:blipFill>
          <a:blip xmlns:r="http://schemas.openxmlformats.org/officeDocument/2006/relationships" r:embed="rId39" cstate="screen">
            <a:extLst>
              <a:ext uri="{28A0092B-C50C-407E-A947-70E740481C1C}">
                <a14:useLocalDpi xmlns:a14="http://schemas.microsoft.com/office/drawing/2010/main"/>
              </a:ext>
            </a:extLst>
          </a:blip>
          <a:srcRect/>
          <a:stretch>
            <a:fillRect/>
          </a:stretch>
        </xdr:blipFill>
        <xdr:spPr bwMode="auto">
          <a:xfrm>
            <a:off x="1489208" y="42668597"/>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302559</xdr:colOff>
      <xdr:row>259</xdr:row>
      <xdr:rowOff>190500</xdr:rowOff>
    </xdr:from>
    <xdr:to>
      <xdr:col>7</xdr:col>
      <xdr:colOff>367487</xdr:colOff>
      <xdr:row>295</xdr:row>
      <xdr:rowOff>129089</xdr:rowOff>
    </xdr:to>
    <xdr:pic>
      <xdr:nvPicPr>
        <xdr:cNvPr id="57" name="Picture 56"/>
        <xdr:cNvPicPr>
          <a:picLocks noChangeAspect="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a:xfrm>
          <a:off x="302559" y="54214059"/>
          <a:ext cx="5645457" cy="7200000"/>
        </a:xfrm>
        <a:prstGeom prst="rect">
          <a:avLst/>
        </a:prstGeom>
        <a:ln>
          <a:solidFill>
            <a:schemeClr val="tx1"/>
          </a:solidFill>
        </a:ln>
      </xdr:spPr>
    </xdr:pic>
    <xdr:clientData/>
  </xdr:twoCellAnchor>
  <xdr:twoCellAnchor editAs="oneCell">
    <xdr:from>
      <xdr:col>0</xdr:col>
      <xdr:colOff>99734</xdr:colOff>
      <xdr:row>299</xdr:row>
      <xdr:rowOff>11204</xdr:rowOff>
    </xdr:from>
    <xdr:to>
      <xdr:col>7</xdr:col>
      <xdr:colOff>642283</xdr:colOff>
      <xdr:row>334</xdr:row>
      <xdr:rowOff>151498</xdr:rowOff>
    </xdr:to>
    <xdr:pic>
      <xdr:nvPicPr>
        <xdr:cNvPr id="58" name="Picture 57"/>
        <xdr:cNvPicPr>
          <a:picLocks noChangeAspect="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a:xfrm>
          <a:off x="99734" y="62909822"/>
          <a:ext cx="6123078" cy="720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FwNCz9QukKCHzAh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8"/>
  <sheetViews>
    <sheetView tabSelected="1" view="pageBreakPreview" topLeftCell="A4" zoomScale="85" zoomScaleNormal="100" zoomScaleSheetLayoutView="85" zoomScalePageLayoutView="85" workbookViewId="0">
      <selection activeCell="I8" sqref="I8"/>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01" t="s">
        <v>360</v>
      </c>
      <c r="B1" s="201"/>
      <c r="C1" s="201"/>
      <c r="D1" s="201"/>
      <c r="E1" s="201"/>
      <c r="F1" s="201"/>
      <c r="G1" s="201"/>
      <c r="H1" s="201"/>
    </row>
    <row r="2" spans="1:26" ht="16.5" customHeight="1" x14ac:dyDescent="0.25">
      <c r="A2" s="202" t="s">
        <v>0</v>
      </c>
      <c r="B2" s="202"/>
      <c r="C2" s="202"/>
      <c r="D2" s="202"/>
      <c r="E2" s="202"/>
      <c r="F2" s="202"/>
      <c r="G2" s="202"/>
      <c r="H2" s="202"/>
    </row>
    <row r="3" spans="1:26" x14ac:dyDescent="0.25">
      <c r="A3" s="110" t="s">
        <v>1</v>
      </c>
      <c r="B3" s="110"/>
      <c r="C3" s="110"/>
      <c r="D3" s="110"/>
      <c r="E3" s="110" t="str">
        <f ca="1">TEXT(TODAY(),"DD/MM/YYYY")</f>
        <v>22/08/2025</v>
      </c>
      <c r="F3" s="110"/>
      <c r="G3" s="110"/>
      <c r="H3" s="110"/>
      <c r="K3" s="47" t="s">
        <v>219</v>
      </c>
      <c r="L3" s="46" t="s">
        <v>217</v>
      </c>
      <c r="M3" s="46" t="s">
        <v>222</v>
      </c>
      <c r="N3" s="46" t="s">
        <v>220</v>
      </c>
      <c r="O3" s="46" t="s">
        <v>337</v>
      </c>
      <c r="P3" s="46" t="s">
        <v>223</v>
      </c>
    </row>
    <row r="4" spans="1:26" ht="15" customHeight="1" x14ac:dyDescent="0.25">
      <c r="A4" s="110" t="s">
        <v>216</v>
      </c>
      <c r="B4" s="110"/>
      <c r="C4" s="110"/>
      <c r="D4" s="110"/>
      <c r="E4" s="200" t="s">
        <v>217</v>
      </c>
      <c r="F4" s="200"/>
      <c r="G4" s="200"/>
      <c r="H4" s="200"/>
      <c r="K4" s="45" t="s">
        <v>218</v>
      </c>
      <c r="L4" s="46" t="s">
        <v>156</v>
      </c>
      <c r="M4" s="46" t="s">
        <v>227</v>
      </c>
      <c r="N4" s="46" t="s">
        <v>229</v>
      </c>
      <c r="O4" s="46" t="s">
        <v>324</v>
      </c>
      <c r="P4" s="46"/>
    </row>
    <row r="5" spans="1:26" ht="15" customHeight="1" x14ac:dyDescent="0.25">
      <c r="A5" s="110" t="s">
        <v>2</v>
      </c>
      <c r="B5" s="110"/>
      <c r="C5" s="110"/>
      <c r="D5" s="110"/>
      <c r="E5" s="200" t="s">
        <v>156</v>
      </c>
      <c r="F5" s="200"/>
      <c r="G5" s="200"/>
      <c r="H5" s="200"/>
      <c r="K5" s="45"/>
      <c r="L5" s="46" t="s">
        <v>224</v>
      </c>
      <c r="M5" s="46" t="s">
        <v>228</v>
      </c>
      <c r="N5" s="46" t="s">
        <v>230</v>
      </c>
      <c r="O5" s="46" t="s">
        <v>325</v>
      </c>
      <c r="P5" s="46"/>
    </row>
    <row r="6" spans="1:26" x14ac:dyDescent="0.25">
      <c r="A6" s="110" t="s">
        <v>3</v>
      </c>
      <c r="B6" s="110"/>
      <c r="C6" s="110"/>
      <c r="D6" s="110"/>
      <c r="E6" s="203">
        <v>45881</v>
      </c>
      <c r="F6" s="110"/>
      <c r="G6" s="110"/>
      <c r="H6" s="110"/>
      <c r="K6" s="45"/>
      <c r="L6" s="46" t="s">
        <v>225</v>
      </c>
      <c r="M6" s="46" t="s">
        <v>335</v>
      </c>
      <c r="N6" s="46"/>
      <c r="O6" s="46" t="s">
        <v>326</v>
      </c>
      <c r="P6" s="46"/>
    </row>
    <row r="7" spans="1:26" ht="16.5" customHeight="1" x14ac:dyDescent="0.25">
      <c r="A7" s="110" t="s">
        <v>4</v>
      </c>
      <c r="B7" s="110"/>
      <c r="C7" s="110"/>
      <c r="D7" s="110"/>
      <c r="E7" s="110" t="s">
        <v>364</v>
      </c>
      <c r="F7" s="110"/>
      <c r="G7" s="110"/>
      <c r="H7" s="110"/>
      <c r="K7" s="45"/>
      <c r="L7" s="46" t="s">
        <v>226</v>
      </c>
      <c r="M7" s="46"/>
      <c r="N7" s="46"/>
      <c r="O7" s="46" t="s">
        <v>326</v>
      </c>
      <c r="P7" s="46"/>
    </row>
    <row r="8" spans="1:26" ht="15" customHeight="1" x14ac:dyDescent="0.25">
      <c r="A8" s="110" t="s">
        <v>5</v>
      </c>
      <c r="B8" s="110"/>
      <c r="C8" s="110"/>
      <c r="D8" s="110"/>
      <c r="E8" s="110" t="str">
        <f>E7</f>
        <v>M/s. Excellent Realtor Developers</v>
      </c>
      <c r="F8" s="110"/>
      <c r="G8" s="110"/>
      <c r="H8" s="110"/>
      <c r="K8" s="45"/>
      <c r="L8" s="46"/>
      <c r="M8" s="46"/>
      <c r="N8" s="46"/>
      <c r="O8" s="46" t="s">
        <v>327</v>
      </c>
      <c r="P8" s="46"/>
    </row>
    <row r="9" spans="1:26" x14ac:dyDescent="0.25">
      <c r="A9" s="110" t="s">
        <v>411</v>
      </c>
      <c r="B9" s="110"/>
      <c r="C9" s="110"/>
      <c r="D9" s="110"/>
      <c r="E9" s="113" t="s">
        <v>365</v>
      </c>
      <c r="F9" s="113"/>
      <c r="G9" s="113"/>
      <c r="H9" s="113"/>
      <c r="K9" s="45"/>
      <c r="L9" s="46"/>
      <c r="M9" s="46"/>
      <c r="N9" s="46"/>
      <c r="O9" s="46" t="s">
        <v>328</v>
      </c>
      <c r="P9" s="46"/>
    </row>
    <row r="10" spans="1:26" x14ac:dyDescent="0.25">
      <c r="A10" s="110" t="s">
        <v>412</v>
      </c>
      <c r="B10" s="110"/>
      <c r="C10" s="110"/>
      <c r="D10" s="110"/>
      <c r="E10" s="113" t="s">
        <v>432</v>
      </c>
      <c r="F10" s="113"/>
      <c r="G10" s="113"/>
      <c r="H10" s="113"/>
      <c r="K10" s="45"/>
      <c r="L10" s="46"/>
      <c r="M10" s="46"/>
      <c r="N10" s="46"/>
      <c r="O10" s="46" t="s">
        <v>329</v>
      </c>
      <c r="P10" s="46"/>
    </row>
    <row r="11" spans="1:26" x14ac:dyDescent="0.25">
      <c r="A11" s="110" t="s">
        <v>153</v>
      </c>
      <c r="B11" s="110"/>
      <c r="C11" s="110"/>
      <c r="D11" s="110"/>
      <c r="E11" s="110" t="s">
        <v>438</v>
      </c>
      <c r="F11" s="110"/>
      <c r="G11" s="110"/>
      <c r="H11" s="110"/>
      <c r="O11" s="46" t="s">
        <v>330</v>
      </c>
    </row>
    <row r="12" spans="1:26" x14ac:dyDescent="0.25">
      <c r="A12" s="110" t="s">
        <v>154</v>
      </c>
      <c r="B12" s="110"/>
      <c r="C12" s="110"/>
      <c r="D12" s="110"/>
      <c r="E12" s="110" t="s">
        <v>407</v>
      </c>
      <c r="F12" s="110"/>
      <c r="G12" s="110"/>
      <c r="H12" s="110"/>
      <c r="I12" s="242" t="s">
        <v>366</v>
      </c>
      <c r="J12" s="242"/>
      <c r="K12" s="242"/>
      <c r="L12" s="242"/>
    </row>
    <row r="13" spans="1:26" x14ac:dyDescent="0.25">
      <c r="A13" s="110" t="s">
        <v>6</v>
      </c>
      <c r="B13" s="110"/>
      <c r="C13" s="110"/>
      <c r="D13" s="110"/>
      <c r="E13" s="110" t="s">
        <v>434</v>
      </c>
      <c r="F13" s="110"/>
      <c r="G13" s="110"/>
      <c r="H13" s="110"/>
      <c r="S13" s="46" t="s">
        <v>164</v>
      </c>
      <c r="T13" s="46" t="s">
        <v>173</v>
      </c>
      <c r="U13" s="46" t="s">
        <v>158</v>
      </c>
      <c r="V13" s="46" t="s">
        <v>178</v>
      </c>
      <c r="W13" s="46" t="s">
        <v>196</v>
      </c>
      <c r="X13"/>
      <c r="Y13" t="s">
        <v>178</v>
      </c>
      <c r="Z13" t="e">
        <f ca="1">OFFSET($S$13,1,MATCH($G21,$S$13:$W$13,0)-1,15,1)</f>
        <v>#VALUE!</v>
      </c>
    </row>
    <row r="14" spans="1:26" ht="32.25" customHeight="1" x14ac:dyDescent="0.25">
      <c r="A14" s="200" t="s">
        <v>157</v>
      </c>
      <c r="B14" s="200"/>
      <c r="C14" s="200"/>
      <c r="D14" s="200"/>
      <c r="E14" s="109" t="s">
        <v>414</v>
      </c>
      <c r="F14" s="109"/>
      <c r="G14" s="109"/>
      <c r="H14" s="109"/>
      <c r="S14" s="46" t="s">
        <v>164</v>
      </c>
      <c r="T14" s="46" t="s">
        <v>171</v>
      </c>
      <c r="U14" s="46" t="s">
        <v>193</v>
      </c>
      <c r="V14" s="46" t="s">
        <v>179</v>
      </c>
      <c r="W14" s="46" t="s">
        <v>197</v>
      </c>
      <c r="X14"/>
      <c r="Y14"/>
      <c r="Z14"/>
    </row>
    <row r="15" spans="1:26" x14ac:dyDescent="0.25">
      <c r="A15" s="117" t="s">
        <v>262</v>
      </c>
      <c r="B15" s="117"/>
      <c r="C15" s="117"/>
      <c r="D15" s="117"/>
      <c r="E15" s="109" t="s">
        <v>437</v>
      </c>
      <c r="F15" s="109"/>
      <c r="G15" s="109"/>
      <c r="H15" s="109"/>
      <c r="I15" s="226" t="e">
        <f ca="1">OFFSET($D$5,1,MATCH($J13,$D$5:$H$5,0)-1,15,1)</f>
        <v>#N/A</v>
      </c>
      <c r="J15" s="227"/>
      <c r="K15" s="227"/>
      <c r="L15" s="227"/>
      <c r="M15" s="227"/>
      <c r="N15" s="227"/>
      <c r="O15" s="227"/>
      <c r="P15" s="227"/>
      <c r="S15" s="46" t="s">
        <v>165</v>
      </c>
      <c r="T15" s="46" t="s">
        <v>172</v>
      </c>
      <c r="U15" s="46" t="s">
        <v>194</v>
      </c>
      <c r="V15" s="46" t="s">
        <v>180</v>
      </c>
      <c r="W15" s="46" t="s">
        <v>210</v>
      </c>
      <c r="X15"/>
      <c r="Y15"/>
      <c r="Z15"/>
    </row>
    <row r="16" spans="1:26" ht="38.25" customHeight="1" x14ac:dyDescent="0.25">
      <c r="A16" s="117" t="s">
        <v>408</v>
      </c>
      <c r="B16" s="117"/>
      <c r="C16" s="117"/>
      <c r="D16" s="117"/>
      <c r="E16" s="133" t="s">
        <v>409</v>
      </c>
      <c r="F16" s="135"/>
      <c r="G16" s="133" t="s">
        <v>410</v>
      </c>
      <c r="H16" s="135"/>
      <c r="I16" s="133" t="s">
        <v>409</v>
      </c>
      <c r="J16" s="135"/>
      <c r="K16" s="133" t="s">
        <v>410</v>
      </c>
      <c r="L16" s="135"/>
      <c r="S16" s="46" t="s">
        <v>166</v>
      </c>
      <c r="T16" s="46" t="s">
        <v>174</v>
      </c>
      <c r="U16" s="46" t="s">
        <v>195</v>
      </c>
      <c r="V16" s="46" t="s">
        <v>181</v>
      </c>
      <c r="W16" s="46" t="s">
        <v>198</v>
      </c>
      <c r="X16"/>
      <c r="Y16"/>
      <c r="Z16"/>
    </row>
    <row r="17" spans="1:26" ht="64.5" customHeight="1" x14ac:dyDescent="0.25">
      <c r="A17" s="116" t="s">
        <v>7</v>
      </c>
      <c r="B17" s="116"/>
      <c r="C17" s="116" t="str">
        <f>CONCATENATE((IF(OR(E9="",E9="NA"),"",E9)),", ",(IF(OR(A18="",A18="NA"),"",A18)),".",(IF(OR(C18="",C18="NA"),"",C18)),", near ",(IF(OR(C23="",C23="NA"),"",C23)),", ",(IF(OR(C20="",C20="NA"),"",C20)),", ",(IF(OR(C19="",C19="NA"),"",C19)),", ",(IF(OR(G20="",G20="NA"),"",G20)),", ",(IF(OR(C21="",C21="NA"),"",C21)),", ",(IF(OR(C22="",C22="NA"),"",C22)),", ",(IF(OR(G21="",G21="NA"),"",G21))," - ",(IF(OR(G22="",G22="NA"),"",G22)),".")</f>
        <v>La Mer Casa, CS No.227, Redevelopment of "Ashirwad Co-Op Housing Society &amp; Maternity Hospital (STD Clinic)", near Maharashtra College of Arts Science and Commerce, Jahangir Boman Behram Road, Madanpura, Byculla, Mumbai Central East, Mumbai, Mumbai - 400008.</v>
      </c>
      <c r="D17" s="116"/>
      <c r="E17" s="116"/>
      <c r="F17" s="116"/>
      <c r="G17" s="116"/>
      <c r="H17" s="116"/>
      <c r="S17" s="46" t="s">
        <v>167</v>
      </c>
      <c r="T17" s="46" t="s">
        <v>175</v>
      </c>
      <c r="U17" s="46" t="s">
        <v>158</v>
      </c>
      <c r="V17" s="46" t="s">
        <v>182</v>
      </c>
      <c r="W17" s="46" t="s">
        <v>199</v>
      </c>
      <c r="X17"/>
      <c r="Y17"/>
      <c r="Z17"/>
    </row>
    <row r="18" spans="1:26" ht="33" customHeight="1" x14ac:dyDescent="0.25">
      <c r="A18" s="199" t="s">
        <v>369</v>
      </c>
      <c r="B18" s="199"/>
      <c r="C18" s="199" t="s">
        <v>415</v>
      </c>
      <c r="D18" s="199"/>
      <c r="E18" s="199"/>
      <c r="F18" s="199"/>
      <c r="G18" s="199"/>
      <c r="H18" s="199"/>
      <c r="S18" s="46" t="s">
        <v>168</v>
      </c>
      <c r="T18" s="46" t="s">
        <v>173</v>
      </c>
      <c r="U18" s="46"/>
      <c r="V18" s="46" t="s">
        <v>183</v>
      </c>
      <c r="W18" s="46" t="s">
        <v>200</v>
      </c>
      <c r="X18"/>
      <c r="Y18"/>
      <c r="Z18"/>
    </row>
    <row r="19" spans="1:26" x14ac:dyDescent="0.25">
      <c r="A19" s="109" t="s">
        <v>150</v>
      </c>
      <c r="B19" s="109"/>
      <c r="C19" s="109" t="s">
        <v>406</v>
      </c>
      <c r="D19" s="109"/>
      <c r="E19" s="109"/>
      <c r="F19" s="109"/>
      <c r="G19" s="109"/>
      <c r="H19" s="109"/>
      <c r="S19" s="46" t="s">
        <v>169</v>
      </c>
      <c r="T19" s="46" t="s">
        <v>176</v>
      </c>
      <c r="U19" s="46"/>
      <c r="V19" s="46" t="s">
        <v>184</v>
      </c>
      <c r="W19" s="46" t="s">
        <v>201</v>
      </c>
      <c r="X19"/>
      <c r="Y19"/>
      <c r="Z19"/>
    </row>
    <row r="20" spans="1:26" ht="32.25" customHeight="1" x14ac:dyDescent="0.25">
      <c r="A20" s="116" t="s">
        <v>8</v>
      </c>
      <c r="B20" s="116"/>
      <c r="C20" s="109" t="s">
        <v>370</v>
      </c>
      <c r="D20" s="109"/>
      <c r="E20" s="116" t="s">
        <v>67</v>
      </c>
      <c r="F20" s="116"/>
      <c r="G20" s="109" t="s">
        <v>371</v>
      </c>
      <c r="H20" s="109"/>
      <c r="S20" s="46" t="s">
        <v>170</v>
      </c>
      <c r="T20" s="46" t="s">
        <v>177</v>
      </c>
      <c r="U20" s="46"/>
      <c r="V20" s="46" t="s">
        <v>185</v>
      </c>
      <c r="W20" s="46" t="s">
        <v>202</v>
      </c>
      <c r="X20"/>
      <c r="Y20"/>
      <c r="Z20"/>
    </row>
    <row r="21" spans="1:26" x14ac:dyDescent="0.25">
      <c r="A21" s="117" t="s">
        <v>10</v>
      </c>
      <c r="B21" s="117"/>
      <c r="C21" s="109" t="s">
        <v>416</v>
      </c>
      <c r="D21" s="109"/>
      <c r="E21" s="116" t="s">
        <v>9</v>
      </c>
      <c r="F21" s="116"/>
      <c r="G21" s="198" t="s">
        <v>158</v>
      </c>
      <c r="H21" s="198"/>
      <c r="S21" s="46"/>
      <c r="T21" s="46"/>
      <c r="U21" s="46"/>
      <c r="V21" s="46" t="s">
        <v>186</v>
      </c>
      <c r="W21" s="46" t="s">
        <v>203</v>
      </c>
      <c r="X21"/>
      <c r="Y21"/>
      <c r="Z21"/>
    </row>
    <row r="22" spans="1:26" x14ac:dyDescent="0.25">
      <c r="A22" s="117" t="s">
        <v>68</v>
      </c>
      <c r="B22" s="117"/>
      <c r="C22" s="199" t="s">
        <v>158</v>
      </c>
      <c r="D22" s="199"/>
      <c r="E22" s="116" t="s">
        <v>11</v>
      </c>
      <c r="F22" s="116"/>
      <c r="G22" s="109">
        <v>400008</v>
      </c>
      <c r="H22" s="109"/>
      <c r="S22" s="46"/>
      <c r="T22" s="46"/>
      <c r="U22" s="46"/>
      <c r="V22" s="46" t="s">
        <v>187</v>
      </c>
      <c r="W22" s="46" t="s">
        <v>204</v>
      </c>
      <c r="X22"/>
      <c r="Y22"/>
      <c r="Z22"/>
    </row>
    <row r="23" spans="1:26" ht="48" customHeight="1" x14ac:dyDescent="0.25">
      <c r="A23" s="117" t="s">
        <v>112</v>
      </c>
      <c r="B23" s="117"/>
      <c r="C23" s="109" t="s">
        <v>372</v>
      </c>
      <c r="D23" s="109"/>
      <c r="E23" s="116" t="s">
        <v>12</v>
      </c>
      <c r="F23" s="116"/>
      <c r="G23" s="199" t="s">
        <v>373</v>
      </c>
      <c r="H23" s="199"/>
      <c r="S23" s="46"/>
      <c r="T23" s="46"/>
      <c r="U23" s="46"/>
      <c r="V23" s="46" t="s">
        <v>188</v>
      </c>
      <c r="W23" s="46" t="s">
        <v>205</v>
      </c>
      <c r="X23"/>
      <c r="Y23"/>
      <c r="Z23"/>
    </row>
    <row r="24" spans="1:26" ht="18.75" customHeight="1" x14ac:dyDescent="0.25">
      <c r="A24" s="116" t="s">
        <v>69</v>
      </c>
      <c r="B24" s="116"/>
      <c r="C24" s="116"/>
      <c r="D24" s="116"/>
      <c r="E24" s="110" t="s">
        <v>13</v>
      </c>
      <c r="F24" s="110"/>
      <c r="G24" s="110"/>
      <c r="H24" s="110"/>
      <c r="S24" s="46"/>
      <c r="T24" s="46"/>
      <c r="U24" s="46"/>
      <c r="V24" s="46" t="s">
        <v>189</v>
      </c>
      <c r="W24" s="46" t="s">
        <v>206</v>
      </c>
      <c r="X24"/>
      <c r="Y24"/>
      <c r="Z24"/>
    </row>
    <row r="25" spans="1:26" ht="15" customHeight="1" x14ac:dyDescent="0.25">
      <c r="A25" s="116"/>
      <c r="B25" s="116"/>
      <c r="C25" s="116"/>
      <c r="D25" s="116"/>
      <c r="E25" s="110"/>
      <c r="F25" s="110"/>
      <c r="G25" s="110"/>
      <c r="H25" s="110"/>
      <c r="S25" s="46"/>
      <c r="T25" s="46"/>
      <c r="U25" s="46"/>
      <c r="V25" s="46" t="s">
        <v>190</v>
      </c>
      <c r="W25" s="46" t="s">
        <v>207</v>
      </c>
      <c r="X25"/>
      <c r="Y25"/>
      <c r="Z25"/>
    </row>
    <row r="26" spans="1:26" ht="15" customHeight="1" x14ac:dyDescent="0.25">
      <c r="A26" s="116" t="s">
        <v>14</v>
      </c>
      <c r="B26" s="116"/>
      <c r="C26" s="116"/>
      <c r="D26" s="116"/>
      <c r="E26" s="109" t="s">
        <v>15</v>
      </c>
      <c r="F26" s="109"/>
      <c r="G26" s="109"/>
      <c r="H26" s="109"/>
      <c r="S26" s="46"/>
      <c r="T26" s="46"/>
      <c r="U26" s="46"/>
      <c r="V26" s="46" t="s">
        <v>191</v>
      </c>
      <c r="W26" s="46" t="s">
        <v>208</v>
      </c>
      <c r="X26"/>
      <c r="Y26"/>
      <c r="Z26"/>
    </row>
    <row r="27" spans="1:26" x14ac:dyDescent="0.25">
      <c r="A27" s="117" t="s">
        <v>16</v>
      </c>
      <c r="B27" s="117"/>
      <c r="C27" s="117"/>
      <c r="D27" s="117"/>
      <c r="E27" s="109" t="str">
        <f>IF(AND(G21="Mumbai"),"Upper Class","Middle Class")</f>
        <v>Upper Class</v>
      </c>
      <c r="F27" s="109"/>
      <c r="G27" s="109"/>
      <c r="H27" s="109"/>
      <c r="S27" s="46"/>
      <c r="T27" s="46"/>
      <c r="U27" s="46"/>
      <c r="V27" s="46" t="s">
        <v>192</v>
      </c>
      <c r="W27" s="46" t="s">
        <v>209</v>
      </c>
      <c r="X27"/>
      <c r="Y27"/>
      <c r="Z27"/>
    </row>
    <row r="28" spans="1:26" ht="15.75" customHeight="1" x14ac:dyDescent="0.25">
      <c r="A28" s="117" t="s">
        <v>17</v>
      </c>
      <c r="B28" s="117"/>
      <c r="C28" s="117"/>
      <c r="D28" s="117"/>
      <c r="E28" s="109" t="s">
        <v>18</v>
      </c>
      <c r="F28" s="109"/>
      <c r="G28" s="109"/>
      <c r="H28" s="109"/>
    </row>
    <row r="29" spans="1:26" x14ac:dyDescent="0.25">
      <c r="A29" s="117" t="s">
        <v>19</v>
      </c>
      <c r="B29" s="117"/>
      <c r="C29" s="117"/>
      <c r="D29" s="117"/>
      <c r="E29" s="109" t="str">
        <f>IF(AND(G21="Mumbai"),"Developed","Developing")</f>
        <v>Developed</v>
      </c>
      <c r="F29" s="109"/>
      <c r="G29" s="109"/>
      <c r="H29" s="109"/>
    </row>
    <row r="30" spans="1:26" ht="15.75" customHeight="1" x14ac:dyDescent="0.25">
      <c r="A30" s="117" t="s">
        <v>20</v>
      </c>
      <c r="B30" s="117"/>
      <c r="C30" s="117"/>
      <c r="D30" s="117"/>
      <c r="E30" s="109" t="s">
        <v>21</v>
      </c>
      <c r="F30" s="109"/>
      <c r="G30" s="109"/>
      <c r="H30" s="109"/>
    </row>
    <row r="31" spans="1:26" ht="15" customHeight="1" x14ac:dyDescent="0.25">
      <c r="A31" s="117" t="s">
        <v>74</v>
      </c>
      <c r="B31" s="117"/>
      <c r="C31" s="117"/>
      <c r="D31" s="117"/>
      <c r="E31" s="109" t="s">
        <v>75</v>
      </c>
      <c r="F31" s="109"/>
      <c r="G31" s="109"/>
      <c r="H31" s="109"/>
    </row>
    <row r="32" spans="1:26" ht="15.75" customHeight="1" x14ac:dyDescent="0.25">
      <c r="A32" s="117" t="s">
        <v>28</v>
      </c>
      <c r="B32" s="117"/>
      <c r="C32" s="117"/>
      <c r="D32" s="117"/>
      <c r="E32" s="109"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2" s="109"/>
      <c r="G32" s="109"/>
      <c r="H32" s="109"/>
    </row>
    <row r="33" spans="1:19" s="19" customFormat="1" x14ac:dyDescent="0.25">
      <c r="A33" s="117" t="s">
        <v>85</v>
      </c>
      <c r="B33" s="117"/>
      <c r="C33" s="117"/>
      <c r="D33" s="117"/>
      <c r="E33" s="109" t="s">
        <v>29</v>
      </c>
      <c r="F33" s="109"/>
      <c r="G33" s="109"/>
      <c r="H33" s="109"/>
      <c r="S33" s="19" t="e">
        <f ca="1">OFFSET($S$13,1,MATCH($G21,$S$13:$W$13,0)-1,15,1)</f>
        <v>#VALUE!</v>
      </c>
    </row>
    <row r="34" spans="1:19" s="19" customFormat="1" x14ac:dyDescent="0.25">
      <c r="A34" s="194" t="s">
        <v>86</v>
      </c>
      <c r="B34" s="194"/>
      <c r="C34" s="191" t="s">
        <v>159</v>
      </c>
      <c r="D34" s="192"/>
      <c r="E34" s="193"/>
      <c r="F34" s="191" t="s">
        <v>27</v>
      </c>
      <c r="G34" s="192"/>
      <c r="H34" s="193"/>
    </row>
    <row r="35" spans="1:19" x14ac:dyDescent="0.25">
      <c r="A35" s="132" t="s">
        <v>22</v>
      </c>
      <c r="B35" s="132" t="s">
        <v>26</v>
      </c>
      <c r="C35" s="195" t="s">
        <v>375</v>
      </c>
      <c r="D35" s="196"/>
      <c r="E35" s="197"/>
      <c r="F35" s="133" t="s">
        <v>418</v>
      </c>
      <c r="G35" s="134"/>
      <c r="H35" s="135"/>
    </row>
    <row r="36" spans="1:19" s="19" customFormat="1" x14ac:dyDescent="0.25">
      <c r="A36" s="179" t="s">
        <v>23</v>
      </c>
      <c r="B36" s="179" t="s">
        <v>26</v>
      </c>
      <c r="C36" s="180" t="s">
        <v>374</v>
      </c>
      <c r="D36" s="181"/>
      <c r="E36" s="182"/>
      <c r="F36" s="180" t="s">
        <v>377</v>
      </c>
      <c r="G36" s="181"/>
      <c r="H36" s="182"/>
    </row>
    <row r="37" spans="1:19" x14ac:dyDescent="0.25">
      <c r="A37" s="179" t="s">
        <v>25</v>
      </c>
      <c r="B37" s="179" t="s">
        <v>26</v>
      </c>
      <c r="C37" s="180" t="s">
        <v>376</v>
      </c>
      <c r="D37" s="181"/>
      <c r="E37" s="182"/>
      <c r="F37" s="180" t="s">
        <v>379</v>
      </c>
      <c r="G37" s="181"/>
      <c r="H37" s="182"/>
    </row>
    <row r="38" spans="1:19" ht="34.5" customHeight="1" x14ac:dyDescent="0.25">
      <c r="A38" s="132" t="s">
        <v>24</v>
      </c>
      <c r="B38" s="132" t="s">
        <v>26</v>
      </c>
      <c r="C38" s="133" t="s">
        <v>417</v>
      </c>
      <c r="D38" s="134"/>
      <c r="E38" s="135"/>
      <c r="F38" s="133" t="s">
        <v>378</v>
      </c>
      <c r="G38" s="134"/>
      <c r="H38" s="135"/>
    </row>
    <row r="39" spans="1:19" ht="15.75" customHeight="1" x14ac:dyDescent="0.25">
      <c r="A39" s="117" t="s">
        <v>263</v>
      </c>
      <c r="B39" s="117"/>
      <c r="C39" s="117"/>
      <c r="D39" s="117"/>
      <c r="E39" s="117"/>
      <c r="F39" s="117"/>
      <c r="G39" s="117"/>
      <c r="H39" s="117"/>
    </row>
    <row r="40" spans="1:19" x14ac:dyDescent="0.25">
      <c r="A40" s="117" t="s">
        <v>152</v>
      </c>
      <c r="B40" s="117"/>
      <c r="C40" s="122" t="s">
        <v>367</v>
      </c>
      <c r="D40" s="122"/>
      <c r="E40" s="122"/>
      <c r="F40" s="122"/>
      <c r="G40" s="122"/>
      <c r="H40" s="122"/>
    </row>
    <row r="41" spans="1:19" x14ac:dyDescent="0.25">
      <c r="A41" s="117" t="s">
        <v>149</v>
      </c>
      <c r="B41" s="117"/>
      <c r="C41" s="144" t="s">
        <v>368</v>
      </c>
      <c r="D41" s="109"/>
      <c r="E41" s="109"/>
      <c r="F41" s="109"/>
      <c r="G41" s="109"/>
      <c r="H41" s="109"/>
    </row>
    <row r="42" spans="1:19" x14ac:dyDescent="0.25">
      <c r="A42" s="122" t="s">
        <v>30</v>
      </c>
      <c r="B42" s="122"/>
      <c r="C42" s="122"/>
      <c r="D42" s="122"/>
      <c r="E42" s="122"/>
      <c r="F42" s="122"/>
      <c r="G42" s="122"/>
      <c r="H42" s="122"/>
    </row>
    <row r="43" spans="1:19" x14ac:dyDescent="0.25">
      <c r="A43" s="110" t="s">
        <v>31</v>
      </c>
      <c r="B43" s="110"/>
      <c r="C43" s="110"/>
      <c r="D43" s="110"/>
      <c r="E43" s="118">
        <v>5401.81</v>
      </c>
      <c r="F43" s="118"/>
      <c r="G43" s="118"/>
      <c r="H43" s="118"/>
    </row>
    <row r="44" spans="1:19" x14ac:dyDescent="0.25">
      <c r="A44" s="110" t="s">
        <v>32</v>
      </c>
      <c r="B44" s="110"/>
      <c r="C44" s="110"/>
      <c r="D44" s="110"/>
      <c r="E44" s="131">
        <v>3</v>
      </c>
      <c r="F44" s="131"/>
      <c r="G44" s="131"/>
      <c r="H44" s="131"/>
    </row>
    <row r="45" spans="1:19" x14ac:dyDescent="0.25">
      <c r="A45" s="110" t="s">
        <v>33</v>
      </c>
      <c r="B45" s="110"/>
      <c r="C45" s="110"/>
      <c r="D45" s="110"/>
      <c r="E45" s="131">
        <f>E47/E43-E44</f>
        <v>7.2198022514675664E-2</v>
      </c>
      <c r="F45" s="131"/>
      <c r="G45" s="131"/>
      <c r="H45" s="131"/>
    </row>
    <row r="46" spans="1:19" x14ac:dyDescent="0.25">
      <c r="A46" s="110" t="s">
        <v>34</v>
      </c>
      <c r="B46" s="110"/>
      <c r="C46" s="110"/>
      <c r="D46" s="110"/>
      <c r="E46" s="131">
        <f>E44+E45</f>
        <v>3.0721980225146757</v>
      </c>
      <c r="F46" s="131"/>
      <c r="G46" s="131"/>
      <c r="H46" s="131"/>
    </row>
    <row r="47" spans="1:19" x14ac:dyDescent="0.25">
      <c r="A47" s="110" t="s">
        <v>84</v>
      </c>
      <c r="B47" s="110"/>
      <c r="C47" s="110"/>
      <c r="D47" s="110"/>
      <c r="E47" s="166">
        <v>16595.43</v>
      </c>
      <c r="F47" s="166"/>
      <c r="G47" s="166"/>
      <c r="H47" s="166"/>
    </row>
    <row r="48" spans="1:19" x14ac:dyDescent="0.25">
      <c r="A48" s="110" t="s">
        <v>35</v>
      </c>
      <c r="B48" s="110"/>
      <c r="C48" s="110"/>
      <c r="D48" s="110"/>
      <c r="E48" s="110" t="s">
        <v>419</v>
      </c>
      <c r="F48" s="110"/>
      <c r="G48" s="110"/>
      <c r="H48" s="110"/>
    </row>
    <row r="49" spans="1:24" x14ac:dyDescent="0.25">
      <c r="A49" s="122" t="s">
        <v>36</v>
      </c>
      <c r="B49" s="122"/>
      <c r="C49" s="122"/>
      <c r="D49" s="122"/>
      <c r="E49" s="122"/>
      <c r="F49" s="122"/>
      <c r="G49" s="122"/>
      <c r="H49" s="122"/>
      <c r="R49" t="s">
        <v>236</v>
      </c>
      <c r="S49" s="48" t="s">
        <v>158</v>
      </c>
      <c r="T49" s="48" t="s">
        <v>164</v>
      </c>
      <c r="U49" s="48" t="s">
        <v>178</v>
      </c>
      <c r="V49" s="48" t="s">
        <v>173</v>
      </c>
    </row>
    <row r="50" spans="1:24" ht="15.75" customHeight="1" x14ac:dyDescent="0.25">
      <c r="A50" s="126" t="s">
        <v>141</v>
      </c>
      <c r="B50" s="127"/>
      <c r="C50" s="128" t="s">
        <v>238</v>
      </c>
      <c r="D50" s="129"/>
      <c r="E50" s="129"/>
      <c r="F50" s="129"/>
      <c r="G50" s="129"/>
      <c r="H50" s="130"/>
      <c r="R50"/>
      <c r="S50" s="48" t="s">
        <v>237</v>
      </c>
      <c r="T50" s="48" t="s">
        <v>242</v>
      </c>
      <c r="U50" s="48" t="s">
        <v>253</v>
      </c>
      <c r="V50" s="48" t="s">
        <v>258</v>
      </c>
    </row>
    <row r="51" spans="1:24" x14ac:dyDescent="0.25">
      <c r="A51" s="126" t="s">
        <v>37</v>
      </c>
      <c r="B51" s="127"/>
      <c r="C51" s="126" t="s">
        <v>396</v>
      </c>
      <c r="D51" s="167"/>
      <c r="E51" s="127"/>
      <c r="F51" s="17" t="s">
        <v>38</v>
      </c>
      <c r="G51" s="177">
        <v>45772</v>
      </c>
      <c r="H51" s="178"/>
      <c r="R51"/>
      <c r="S51" s="48" t="s">
        <v>238</v>
      </c>
      <c r="T51" s="48" t="s">
        <v>338</v>
      </c>
      <c r="U51" s="48" t="s">
        <v>251</v>
      </c>
      <c r="V51" s="48" t="s">
        <v>259</v>
      </c>
    </row>
    <row r="52" spans="1:24" s="20" customFormat="1" ht="15.75" customHeight="1" x14ac:dyDescent="0.25">
      <c r="A52" s="126" t="s">
        <v>39</v>
      </c>
      <c r="B52" s="127"/>
      <c r="C52" s="126" t="str">
        <f>C51</f>
        <v>EB/2925/E/A/337/2/Amend</v>
      </c>
      <c r="D52" s="167"/>
      <c r="E52" s="127"/>
      <c r="F52" s="17" t="s">
        <v>38</v>
      </c>
      <c r="G52" s="177">
        <f>G51</f>
        <v>45772</v>
      </c>
      <c r="H52" s="178"/>
      <c r="I52" s="19" t="str">
        <f ca="1">IF(G53&gt;EDATE(E3,-48),"NO REMARK","CC REMARK FOR CC")</f>
        <v>CC REMARK FOR CC</v>
      </c>
      <c r="J52" s="67"/>
      <c r="R52"/>
      <c r="S52" s="48" t="s">
        <v>239</v>
      </c>
      <c r="T52" s="48" t="s">
        <v>244</v>
      </c>
      <c r="U52" s="48" t="s">
        <v>241</v>
      </c>
      <c r="V52" s="48" t="s">
        <v>260</v>
      </c>
    </row>
    <row r="53" spans="1:24" s="20" customFormat="1" x14ac:dyDescent="0.25">
      <c r="A53" s="123" t="s">
        <v>405</v>
      </c>
      <c r="B53" s="125"/>
      <c r="C53" s="123" t="s">
        <v>401</v>
      </c>
      <c r="D53" s="124"/>
      <c r="E53" s="125"/>
      <c r="F53" s="96" t="s">
        <v>38</v>
      </c>
      <c r="G53" s="136">
        <v>44071</v>
      </c>
      <c r="H53" s="137"/>
      <c r="R53"/>
      <c r="S53" s="48" t="s">
        <v>240</v>
      </c>
      <c r="T53" s="48" t="s">
        <v>247</v>
      </c>
      <c r="U53" s="48" t="s">
        <v>254</v>
      </c>
      <c r="V53" s="63" t="s">
        <v>404</v>
      </c>
    </row>
    <row r="54" spans="1:24" s="20" customFormat="1" ht="32.25" customHeight="1" x14ac:dyDescent="0.25">
      <c r="A54" s="186"/>
      <c r="B54" s="187"/>
      <c r="C54" s="140"/>
      <c r="D54" s="141"/>
      <c r="E54" s="142"/>
      <c r="F54" s="96" t="s">
        <v>403</v>
      </c>
      <c r="G54" s="136">
        <v>44274</v>
      </c>
      <c r="H54" s="139"/>
      <c r="R54"/>
      <c r="S54" s="48"/>
      <c r="T54" s="48"/>
      <c r="U54" s="48"/>
      <c r="V54" s="63"/>
    </row>
    <row r="55" spans="1:24" s="20" customFormat="1" ht="34.5" customHeight="1" x14ac:dyDescent="0.25">
      <c r="A55" s="140"/>
      <c r="B55" s="142"/>
      <c r="C55" s="145" t="s">
        <v>402</v>
      </c>
      <c r="D55" s="146"/>
      <c r="E55" s="146"/>
      <c r="F55" s="146"/>
      <c r="G55" s="146"/>
      <c r="H55" s="139"/>
      <c r="K55" s="68">
        <f>EDATE(G53,-48)</f>
        <v>42610</v>
      </c>
      <c r="L55" s="20" t="str">
        <f ca="1">IF(G53&gt;EDATE(E3,-48),"NO REMARK","CC REMARK FOR CC")</f>
        <v>CC REMARK FOR CC</v>
      </c>
      <c r="R55"/>
      <c r="S55" s="48" t="s">
        <v>239</v>
      </c>
      <c r="T55" s="48" t="s">
        <v>244</v>
      </c>
      <c r="U55" s="48" t="s">
        <v>241</v>
      </c>
      <c r="V55" s="48" t="s">
        <v>260</v>
      </c>
    </row>
    <row r="56" spans="1:24" s="20" customFormat="1" ht="32.25" hidden="1" customHeight="1" x14ac:dyDescent="0.25">
      <c r="A56" s="162" t="s">
        <v>264</v>
      </c>
      <c r="B56" s="163"/>
      <c r="C56" s="188" t="s">
        <v>380</v>
      </c>
      <c r="D56" s="189"/>
      <c r="E56" s="190"/>
      <c r="F56" s="84" t="s">
        <v>38</v>
      </c>
      <c r="G56" s="160">
        <v>42521</v>
      </c>
      <c r="H56" s="161"/>
      <c r="R56"/>
      <c r="S56" s="48" t="s">
        <v>241</v>
      </c>
      <c r="T56" s="48" t="s">
        <v>245</v>
      </c>
      <c r="U56" s="48" t="s">
        <v>255</v>
      </c>
      <c r="V56" s="64"/>
      <c r="W56" s="18"/>
      <c r="X56" s="18"/>
    </row>
    <row r="57" spans="1:24" s="20" customFormat="1" ht="34.5" hidden="1" customHeight="1" x14ac:dyDescent="0.25">
      <c r="A57" s="164"/>
      <c r="B57" s="165"/>
      <c r="C57" s="183" t="s">
        <v>381</v>
      </c>
      <c r="D57" s="184"/>
      <c r="E57" s="184"/>
      <c r="F57" s="184"/>
      <c r="G57" s="184"/>
      <c r="H57" s="185"/>
      <c r="R57"/>
      <c r="S57" s="64"/>
      <c r="T57" s="48" t="s">
        <v>246</v>
      </c>
      <c r="U57" s="48" t="s">
        <v>256</v>
      </c>
      <c r="V57" s="64"/>
      <c r="W57" s="18"/>
      <c r="X57" s="18"/>
    </row>
    <row r="58" spans="1:24" s="20" customFormat="1" ht="41.25" hidden="1" customHeight="1" x14ac:dyDescent="0.25">
      <c r="A58" s="162" t="s">
        <v>265</v>
      </c>
      <c r="B58" s="163"/>
      <c r="C58" s="126"/>
      <c r="D58" s="167"/>
      <c r="E58" s="127"/>
      <c r="F58" s="17" t="s">
        <v>38</v>
      </c>
      <c r="G58" s="177">
        <f>G57</f>
        <v>0</v>
      </c>
      <c r="H58" s="178"/>
      <c r="R58"/>
      <c r="S58" s="64"/>
      <c r="T58" s="48" t="s">
        <v>248</v>
      </c>
      <c r="U58" s="48" t="s">
        <v>257</v>
      </c>
      <c r="V58" s="64"/>
      <c r="W58" s="18"/>
      <c r="X58" s="18"/>
    </row>
    <row r="59" spans="1:24" s="20" customFormat="1" ht="15.75" hidden="1" customHeight="1" x14ac:dyDescent="0.25">
      <c r="A59" s="164"/>
      <c r="B59" s="165"/>
      <c r="C59" s="126"/>
      <c r="D59" s="167"/>
      <c r="E59" s="167"/>
      <c r="F59" s="167"/>
      <c r="G59" s="167"/>
      <c r="H59" s="127"/>
      <c r="R59"/>
      <c r="S59" s="64"/>
      <c r="T59" s="48" t="s">
        <v>249</v>
      </c>
      <c r="U59" s="64" t="s">
        <v>279</v>
      </c>
      <c r="V59" s="64"/>
      <c r="W59" s="18"/>
      <c r="X59" s="18"/>
    </row>
    <row r="60" spans="1:24" s="20" customFormat="1" ht="33.75" hidden="1" customHeight="1" x14ac:dyDescent="0.25">
      <c r="A60" s="162" t="s">
        <v>333</v>
      </c>
      <c r="B60" s="163"/>
      <c r="C60" s="170"/>
      <c r="D60" s="171"/>
      <c r="E60" s="172"/>
      <c r="F60" s="17" t="s">
        <v>38</v>
      </c>
      <c r="G60" s="177"/>
      <c r="H60" s="178"/>
      <c r="R60"/>
      <c r="S60" s="64"/>
      <c r="T60" s="48" t="s">
        <v>250</v>
      </c>
      <c r="U60" s="64"/>
      <c r="V60" s="64"/>
      <c r="W60" s="18"/>
      <c r="X60" s="18"/>
    </row>
    <row r="61" spans="1:24" s="20" customFormat="1" ht="33.75" hidden="1" customHeight="1" x14ac:dyDescent="0.25">
      <c r="A61" s="168"/>
      <c r="B61" s="169"/>
      <c r="C61" s="173"/>
      <c r="D61" s="174"/>
      <c r="E61" s="175"/>
      <c r="F61" s="17" t="s">
        <v>334</v>
      </c>
      <c r="G61" s="177"/>
      <c r="H61" s="178"/>
      <c r="R61"/>
      <c r="S61" s="64"/>
      <c r="T61" s="48"/>
      <c r="U61" s="64"/>
      <c r="V61" s="64"/>
      <c r="W61" s="18"/>
      <c r="X61" s="18"/>
    </row>
    <row r="62" spans="1:24" hidden="1" x14ac:dyDescent="0.25">
      <c r="A62" s="164"/>
      <c r="B62" s="165"/>
      <c r="C62" s="126" t="s">
        <v>356</v>
      </c>
      <c r="D62" s="167"/>
      <c r="E62" s="167"/>
      <c r="F62" s="167"/>
      <c r="G62" s="167"/>
      <c r="H62" s="127"/>
      <c r="R62"/>
      <c r="S62" s="64"/>
      <c r="T62" s="48" t="s">
        <v>252</v>
      </c>
      <c r="U62" s="64"/>
      <c r="V62" s="64"/>
    </row>
    <row r="63" spans="1:24" x14ac:dyDescent="0.25">
      <c r="A63" s="229" t="s">
        <v>40</v>
      </c>
      <c r="B63" s="230"/>
      <c r="C63" s="229" t="s">
        <v>98</v>
      </c>
      <c r="D63" s="231"/>
      <c r="E63" s="230"/>
      <c r="F63" s="39" t="s">
        <v>38</v>
      </c>
      <c r="G63" s="232" t="s">
        <v>26</v>
      </c>
      <c r="H63" s="233"/>
      <c r="S63" s="64"/>
      <c r="T63" s="48" t="s">
        <v>261</v>
      </c>
      <c r="U63" s="64"/>
      <c r="V63" s="64"/>
    </row>
    <row r="64" spans="1:24" x14ac:dyDescent="0.25">
      <c r="A64" s="111" t="s">
        <v>42</v>
      </c>
      <c r="B64" s="111"/>
      <c r="C64" s="111"/>
      <c r="D64" s="111"/>
      <c r="E64" s="111"/>
      <c r="F64" s="111"/>
      <c r="G64" s="111"/>
      <c r="H64" s="111"/>
      <c r="R64"/>
    </row>
    <row r="65" spans="1:19" x14ac:dyDescent="0.25">
      <c r="A65" s="116" t="s">
        <v>420</v>
      </c>
      <c r="B65" s="116"/>
      <c r="C65" s="116"/>
      <c r="D65" s="117">
        <v>8204.7999999999993</v>
      </c>
      <c r="E65" s="117"/>
      <c r="F65" s="117"/>
      <c r="G65" s="117"/>
      <c r="H65" s="117"/>
      <c r="I65" s="21"/>
      <c r="R65"/>
    </row>
    <row r="66" spans="1:19" ht="15.75" customHeight="1" x14ac:dyDescent="0.25">
      <c r="A66" s="109" t="s">
        <v>43</v>
      </c>
      <c r="B66" s="110"/>
      <c r="C66" s="110"/>
      <c r="D66" s="110" t="s">
        <v>397</v>
      </c>
      <c r="E66" s="110"/>
      <c r="F66" s="110"/>
      <c r="G66" s="110"/>
      <c r="H66" s="110"/>
      <c r="R66"/>
    </row>
    <row r="67" spans="1:19" ht="15.75" customHeight="1" x14ac:dyDescent="0.25">
      <c r="A67" s="123" t="s">
        <v>44</v>
      </c>
      <c r="B67" s="124"/>
      <c r="C67" s="125"/>
      <c r="D67" s="109" t="s">
        <v>422</v>
      </c>
      <c r="E67" s="110"/>
      <c r="F67" s="110"/>
      <c r="G67" s="110"/>
      <c r="H67" s="110"/>
      <c r="R67"/>
    </row>
    <row r="68" spans="1:19" ht="15.75" customHeight="1" x14ac:dyDescent="0.25">
      <c r="A68" s="123" t="s">
        <v>82</v>
      </c>
      <c r="B68" s="124"/>
      <c r="C68" s="124"/>
      <c r="D68" s="109" t="s">
        <v>431</v>
      </c>
      <c r="E68" s="110"/>
      <c r="F68" s="110"/>
      <c r="G68" s="110"/>
      <c r="H68" s="110"/>
      <c r="J68" s="22"/>
      <c r="K68" s="21"/>
      <c r="N68" s="21"/>
      <c r="S68"/>
    </row>
    <row r="69" spans="1:19" ht="15.75" customHeight="1" x14ac:dyDescent="0.25">
      <c r="A69" s="117" t="s">
        <v>41</v>
      </c>
      <c r="B69" s="117"/>
      <c r="C69" s="117"/>
      <c r="D69" s="176" t="s">
        <v>398</v>
      </c>
      <c r="E69" s="176"/>
      <c r="F69" s="176"/>
      <c r="G69" s="176"/>
      <c r="H69" s="176"/>
      <c r="N69" s="21"/>
      <c r="S69"/>
    </row>
    <row r="70" spans="1:19" ht="15.75" customHeight="1" x14ac:dyDescent="0.25">
      <c r="A70" s="117" t="s">
        <v>80</v>
      </c>
      <c r="B70" s="117"/>
      <c r="C70" s="117"/>
      <c r="D70" s="121" t="str">
        <f>(IF(G63="NA","60 Years After Completion",IF(G63&lt;&gt;"NA",""&amp;60-ROUNDDOWN((E3-G63)/360,0)&amp;" Years"," ")))</f>
        <v>60 Years After Completion</v>
      </c>
      <c r="E70" s="121"/>
      <c r="F70" s="121"/>
      <c r="G70" s="121"/>
      <c r="H70" s="121"/>
      <c r="J70" s="23"/>
      <c r="K70" s="23"/>
      <c r="S70"/>
    </row>
    <row r="71" spans="1:19" x14ac:dyDescent="0.25">
      <c r="A71" s="117" t="s">
        <v>81</v>
      </c>
      <c r="B71" s="117"/>
      <c r="C71" s="117"/>
      <c r="D71" s="109" t="s">
        <v>21</v>
      </c>
      <c r="E71" s="109"/>
      <c r="F71" s="109"/>
      <c r="G71" s="109"/>
      <c r="H71" s="109"/>
      <c r="S71"/>
    </row>
    <row r="72" spans="1:19" ht="51.75" customHeight="1" x14ac:dyDescent="0.25">
      <c r="A72" s="110" t="s">
        <v>400</v>
      </c>
      <c r="B72" s="110"/>
      <c r="C72" s="110"/>
      <c r="D72" s="109" t="s">
        <v>399</v>
      </c>
      <c r="E72" s="116"/>
      <c r="F72" s="116"/>
      <c r="G72" s="116"/>
      <c r="H72" s="116"/>
      <c r="I72" s="24"/>
      <c r="J72" s="24"/>
      <c r="K72" s="24"/>
      <c r="L72" s="24"/>
      <c r="M72" s="24"/>
      <c r="N72" s="24"/>
    </row>
    <row r="73" spans="1:19" ht="15.75" customHeight="1" x14ac:dyDescent="0.25">
      <c r="A73" s="116" t="s">
        <v>138</v>
      </c>
      <c r="B73" s="116"/>
      <c r="C73" s="116"/>
      <c r="D73" s="116" t="s">
        <v>26</v>
      </c>
      <c r="E73" s="116"/>
      <c r="F73" s="116"/>
      <c r="G73" s="116"/>
      <c r="H73" s="116"/>
      <c r="J73" s="23"/>
      <c r="S73"/>
    </row>
    <row r="74" spans="1:19" ht="16.5" thickBot="1" x14ac:dyDescent="0.3">
      <c r="A74" s="120" t="s">
        <v>79</v>
      </c>
      <c r="B74" s="120"/>
      <c r="C74" s="120"/>
      <c r="D74" s="105" t="str">
        <f ca="1">(IF(G80&gt;95%,"Nothing",IF(G80&gt;0%,"Cement, Aggregate, Steel, etc",IF(G80=0%,"Work not yet Started"))))</f>
        <v>Cement, Aggregate, Steel, etc</v>
      </c>
      <c r="E74" s="105"/>
      <c r="F74" s="105"/>
      <c r="G74" s="105"/>
      <c r="H74" s="105"/>
      <c r="S74"/>
    </row>
    <row r="75" spans="1:19" ht="15.75" customHeight="1" thickBot="1" x14ac:dyDescent="0.3">
      <c r="A75" s="119" t="s">
        <v>111</v>
      </c>
      <c r="B75" s="119"/>
      <c r="C75" s="119"/>
      <c r="D75" s="105" t="str">
        <f ca="1">(IF(D74="Nothing","Yes",IF(D74="Cement, Aggregate, Steel, etc","Under Construction",IF(D74="Work not yet Started","Work not yet Started"))))</f>
        <v>Under Construction</v>
      </c>
      <c r="E75" s="105"/>
      <c r="F75" s="105" t="str">
        <f ca="1">(IF(D74="Nothing","Yes",IF(D74="Cement, Aggregate, Steel, etc","Under Construction",IF(D74="Work not yet Started","Work not yet Started"))))</f>
        <v>Under Construction</v>
      </c>
      <c r="G75" s="105"/>
      <c r="H75" s="105"/>
      <c r="I75" s="41" t="str">
        <f ca="1">IF(D89=100%,"All work Completed. Possession granted to the Building.",IF(D88=100%,"All work Completed, Waiting for OC",I76&amp;""&amp;I77&amp;""&amp;J76&amp;""&amp;J75&amp;" "&amp;J77))</f>
        <v>Excavation, Plinth Completed, RCC upto 5 Slab Completed</v>
      </c>
      <c r="J75"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5 Slab</v>
      </c>
      <c r="S75"/>
    </row>
    <row r="76" spans="1:19" x14ac:dyDescent="0.25">
      <c r="A76" s="114" t="s">
        <v>130</v>
      </c>
      <c r="B76" s="115"/>
      <c r="C76" s="106" t="str">
        <f>D68</f>
        <v>Building No.2 = 2B + G + 1st to 55th Floor</v>
      </c>
      <c r="D76" s="107"/>
      <c r="E76" s="107"/>
      <c r="F76" s="107"/>
      <c r="G76" s="107"/>
      <c r="H76" s="108"/>
      <c r="I76" s="43" t="str">
        <f ca="1">IF(D80=100%,"Excavation","")&amp;IF(D81=100%,", Plinth","")&amp;IF(D82=100%,", RCC Slab","")&amp;IF(D83=100%,", Brickwork","")&amp;IF(D84=100%,", Internal Plaster","")&amp;IF(D85=100%,", External Plaster","")&amp;IF(D86=100%,", Flooring","")&amp;IF(D87=100%,", Painting","")&amp;IF(D88=100%,", Building common Amenities","")</f>
        <v>Excavation, Plinth</v>
      </c>
      <c r="J76" s="44" t="str">
        <f ca="1">(IF(C80=0,"Work not yet Started.",IF(D80=25%,"Piling work in process",IF(D80=50%,"Excavation work in process",IF(D80=100%,"","0")))))&amp;(IF(C81=0%,"",IF(C81=J81,", Footing work is process",IF(C81=J82,", Footing work Completed",IF(C81=J83,", 1st Basement Completed",IF(C81=J84,", 1st &amp; 2nd Basement Completed",IF(C81=J85,", 1st to 3rd Basement Completed",IF(C81=J86,", 1st to 4th Basement Completed",IF(C81=J87,", Plinth work is process",IF(C81=J88,"","0"))))))))))</f>
        <v/>
      </c>
      <c r="S76"/>
    </row>
    <row r="77" spans="1:19" x14ac:dyDescent="0.25">
      <c r="A77" s="15" t="s">
        <v>132</v>
      </c>
      <c r="B77" s="40">
        <f>IF(AND(ISNUMBER(SEARCH("1B",C76))),1,IF(AND(ISNUMBER(SEARCH("2B",C76))),2,IF(AND(ISNUMBER(SEARCH("3B",C76))),3,IF(AND(ISNUMBER(SEARCH("4B",C76))),4,IF(ISNUMBER(SEARCH("5B",C76)),5,0)))))</f>
        <v>2</v>
      </c>
      <c r="C77" s="40" t="s">
        <v>66</v>
      </c>
      <c r="D77" s="40">
        <v>1</v>
      </c>
      <c r="E77" s="40" t="s">
        <v>65</v>
      </c>
      <c r="F77" s="40">
        <v>0</v>
      </c>
      <c r="G77" s="40" t="s">
        <v>73</v>
      </c>
      <c r="H77" s="16">
        <f ca="1">--TRIM(RIGHT(SUBSTITUTE(LEFT(C76,_xlfn.AGGREGATE(16,6,FIND({0,1,2,3,4,5,6,7,8,9},C76,ROW(INDIRECT("1:"&amp;LEN(C76)))),1))," ",REPT(" ",LEN(C76))),LEN(C76)))</f>
        <v>55</v>
      </c>
      <c r="I77" s="43" t="str">
        <f ca="1">IF(I76&lt;&gt;""," Completed","")</f>
        <v xml:space="preserve"> Completed</v>
      </c>
      <c r="J77" s="44" t="str">
        <f ca="1">IF(J75&lt;&gt;"","Completed","")</f>
        <v>Completed</v>
      </c>
      <c r="S77"/>
    </row>
    <row r="78" spans="1:19" ht="15.75" customHeight="1" x14ac:dyDescent="0.25">
      <c r="A78" s="112" t="s">
        <v>83</v>
      </c>
      <c r="B78" s="113"/>
      <c r="C78" s="158" t="str">
        <f ca="1">I75</f>
        <v>Excavation, Plinth Completed, RCC upto 5 Slab Completed</v>
      </c>
      <c r="D78" s="158"/>
      <c r="E78" s="158"/>
      <c r="F78" s="158"/>
      <c r="G78" s="158"/>
      <c r="H78" s="159"/>
      <c r="I78" s="13" t="s">
        <v>131</v>
      </c>
      <c r="J78" s="25">
        <f ca="1">H77*25%</f>
        <v>13.75</v>
      </c>
      <c r="S78"/>
    </row>
    <row r="79" spans="1:19" x14ac:dyDescent="0.25">
      <c r="A79" s="147" t="s">
        <v>45</v>
      </c>
      <c r="B79" s="148"/>
      <c r="C79" s="93" t="s">
        <v>129</v>
      </c>
      <c r="D79" s="93" t="s">
        <v>76</v>
      </c>
      <c r="E79" s="148" t="s">
        <v>78</v>
      </c>
      <c r="F79" s="148"/>
      <c r="G79" s="148" t="s">
        <v>77</v>
      </c>
      <c r="H79" s="243"/>
      <c r="I79" s="13" t="s">
        <v>93</v>
      </c>
      <c r="J79" s="26">
        <f ca="1">H77*50%</f>
        <v>27.5</v>
      </c>
    </row>
    <row r="80" spans="1:19" x14ac:dyDescent="0.25">
      <c r="A80" s="147" t="s">
        <v>118</v>
      </c>
      <c r="B80" s="148"/>
      <c r="C80" s="93">
        <f ca="1">J80</f>
        <v>55</v>
      </c>
      <c r="D80" s="99">
        <f ca="1">((100/H77)*C80)/100</f>
        <v>1</v>
      </c>
      <c r="E80" s="149">
        <f ca="1">(((C81/H77*10)+(40/(D77+F77+H77)*C82)+(7.5/(H77)*C83)+(7.5/(H77)*C84)+(10/H77*C85)+(10/H77*C86)+(5/H77*C87)+(5/H77*C88)+(5/H77*C89))/100)</f>
        <v>0.1357142857142857</v>
      </c>
      <c r="F80" s="150"/>
      <c r="G80" s="149">
        <f ca="1">((((C80/H77)*20)+((C81/H77)*25)+(30/(H77+F77+D77)*C82)+(5/H77*C83)+(5/H77*C84)+(5/H77*C85)+(5/H77*C86)+(0/H77*C87)+(0/H77*C88)+(5/H77*C89))/100)</f>
        <v>0.47678571428571431</v>
      </c>
      <c r="H80" s="155"/>
      <c r="I80" s="13" t="s">
        <v>94</v>
      </c>
      <c r="J80" s="26">
        <f ca="1">H77</f>
        <v>55</v>
      </c>
      <c r="S80"/>
    </row>
    <row r="81" spans="1:22" ht="15.75" customHeight="1" x14ac:dyDescent="0.25">
      <c r="A81" s="147" t="s">
        <v>46</v>
      </c>
      <c r="B81" s="148"/>
      <c r="C81" s="93">
        <f ca="1">J88</f>
        <v>55</v>
      </c>
      <c r="D81" s="99">
        <f ca="1">((100/H77)*C81)/100</f>
        <v>1</v>
      </c>
      <c r="E81" s="151"/>
      <c r="F81" s="152"/>
      <c r="G81" s="151"/>
      <c r="H81" s="156"/>
      <c r="I81" s="13" t="s">
        <v>95</v>
      </c>
      <c r="J81" s="27">
        <f ca="1">(IF(B77&gt;1,(H77/(B77+2)),H77/4))</f>
        <v>13.75</v>
      </c>
      <c r="S81"/>
    </row>
    <row r="82" spans="1:22" ht="15.75" customHeight="1" x14ac:dyDescent="0.25">
      <c r="A82" s="147" t="s">
        <v>119</v>
      </c>
      <c r="B82" s="148"/>
      <c r="C82" s="93">
        <v>5</v>
      </c>
      <c r="D82" s="99">
        <f ca="1">((100/(D77+F77+H77))*C82)/100</f>
        <v>8.9285714285714288E-2</v>
      </c>
      <c r="E82" s="151"/>
      <c r="F82" s="152"/>
      <c r="G82" s="151"/>
      <c r="H82" s="156"/>
      <c r="I82" s="13" t="s">
        <v>96</v>
      </c>
      <c r="J82" s="27">
        <f ca="1">(IF(B77&gt;1,(H77/(B77+2)+J81),H77/4+J81))</f>
        <v>27.5</v>
      </c>
    </row>
    <row r="83" spans="1:22" ht="15.75" customHeight="1" x14ac:dyDescent="0.25">
      <c r="A83" s="147" t="s">
        <v>126</v>
      </c>
      <c r="B83" s="148" t="s">
        <v>120</v>
      </c>
      <c r="C83" s="93">
        <v>0</v>
      </c>
      <c r="D83" s="99">
        <f ca="1">((100/H77)*C83)/100</f>
        <v>0</v>
      </c>
      <c r="E83" s="151"/>
      <c r="F83" s="152"/>
      <c r="G83" s="151"/>
      <c r="H83" s="156"/>
      <c r="I83" s="13" t="s">
        <v>136</v>
      </c>
      <c r="J83" s="27">
        <f ca="1">(IF(B77&gt;1,(H77/(B77+2)+J82),0))</f>
        <v>41.25</v>
      </c>
    </row>
    <row r="84" spans="1:22" ht="15" customHeight="1" x14ac:dyDescent="0.25">
      <c r="A84" s="147" t="s">
        <v>127</v>
      </c>
      <c r="B84" s="148" t="s">
        <v>120</v>
      </c>
      <c r="C84" s="93">
        <v>0</v>
      </c>
      <c r="D84" s="99">
        <f ca="1">((100/H77)*C84)/100</f>
        <v>0</v>
      </c>
      <c r="E84" s="151"/>
      <c r="F84" s="152"/>
      <c r="G84" s="151"/>
      <c r="H84" s="156"/>
      <c r="I84" s="13" t="s">
        <v>133</v>
      </c>
      <c r="J84" s="27">
        <f>(IF(B77&gt;2,(H77/(B77+2)+J83),0))</f>
        <v>0</v>
      </c>
    </row>
    <row r="85" spans="1:22" ht="15.75" customHeight="1" x14ac:dyDescent="0.25">
      <c r="A85" s="147" t="s">
        <v>125</v>
      </c>
      <c r="B85" s="148" t="s">
        <v>122</v>
      </c>
      <c r="C85" s="93">
        <v>0</v>
      </c>
      <c r="D85" s="99">
        <f ca="1">((100/(H77))*C85)/100</f>
        <v>0</v>
      </c>
      <c r="E85" s="151"/>
      <c r="F85" s="152"/>
      <c r="G85" s="151"/>
      <c r="H85" s="156"/>
      <c r="I85" s="13" t="s">
        <v>134</v>
      </c>
      <c r="J85" s="28">
        <f>(IF(B77&gt;3,(H77/(B77+2)+J84),0))</f>
        <v>0</v>
      </c>
    </row>
    <row r="86" spans="1:22" ht="15.75" customHeight="1" x14ac:dyDescent="0.25">
      <c r="A86" s="147" t="s">
        <v>121</v>
      </c>
      <c r="B86" s="148" t="s">
        <v>121</v>
      </c>
      <c r="C86" s="93">
        <v>0</v>
      </c>
      <c r="D86" s="99">
        <f ca="1">((100/H77)*C86)/100</f>
        <v>0</v>
      </c>
      <c r="E86" s="151"/>
      <c r="F86" s="152"/>
      <c r="G86" s="151"/>
      <c r="H86" s="156"/>
      <c r="I86" s="13" t="s">
        <v>135</v>
      </c>
      <c r="J86" s="27">
        <f>(IF(B77&gt;4,(H77/(B77+2)+J85),0))</f>
        <v>0</v>
      </c>
    </row>
    <row r="87" spans="1:22" ht="15.75" customHeight="1" x14ac:dyDescent="0.25">
      <c r="A87" s="147" t="s">
        <v>128</v>
      </c>
      <c r="B87" s="148"/>
      <c r="C87" s="93">
        <v>0</v>
      </c>
      <c r="D87" s="99">
        <f ca="1">((100/H77)*C87)/100</f>
        <v>0</v>
      </c>
      <c r="E87" s="151"/>
      <c r="F87" s="152"/>
      <c r="G87" s="151"/>
      <c r="H87" s="156"/>
      <c r="I87" s="13" t="s">
        <v>137</v>
      </c>
      <c r="J87" s="27">
        <f>(IF(B77=1,(H77/(B77+3)+J82),IF(B77=0,(H77/4+J82),IF(B77&gt;1,0))))</f>
        <v>0</v>
      </c>
    </row>
    <row r="88" spans="1:22" ht="16.5" thickBot="1" x14ac:dyDescent="0.3">
      <c r="A88" s="147" t="s">
        <v>123</v>
      </c>
      <c r="B88" s="148" t="s">
        <v>123</v>
      </c>
      <c r="C88" s="93">
        <v>0</v>
      </c>
      <c r="D88" s="99">
        <f ca="1">((100/(H77))*C88)/100</f>
        <v>0</v>
      </c>
      <c r="E88" s="151"/>
      <c r="F88" s="152"/>
      <c r="G88" s="151"/>
      <c r="H88" s="156"/>
      <c r="I88" s="14" t="s">
        <v>97</v>
      </c>
      <c r="J88" s="29">
        <f ca="1">(IF(B77&gt;1.5,(H77/(B77+2)+J82+MAX(0,J83-J82)+MAX(0,J84-J83)+MAX(0,J85-J84)+MAX(0,J86-J85)+MAX(0,J87-J86)),IF(B77=1,(H77/(B77+3)+J87),IF(B77=0,H77/4+J87))))</f>
        <v>55</v>
      </c>
    </row>
    <row r="89" spans="1:22" ht="16.5" thickBot="1" x14ac:dyDescent="0.3">
      <c r="A89" s="244" t="s">
        <v>124</v>
      </c>
      <c r="B89" s="245"/>
      <c r="C89" s="100">
        <v>0</v>
      </c>
      <c r="D89" s="101">
        <f ca="1">((100/(H77))*C89)/100</f>
        <v>0</v>
      </c>
      <c r="E89" s="153"/>
      <c r="F89" s="154"/>
      <c r="G89" s="153"/>
      <c r="H89" s="157"/>
      <c r="R89" t="s">
        <v>236</v>
      </c>
      <c r="S89" t="s">
        <v>158</v>
      </c>
      <c r="T89" t="s">
        <v>164</v>
      </c>
      <c r="U89" t="s">
        <v>178</v>
      </c>
      <c r="V89" t="s">
        <v>173</v>
      </c>
    </row>
    <row r="90" spans="1:22" x14ac:dyDescent="0.25">
      <c r="A90" s="234" t="s">
        <v>144</v>
      </c>
      <c r="B90" s="234"/>
      <c r="C90" s="234"/>
      <c r="D90" s="234"/>
      <c r="E90" s="234"/>
      <c r="F90" s="222" t="s">
        <v>148</v>
      </c>
      <c r="G90" s="222"/>
      <c r="H90" s="222"/>
      <c r="R90"/>
      <c r="S90">
        <v>800000</v>
      </c>
      <c r="T90">
        <v>150000</v>
      </c>
      <c r="U90">
        <v>100000</v>
      </c>
      <c r="V90">
        <v>100000</v>
      </c>
    </row>
    <row r="91" spans="1:22" x14ac:dyDescent="0.25">
      <c r="A91" s="110" t="s">
        <v>146</v>
      </c>
      <c r="B91" s="110"/>
      <c r="C91" s="110"/>
      <c r="D91" s="110"/>
      <c r="E91" s="110"/>
      <c r="F91" s="206">
        <v>36000</v>
      </c>
      <c r="G91" s="206"/>
      <c r="H91" s="206"/>
      <c r="R91"/>
      <c r="S91">
        <v>900000</v>
      </c>
      <c r="T91">
        <v>200000</v>
      </c>
      <c r="U91">
        <v>150000</v>
      </c>
      <c r="V91">
        <v>150000</v>
      </c>
    </row>
    <row r="92" spans="1:22" hidden="1" x14ac:dyDescent="0.25">
      <c r="A92" s="110" t="s">
        <v>145</v>
      </c>
      <c r="B92" s="110"/>
      <c r="C92" s="110"/>
      <c r="D92" s="110"/>
      <c r="E92" s="110"/>
      <c r="F92" s="206"/>
      <c r="G92" s="206"/>
      <c r="H92" s="206"/>
      <c r="R92"/>
      <c r="S92">
        <v>1000000</v>
      </c>
      <c r="T92">
        <v>250000</v>
      </c>
      <c r="U92">
        <v>200000</v>
      </c>
      <c r="V92">
        <v>200000</v>
      </c>
    </row>
    <row r="93" spans="1:22" s="30" customFormat="1" hidden="1" x14ac:dyDescent="0.25">
      <c r="A93" s="110" t="s">
        <v>147</v>
      </c>
      <c r="B93" s="110"/>
      <c r="C93" s="110"/>
      <c r="D93" s="110"/>
      <c r="E93" s="110"/>
      <c r="F93" s="206"/>
      <c r="G93" s="206"/>
      <c r="H93" s="206"/>
      <c r="R93"/>
      <c r="S93">
        <v>1100000</v>
      </c>
      <c r="T93">
        <v>300000</v>
      </c>
      <c r="U93">
        <v>250000</v>
      </c>
      <c r="V93" s="20">
        <v>250000</v>
      </c>
    </row>
    <row r="94" spans="1:22" s="30" customFormat="1" hidden="1" x14ac:dyDescent="0.25">
      <c r="A94" s="110" t="s">
        <v>161</v>
      </c>
      <c r="B94" s="110"/>
      <c r="C94" s="110"/>
      <c r="D94" s="110"/>
      <c r="E94" s="110"/>
      <c r="F94" s="206"/>
      <c r="G94" s="206"/>
      <c r="H94" s="206"/>
      <c r="R94"/>
      <c r="S94">
        <v>1200000</v>
      </c>
      <c r="T94">
        <v>350000</v>
      </c>
      <c r="U94">
        <v>300000</v>
      </c>
      <c r="V94">
        <v>300000</v>
      </c>
    </row>
    <row r="95" spans="1:22" s="30" customFormat="1" hidden="1" x14ac:dyDescent="0.25">
      <c r="A95" s="110" t="s">
        <v>87</v>
      </c>
      <c r="B95" s="110"/>
      <c r="C95" s="110"/>
      <c r="D95" s="110"/>
      <c r="E95" s="110"/>
      <c r="F95" s="206"/>
      <c r="G95" s="206"/>
      <c r="H95" s="206"/>
      <c r="R95"/>
      <c r="S95">
        <v>1300000</v>
      </c>
      <c r="T95">
        <v>400000</v>
      </c>
      <c r="U95">
        <v>350000</v>
      </c>
      <c r="V95" s="20">
        <v>400000</v>
      </c>
    </row>
    <row r="96" spans="1:22" s="30" customFormat="1" hidden="1" x14ac:dyDescent="0.25">
      <c r="A96" s="110" t="s">
        <v>88</v>
      </c>
      <c r="B96" s="110"/>
      <c r="C96" s="110"/>
      <c r="D96" s="110"/>
      <c r="E96" s="110"/>
      <c r="F96" s="206"/>
      <c r="G96" s="206"/>
      <c r="H96" s="206"/>
      <c r="R96"/>
      <c r="S96">
        <v>1400000</v>
      </c>
      <c r="T96">
        <v>500000</v>
      </c>
      <c r="U96">
        <v>400000</v>
      </c>
      <c r="V96"/>
    </row>
    <row r="97" spans="1:22" s="30" customFormat="1" hidden="1" x14ac:dyDescent="0.25">
      <c r="A97" s="110" t="s">
        <v>89</v>
      </c>
      <c r="B97" s="110"/>
      <c r="C97" s="110"/>
      <c r="D97" s="110"/>
      <c r="E97" s="110"/>
      <c r="F97" s="206"/>
      <c r="G97" s="206"/>
      <c r="H97" s="206"/>
      <c r="R97"/>
      <c r="S97">
        <v>1500000</v>
      </c>
      <c r="T97">
        <v>600000</v>
      </c>
      <c r="U97">
        <v>500000</v>
      </c>
      <c r="V97" s="20"/>
    </row>
    <row r="98" spans="1:22" s="30" customFormat="1" hidden="1" x14ac:dyDescent="0.25">
      <c r="A98" s="110" t="s">
        <v>90</v>
      </c>
      <c r="B98" s="110"/>
      <c r="C98" s="110"/>
      <c r="D98" s="110"/>
      <c r="E98" s="110"/>
      <c r="F98" s="206"/>
      <c r="G98" s="206"/>
      <c r="H98" s="206"/>
      <c r="R98"/>
      <c r="S98">
        <v>1600000</v>
      </c>
      <c r="T98">
        <v>700000</v>
      </c>
      <c r="U98">
        <v>600000</v>
      </c>
      <c r="V98"/>
    </row>
    <row r="99" spans="1:22" s="30" customFormat="1" hidden="1" x14ac:dyDescent="0.25">
      <c r="A99" s="110" t="s">
        <v>91</v>
      </c>
      <c r="B99" s="110"/>
      <c r="C99" s="110"/>
      <c r="D99" s="110"/>
      <c r="E99" s="110"/>
      <c r="F99" s="206"/>
      <c r="G99" s="206"/>
      <c r="H99" s="206"/>
      <c r="R99"/>
      <c r="S99">
        <v>1700000</v>
      </c>
      <c r="T99">
        <v>800000</v>
      </c>
      <c r="U99"/>
      <c r="V99" s="20"/>
    </row>
    <row r="100" spans="1:22" hidden="1" x14ac:dyDescent="0.25">
      <c r="A100" s="110" t="s">
        <v>92</v>
      </c>
      <c r="B100" s="110"/>
      <c r="C100" s="110"/>
      <c r="D100" s="110"/>
      <c r="E100" s="110"/>
      <c r="F100" s="206"/>
      <c r="G100" s="206"/>
      <c r="H100" s="206"/>
      <c r="R100"/>
      <c r="S100">
        <v>1800000</v>
      </c>
      <c r="T100">
        <v>900000</v>
      </c>
      <c r="U100"/>
    </row>
    <row r="101" spans="1:22" s="31" customFormat="1" x14ac:dyDescent="0.25">
      <c r="A101" s="110" t="s">
        <v>47</v>
      </c>
      <c r="B101" s="110"/>
      <c r="C101" s="110"/>
      <c r="D101" s="110"/>
      <c r="E101" s="110"/>
      <c r="F101" s="206">
        <v>1500000</v>
      </c>
      <c r="G101" s="206"/>
      <c r="H101" s="206"/>
      <c r="R101" s="18"/>
      <c r="S101" s="18"/>
      <c r="T101">
        <v>1000000</v>
      </c>
      <c r="U101"/>
      <c r="V101" s="18"/>
    </row>
    <row r="102" spans="1:22" s="32" customFormat="1" x14ac:dyDescent="0.25">
      <c r="A102" s="113" t="s">
        <v>48</v>
      </c>
      <c r="B102" s="113"/>
      <c r="C102" s="113"/>
      <c r="D102" s="113"/>
      <c r="E102" s="113"/>
      <c r="F102" s="206">
        <f>F91*0.8</f>
        <v>28800</v>
      </c>
      <c r="G102" s="206"/>
      <c r="H102" s="206"/>
      <c r="T102"/>
    </row>
    <row r="103" spans="1:22" s="32" customFormat="1" ht="15.75" customHeight="1" x14ac:dyDescent="0.25">
      <c r="A103" s="207" t="s">
        <v>64</v>
      </c>
      <c r="B103" s="207"/>
      <c r="C103" s="207"/>
      <c r="D103" s="207"/>
      <c r="E103" s="207"/>
      <c r="F103" s="207"/>
      <c r="G103" s="207"/>
      <c r="H103" s="207"/>
      <c r="T103"/>
    </row>
    <row r="104" spans="1:22" s="32" customFormat="1" x14ac:dyDescent="0.25">
      <c r="A104" s="143" t="s">
        <v>49</v>
      </c>
      <c r="B104" s="143"/>
      <c r="C104" s="221" t="s">
        <v>71</v>
      </c>
      <c r="D104" s="221"/>
      <c r="E104" s="212" t="s">
        <v>50</v>
      </c>
      <c r="F104" s="212"/>
      <c r="G104" s="143" t="s">
        <v>51</v>
      </c>
      <c r="H104" s="143"/>
      <c r="I104" s="92" t="s">
        <v>395</v>
      </c>
      <c r="T104"/>
    </row>
    <row r="105" spans="1:22" s="32" customFormat="1" x14ac:dyDescent="0.25">
      <c r="A105" s="248" t="s">
        <v>413</v>
      </c>
      <c r="B105" s="248"/>
      <c r="C105" s="237">
        <f>COUNT(D119:D122)*2+COUNT(D126:D131)*8+COUNT(D133:D138)*3+COUNT(D140:D143)</f>
        <v>78</v>
      </c>
      <c r="D105" s="237"/>
      <c r="E105" s="237">
        <f t="shared" ref="E105" si="0">SUM(F119:F122)*2+SUM(F126:F131)*8+SUM(F133:F138)*3+SUM(F140:F143)</f>
        <v>68550.964560000008</v>
      </c>
      <c r="F105" s="237"/>
      <c r="G105" s="237">
        <f>SUM(H119:H122)*2+SUM(H126:H131)*8+SUM(H133:H138)*3+SUM(H140:H143)</f>
        <v>102826.44684</v>
      </c>
      <c r="H105" s="237"/>
      <c r="I105" s="32">
        <f>29-15</f>
        <v>14</v>
      </c>
      <c r="J105" s="98">
        <f>14*6-6</f>
        <v>78</v>
      </c>
      <c r="T105"/>
    </row>
    <row r="106" spans="1:22" s="31" customFormat="1" x14ac:dyDescent="0.25">
      <c r="A106" s="211" t="s">
        <v>140</v>
      </c>
      <c r="B106" s="211"/>
      <c r="C106" s="220">
        <f>SUM(C105:C105)</f>
        <v>78</v>
      </c>
      <c r="D106" s="221"/>
      <c r="E106" s="143">
        <f>SUM(E105:E105)</f>
        <v>68550.964560000008</v>
      </c>
      <c r="F106" s="212"/>
      <c r="G106" s="143">
        <f>SUM(G105:G105)</f>
        <v>102826.44684</v>
      </c>
      <c r="H106" s="143"/>
      <c r="T106" s="32"/>
    </row>
    <row r="107" spans="1:22" x14ac:dyDescent="0.25">
      <c r="A107" s="222" t="s">
        <v>336</v>
      </c>
      <c r="B107" s="222"/>
      <c r="C107" s="222"/>
      <c r="D107" s="222"/>
      <c r="E107" s="222"/>
      <c r="F107" s="222"/>
      <c r="G107" s="222"/>
      <c r="H107" s="222"/>
      <c r="T107" s="32"/>
    </row>
    <row r="108" spans="1:22" x14ac:dyDescent="0.25">
      <c r="A108" s="228" t="s">
        <v>160</v>
      </c>
      <c r="B108" s="228"/>
      <c r="C108" s="228"/>
      <c r="D108" s="228"/>
      <c r="E108" s="228"/>
      <c r="F108" s="228"/>
      <c r="G108" s="228"/>
      <c r="H108" s="228"/>
      <c r="I108" s="89">
        <f>10.764</f>
        <v>10.763999999999999</v>
      </c>
      <c r="T108" s="86"/>
    </row>
    <row r="109" spans="1:22" s="86" customFormat="1" ht="47.25" x14ac:dyDescent="0.25">
      <c r="A109" s="238" t="s">
        <v>384</v>
      </c>
      <c r="B109" s="240" t="s">
        <v>162</v>
      </c>
      <c r="C109" s="240" t="s">
        <v>52</v>
      </c>
      <c r="D109" s="240" t="s">
        <v>357</v>
      </c>
      <c r="E109" s="240" t="s">
        <v>429</v>
      </c>
      <c r="F109" s="240" t="s">
        <v>53</v>
      </c>
      <c r="G109" s="246" t="s">
        <v>54</v>
      </c>
      <c r="H109" s="87" t="s">
        <v>139</v>
      </c>
      <c r="I109" s="33"/>
    </row>
    <row r="110" spans="1:22" s="86" customFormat="1" x14ac:dyDescent="0.25">
      <c r="A110" s="239"/>
      <c r="B110" s="241"/>
      <c r="C110" s="241"/>
      <c r="D110" s="241"/>
      <c r="E110" s="241"/>
      <c r="F110" s="241"/>
      <c r="G110" s="247"/>
      <c r="H110" s="85">
        <v>0.5</v>
      </c>
      <c r="J110" s="33"/>
    </row>
    <row r="111" spans="1:22" s="86" customFormat="1" x14ac:dyDescent="0.25">
      <c r="A111" s="216" t="s">
        <v>413</v>
      </c>
      <c r="B111" s="217"/>
      <c r="C111" s="217"/>
      <c r="D111" s="217"/>
      <c r="E111" s="217"/>
      <c r="F111" s="217"/>
      <c r="G111" s="217"/>
      <c r="H111" s="218"/>
      <c r="J111" s="33"/>
    </row>
    <row r="112" spans="1:22" s="86" customFormat="1" x14ac:dyDescent="0.25">
      <c r="A112" s="216" t="s">
        <v>387</v>
      </c>
      <c r="B112" s="217"/>
      <c r="C112" s="217"/>
      <c r="D112" s="217"/>
      <c r="E112" s="217"/>
      <c r="F112" s="217"/>
      <c r="G112" s="217"/>
      <c r="H112" s="218"/>
      <c r="I112" s="91">
        <f>11</f>
        <v>11</v>
      </c>
      <c r="J112" s="33"/>
    </row>
    <row r="113" spans="1:20" s="86" customFormat="1" x14ac:dyDescent="0.25">
      <c r="A113" s="216" t="s">
        <v>388</v>
      </c>
      <c r="B113" s="217"/>
      <c r="C113" s="217"/>
      <c r="D113" s="217"/>
      <c r="E113" s="217"/>
      <c r="F113" s="217"/>
      <c r="G113" s="217"/>
      <c r="H113" s="218"/>
      <c r="I113" s="91">
        <f>1</f>
        <v>1</v>
      </c>
      <c r="J113" s="33"/>
    </row>
    <row r="114" spans="1:20" s="86" customFormat="1" x14ac:dyDescent="0.25">
      <c r="A114" s="216" t="s">
        <v>423</v>
      </c>
      <c r="B114" s="217"/>
      <c r="C114" s="217"/>
      <c r="D114" s="217"/>
      <c r="E114" s="217"/>
      <c r="F114" s="217"/>
      <c r="G114" s="217"/>
      <c r="H114" s="218"/>
      <c r="I114" s="91">
        <f>1</f>
        <v>1</v>
      </c>
      <c r="J114" s="33"/>
    </row>
    <row r="115" spans="1:20" s="86" customFormat="1" x14ac:dyDescent="0.25">
      <c r="A115" s="216" t="s">
        <v>389</v>
      </c>
      <c r="B115" s="217"/>
      <c r="C115" s="217"/>
      <c r="D115" s="217"/>
      <c r="E115" s="217"/>
      <c r="F115" s="217"/>
      <c r="G115" s="217"/>
      <c r="H115" s="218"/>
      <c r="I115" s="91">
        <f>2</f>
        <v>2</v>
      </c>
      <c r="J115" s="33"/>
    </row>
    <row r="116" spans="1:20" s="86" customFormat="1" x14ac:dyDescent="0.25">
      <c r="A116" s="216" t="s">
        <v>390</v>
      </c>
      <c r="B116" s="217"/>
      <c r="C116" s="217"/>
      <c r="D116" s="217"/>
      <c r="E116" s="217"/>
      <c r="F116" s="217"/>
      <c r="G116" s="217"/>
      <c r="H116" s="218"/>
      <c r="I116" s="91">
        <f>2</f>
        <v>2</v>
      </c>
      <c r="J116" s="33"/>
    </row>
    <row r="117" spans="1:20" s="86" customFormat="1" ht="15.75" customHeight="1" x14ac:dyDescent="0.25">
      <c r="A117" s="216" t="s">
        <v>424</v>
      </c>
      <c r="B117" s="217"/>
      <c r="C117" s="217"/>
      <c r="D117" s="217"/>
      <c r="E117" s="217"/>
      <c r="F117" s="217"/>
      <c r="G117" s="217"/>
      <c r="H117" s="218"/>
      <c r="I117" s="33"/>
      <c r="L117" s="138"/>
      <c r="M117" s="138"/>
      <c r="N117" s="33"/>
    </row>
    <row r="118" spans="1:20" s="86" customFormat="1" ht="15.75" customHeight="1" x14ac:dyDescent="0.25">
      <c r="A118" s="216" t="s">
        <v>391</v>
      </c>
      <c r="B118" s="217"/>
      <c r="C118" s="217"/>
      <c r="D118" s="217"/>
      <c r="E118" s="217"/>
      <c r="F118" s="217"/>
      <c r="G118" s="217"/>
      <c r="H118" s="218"/>
      <c r="I118" s="33"/>
      <c r="L118" s="138"/>
      <c r="M118" s="138"/>
      <c r="N118" s="33"/>
    </row>
    <row r="119" spans="1:20" s="86" customFormat="1" ht="15.75" customHeight="1" x14ac:dyDescent="0.25">
      <c r="A119" s="235">
        <v>1</v>
      </c>
      <c r="B119" s="236"/>
      <c r="C119" s="88" t="s">
        <v>392</v>
      </c>
      <c r="D119" s="89">
        <f>(100.28)*(10.764)</f>
        <v>1079.41392</v>
      </c>
      <c r="E119" s="88">
        <v>0</v>
      </c>
      <c r="F119" s="88">
        <f>D119+E119</f>
        <v>1079.41392</v>
      </c>
      <c r="G119" s="88">
        <v>0</v>
      </c>
      <c r="H119" s="88">
        <f>F119*(($H$110)+1)+(IF(G119&lt;101,G119,IF(G119&lt;201,G119/2,IF(G119&lt;=301,G119/3,G119/4))))</f>
        <v>1619.1208799999999</v>
      </c>
      <c r="I119" s="33"/>
      <c r="L119" s="138"/>
      <c r="M119" s="138"/>
      <c r="N119" s="33"/>
    </row>
    <row r="120" spans="1:20" s="86" customFormat="1" ht="15.75" customHeight="1" x14ac:dyDescent="0.25">
      <c r="A120" s="235">
        <f>A119+1</f>
        <v>2</v>
      </c>
      <c r="B120" s="236"/>
      <c r="C120" s="88" t="s">
        <v>393</v>
      </c>
      <c r="D120" s="89">
        <f>(79.65)*(10.764)</f>
        <v>857.35260000000005</v>
      </c>
      <c r="E120" s="88">
        <v>0</v>
      </c>
      <c r="F120" s="88">
        <f>D120+E120</f>
        <v>857.35260000000005</v>
      </c>
      <c r="G120" s="88">
        <v>0</v>
      </c>
      <c r="H120" s="88">
        <f t="shared" ref="H120:H122" si="1">F120*(($H$110)+1)+(IF(G120&lt;101,G120,IF(G120&lt;201,G120/2,IF(G120&lt;=301,G120/3,G120/4))))</f>
        <v>1286.0289</v>
      </c>
      <c r="I120" s="33"/>
      <c r="L120" s="138"/>
      <c r="M120" s="138"/>
      <c r="N120" s="33"/>
      <c r="T120" s="18"/>
    </row>
    <row r="121" spans="1:20" s="86" customFormat="1" ht="15.75" customHeight="1" x14ac:dyDescent="0.25">
      <c r="A121" s="235">
        <f>A120+1</f>
        <v>3</v>
      </c>
      <c r="B121" s="236"/>
      <c r="C121" s="88" t="s">
        <v>393</v>
      </c>
      <c r="D121" s="89">
        <f>(71.75)*(10.764)</f>
        <v>772.31700000000001</v>
      </c>
      <c r="E121" s="88">
        <v>0</v>
      </c>
      <c r="F121" s="88">
        <f>D121+E121</f>
        <v>772.31700000000001</v>
      </c>
      <c r="G121" s="88">
        <v>0</v>
      </c>
      <c r="H121" s="88">
        <f t="shared" si="1"/>
        <v>1158.4755</v>
      </c>
      <c r="I121" s="33"/>
      <c r="L121" s="138"/>
      <c r="M121" s="138"/>
      <c r="N121" s="33"/>
    </row>
    <row r="122" spans="1:20" s="86" customFormat="1" ht="15.75" customHeight="1" x14ac:dyDescent="0.25">
      <c r="A122" s="235">
        <f>A121+1</f>
        <v>4</v>
      </c>
      <c r="B122" s="236"/>
      <c r="C122" s="88" t="s">
        <v>393</v>
      </c>
      <c r="D122" s="89">
        <f>(81.05)*(10.764)</f>
        <v>872.42219999999986</v>
      </c>
      <c r="E122" s="89">
        <f>(3.5)*(10.764)</f>
        <v>37.673999999999999</v>
      </c>
      <c r="F122" s="88">
        <f>D122+E122</f>
        <v>910.09619999999984</v>
      </c>
      <c r="G122" s="88">
        <v>0</v>
      </c>
      <c r="H122" s="88">
        <f t="shared" si="1"/>
        <v>1365.1442999999997</v>
      </c>
      <c r="I122" s="97">
        <f>3.36*1.05</f>
        <v>3.528</v>
      </c>
      <c r="L122" s="138"/>
      <c r="M122" s="138"/>
      <c r="N122" s="33"/>
      <c r="T122" s="18"/>
    </row>
    <row r="123" spans="1:20" s="86" customFormat="1" x14ac:dyDescent="0.25">
      <c r="A123" s="235">
        <f>A122+1</f>
        <v>5</v>
      </c>
      <c r="B123" s="236"/>
      <c r="C123" s="249" t="s">
        <v>382</v>
      </c>
      <c r="D123" s="250"/>
      <c r="E123" s="250"/>
      <c r="F123" s="250"/>
      <c r="G123" s="250"/>
      <c r="H123" s="251"/>
      <c r="I123" s="90">
        <f>6+2</f>
        <v>8</v>
      </c>
      <c r="L123" s="138"/>
      <c r="M123" s="138"/>
    </row>
    <row r="124" spans="1:20" s="86" customFormat="1" x14ac:dyDescent="0.25">
      <c r="A124" s="235">
        <f>A123+1</f>
        <v>6</v>
      </c>
      <c r="B124" s="236"/>
      <c r="C124" s="252"/>
      <c r="D124" s="253"/>
      <c r="E124" s="253"/>
      <c r="F124" s="253"/>
      <c r="G124" s="253"/>
      <c r="H124" s="254"/>
      <c r="I124" s="33"/>
      <c r="N124" s="33"/>
    </row>
    <row r="125" spans="1:20" s="86" customFormat="1" x14ac:dyDescent="0.25">
      <c r="A125" s="224" t="s">
        <v>425</v>
      </c>
      <c r="B125" s="224"/>
      <c r="C125" s="224"/>
      <c r="D125" s="224"/>
      <c r="E125" s="224"/>
      <c r="F125" s="224"/>
      <c r="G125" s="224"/>
      <c r="H125" s="224"/>
      <c r="I125" s="33">
        <f>52000/1.5</f>
        <v>34666.666666666664</v>
      </c>
      <c r="K125" s="86">
        <v>37000</v>
      </c>
      <c r="N125" s="33"/>
    </row>
    <row r="126" spans="1:20" s="86" customFormat="1" x14ac:dyDescent="0.25">
      <c r="A126" s="225">
        <v>1</v>
      </c>
      <c r="B126" s="225"/>
      <c r="C126" s="88" t="s">
        <v>393</v>
      </c>
      <c r="D126" s="89">
        <f>(79.65)*(10.764)</f>
        <v>857.35260000000005</v>
      </c>
      <c r="E126" s="88">
        <v>0</v>
      </c>
      <c r="F126" s="88">
        <f t="shared" ref="F126:F131" si="2">D126+E126</f>
        <v>857.35260000000005</v>
      </c>
      <c r="G126" s="88">
        <v>0</v>
      </c>
      <c r="H126" s="88">
        <f>F126*(($H$110)+1)+(IF(G126&lt;101,G126,IF(G126&lt;201,G126/2,IF(G126&lt;=301,G126/3,G126/4))))</f>
        <v>1286.0289</v>
      </c>
      <c r="I126" s="33"/>
      <c r="J126" s="86" t="s">
        <v>433</v>
      </c>
      <c r="K126" s="86">
        <f>$K$125*H126</f>
        <v>47583069.300000004</v>
      </c>
      <c r="N126" s="33"/>
    </row>
    <row r="127" spans="1:20" s="86" customFormat="1" x14ac:dyDescent="0.25">
      <c r="A127" s="225">
        <f>A126+1</f>
        <v>2</v>
      </c>
      <c r="B127" s="225"/>
      <c r="C127" s="88" t="s">
        <v>393</v>
      </c>
      <c r="D127" s="89">
        <f>(79.65)*(10.764)</f>
        <v>857.35260000000005</v>
      </c>
      <c r="E127" s="88">
        <v>0</v>
      </c>
      <c r="F127" s="88">
        <f t="shared" si="2"/>
        <v>857.35260000000005</v>
      </c>
      <c r="G127" s="88">
        <v>0</v>
      </c>
      <c r="H127" s="88">
        <f t="shared" ref="H127:H130" si="3">F127*(($H$110)+1)+(IF(G127&lt;101,G127,IF(G127&lt;201,G127/2,IF(G127&lt;=301,G127/3,G127/4))))</f>
        <v>1286.0289</v>
      </c>
      <c r="I127" s="33"/>
      <c r="J127" s="103">
        <f>55000/1.5</f>
        <v>36666.666666666664</v>
      </c>
      <c r="K127" s="94">
        <f t="shared" ref="K127:K130" si="4">$K$125*H127</f>
        <v>47583069.300000004</v>
      </c>
      <c r="N127" s="33"/>
    </row>
    <row r="128" spans="1:20" s="86" customFormat="1" x14ac:dyDescent="0.25">
      <c r="A128" s="225">
        <f>A127+1</f>
        <v>3</v>
      </c>
      <c r="B128" s="225"/>
      <c r="C128" s="88" t="s">
        <v>393</v>
      </c>
      <c r="D128" s="89">
        <f>(71.75)*(10.764)</f>
        <v>772.31700000000001</v>
      </c>
      <c r="E128" s="88">
        <v>0</v>
      </c>
      <c r="F128" s="88">
        <f t="shared" si="2"/>
        <v>772.31700000000001</v>
      </c>
      <c r="G128" s="88">
        <v>0</v>
      </c>
      <c r="H128" s="88">
        <f t="shared" si="3"/>
        <v>1158.4755</v>
      </c>
      <c r="I128" s="102"/>
      <c r="K128" s="94">
        <f t="shared" si="4"/>
        <v>42863593.5</v>
      </c>
      <c r="N128" s="33"/>
    </row>
    <row r="129" spans="1:20" s="86" customFormat="1" x14ac:dyDescent="0.25">
      <c r="A129" s="225">
        <f>A128+1</f>
        <v>4</v>
      </c>
      <c r="B129" s="225"/>
      <c r="C129" s="88" t="s">
        <v>393</v>
      </c>
      <c r="D129" s="89">
        <f>(81.05)*(10.764)</f>
        <v>872.42219999999986</v>
      </c>
      <c r="E129" s="89">
        <f>(3.5)*(10.764)</f>
        <v>37.673999999999999</v>
      </c>
      <c r="F129" s="88">
        <f t="shared" si="2"/>
        <v>910.09619999999984</v>
      </c>
      <c r="G129" s="88">
        <v>0</v>
      </c>
      <c r="H129" s="88">
        <f t="shared" si="3"/>
        <v>1365.1442999999997</v>
      </c>
      <c r="I129" s="33"/>
      <c r="K129" s="94">
        <f t="shared" si="4"/>
        <v>50510339.099999987</v>
      </c>
      <c r="N129" s="33"/>
    </row>
    <row r="130" spans="1:20" s="86" customFormat="1" ht="15.75" customHeight="1" x14ac:dyDescent="0.25">
      <c r="A130" s="225">
        <f>A129+1</f>
        <v>5</v>
      </c>
      <c r="B130" s="225"/>
      <c r="C130" s="88" t="s">
        <v>393</v>
      </c>
      <c r="D130" s="89">
        <f>(81.05)*(10.764)</f>
        <v>872.42219999999986</v>
      </c>
      <c r="E130" s="89">
        <f>(3.5)*(10.764)</f>
        <v>37.673999999999999</v>
      </c>
      <c r="F130" s="88">
        <f t="shared" si="2"/>
        <v>910.09619999999984</v>
      </c>
      <c r="G130" s="88">
        <v>0</v>
      </c>
      <c r="H130" s="88">
        <f t="shared" si="3"/>
        <v>1365.1442999999997</v>
      </c>
      <c r="I130" s="90">
        <f>3</f>
        <v>3</v>
      </c>
      <c r="K130" s="94">
        <f t="shared" si="4"/>
        <v>50510339.099999987</v>
      </c>
    </row>
    <row r="131" spans="1:20" s="86" customFormat="1" ht="15.75" customHeight="1" x14ac:dyDescent="0.25">
      <c r="A131" s="225">
        <f>A130+1</f>
        <v>6</v>
      </c>
      <c r="B131" s="225"/>
      <c r="C131" s="88" t="s">
        <v>393</v>
      </c>
      <c r="D131" s="89">
        <f>(71.75)*(10.764)</f>
        <v>772.31700000000001</v>
      </c>
      <c r="E131" s="88">
        <v>0</v>
      </c>
      <c r="F131" s="88">
        <f t="shared" si="2"/>
        <v>772.31700000000001</v>
      </c>
      <c r="G131" s="88">
        <v>0</v>
      </c>
      <c r="H131" s="88">
        <f t="shared" ref="H131" si="5">F131*(($H$110)+1)+(IF(G131&lt;101,G131,IF(G131&lt;201,G131/2,IF(G131&lt;=301,G131/3,G131/4))))</f>
        <v>1158.4755</v>
      </c>
      <c r="I131" s="33"/>
      <c r="K131" s="94">
        <f>$K$125*H131</f>
        <v>42863593.5</v>
      </c>
    </row>
    <row r="132" spans="1:20" s="86" customFormat="1" ht="15.75" customHeight="1" x14ac:dyDescent="0.25">
      <c r="A132" s="216" t="s">
        <v>394</v>
      </c>
      <c r="B132" s="217"/>
      <c r="C132" s="217"/>
      <c r="D132" s="217"/>
      <c r="E132" s="217"/>
      <c r="F132" s="217"/>
      <c r="G132" s="217"/>
      <c r="H132" s="218"/>
      <c r="I132" s="33"/>
    </row>
    <row r="133" spans="1:20" s="86" customFormat="1" ht="15.75" customHeight="1" x14ac:dyDescent="0.25">
      <c r="A133" s="235">
        <v>1</v>
      </c>
      <c r="B133" s="236"/>
      <c r="C133" s="88" t="s">
        <v>393</v>
      </c>
      <c r="D133" s="89">
        <f>(79.65)*(10.764)</f>
        <v>857.35260000000005</v>
      </c>
      <c r="E133" s="88">
        <v>0</v>
      </c>
      <c r="F133" s="88">
        <f t="shared" ref="F133:F138" si="6">D133+E133</f>
        <v>857.35260000000005</v>
      </c>
      <c r="G133" s="88">
        <v>0</v>
      </c>
      <c r="H133" s="88">
        <f>F133*(($H$110)+1)+(IF(G133&lt;101,G133,IF(G133&lt;201,G133/2,IF(G133&lt;=301,G133/3,G133/4))))</f>
        <v>1286.0289</v>
      </c>
      <c r="I133" s="33"/>
    </row>
    <row r="134" spans="1:20" s="86" customFormat="1" ht="15.75" customHeight="1" x14ac:dyDescent="0.25">
      <c r="A134" s="235">
        <v>2</v>
      </c>
      <c r="B134" s="236"/>
      <c r="C134" s="88" t="s">
        <v>393</v>
      </c>
      <c r="D134" s="89">
        <f>(79.65)*(10.764)</f>
        <v>857.35260000000005</v>
      </c>
      <c r="E134" s="88">
        <v>0</v>
      </c>
      <c r="F134" s="88">
        <f t="shared" si="6"/>
        <v>857.35260000000005</v>
      </c>
      <c r="G134" s="88">
        <v>0</v>
      </c>
      <c r="H134" s="88">
        <f t="shared" ref="H134:H137" si="7">F134*(($H$110)+1)+(IF(G134&lt;101,G134,IF(G134&lt;201,G134/2,IF(G134&lt;=301,G134/3,G134/4))))</f>
        <v>1286.0289</v>
      </c>
      <c r="I134" s="33"/>
    </row>
    <row r="135" spans="1:20" s="86" customFormat="1" ht="15.75" customHeight="1" x14ac:dyDescent="0.25">
      <c r="A135" s="235">
        <v>3</v>
      </c>
      <c r="B135" s="236"/>
      <c r="C135" s="88" t="s">
        <v>393</v>
      </c>
      <c r="D135" s="89">
        <f>(71.75)*(10.764)</f>
        <v>772.31700000000001</v>
      </c>
      <c r="E135" s="88">
        <v>0</v>
      </c>
      <c r="F135" s="88">
        <f t="shared" si="6"/>
        <v>772.31700000000001</v>
      </c>
      <c r="G135" s="88">
        <v>0</v>
      </c>
      <c r="H135" s="88">
        <f t="shared" si="7"/>
        <v>1158.4755</v>
      </c>
      <c r="I135" s="33"/>
    </row>
    <row r="136" spans="1:20" s="86" customFormat="1" ht="15.75" customHeight="1" x14ac:dyDescent="0.25">
      <c r="A136" s="235">
        <v>4</v>
      </c>
      <c r="B136" s="236"/>
      <c r="C136" s="88" t="s">
        <v>392</v>
      </c>
      <c r="D136" s="89">
        <f>(104.48)*(10.764)</f>
        <v>1124.6227200000001</v>
      </c>
      <c r="E136" s="89">
        <f>(3.5)*(10.764)</f>
        <v>37.673999999999999</v>
      </c>
      <c r="F136" s="88">
        <f t="shared" si="6"/>
        <v>1162.2967200000001</v>
      </c>
      <c r="G136" s="88">
        <v>0</v>
      </c>
      <c r="H136" s="88">
        <f t="shared" si="7"/>
        <v>1743.44508</v>
      </c>
      <c r="I136" s="33"/>
    </row>
    <row r="137" spans="1:20" s="86" customFormat="1" x14ac:dyDescent="0.25">
      <c r="A137" s="235">
        <v>5</v>
      </c>
      <c r="B137" s="236"/>
      <c r="C137" s="88" t="s">
        <v>392</v>
      </c>
      <c r="D137" s="89">
        <f>(104.48)*(10.764)</f>
        <v>1124.6227200000001</v>
      </c>
      <c r="E137" s="89">
        <f>(3.5)*(10.764)</f>
        <v>37.673999999999999</v>
      </c>
      <c r="F137" s="88">
        <f t="shared" si="6"/>
        <v>1162.2967200000001</v>
      </c>
      <c r="G137" s="88">
        <v>0</v>
      </c>
      <c r="H137" s="88">
        <f t="shared" si="7"/>
        <v>1743.44508</v>
      </c>
      <c r="I137" s="90">
        <f>1</f>
        <v>1</v>
      </c>
    </row>
    <row r="138" spans="1:20" s="86" customFormat="1" ht="15.75" customHeight="1" x14ac:dyDescent="0.25">
      <c r="A138" s="235">
        <v>6</v>
      </c>
      <c r="B138" s="236"/>
      <c r="C138" s="88" t="s">
        <v>393</v>
      </c>
      <c r="D138" s="89">
        <f>(71.75)*(10.764)</f>
        <v>772.31700000000001</v>
      </c>
      <c r="E138" s="88">
        <v>0</v>
      </c>
      <c r="F138" s="88">
        <f t="shared" si="6"/>
        <v>772.31700000000001</v>
      </c>
      <c r="G138" s="88">
        <v>0</v>
      </c>
      <c r="H138" s="88">
        <f t="shared" ref="H138" si="8">F138*(($H$110)+1)+(IF(G138&lt;101,G138,IF(G138&lt;201,G138/2,IF(G138&lt;=301,G138/3,G138/4))))</f>
        <v>1158.4755</v>
      </c>
      <c r="I138" s="33"/>
    </row>
    <row r="139" spans="1:20" s="86" customFormat="1" ht="15.75" customHeight="1" x14ac:dyDescent="0.25">
      <c r="A139" s="216" t="s">
        <v>426</v>
      </c>
      <c r="B139" s="217"/>
      <c r="C139" s="217"/>
      <c r="D139" s="217"/>
      <c r="E139" s="217"/>
      <c r="F139" s="217"/>
      <c r="G139" s="217"/>
      <c r="H139" s="218"/>
      <c r="I139" s="33"/>
    </row>
    <row r="140" spans="1:20" s="86" customFormat="1" ht="15.75" customHeight="1" x14ac:dyDescent="0.25">
      <c r="A140" s="235">
        <v>1</v>
      </c>
      <c r="B140" s="236"/>
      <c r="C140" s="88" t="s">
        <v>392</v>
      </c>
      <c r="D140" s="89">
        <f>(105.22)*(10.764)</f>
        <v>1132.58808</v>
      </c>
      <c r="E140" s="88">
        <v>0</v>
      </c>
      <c r="F140" s="88">
        <f>D140+E140</f>
        <v>1132.58808</v>
      </c>
      <c r="G140" s="88">
        <v>0</v>
      </c>
      <c r="H140" s="88">
        <f>F140*(($H$110)+1)+(IF(G140&lt;101,G140,IF(G140&lt;201,G140/2,IF(G140&lt;=301,G140/3,G140/4))))</f>
        <v>1698.88212</v>
      </c>
      <c r="I140" s="33"/>
    </row>
    <row r="141" spans="1:20" s="86" customFormat="1" ht="15.75" customHeight="1" x14ac:dyDescent="0.25">
      <c r="A141" s="235">
        <v>2</v>
      </c>
      <c r="B141" s="236"/>
      <c r="C141" s="88" t="s">
        <v>393</v>
      </c>
      <c r="D141" s="89">
        <f>(79.65)*(10.764)</f>
        <v>857.35260000000005</v>
      </c>
      <c r="E141" s="88">
        <v>0</v>
      </c>
      <c r="F141" s="88">
        <f>D141+E141</f>
        <v>857.35260000000005</v>
      </c>
      <c r="G141" s="88">
        <v>0</v>
      </c>
      <c r="H141" s="88">
        <f>F141*(($H$110)+1)+(IF(G141&lt;101,G141,IF(G141&lt;201,G141/2,IF(G141&lt;=301,G141/3,G141/4))))</f>
        <v>1286.0289</v>
      </c>
      <c r="I141" s="33"/>
    </row>
    <row r="142" spans="1:20" s="86" customFormat="1" ht="15.75" customHeight="1" x14ac:dyDescent="0.25">
      <c r="A142" s="235">
        <v>3</v>
      </c>
      <c r="B142" s="236"/>
      <c r="C142" s="88" t="s">
        <v>393</v>
      </c>
      <c r="D142" s="89">
        <f>(71.75)*(10.764)</f>
        <v>772.31700000000001</v>
      </c>
      <c r="E142" s="88">
        <v>0</v>
      </c>
      <c r="F142" s="88">
        <f>D142+E142</f>
        <v>772.31700000000001</v>
      </c>
      <c r="G142" s="88">
        <v>0</v>
      </c>
      <c r="H142" s="88">
        <f>F142*(($H$110)+1)+(IF(G142&lt;101,G142,IF(G142&lt;201,G142/2,IF(G142&lt;=301,G142/3,G142/4))))</f>
        <v>1158.4755</v>
      </c>
      <c r="I142" s="33"/>
    </row>
    <row r="143" spans="1:20" s="86" customFormat="1" ht="15.75" customHeight="1" x14ac:dyDescent="0.25">
      <c r="A143" s="235">
        <v>4</v>
      </c>
      <c r="B143" s="236"/>
      <c r="C143" s="88" t="s">
        <v>392</v>
      </c>
      <c r="D143" s="89">
        <f>(104.48)*(10.764)</f>
        <v>1124.6227200000001</v>
      </c>
      <c r="E143" s="89">
        <f>(3.5)*(10.764)</f>
        <v>37.673999999999999</v>
      </c>
      <c r="F143" s="88">
        <f>D143+E143</f>
        <v>1162.2967200000001</v>
      </c>
      <c r="G143" s="88">
        <v>0</v>
      </c>
      <c r="H143" s="88">
        <f>F143*(($H$110)+1)+(IF(G143&lt;101,G143,IF(G143&lt;201,G143/2,IF(G143&lt;=301,G143/3,G143/4))))</f>
        <v>1743.44508</v>
      </c>
      <c r="I143" s="33"/>
    </row>
    <row r="144" spans="1:20" s="32" customFormat="1" x14ac:dyDescent="0.25">
      <c r="A144" s="235">
        <v>5</v>
      </c>
      <c r="B144" s="236"/>
      <c r="C144" s="249" t="s">
        <v>383</v>
      </c>
      <c r="D144" s="250"/>
      <c r="E144" s="250"/>
      <c r="F144" s="250"/>
      <c r="G144" s="250"/>
      <c r="H144" s="251"/>
      <c r="T144" s="34"/>
    </row>
    <row r="145" spans="1:20" s="32" customFormat="1" x14ac:dyDescent="0.25">
      <c r="A145" s="235">
        <v>6</v>
      </c>
      <c r="B145" s="236"/>
      <c r="C145" s="252"/>
      <c r="D145" s="253"/>
      <c r="E145" s="253"/>
      <c r="F145" s="253"/>
      <c r="G145" s="253"/>
      <c r="H145" s="254"/>
      <c r="T145" s="34"/>
    </row>
    <row r="146" spans="1:20" s="32" customFormat="1" x14ac:dyDescent="0.25">
      <c r="A146" s="223" t="s">
        <v>62</v>
      </c>
      <c r="B146" s="223"/>
      <c r="C146" s="223"/>
      <c r="D146" s="223"/>
      <c r="E146" s="223"/>
      <c r="F146" s="223"/>
      <c r="G146" s="223"/>
      <c r="H146" s="223"/>
      <c r="T146" s="34"/>
    </row>
    <row r="147" spans="1:20" s="32" customFormat="1" x14ac:dyDescent="0.25">
      <c r="A147" s="95">
        <v>1</v>
      </c>
      <c r="B147" s="208" t="s">
        <v>386</v>
      </c>
      <c r="C147" s="209"/>
      <c r="D147" s="209"/>
      <c r="E147" s="209"/>
      <c r="F147" s="209"/>
      <c r="G147" s="209"/>
      <c r="H147" s="210"/>
      <c r="T147" s="34"/>
    </row>
    <row r="148" spans="1:20" s="32" customFormat="1" x14ac:dyDescent="0.25">
      <c r="A148" s="95">
        <f>A147+1</f>
        <v>2</v>
      </c>
      <c r="B148" s="213" t="s">
        <v>113</v>
      </c>
      <c r="C148" s="214"/>
      <c r="D148" s="214"/>
      <c r="E148" s="214"/>
      <c r="F148" s="214"/>
      <c r="G148" s="214"/>
      <c r="H148" s="215"/>
    </row>
    <row r="149" spans="1:20" s="32" customFormat="1" x14ac:dyDescent="0.25">
      <c r="A149" s="95">
        <f t="shared" ref="A149:A158" si="9">A148+1</f>
        <v>3</v>
      </c>
      <c r="B149" s="208" t="s">
        <v>430</v>
      </c>
      <c r="C149" s="209"/>
      <c r="D149" s="209"/>
      <c r="E149" s="209"/>
      <c r="F149" s="209"/>
      <c r="G149" s="209"/>
      <c r="H149" s="210"/>
    </row>
    <row r="150" spans="1:20" s="32" customFormat="1" x14ac:dyDescent="0.25">
      <c r="A150" s="95">
        <f t="shared" si="9"/>
        <v>4</v>
      </c>
      <c r="B150" s="213" t="s">
        <v>142</v>
      </c>
      <c r="C150" s="214"/>
      <c r="D150" s="214"/>
      <c r="E150" s="214"/>
      <c r="F150" s="214"/>
      <c r="G150" s="214"/>
      <c r="H150" s="215"/>
    </row>
    <row r="151" spans="1:20" s="32" customFormat="1" x14ac:dyDescent="0.25">
      <c r="A151" s="95">
        <f t="shared" si="9"/>
        <v>5</v>
      </c>
      <c r="B151" s="213" t="s">
        <v>114</v>
      </c>
      <c r="C151" s="214"/>
      <c r="D151" s="214"/>
      <c r="E151" s="214"/>
      <c r="F151" s="214"/>
      <c r="G151" s="214"/>
      <c r="H151" s="215"/>
    </row>
    <row r="152" spans="1:20" s="32" customFormat="1" ht="35.25" customHeight="1" x14ac:dyDescent="0.25">
      <c r="A152" s="95">
        <f t="shared" si="9"/>
        <v>6</v>
      </c>
      <c r="B152" s="208" t="s">
        <v>143</v>
      </c>
      <c r="C152" s="209"/>
      <c r="D152" s="209"/>
      <c r="E152" s="209"/>
      <c r="F152" s="209"/>
      <c r="G152" s="209"/>
      <c r="H152" s="210"/>
    </row>
    <row r="153" spans="1:20" s="32" customFormat="1" x14ac:dyDescent="0.25">
      <c r="A153" s="95">
        <f t="shared" si="9"/>
        <v>7</v>
      </c>
      <c r="B153" s="213" t="s">
        <v>115</v>
      </c>
      <c r="C153" s="214"/>
      <c r="D153" s="214"/>
      <c r="E153" s="214"/>
      <c r="F153" s="214"/>
      <c r="G153" s="214"/>
      <c r="H153" s="215"/>
    </row>
    <row r="154" spans="1:20" s="32" customFormat="1" x14ac:dyDescent="0.25">
      <c r="A154" s="95">
        <f t="shared" si="9"/>
        <v>8</v>
      </c>
      <c r="B154" s="213" t="s">
        <v>439</v>
      </c>
      <c r="C154" s="214"/>
      <c r="D154" s="214"/>
      <c r="E154" s="214"/>
      <c r="F154" s="214"/>
      <c r="G154" s="214"/>
      <c r="H154" s="215"/>
    </row>
    <row r="155" spans="1:20" s="32" customFormat="1" x14ac:dyDescent="0.25">
      <c r="A155" s="95">
        <f t="shared" si="9"/>
        <v>9</v>
      </c>
      <c r="B155" s="208" t="s">
        <v>421</v>
      </c>
      <c r="C155" s="209"/>
      <c r="D155" s="209"/>
      <c r="E155" s="209"/>
      <c r="F155" s="209"/>
      <c r="G155" s="209"/>
      <c r="H155" s="210"/>
    </row>
    <row r="156" spans="1:20" s="32" customFormat="1" x14ac:dyDescent="0.25">
      <c r="A156" s="95">
        <f t="shared" si="9"/>
        <v>10</v>
      </c>
      <c r="B156" s="208" t="s">
        <v>427</v>
      </c>
      <c r="C156" s="209"/>
      <c r="D156" s="209"/>
      <c r="E156" s="209"/>
      <c r="F156" s="209"/>
      <c r="G156" s="209"/>
      <c r="H156" s="210"/>
    </row>
    <row r="157" spans="1:20" s="32" customFormat="1" ht="32.25" customHeight="1" x14ac:dyDescent="0.25">
      <c r="A157" s="104">
        <f t="shared" si="9"/>
        <v>11</v>
      </c>
      <c r="B157" s="208" t="s">
        <v>435</v>
      </c>
      <c r="C157" s="209"/>
      <c r="D157" s="209"/>
      <c r="E157" s="209"/>
      <c r="F157" s="209"/>
      <c r="G157" s="209"/>
      <c r="H157" s="210"/>
    </row>
    <row r="158" spans="1:20" ht="62.25" customHeight="1" x14ac:dyDescent="0.25">
      <c r="A158" s="104">
        <f t="shared" si="9"/>
        <v>12</v>
      </c>
      <c r="B158" s="260" t="s">
        <v>436</v>
      </c>
      <c r="C158" s="261"/>
      <c r="D158" s="261"/>
      <c r="E158" s="261"/>
      <c r="F158" s="261"/>
      <c r="G158" s="261"/>
      <c r="H158" s="262"/>
      <c r="T158" s="32"/>
    </row>
    <row r="159" spans="1:20" ht="15.75" customHeight="1" x14ac:dyDescent="0.25">
      <c r="A159" s="111" t="s">
        <v>55</v>
      </c>
      <c r="B159" s="111"/>
      <c r="C159" s="111"/>
      <c r="D159" s="111"/>
      <c r="E159" s="111"/>
      <c r="F159" s="111"/>
      <c r="G159" s="111"/>
      <c r="H159" s="111"/>
      <c r="T159" s="32"/>
    </row>
    <row r="160" spans="1:20" x14ac:dyDescent="0.25">
      <c r="A160" s="117" t="s">
        <v>56</v>
      </c>
      <c r="B160" s="117"/>
      <c r="C160" s="117"/>
      <c r="D160" s="117"/>
      <c r="E160" s="117"/>
      <c r="F160" s="117"/>
      <c r="G160" s="117"/>
      <c r="H160" s="117"/>
      <c r="T160" s="32"/>
    </row>
    <row r="161" spans="1:20" x14ac:dyDescent="0.25">
      <c r="A161" s="219" t="s">
        <v>57</v>
      </c>
      <c r="B161" s="219"/>
      <c r="C161" s="219"/>
      <c r="D161" s="219"/>
      <c r="E161" s="219"/>
      <c r="F161" s="219"/>
      <c r="G161" s="219"/>
      <c r="H161" s="219"/>
      <c r="T161" s="32"/>
    </row>
    <row r="162" spans="1:20" x14ac:dyDescent="0.25">
      <c r="A162" s="117" t="s">
        <v>58</v>
      </c>
      <c r="B162" s="117"/>
      <c r="C162" s="117"/>
      <c r="D162" s="117"/>
      <c r="E162" s="117"/>
      <c r="F162" s="117"/>
      <c r="G162" s="117"/>
      <c r="H162" s="117"/>
      <c r="T162" s="32"/>
    </row>
    <row r="163" spans="1:20" x14ac:dyDescent="0.25">
      <c r="A163" s="117" t="s">
        <v>59</v>
      </c>
      <c r="B163" s="117"/>
      <c r="C163" s="117"/>
      <c r="D163" s="117"/>
      <c r="E163" s="117"/>
      <c r="F163" s="117"/>
      <c r="G163" s="117"/>
      <c r="H163" s="117"/>
    </row>
    <row r="164" spans="1:20" x14ac:dyDescent="0.25">
      <c r="A164" s="117" t="s">
        <v>116</v>
      </c>
      <c r="B164" s="117"/>
      <c r="C164" s="117"/>
      <c r="D164" s="117"/>
      <c r="E164" s="117"/>
      <c r="F164" s="117"/>
      <c r="G164" s="117"/>
      <c r="H164" s="117"/>
    </row>
    <row r="165" spans="1:20" x14ac:dyDescent="0.25">
      <c r="A165" s="116" t="s">
        <v>117</v>
      </c>
      <c r="B165" s="116"/>
      <c r="C165" s="116"/>
      <c r="D165" s="116"/>
      <c r="E165" s="116"/>
      <c r="F165" s="116"/>
      <c r="G165" s="116"/>
      <c r="H165" s="116"/>
    </row>
    <row r="166" spans="1:20" x14ac:dyDescent="0.25">
      <c r="A166" s="205" t="s">
        <v>70</v>
      </c>
      <c r="B166" s="205"/>
      <c r="C166" s="205" t="s">
        <v>428</v>
      </c>
      <c r="D166" s="205"/>
      <c r="E166" s="205" t="s">
        <v>99</v>
      </c>
      <c r="F166" s="205"/>
      <c r="G166" s="205" t="s">
        <v>385</v>
      </c>
      <c r="H166" s="205"/>
    </row>
    <row r="167" spans="1:20" x14ac:dyDescent="0.25">
      <c r="A167" s="204" t="s">
        <v>72</v>
      </c>
      <c r="B167" s="204"/>
      <c r="C167" s="204"/>
      <c r="D167" s="204"/>
      <c r="E167" s="204"/>
      <c r="F167" s="204"/>
      <c r="G167" s="204"/>
      <c r="H167" s="204"/>
    </row>
    <row r="168" spans="1:20" x14ac:dyDescent="0.25">
      <c r="A168" s="204"/>
      <c r="B168" s="204"/>
      <c r="C168" s="204"/>
      <c r="D168" s="204"/>
      <c r="E168" s="204"/>
      <c r="F168" s="204"/>
      <c r="G168" s="204"/>
      <c r="H168" s="204"/>
    </row>
    <row r="169" spans="1:20" x14ac:dyDescent="0.25">
      <c r="A169" s="204"/>
      <c r="B169" s="204"/>
      <c r="C169" s="204"/>
      <c r="D169" s="204"/>
      <c r="E169" s="204"/>
      <c r="F169" s="204"/>
      <c r="G169" s="204"/>
      <c r="H169" s="204"/>
    </row>
    <row r="170" spans="1:20" x14ac:dyDescent="0.25">
      <c r="A170" s="204"/>
      <c r="B170" s="204"/>
      <c r="C170" s="204"/>
      <c r="D170" s="204"/>
      <c r="E170" s="204"/>
      <c r="F170" s="204"/>
      <c r="G170" s="204"/>
      <c r="H170" s="204"/>
    </row>
    <row r="171" spans="1:20" x14ac:dyDescent="0.25">
      <c r="A171" s="35" t="s">
        <v>60</v>
      </c>
      <c r="B171" s="36"/>
      <c r="C171" s="36"/>
      <c r="D171" s="35" t="str">
        <f>E9</f>
        <v>La Mer Casa</v>
      </c>
      <c r="F171" s="36"/>
      <c r="G171" s="36"/>
      <c r="H171" s="36"/>
    </row>
    <row r="172" spans="1:20" ht="15" customHeight="1" x14ac:dyDescent="0.25">
      <c r="A172" s="36"/>
      <c r="B172" s="36"/>
      <c r="C172" s="36"/>
      <c r="D172" s="36"/>
      <c r="E172" s="36"/>
      <c r="F172" s="36"/>
      <c r="G172" s="36"/>
      <c r="H172" s="36"/>
    </row>
    <row r="173" spans="1:20" x14ac:dyDescent="0.25">
      <c r="A173" s="36"/>
      <c r="B173" s="36"/>
      <c r="C173" s="36"/>
      <c r="D173" s="36"/>
      <c r="E173" s="36"/>
      <c r="F173" s="36"/>
      <c r="G173" s="36"/>
      <c r="H173" s="36"/>
    </row>
    <row r="215" spans="1:1" x14ac:dyDescent="0.25">
      <c r="A215" s="38" t="s">
        <v>151</v>
      </c>
    </row>
    <row r="259" spans="1:4" x14ac:dyDescent="0.25">
      <c r="A259" s="38" t="s">
        <v>440</v>
      </c>
      <c r="C259" s="38" t="s">
        <v>441</v>
      </c>
      <c r="D259" s="38"/>
    </row>
    <row r="299" spans="1:1" x14ac:dyDescent="0.25">
      <c r="A299" s="38"/>
    </row>
    <row r="338" spans="1:1" x14ac:dyDescent="0.25">
      <c r="A338" s="38" t="s">
        <v>61</v>
      </c>
    </row>
  </sheetData>
  <mergeCells count="297">
    <mergeCell ref="A81:B81"/>
    <mergeCell ref="A111:H111"/>
    <mergeCell ref="C123:H124"/>
    <mergeCell ref="C144:H145"/>
    <mergeCell ref="B154:H154"/>
    <mergeCell ref="I16:J16"/>
    <mergeCell ref="K16:L16"/>
    <mergeCell ref="A139:H139"/>
    <mergeCell ref="A132:H132"/>
    <mergeCell ref="A131:B131"/>
    <mergeCell ref="A145:B145"/>
    <mergeCell ref="A140:B140"/>
    <mergeCell ref="A141:B141"/>
    <mergeCell ref="A142:B142"/>
    <mergeCell ref="A143:B143"/>
    <mergeCell ref="A144:B144"/>
    <mergeCell ref="A116:H116"/>
    <mergeCell ref="A114:H114"/>
    <mergeCell ref="A117:H117"/>
    <mergeCell ref="A118:H118"/>
    <mergeCell ref="A123:B123"/>
    <mergeCell ref="A128:B128"/>
    <mergeCell ref="I12:L12"/>
    <mergeCell ref="G16:H16"/>
    <mergeCell ref="E16:F16"/>
    <mergeCell ref="A10:D10"/>
    <mergeCell ref="E10:H10"/>
    <mergeCell ref="L121:M121"/>
    <mergeCell ref="A124:B124"/>
    <mergeCell ref="A113:H113"/>
    <mergeCell ref="A119:B119"/>
    <mergeCell ref="A120:B120"/>
    <mergeCell ref="A121:B121"/>
    <mergeCell ref="L119:M119"/>
    <mergeCell ref="A122:B122"/>
    <mergeCell ref="L117:M117"/>
    <mergeCell ref="L118:M118"/>
    <mergeCell ref="A80:B80"/>
    <mergeCell ref="G79:H79"/>
    <mergeCell ref="A88:B88"/>
    <mergeCell ref="A89:B89"/>
    <mergeCell ref="A84:B84"/>
    <mergeCell ref="G109:G110"/>
    <mergeCell ref="A105:B105"/>
    <mergeCell ref="G105:H105"/>
    <mergeCell ref="A112:H112"/>
    <mergeCell ref="A138:B138"/>
    <mergeCell ref="A91:E91"/>
    <mergeCell ref="F92:H92"/>
    <mergeCell ref="E105:F105"/>
    <mergeCell ref="A109:A110"/>
    <mergeCell ref="B109:B110"/>
    <mergeCell ref="C109:C110"/>
    <mergeCell ref="D109:D110"/>
    <mergeCell ref="E109:E110"/>
    <mergeCell ref="F109:F110"/>
    <mergeCell ref="A92:E92"/>
    <mergeCell ref="A129:B129"/>
    <mergeCell ref="A130:B130"/>
    <mergeCell ref="A133:B133"/>
    <mergeCell ref="A134:B134"/>
    <mergeCell ref="A135:B135"/>
    <mergeCell ref="A136:B136"/>
    <mergeCell ref="A137:B137"/>
    <mergeCell ref="A127:B127"/>
    <mergeCell ref="C105:D105"/>
    <mergeCell ref="A96:E96"/>
    <mergeCell ref="A86:B86"/>
    <mergeCell ref="I15:P15"/>
    <mergeCell ref="F100:H100"/>
    <mergeCell ref="F98:H98"/>
    <mergeCell ref="A108:H108"/>
    <mergeCell ref="A99:E99"/>
    <mergeCell ref="A63:B63"/>
    <mergeCell ref="C63:E63"/>
    <mergeCell ref="D65:H65"/>
    <mergeCell ref="F99:H99"/>
    <mergeCell ref="C104:D104"/>
    <mergeCell ref="D73:H73"/>
    <mergeCell ref="A85:B85"/>
    <mergeCell ref="A51:B51"/>
    <mergeCell ref="D66:H66"/>
    <mergeCell ref="G63:H63"/>
    <mergeCell ref="A56:B57"/>
    <mergeCell ref="A90:E90"/>
    <mergeCell ref="F90:H90"/>
    <mergeCell ref="A79:B79"/>
    <mergeCell ref="A87:B87"/>
    <mergeCell ref="A83:B83"/>
    <mergeCell ref="E79:F79"/>
    <mergeCell ref="A161:H161"/>
    <mergeCell ref="A104:B104"/>
    <mergeCell ref="F91:H91"/>
    <mergeCell ref="F97:H97"/>
    <mergeCell ref="C106:D106"/>
    <mergeCell ref="B149:H149"/>
    <mergeCell ref="A107:H107"/>
    <mergeCell ref="F93:H93"/>
    <mergeCell ref="A97:E97"/>
    <mergeCell ref="B155:H155"/>
    <mergeCell ref="A93:E93"/>
    <mergeCell ref="F94:H94"/>
    <mergeCell ref="B152:H152"/>
    <mergeCell ref="B147:H147"/>
    <mergeCell ref="B148:H148"/>
    <mergeCell ref="F95:H95"/>
    <mergeCell ref="E104:F104"/>
    <mergeCell ref="F96:H96"/>
    <mergeCell ref="A98:E98"/>
    <mergeCell ref="A146:H146"/>
    <mergeCell ref="A94:E94"/>
    <mergeCell ref="A125:H125"/>
    <mergeCell ref="A126:B126"/>
    <mergeCell ref="A160:H160"/>
    <mergeCell ref="A167:H170"/>
    <mergeCell ref="A166:B166"/>
    <mergeCell ref="E166:F166"/>
    <mergeCell ref="C166:D166"/>
    <mergeCell ref="G166:H166"/>
    <mergeCell ref="A101:E101"/>
    <mergeCell ref="F101:H101"/>
    <mergeCell ref="A102:E102"/>
    <mergeCell ref="F102:H102"/>
    <mergeCell ref="A162:H162"/>
    <mergeCell ref="A103:H103"/>
    <mergeCell ref="A165:H165"/>
    <mergeCell ref="A163:H163"/>
    <mergeCell ref="A159:H159"/>
    <mergeCell ref="B158:H158"/>
    <mergeCell ref="B157:H157"/>
    <mergeCell ref="B156:H156"/>
    <mergeCell ref="A106:B106"/>
    <mergeCell ref="E106:F106"/>
    <mergeCell ref="B153:H153"/>
    <mergeCell ref="B151:H151"/>
    <mergeCell ref="B150:H150"/>
    <mergeCell ref="A115:H115"/>
    <mergeCell ref="A164:H164"/>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2:D12"/>
    <mergeCell ref="E12:H12"/>
    <mergeCell ref="A24:D25"/>
    <mergeCell ref="A13:D13"/>
    <mergeCell ref="E13:H13"/>
    <mergeCell ref="A18:B18"/>
    <mergeCell ref="A15:D15"/>
    <mergeCell ref="A20:B20"/>
    <mergeCell ref="C20:D20"/>
    <mergeCell ref="E20:F20"/>
    <mergeCell ref="G20:H20"/>
    <mergeCell ref="A21:B21"/>
    <mergeCell ref="C21:D21"/>
    <mergeCell ref="A17:B17"/>
    <mergeCell ref="C17:H17"/>
    <mergeCell ref="C18:H18"/>
    <mergeCell ref="A19:B19"/>
    <mergeCell ref="C19:H19"/>
    <mergeCell ref="A14:D14"/>
    <mergeCell ref="E14:H14"/>
    <mergeCell ref="E15:H15"/>
    <mergeCell ref="A16:D1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24:H25"/>
    <mergeCell ref="E28:H28"/>
    <mergeCell ref="A30:D30"/>
    <mergeCell ref="E30:H30"/>
    <mergeCell ref="A27:D27"/>
    <mergeCell ref="E27:H27"/>
    <mergeCell ref="A29:D29"/>
    <mergeCell ref="E29:H29"/>
    <mergeCell ref="A26:D26"/>
    <mergeCell ref="A32:D32"/>
    <mergeCell ref="E32:H32"/>
    <mergeCell ref="A33:D33"/>
    <mergeCell ref="E33:H33"/>
    <mergeCell ref="C34:E34"/>
    <mergeCell ref="F37:H37"/>
    <mergeCell ref="F34:H34"/>
    <mergeCell ref="A35:B35"/>
    <mergeCell ref="A34:B34"/>
    <mergeCell ref="C35:E35"/>
    <mergeCell ref="A36:B36"/>
    <mergeCell ref="C36:E36"/>
    <mergeCell ref="F35:H35"/>
    <mergeCell ref="F36:H36"/>
    <mergeCell ref="A60:B62"/>
    <mergeCell ref="C62:H62"/>
    <mergeCell ref="C60:E61"/>
    <mergeCell ref="A70:C70"/>
    <mergeCell ref="D69:H69"/>
    <mergeCell ref="A66:C66"/>
    <mergeCell ref="G61:H61"/>
    <mergeCell ref="A37:B37"/>
    <mergeCell ref="C37:E37"/>
    <mergeCell ref="A43:D43"/>
    <mergeCell ref="F38:H38"/>
    <mergeCell ref="C52:E52"/>
    <mergeCell ref="C51:E51"/>
    <mergeCell ref="G51:H51"/>
    <mergeCell ref="A52:B52"/>
    <mergeCell ref="G58:H58"/>
    <mergeCell ref="G60:H60"/>
    <mergeCell ref="G52:H52"/>
    <mergeCell ref="A40:B40"/>
    <mergeCell ref="C40:H40"/>
    <mergeCell ref="C57:H57"/>
    <mergeCell ref="A53:B55"/>
    <mergeCell ref="C56:E56"/>
    <mergeCell ref="C58:E58"/>
    <mergeCell ref="G56:H56"/>
    <mergeCell ref="A58:B59"/>
    <mergeCell ref="A47:D47"/>
    <mergeCell ref="A48:D48"/>
    <mergeCell ref="A45:D45"/>
    <mergeCell ref="E45:H45"/>
    <mergeCell ref="E46:H46"/>
    <mergeCell ref="E47:H47"/>
    <mergeCell ref="E48:H48"/>
    <mergeCell ref="C59:H59"/>
    <mergeCell ref="A39:H39"/>
    <mergeCell ref="A42:H42"/>
    <mergeCell ref="E44:H44"/>
    <mergeCell ref="A44:D44"/>
    <mergeCell ref="A38:B38"/>
    <mergeCell ref="C38:E38"/>
    <mergeCell ref="G53:H53"/>
    <mergeCell ref="L123:M123"/>
    <mergeCell ref="L120:M120"/>
    <mergeCell ref="L122:M122"/>
    <mergeCell ref="G54:H54"/>
    <mergeCell ref="C53:E54"/>
    <mergeCell ref="A100:E100"/>
    <mergeCell ref="G106:H106"/>
    <mergeCell ref="A41:B41"/>
    <mergeCell ref="C41:H41"/>
    <mergeCell ref="C55:H55"/>
    <mergeCell ref="A82:B82"/>
    <mergeCell ref="E80:F89"/>
    <mergeCell ref="G80:H89"/>
    <mergeCell ref="A95:E95"/>
    <mergeCell ref="G104:H104"/>
    <mergeCell ref="A73:C73"/>
    <mergeCell ref="C78:H78"/>
    <mergeCell ref="D74:H74"/>
    <mergeCell ref="C76:H76"/>
    <mergeCell ref="D68:H68"/>
    <mergeCell ref="A64:H64"/>
    <mergeCell ref="A78:B78"/>
    <mergeCell ref="A76:B76"/>
    <mergeCell ref="A65:C65"/>
    <mergeCell ref="A69:C69"/>
    <mergeCell ref="E43:H43"/>
    <mergeCell ref="A72:C72"/>
    <mergeCell ref="D72:H72"/>
    <mergeCell ref="A75:C75"/>
    <mergeCell ref="D75:H75"/>
    <mergeCell ref="A74:C74"/>
    <mergeCell ref="A71:C71"/>
    <mergeCell ref="D71:H71"/>
    <mergeCell ref="D70:H70"/>
    <mergeCell ref="A49:H49"/>
    <mergeCell ref="D67:H67"/>
    <mergeCell ref="A67:C67"/>
    <mergeCell ref="A46:D46"/>
    <mergeCell ref="A50:B50"/>
    <mergeCell ref="C50:H50"/>
    <mergeCell ref="A68:C68"/>
  </mergeCells>
  <dataValidations count="15">
    <dataValidation type="list" allowBlank="1" showInputMessage="1" showErrorMessage="1" sqref="E5:H5">
      <formula1>OFFSET($L$3,1,MATCH($E4,$L$3:$P$3,0)-1,10,1)</formula1>
    </dataValidation>
    <dataValidation type="list" allowBlank="1" showInputMessage="1" showErrorMessage="1" sqref="A18:B18">
      <formula1>"CS No, CTS No,Survey No,Plot No,Gut No,FP No,"</formula1>
    </dataValidation>
    <dataValidation type="list" allowBlank="1" showInputMessage="1" showErrorMessage="1" sqref="G21:H21">
      <formula1>$S$13:$W$13</formula1>
    </dataValidation>
    <dataValidation type="list" allowBlank="1" showInputMessage="1" showErrorMessage="1" sqref="G166:H166">
      <formula1>"Kunal Kadam,Pranita Mhatre,Shruti Fule,Pooja Kawale,Gaurav Panchal,Shruti Tathare, Dipti Gothawade,Saurav Panse, Sachin Sawant"</formula1>
    </dataValidation>
    <dataValidation type="list" allowBlank="1" showInputMessage="1" showErrorMessage="1" sqref="F90:H90">
      <formula1>"On Saleable Area,On Builtup Area,On Carpet Area,On Plot Area"</formula1>
    </dataValidation>
    <dataValidation type="list" allowBlank="1" showInputMessage="1" showErrorMessage="1" sqref="Y13">
      <formula1>$D$5:$H$5</formula1>
    </dataValidation>
    <dataValidation type="list" allowBlank="1" showInputMessage="1" showErrorMessage="1" sqref="H110">
      <formula1>".45,.50,.55,.60"</formula1>
    </dataValidation>
    <dataValidation type="list" allowBlank="1" showInputMessage="1" showErrorMessage="1" sqref="E4:H4">
      <formula1>$L$3:$P$3</formula1>
    </dataValidation>
    <dataValidation type="list" allowBlank="1" showInputMessage="1" showErrorMessage="1" sqref="H109">
      <formula1>"Saleable area Loading :,Builder Saleable Area"</formula1>
    </dataValidation>
    <dataValidation type="list" allowBlank="1" showInputMessage="1" showErrorMessage="1" sqref="D109:D110">
      <formula1>"Carpet Area,Carpet + Encl Balcony Area,RERA Carpet area"</formula1>
    </dataValidation>
    <dataValidation type="list" allowBlank="1" showInputMessage="1" showErrorMessage="1" sqref="E109:E110">
      <formula1>"Fungible area,Balcony Area,Chajja Area,Cornice Area,AP Area,WS Area"</formula1>
    </dataValidation>
    <dataValidation type="list" allowBlank="1" showInputMessage="1" showErrorMessage="1" sqref="B109:B110">
      <formula1>"Flat No. (Sale Plan),Sale / Rehab,Sale / Mhada"</formula1>
    </dataValidation>
    <dataValidation type="list" allowBlank="1" showInputMessage="1" showErrorMessage="1" sqref="F101:H101">
      <formula1>OFFSET($S$89,1,MATCH($G21,$S$89:$W$89,0)-1,15,1)</formula1>
    </dataValidation>
    <dataValidation type="list" allowBlank="1" showInputMessage="1" showErrorMessage="1" sqref="C22:D22">
      <formula1>OFFSET($S$13,1,MATCH($G21,$S$13:$W$13,0)-1,15,1)</formula1>
    </dataValidation>
    <dataValidation type="list" allowBlank="1" showInputMessage="1" showErrorMessage="1" sqref="C50:H50">
      <formula1>OFFSET($S$49,1,MATCH($G21,$S$49:$W$49,0)-1,15,1)</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fitToHeight="0" orientation="portrait" r:id="rId2"/>
  <headerFooter>
    <oddHeader>&amp;C&amp;G</oddHeader>
    <oddFooter>&amp;L&amp;"Times New Roman,Bold"&amp;12Ref No: &amp;F&amp;C&amp;G&amp;R&amp;"Times New Roman,Bold"&amp;12&amp;P</oddFooter>
  </headerFooter>
  <rowBreaks count="6" manualBreakCount="6">
    <brk id="75" max="7" man="1"/>
    <brk id="170" max="7" man="1"/>
    <brk id="214" max="7" man="1"/>
    <brk id="258" max="7" man="1"/>
    <brk id="298" max="7" man="1"/>
    <brk id="33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5" t="s">
        <v>100</v>
      </c>
      <c r="C3" s="255"/>
      <c r="D3" s="255"/>
      <c r="E3" s="255"/>
      <c r="F3" s="255"/>
      <c r="G3" s="255"/>
      <c r="H3" s="255"/>
    </row>
    <row r="4" spans="1:9" x14ac:dyDescent="0.25">
      <c r="A4" s="2"/>
      <c r="B4" s="3" t="s">
        <v>101</v>
      </c>
      <c r="C4" s="3" t="s">
        <v>102</v>
      </c>
      <c r="D4" s="3" t="s">
        <v>63</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5"/>
      <c r="C4" s="45" t="s">
        <v>9</v>
      </c>
      <c r="D4" s="46" t="s">
        <v>163</v>
      </c>
      <c r="E4" s="46" t="s">
        <v>173</v>
      </c>
      <c r="F4" s="46" t="s">
        <v>158</v>
      </c>
      <c r="G4" s="46" t="s">
        <v>178</v>
      </c>
      <c r="H4" s="46" t="s">
        <v>196</v>
      </c>
      <c r="J4" t="s">
        <v>178</v>
      </c>
      <c r="K4" t="s">
        <v>194</v>
      </c>
    </row>
    <row r="5" spans="2:11" x14ac:dyDescent="0.25">
      <c r="B5" s="45"/>
      <c r="C5" s="45"/>
      <c r="D5" s="46" t="s">
        <v>164</v>
      </c>
      <c r="E5" s="46" t="s">
        <v>171</v>
      </c>
      <c r="F5" s="46" t="s">
        <v>193</v>
      </c>
      <c r="G5" s="46" t="s">
        <v>179</v>
      </c>
      <c r="H5" s="46" t="s">
        <v>197</v>
      </c>
    </row>
    <row r="6" spans="2:11" x14ac:dyDescent="0.25">
      <c r="B6" s="45"/>
      <c r="C6" s="45"/>
      <c r="D6" s="46" t="s">
        <v>165</v>
      </c>
      <c r="E6" s="46" t="s">
        <v>172</v>
      </c>
      <c r="F6" s="46" t="s">
        <v>194</v>
      </c>
      <c r="G6" s="46" t="s">
        <v>180</v>
      </c>
      <c r="H6" s="46" t="s">
        <v>210</v>
      </c>
    </row>
    <row r="7" spans="2:11" x14ac:dyDescent="0.25">
      <c r="B7" s="45"/>
      <c r="C7" s="45"/>
      <c r="D7" s="46" t="s">
        <v>166</v>
      </c>
      <c r="E7" s="46" t="s">
        <v>174</v>
      </c>
      <c r="F7" s="46" t="s">
        <v>195</v>
      </c>
      <c r="G7" s="46" t="s">
        <v>181</v>
      </c>
      <c r="H7" s="46" t="s">
        <v>198</v>
      </c>
    </row>
    <row r="8" spans="2:11" x14ac:dyDescent="0.25">
      <c r="B8" s="45"/>
      <c r="C8" s="45"/>
      <c r="D8" s="46" t="s">
        <v>167</v>
      </c>
      <c r="E8" s="46" t="s">
        <v>175</v>
      </c>
      <c r="F8" s="46"/>
      <c r="G8" s="46" t="s">
        <v>182</v>
      </c>
      <c r="H8" s="46" t="s">
        <v>199</v>
      </c>
    </row>
    <row r="9" spans="2:11" x14ac:dyDescent="0.25">
      <c r="B9" s="45"/>
      <c r="C9" s="45"/>
      <c r="D9" s="46" t="s">
        <v>168</v>
      </c>
      <c r="E9" s="46" t="s">
        <v>173</v>
      </c>
      <c r="F9" s="46"/>
      <c r="G9" s="46" t="s">
        <v>183</v>
      </c>
      <c r="H9" s="46" t="s">
        <v>200</v>
      </c>
    </row>
    <row r="10" spans="2:11" x14ac:dyDescent="0.25">
      <c r="B10" s="45"/>
      <c r="C10" s="45"/>
      <c r="D10" s="46" t="s">
        <v>169</v>
      </c>
      <c r="E10" s="46" t="s">
        <v>176</v>
      </c>
      <c r="F10" s="46"/>
      <c r="G10" s="46" t="s">
        <v>184</v>
      </c>
      <c r="H10" s="46" t="s">
        <v>201</v>
      </c>
    </row>
    <row r="11" spans="2:11" x14ac:dyDescent="0.25">
      <c r="B11" s="45"/>
      <c r="C11" s="45"/>
      <c r="D11" s="46" t="s">
        <v>170</v>
      </c>
      <c r="E11" s="46" t="s">
        <v>177</v>
      </c>
      <c r="F11" s="46"/>
      <c r="G11" s="46" t="s">
        <v>185</v>
      </c>
      <c r="H11" s="46" t="s">
        <v>202</v>
      </c>
    </row>
    <row r="12" spans="2:11" x14ac:dyDescent="0.25">
      <c r="B12" s="45"/>
      <c r="C12" s="45"/>
      <c r="D12" s="46"/>
      <c r="E12" s="46"/>
      <c r="F12" s="46"/>
      <c r="G12" s="46" t="s">
        <v>186</v>
      </c>
      <c r="H12" s="46" t="s">
        <v>203</v>
      </c>
    </row>
    <row r="13" spans="2:11" x14ac:dyDescent="0.25">
      <c r="B13" s="45"/>
      <c r="C13" s="45"/>
      <c r="D13" s="46"/>
      <c r="E13" s="46"/>
      <c r="F13" s="46"/>
      <c r="G13" s="46" t="s">
        <v>187</v>
      </c>
      <c r="H13" s="46" t="s">
        <v>204</v>
      </c>
    </row>
    <row r="14" spans="2:11" x14ac:dyDescent="0.25">
      <c r="B14" s="45"/>
      <c r="C14" s="45"/>
      <c r="D14" s="46"/>
      <c r="E14" s="46"/>
      <c r="F14" s="46"/>
      <c r="G14" s="46" t="s">
        <v>188</v>
      </c>
      <c r="H14" s="46" t="s">
        <v>205</v>
      </c>
    </row>
    <row r="15" spans="2:11" x14ac:dyDescent="0.25">
      <c r="B15" s="45"/>
      <c r="C15" s="45"/>
      <c r="D15" s="46"/>
      <c r="E15" s="46"/>
      <c r="F15" s="46"/>
      <c r="G15" s="46" t="s">
        <v>189</v>
      </c>
      <c r="H15" s="46" t="s">
        <v>206</v>
      </c>
    </row>
    <row r="16" spans="2:11" x14ac:dyDescent="0.25">
      <c r="B16" s="45"/>
      <c r="C16" s="45"/>
      <c r="D16" s="46"/>
      <c r="E16" s="46"/>
      <c r="F16" s="46"/>
      <c r="G16" s="46" t="s">
        <v>190</v>
      </c>
      <c r="H16" s="46" t="s">
        <v>207</v>
      </c>
    </row>
    <row r="17" spans="2:8" x14ac:dyDescent="0.25">
      <c r="B17" s="45"/>
      <c r="C17" s="45"/>
      <c r="D17" s="46"/>
      <c r="E17" s="46"/>
      <c r="F17" s="46"/>
      <c r="G17" s="46" t="s">
        <v>191</v>
      </c>
      <c r="H17" s="46" t="s">
        <v>208</v>
      </c>
    </row>
    <row r="18" spans="2:8" x14ac:dyDescent="0.25">
      <c r="B18" s="45"/>
      <c r="C18" s="45"/>
      <c r="D18" s="46"/>
      <c r="E18" s="46"/>
      <c r="F18" s="46"/>
      <c r="G18" s="46" t="s">
        <v>192</v>
      </c>
      <c r="H18" s="46" t="s">
        <v>209</v>
      </c>
    </row>
    <row r="24" spans="2:8" x14ac:dyDescent="0.25">
      <c r="C24" t="s">
        <v>155</v>
      </c>
    </row>
    <row r="25" spans="2:8" x14ac:dyDescent="0.25">
      <c r="C25" t="s">
        <v>211</v>
      </c>
    </row>
    <row r="26" spans="2:8" x14ac:dyDescent="0.25">
      <c r="C26" t="s">
        <v>212</v>
      </c>
    </row>
    <row r="27" spans="2:8" x14ac:dyDescent="0.25">
      <c r="C27" t="s">
        <v>213</v>
      </c>
    </row>
    <row r="28" spans="2:8" x14ac:dyDescent="0.25">
      <c r="C28" t="s">
        <v>214</v>
      </c>
    </row>
    <row r="29" spans="2:8" x14ac:dyDescent="0.25">
      <c r="C29" t="s">
        <v>215</v>
      </c>
    </row>
    <row r="30" spans="2:8" x14ac:dyDescent="0.25">
      <c r="C30" t="s">
        <v>155</v>
      </c>
    </row>
    <row r="33" spans="3:11" x14ac:dyDescent="0.25">
      <c r="J33">
        <v>1</v>
      </c>
      <c r="K33">
        <v>2</v>
      </c>
    </row>
    <row r="34" spans="3:11" x14ac:dyDescent="0.25">
      <c r="C34" s="47" t="s">
        <v>219</v>
      </c>
      <c r="D34" s="46" t="s">
        <v>217</v>
      </c>
      <c r="E34" s="46" t="s">
        <v>222</v>
      </c>
      <c r="F34" s="46" t="s">
        <v>220</v>
      </c>
      <c r="G34" s="46" t="s">
        <v>221</v>
      </c>
      <c r="H34" s="46" t="s">
        <v>223</v>
      </c>
      <c r="J34" t="s">
        <v>178</v>
      </c>
      <c r="K34" t="s">
        <v>194</v>
      </c>
    </row>
    <row r="35" spans="3:11" x14ac:dyDescent="0.25">
      <c r="C35" s="45" t="s">
        <v>218</v>
      </c>
      <c r="D35" s="46" t="s">
        <v>156</v>
      </c>
      <c r="E35" s="46" t="s">
        <v>227</v>
      </c>
      <c r="F35" s="46" t="s">
        <v>229</v>
      </c>
      <c r="G35" s="46" t="s">
        <v>231</v>
      </c>
      <c r="H35" s="46"/>
    </row>
    <row r="36" spans="3:11" x14ac:dyDescent="0.25">
      <c r="C36" s="45"/>
      <c r="D36" s="46" t="s">
        <v>224</v>
      </c>
      <c r="E36" s="46" t="s">
        <v>228</v>
      </c>
      <c r="F36" s="46" t="s">
        <v>230</v>
      </c>
      <c r="G36" s="46" t="s">
        <v>232</v>
      </c>
      <c r="H36" s="46"/>
    </row>
    <row r="37" spans="3:11" x14ac:dyDescent="0.25">
      <c r="C37" s="45"/>
      <c r="D37" s="46" t="s">
        <v>225</v>
      </c>
      <c r="E37" s="46"/>
      <c r="F37" s="46"/>
      <c r="G37" s="46" t="s">
        <v>233</v>
      </c>
      <c r="H37" s="46"/>
    </row>
    <row r="38" spans="3:11" x14ac:dyDescent="0.25">
      <c r="C38" s="45"/>
      <c r="D38" s="46" t="s">
        <v>226</v>
      </c>
      <c r="E38" s="46"/>
      <c r="F38" s="46"/>
      <c r="G38" s="46" t="s">
        <v>233</v>
      </c>
      <c r="H38" s="46"/>
    </row>
    <row r="39" spans="3:11" x14ac:dyDescent="0.25">
      <c r="C39" s="45"/>
      <c r="D39" s="46"/>
      <c r="E39" s="46"/>
      <c r="F39" s="46"/>
      <c r="G39" s="46" t="s">
        <v>234</v>
      </c>
      <c r="H39" s="46"/>
    </row>
    <row r="40" spans="3:11" x14ac:dyDescent="0.25">
      <c r="C40" s="45"/>
      <c r="D40" s="46"/>
      <c r="E40" s="46"/>
      <c r="F40" s="46"/>
      <c r="G40" s="46" t="s">
        <v>235</v>
      </c>
      <c r="H40" s="46"/>
    </row>
    <row r="41" spans="3:11" x14ac:dyDescent="0.25">
      <c r="C41" s="45"/>
      <c r="D41" s="46"/>
      <c r="E41" s="46"/>
      <c r="F41" s="46"/>
      <c r="G41" s="46"/>
      <c r="H41" s="46"/>
    </row>
    <row r="43" spans="3:11" x14ac:dyDescent="0.25">
      <c r="C43" t="s">
        <v>236</v>
      </c>
    </row>
    <row r="44" spans="3:11" x14ac:dyDescent="0.25">
      <c r="C44" t="s">
        <v>158</v>
      </c>
      <c r="D44" t="s">
        <v>237</v>
      </c>
    </row>
    <row r="45" spans="3:11" x14ac:dyDescent="0.25">
      <c r="D45" t="s">
        <v>238</v>
      </c>
    </row>
    <row r="46" spans="3:11" x14ac:dyDescent="0.25">
      <c r="D46" t="s">
        <v>239</v>
      </c>
    </row>
    <row r="47" spans="3:11" x14ac:dyDescent="0.25">
      <c r="D47" t="s">
        <v>240</v>
      </c>
    </row>
    <row r="48" spans="3:11" x14ac:dyDescent="0.25">
      <c r="D48" t="s">
        <v>241</v>
      </c>
    </row>
    <row r="49" spans="3:4" x14ac:dyDescent="0.25">
      <c r="C49" t="s">
        <v>163</v>
      </c>
      <c r="D49" t="s">
        <v>242</v>
      </c>
    </row>
    <row r="50" spans="3:4" x14ac:dyDescent="0.25">
      <c r="D50" t="s">
        <v>243</v>
      </c>
    </row>
    <row r="51" spans="3:4" x14ac:dyDescent="0.25">
      <c r="D51" t="s">
        <v>244</v>
      </c>
    </row>
    <row r="52" spans="3:4" x14ac:dyDescent="0.25">
      <c r="D52" t="s">
        <v>247</v>
      </c>
    </row>
    <row r="53" spans="3:4" x14ac:dyDescent="0.25">
      <c r="D53" t="s">
        <v>245</v>
      </c>
    </row>
    <row r="54" spans="3:4" x14ac:dyDescent="0.25">
      <c r="D54" t="s">
        <v>246</v>
      </c>
    </row>
    <row r="55" spans="3:4" x14ac:dyDescent="0.25">
      <c r="D55" t="s">
        <v>248</v>
      </c>
    </row>
    <row r="56" spans="3:4" x14ac:dyDescent="0.25">
      <c r="D56" t="s">
        <v>249</v>
      </c>
    </row>
    <row r="57" spans="3:4" x14ac:dyDescent="0.25">
      <c r="D57" t="s">
        <v>250</v>
      </c>
    </row>
    <row r="58" spans="3:4" x14ac:dyDescent="0.25">
      <c r="D58" t="s">
        <v>252</v>
      </c>
    </row>
    <row r="59" spans="3:4" x14ac:dyDescent="0.25">
      <c r="D59" t="s">
        <v>261</v>
      </c>
    </row>
    <row r="60" spans="3:4" x14ac:dyDescent="0.25">
      <c r="C60" t="s">
        <v>178</v>
      </c>
      <c r="D60" t="s">
        <v>253</v>
      </c>
    </row>
    <row r="61" spans="3:4" x14ac:dyDescent="0.25">
      <c r="D61" t="s">
        <v>251</v>
      </c>
    </row>
    <row r="62" spans="3:4" x14ac:dyDescent="0.25">
      <c r="D62" t="s">
        <v>241</v>
      </c>
    </row>
    <row r="63" spans="3:4" x14ac:dyDescent="0.25">
      <c r="D63" t="s">
        <v>254</v>
      </c>
    </row>
    <row r="64" spans="3:4" x14ac:dyDescent="0.25">
      <c r="D64" t="s">
        <v>255</v>
      </c>
    </row>
    <row r="65" spans="3:4" x14ac:dyDescent="0.25">
      <c r="D65" t="s">
        <v>256</v>
      </c>
    </row>
    <row r="66" spans="3:4" x14ac:dyDescent="0.25">
      <c r="D66" t="s">
        <v>257</v>
      </c>
    </row>
    <row r="67" spans="3:4" x14ac:dyDescent="0.25">
      <c r="C67" t="s">
        <v>173</v>
      </c>
      <c r="D67" t="s">
        <v>258</v>
      </c>
    </row>
    <row r="68" spans="3:4" x14ac:dyDescent="0.25">
      <c r="D68" t="s">
        <v>259</v>
      </c>
    </row>
    <row r="69" spans="3:4" x14ac:dyDescent="0.25">
      <c r="D69" t="s">
        <v>260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3"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48">
        <v>1</v>
      </c>
      <c r="C2" s="50" t="s">
        <v>266</v>
      </c>
    </row>
    <row r="3" spans="2:3" x14ac:dyDescent="0.25">
      <c r="B3" s="48">
        <v>2</v>
      </c>
      <c r="C3" s="49" t="s">
        <v>267</v>
      </c>
    </row>
    <row r="4" spans="2:3" x14ac:dyDescent="0.25">
      <c r="B4" s="48">
        <v>3</v>
      </c>
      <c r="C4" s="48" t="s">
        <v>268</v>
      </c>
    </row>
    <row r="5" spans="2:3" x14ac:dyDescent="0.25">
      <c r="B5" s="48">
        <v>4</v>
      </c>
      <c r="C5" s="49" t="s">
        <v>269</v>
      </c>
    </row>
    <row r="6" spans="2:3" x14ac:dyDescent="0.25">
      <c r="B6" s="48">
        <v>5</v>
      </c>
      <c r="C6" s="48" t="s">
        <v>270</v>
      </c>
    </row>
    <row r="7" spans="2:3" ht="30" x14ac:dyDescent="0.25">
      <c r="B7" s="48">
        <v>6</v>
      </c>
      <c r="C7" s="49" t="s">
        <v>271</v>
      </c>
    </row>
    <row r="8" spans="2:3" ht="75" x14ac:dyDescent="0.25">
      <c r="B8" s="48">
        <v>7</v>
      </c>
      <c r="C8" s="49" t="s">
        <v>272</v>
      </c>
    </row>
    <row r="9" spans="2:3" x14ac:dyDescent="0.25">
      <c r="B9" s="48">
        <v>8</v>
      </c>
      <c r="C9" s="48" t="s">
        <v>273</v>
      </c>
    </row>
    <row r="10" spans="2:3" x14ac:dyDescent="0.25">
      <c r="B10" s="48">
        <v>9</v>
      </c>
      <c r="C10" s="48" t="s">
        <v>274</v>
      </c>
    </row>
    <row r="11" spans="2:3" x14ac:dyDescent="0.25">
      <c r="B11" s="48">
        <v>10</v>
      </c>
      <c r="C11" s="48" t="s">
        <v>275</v>
      </c>
    </row>
    <row r="12" spans="2:3" x14ac:dyDescent="0.25">
      <c r="B12" s="48">
        <v>11</v>
      </c>
      <c r="C12" s="48" t="s">
        <v>276</v>
      </c>
    </row>
    <row r="13" spans="2:3" x14ac:dyDescent="0.25">
      <c r="B13" s="48">
        <v>12</v>
      </c>
      <c r="C13" s="48" t="s">
        <v>277</v>
      </c>
    </row>
    <row r="14" spans="2:3" x14ac:dyDescent="0.25">
      <c r="B14" s="48">
        <v>13</v>
      </c>
      <c r="C14" s="48" t="s">
        <v>278</v>
      </c>
    </row>
    <row r="15" spans="2:3" x14ac:dyDescent="0.25">
      <c r="B15" s="48">
        <v>14</v>
      </c>
      <c r="C15" s="48" t="s">
        <v>268</v>
      </c>
    </row>
    <row r="16" spans="2:3" x14ac:dyDescent="0.25">
      <c r="B16" s="48">
        <v>15</v>
      </c>
      <c r="C16" s="48" t="s">
        <v>280</v>
      </c>
    </row>
    <row r="17" spans="2:3" x14ac:dyDescent="0.25">
      <c r="B17" s="66">
        <v>16</v>
      </c>
      <c r="C17" s="53" t="s">
        <v>281</v>
      </c>
    </row>
    <row r="18" spans="2:3" x14ac:dyDescent="0.25">
      <c r="B18" s="52">
        <v>17</v>
      </c>
      <c r="C18" s="53" t="s">
        <v>282</v>
      </c>
    </row>
    <row r="19" spans="2:3" x14ac:dyDescent="0.25">
      <c r="B19" s="51">
        <v>18</v>
      </c>
      <c r="C19" s="48" t="s">
        <v>283</v>
      </c>
    </row>
    <row r="20" spans="2:3" x14ac:dyDescent="0.25">
      <c r="B20" s="52">
        <v>19</v>
      </c>
      <c r="C20" s="48" t="s">
        <v>319</v>
      </c>
    </row>
    <row r="21" spans="2:3" x14ac:dyDescent="0.25">
      <c r="B21" s="48">
        <v>20</v>
      </c>
      <c r="C21" s="48" t="s">
        <v>284</v>
      </c>
    </row>
    <row r="22" spans="2:3" x14ac:dyDescent="0.25">
      <c r="B22" s="52">
        <v>21</v>
      </c>
      <c r="C22" s="48" t="s">
        <v>283</v>
      </c>
    </row>
    <row r="23" spans="2:3" s="61" customFormat="1" ht="29.25" customHeight="1" x14ac:dyDescent="0.25">
      <c r="B23" s="60">
        <v>22</v>
      </c>
      <c r="C23" s="50" t="s">
        <v>311</v>
      </c>
    </row>
    <row r="24" spans="2:3" s="61" customFormat="1" ht="30.75" customHeight="1" x14ac:dyDescent="0.25">
      <c r="B24" s="62">
        <v>23</v>
      </c>
      <c r="C24" s="50" t="s">
        <v>312</v>
      </c>
    </row>
    <row r="25" spans="2:3" x14ac:dyDescent="0.25">
      <c r="B25" s="48">
        <v>24</v>
      </c>
      <c r="C25" s="48" t="s">
        <v>315</v>
      </c>
    </row>
    <row r="26" spans="2:3" x14ac:dyDescent="0.25">
      <c r="B26" s="52">
        <v>25</v>
      </c>
      <c r="C26" s="48" t="s">
        <v>313</v>
      </c>
    </row>
    <row r="27" spans="2:3" x14ac:dyDescent="0.25">
      <c r="B27" s="62">
        <v>26</v>
      </c>
      <c r="C27" s="48" t="s">
        <v>314</v>
      </c>
    </row>
    <row r="28" spans="2:3" x14ac:dyDescent="0.25">
      <c r="B28" s="52">
        <v>27</v>
      </c>
      <c r="C28" s="48" t="s">
        <v>316</v>
      </c>
    </row>
    <row r="29" spans="2:3" ht="60" x14ac:dyDescent="0.25">
      <c r="B29" s="65">
        <v>28</v>
      </c>
      <c r="C29" s="49" t="s">
        <v>317</v>
      </c>
    </row>
    <row r="30" spans="2:3" x14ac:dyDescent="0.25">
      <c r="B30" s="62">
        <v>29</v>
      </c>
      <c r="C30" s="48" t="s">
        <v>318</v>
      </c>
    </row>
    <row r="31" spans="2:3" ht="30" x14ac:dyDescent="0.25">
      <c r="B31" s="62">
        <v>30</v>
      </c>
      <c r="C31" s="49" t="s">
        <v>320</v>
      </c>
    </row>
    <row r="32" spans="2:3" x14ac:dyDescent="0.25">
      <c r="B32" s="62">
        <v>31</v>
      </c>
      <c r="C32" s="48" t="s">
        <v>321</v>
      </c>
    </row>
    <row r="33" spans="2:4" x14ac:dyDescent="0.25">
      <c r="B33" s="62">
        <v>32</v>
      </c>
      <c r="C33" s="48" t="s">
        <v>322</v>
      </c>
    </row>
    <row r="34" spans="2:4" ht="36.75" customHeight="1" x14ac:dyDescent="0.25">
      <c r="B34" s="62">
        <v>33</v>
      </c>
      <c r="C34" s="53" t="s">
        <v>323</v>
      </c>
    </row>
    <row r="35" spans="2:4" x14ac:dyDescent="0.25">
      <c r="B35" s="60">
        <v>34</v>
      </c>
      <c r="C35" s="48" t="s">
        <v>331</v>
      </c>
    </row>
    <row r="36" spans="2:4" ht="60" x14ac:dyDescent="0.25">
      <c r="B36" s="60">
        <v>35</v>
      </c>
      <c r="C36" s="49" t="s">
        <v>332</v>
      </c>
    </row>
    <row r="37" spans="2:4" x14ac:dyDescent="0.25">
      <c r="B37" s="48">
        <v>36</v>
      </c>
      <c r="C37" s="49" t="s">
        <v>343</v>
      </c>
    </row>
    <row r="38" spans="2:4" x14ac:dyDescent="0.25">
      <c r="B38" s="48">
        <f t="shared" ref="B38:B44" si="0">B37+1</f>
        <v>37</v>
      </c>
      <c r="C38" s="48" t="s">
        <v>339</v>
      </c>
    </row>
    <row r="39" spans="2:4" x14ac:dyDescent="0.25">
      <c r="B39" s="48">
        <f t="shared" si="0"/>
        <v>38</v>
      </c>
      <c r="C39" s="48" t="s">
        <v>340</v>
      </c>
    </row>
    <row r="40" spans="2:4" x14ac:dyDescent="0.25">
      <c r="B40" s="48">
        <f t="shared" si="0"/>
        <v>39</v>
      </c>
      <c r="C40" s="48" t="s">
        <v>341</v>
      </c>
    </row>
    <row r="41" spans="2:4" x14ac:dyDescent="0.25">
      <c r="B41" s="48">
        <f t="shared" si="0"/>
        <v>40</v>
      </c>
      <c r="C41" s="48" t="s">
        <v>342</v>
      </c>
    </row>
    <row r="42" spans="2:4" ht="30.75" thickBot="1" x14ac:dyDescent="0.3">
      <c r="B42" s="69">
        <f t="shared" si="0"/>
        <v>41</v>
      </c>
      <c r="C42" s="70" t="s">
        <v>344</v>
      </c>
    </row>
    <row r="43" spans="2:4" ht="30" x14ac:dyDescent="0.25">
      <c r="B43" s="73">
        <f t="shared" si="0"/>
        <v>42</v>
      </c>
      <c r="C43" s="78" t="s">
        <v>349</v>
      </c>
      <c r="D43" t="s">
        <v>350</v>
      </c>
    </row>
    <row r="44" spans="2:4" ht="15.75" thickBot="1" x14ac:dyDescent="0.3">
      <c r="B44" s="75">
        <f t="shared" si="0"/>
        <v>43</v>
      </c>
      <c r="C44" s="77" t="s">
        <v>345</v>
      </c>
    </row>
    <row r="45" spans="2:4" ht="15.75" thickBot="1" x14ac:dyDescent="0.3">
      <c r="B45" s="71">
        <f t="shared" ref="B45:B54" si="1">B44+1</f>
        <v>44</v>
      </c>
      <c r="C45" s="72" t="s">
        <v>346</v>
      </c>
    </row>
    <row r="46" spans="2:4" ht="30" x14ac:dyDescent="0.25">
      <c r="B46" s="73">
        <f t="shared" si="1"/>
        <v>45</v>
      </c>
      <c r="C46" s="74" t="s">
        <v>347</v>
      </c>
    </row>
    <row r="47" spans="2:4" ht="15.75" thickBot="1" x14ac:dyDescent="0.3">
      <c r="B47" s="75">
        <f t="shared" si="1"/>
        <v>46</v>
      </c>
      <c r="C47" s="76" t="s">
        <v>348</v>
      </c>
    </row>
    <row r="48" spans="2:4" x14ac:dyDescent="0.25">
      <c r="B48" s="79">
        <f t="shared" si="1"/>
        <v>47</v>
      </c>
      <c r="C48" s="80" t="s">
        <v>351</v>
      </c>
    </row>
    <row r="49" spans="2:4" x14ac:dyDescent="0.25">
      <c r="B49" s="79">
        <f t="shared" si="1"/>
        <v>48</v>
      </c>
      <c r="C49" s="80" t="s">
        <v>352</v>
      </c>
    </row>
    <row r="50" spans="2:4" x14ac:dyDescent="0.25">
      <c r="B50" s="79">
        <f t="shared" si="1"/>
        <v>49</v>
      </c>
      <c r="C50" s="80" t="s">
        <v>354</v>
      </c>
      <c r="D50" t="s">
        <v>353</v>
      </c>
    </row>
    <row r="51" spans="2:4" ht="30" x14ac:dyDescent="0.25">
      <c r="B51" s="81">
        <f t="shared" si="1"/>
        <v>50</v>
      </c>
      <c r="C51" s="82" t="s">
        <v>355</v>
      </c>
    </row>
    <row r="52" spans="2:4" x14ac:dyDescent="0.25">
      <c r="B52" s="81">
        <f t="shared" si="1"/>
        <v>51</v>
      </c>
      <c r="C52" s="83" t="s">
        <v>358</v>
      </c>
      <c r="D52" t="s">
        <v>359</v>
      </c>
    </row>
    <row r="53" spans="2:4" x14ac:dyDescent="0.25">
      <c r="B53" s="81">
        <f t="shared" si="1"/>
        <v>52</v>
      </c>
      <c r="C53" s="83" t="s">
        <v>361</v>
      </c>
      <c r="D53" t="s">
        <v>362</v>
      </c>
    </row>
    <row r="54" spans="2:4" x14ac:dyDescent="0.25">
      <c r="B54" s="81">
        <f t="shared" si="1"/>
        <v>53</v>
      </c>
      <c r="C54" s="48" t="s">
        <v>363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45"/>
    <col min="2" max="2" width="12.28515625" style="45" customWidth="1"/>
    <col min="3" max="16384" width="9.140625" style="45"/>
  </cols>
  <sheetData>
    <row r="2" spans="1:12" x14ac:dyDescent="0.25">
      <c r="B2" s="54" t="s">
        <v>285</v>
      </c>
      <c r="C2" s="256"/>
      <c r="D2" s="256"/>
    </row>
    <row r="3" spans="1:12" x14ac:dyDescent="0.25">
      <c r="D3" s="55"/>
      <c r="E3" s="55"/>
      <c r="F3" s="55"/>
      <c r="G3" s="55"/>
      <c r="H3" s="55"/>
      <c r="I3" s="55"/>
    </row>
    <row r="4" spans="1:12" x14ac:dyDescent="0.25">
      <c r="A4" s="54" t="s">
        <v>63</v>
      </c>
      <c r="B4" s="56" t="s">
        <v>286</v>
      </c>
      <c r="C4" s="257" t="s">
        <v>287</v>
      </c>
      <c r="D4" s="257"/>
      <c r="E4" s="257"/>
      <c r="F4" s="56"/>
      <c r="G4" s="258" t="s">
        <v>288</v>
      </c>
      <c r="H4" s="258"/>
      <c r="I4" s="258"/>
      <c r="J4" s="259" t="s">
        <v>289</v>
      </c>
      <c r="K4" s="259"/>
      <c r="L4" s="259"/>
    </row>
    <row r="5" spans="1:12" x14ac:dyDescent="0.25">
      <c r="A5" s="54"/>
      <c r="B5" s="56"/>
      <c r="C5" s="56" t="s">
        <v>290</v>
      </c>
      <c r="D5" s="56" t="s">
        <v>291</v>
      </c>
      <c r="E5" s="56" t="s">
        <v>292</v>
      </c>
      <c r="F5" s="56"/>
      <c r="G5" s="56" t="s">
        <v>290</v>
      </c>
      <c r="H5" s="56" t="s">
        <v>291</v>
      </c>
      <c r="I5" s="56" t="s">
        <v>292</v>
      </c>
      <c r="J5" s="56" t="s">
        <v>290</v>
      </c>
      <c r="K5" s="56" t="s">
        <v>291</v>
      </c>
      <c r="L5" s="56" t="s">
        <v>292</v>
      </c>
    </row>
    <row r="6" spans="1:12" x14ac:dyDescent="0.25">
      <c r="B6" s="46" t="s">
        <v>293</v>
      </c>
      <c r="C6" s="46"/>
      <c r="D6" s="46"/>
      <c r="E6" s="46">
        <f>C6*D6</f>
        <v>0</v>
      </c>
      <c r="F6" s="46" t="s">
        <v>310</v>
      </c>
      <c r="G6" s="46"/>
      <c r="H6" s="46"/>
      <c r="I6" s="46">
        <f>G6*H6</f>
        <v>0</v>
      </c>
      <c r="J6" s="46"/>
      <c r="K6" s="46"/>
      <c r="L6" s="46">
        <f>J6*K6</f>
        <v>0</v>
      </c>
    </row>
    <row r="7" spans="1:12" x14ac:dyDescent="0.25">
      <c r="B7" s="46"/>
      <c r="C7" s="46"/>
      <c r="D7" s="46"/>
      <c r="E7" s="46">
        <f t="shared" ref="E7:E41" si="0">C7*D7</f>
        <v>0</v>
      </c>
      <c r="F7" s="46" t="s">
        <v>310</v>
      </c>
      <c r="G7" s="46"/>
      <c r="H7" s="46"/>
      <c r="I7" s="46">
        <f t="shared" ref="I7:I35" si="1">G7*H7</f>
        <v>0</v>
      </c>
      <c r="J7" s="46"/>
      <c r="K7" s="46"/>
      <c r="L7" s="46">
        <f t="shared" ref="L7:L35" si="2">J7*K7</f>
        <v>0</v>
      </c>
    </row>
    <row r="8" spans="1:12" x14ac:dyDescent="0.25">
      <c r="B8" s="46"/>
      <c r="C8" s="46"/>
      <c r="D8" s="46"/>
      <c r="E8" s="46">
        <f t="shared" si="0"/>
        <v>0</v>
      </c>
      <c r="F8" s="46"/>
      <c r="G8" s="46"/>
      <c r="H8" s="46"/>
      <c r="I8" s="46">
        <f t="shared" si="1"/>
        <v>0</v>
      </c>
      <c r="J8" s="46"/>
      <c r="K8" s="46"/>
      <c r="L8" s="46">
        <f t="shared" si="2"/>
        <v>0</v>
      </c>
    </row>
    <row r="9" spans="1:12" x14ac:dyDescent="0.25">
      <c r="B9" s="46"/>
      <c r="C9" s="46"/>
      <c r="D9" s="46"/>
      <c r="E9" s="46">
        <f t="shared" si="0"/>
        <v>0</v>
      </c>
      <c r="F9" s="46" t="s">
        <v>294</v>
      </c>
      <c r="G9" s="46"/>
      <c r="H9" s="46"/>
      <c r="I9" s="46">
        <f t="shared" si="1"/>
        <v>0</v>
      </c>
      <c r="J9" s="46"/>
      <c r="K9" s="46"/>
      <c r="L9" s="46">
        <f t="shared" si="2"/>
        <v>0</v>
      </c>
    </row>
    <row r="10" spans="1:12" x14ac:dyDescent="0.25">
      <c r="B10" s="46" t="s">
        <v>295</v>
      </c>
      <c r="C10" s="46"/>
      <c r="D10" s="46"/>
      <c r="E10" s="46">
        <f t="shared" si="0"/>
        <v>0</v>
      </c>
      <c r="F10" s="46" t="s">
        <v>294</v>
      </c>
      <c r="G10" s="46"/>
      <c r="H10" s="46"/>
      <c r="I10" s="46">
        <f t="shared" si="1"/>
        <v>0</v>
      </c>
      <c r="J10" s="46"/>
      <c r="K10" s="46"/>
      <c r="L10" s="46">
        <f t="shared" si="2"/>
        <v>0</v>
      </c>
    </row>
    <row r="11" spans="1:12" x14ac:dyDescent="0.25">
      <c r="B11" s="46"/>
      <c r="C11" s="46"/>
      <c r="D11" s="46"/>
      <c r="E11" s="46">
        <f t="shared" si="0"/>
        <v>0</v>
      </c>
      <c r="F11" s="46" t="s">
        <v>296</v>
      </c>
      <c r="G11" s="46"/>
      <c r="H11" s="46"/>
      <c r="I11" s="46">
        <f t="shared" si="1"/>
        <v>0</v>
      </c>
      <c r="J11" s="46"/>
      <c r="K11" s="46"/>
      <c r="L11" s="46">
        <f t="shared" si="2"/>
        <v>0</v>
      </c>
    </row>
    <row r="12" spans="1:12" x14ac:dyDescent="0.25">
      <c r="B12" s="46"/>
      <c r="C12" s="46"/>
      <c r="D12" s="46"/>
      <c r="E12" s="46">
        <f t="shared" si="0"/>
        <v>0</v>
      </c>
      <c r="F12" s="46"/>
      <c r="G12" s="46"/>
      <c r="H12" s="46"/>
      <c r="I12" s="46">
        <f t="shared" si="1"/>
        <v>0</v>
      </c>
      <c r="J12" s="46"/>
      <c r="K12" s="46"/>
      <c r="L12" s="46">
        <f t="shared" si="2"/>
        <v>0</v>
      </c>
    </row>
    <row r="13" spans="1:12" x14ac:dyDescent="0.25">
      <c r="B13" s="46"/>
      <c r="C13" s="46"/>
      <c r="D13" s="46"/>
      <c r="E13" s="46">
        <f t="shared" si="0"/>
        <v>0</v>
      </c>
      <c r="F13" s="46"/>
      <c r="G13" s="46"/>
      <c r="H13" s="46"/>
      <c r="I13" s="46">
        <f t="shared" si="1"/>
        <v>0</v>
      </c>
      <c r="J13" s="46"/>
      <c r="K13" s="46"/>
      <c r="L13" s="46">
        <f t="shared" si="2"/>
        <v>0</v>
      </c>
    </row>
    <row r="14" spans="1:12" x14ac:dyDescent="0.25">
      <c r="B14" s="46" t="s">
        <v>297</v>
      </c>
      <c r="C14" s="46"/>
      <c r="D14" s="46"/>
      <c r="E14" s="46">
        <f t="shared" si="0"/>
        <v>0</v>
      </c>
      <c r="F14" s="46" t="s">
        <v>294</v>
      </c>
      <c r="G14" s="46"/>
      <c r="H14" s="46"/>
      <c r="I14" s="46">
        <f t="shared" si="1"/>
        <v>0</v>
      </c>
      <c r="J14" s="46"/>
      <c r="K14" s="46"/>
      <c r="L14" s="46">
        <f t="shared" si="2"/>
        <v>0</v>
      </c>
    </row>
    <row r="15" spans="1:12" x14ac:dyDescent="0.25">
      <c r="B15" s="46"/>
      <c r="C15" s="46"/>
      <c r="D15" s="46"/>
      <c r="E15" s="46">
        <f t="shared" si="0"/>
        <v>0</v>
      </c>
      <c r="F15" s="46" t="s">
        <v>296</v>
      </c>
      <c r="G15" s="46"/>
      <c r="H15" s="46"/>
      <c r="I15" s="46">
        <f t="shared" si="1"/>
        <v>0</v>
      </c>
      <c r="J15" s="46"/>
      <c r="K15" s="46"/>
      <c r="L15" s="46">
        <f t="shared" si="2"/>
        <v>0</v>
      </c>
    </row>
    <row r="16" spans="1:12" x14ac:dyDescent="0.25">
      <c r="B16" s="46"/>
      <c r="C16" s="46"/>
      <c r="D16" s="46"/>
      <c r="E16" s="46">
        <f t="shared" si="0"/>
        <v>0</v>
      </c>
      <c r="F16" s="46"/>
      <c r="G16" s="46"/>
      <c r="H16" s="46"/>
      <c r="I16" s="46">
        <f t="shared" si="1"/>
        <v>0</v>
      </c>
      <c r="J16" s="46"/>
      <c r="K16" s="46"/>
      <c r="L16" s="46">
        <f t="shared" si="2"/>
        <v>0</v>
      </c>
    </row>
    <row r="17" spans="2:12" x14ac:dyDescent="0.25">
      <c r="B17" s="46"/>
      <c r="C17" s="46"/>
      <c r="D17" s="46"/>
      <c r="E17" s="46">
        <f t="shared" si="0"/>
        <v>0</v>
      </c>
      <c r="F17" s="46"/>
      <c r="G17" s="46"/>
      <c r="H17" s="46"/>
      <c r="I17" s="46">
        <f t="shared" si="1"/>
        <v>0</v>
      </c>
      <c r="J17" s="46"/>
      <c r="K17" s="46"/>
      <c r="L17" s="46">
        <f t="shared" si="2"/>
        <v>0</v>
      </c>
    </row>
    <row r="18" spans="2:12" x14ac:dyDescent="0.25">
      <c r="B18" s="46" t="s">
        <v>298</v>
      </c>
      <c r="C18" s="46"/>
      <c r="D18" s="46"/>
      <c r="E18" s="46">
        <f t="shared" si="0"/>
        <v>0</v>
      </c>
      <c r="F18" s="46" t="s">
        <v>294</v>
      </c>
      <c r="G18" s="46"/>
      <c r="H18" s="46"/>
      <c r="I18" s="46">
        <f t="shared" si="1"/>
        <v>0</v>
      </c>
      <c r="J18" s="46"/>
      <c r="K18" s="46"/>
      <c r="L18" s="46">
        <f t="shared" si="2"/>
        <v>0</v>
      </c>
    </row>
    <row r="19" spans="2:12" x14ac:dyDescent="0.25">
      <c r="B19" s="46"/>
      <c r="C19" s="46"/>
      <c r="D19" s="46"/>
      <c r="E19" s="46">
        <f t="shared" si="0"/>
        <v>0</v>
      </c>
      <c r="F19" s="46" t="s">
        <v>296</v>
      </c>
      <c r="G19" s="46"/>
      <c r="H19" s="46"/>
      <c r="I19" s="46">
        <f t="shared" si="1"/>
        <v>0</v>
      </c>
      <c r="J19" s="46"/>
      <c r="K19" s="46"/>
      <c r="L19" s="46">
        <f t="shared" si="2"/>
        <v>0</v>
      </c>
    </row>
    <row r="20" spans="2:12" x14ac:dyDescent="0.25">
      <c r="B20" s="46"/>
      <c r="C20" s="46"/>
      <c r="D20" s="46"/>
      <c r="E20" s="46">
        <f t="shared" si="0"/>
        <v>0</v>
      </c>
      <c r="F20" s="46"/>
      <c r="G20" s="46"/>
      <c r="H20" s="46"/>
      <c r="I20" s="46">
        <f t="shared" si="1"/>
        <v>0</v>
      </c>
      <c r="J20" s="46"/>
      <c r="K20" s="46"/>
      <c r="L20" s="46">
        <f t="shared" si="2"/>
        <v>0</v>
      </c>
    </row>
    <row r="21" spans="2:12" x14ac:dyDescent="0.25">
      <c r="B21" s="46" t="s">
        <v>299</v>
      </c>
      <c r="C21" s="46"/>
      <c r="D21" s="46"/>
      <c r="E21" s="46">
        <f t="shared" si="0"/>
        <v>0</v>
      </c>
      <c r="F21" s="46" t="s">
        <v>294</v>
      </c>
      <c r="G21" s="46"/>
      <c r="H21" s="46"/>
      <c r="I21" s="46">
        <f t="shared" si="1"/>
        <v>0</v>
      </c>
      <c r="J21" s="46"/>
      <c r="K21" s="46"/>
      <c r="L21" s="46">
        <f t="shared" si="2"/>
        <v>0</v>
      </c>
    </row>
    <row r="22" spans="2:12" x14ac:dyDescent="0.25">
      <c r="B22" s="46"/>
      <c r="C22" s="46"/>
      <c r="D22" s="46"/>
      <c r="E22" s="46">
        <f t="shared" si="0"/>
        <v>0</v>
      </c>
      <c r="F22" s="46" t="s">
        <v>296</v>
      </c>
      <c r="G22" s="46"/>
      <c r="H22" s="46"/>
      <c r="I22" s="46">
        <f t="shared" si="1"/>
        <v>0</v>
      </c>
      <c r="J22" s="46"/>
      <c r="K22" s="46"/>
      <c r="L22" s="46">
        <f t="shared" si="2"/>
        <v>0</v>
      </c>
    </row>
    <row r="23" spans="2:12" x14ac:dyDescent="0.25">
      <c r="B23" s="46"/>
      <c r="C23" s="46"/>
      <c r="D23" s="46"/>
      <c r="E23" s="46">
        <f t="shared" si="0"/>
        <v>0</v>
      </c>
      <c r="F23" s="46"/>
      <c r="G23" s="46"/>
      <c r="H23" s="46"/>
      <c r="I23" s="46">
        <f t="shared" si="1"/>
        <v>0</v>
      </c>
      <c r="J23" s="46"/>
      <c r="K23" s="46"/>
      <c r="L23" s="46">
        <f t="shared" si="2"/>
        <v>0</v>
      </c>
    </row>
    <row r="24" spans="2:12" x14ac:dyDescent="0.25">
      <c r="B24" s="46" t="s">
        <v>300</v>
      </c>
      <c r="C24" s="46"/>
      <c r="D24" s="46"/>
      <c r="E24" s="46">
        <f t="shared" si="0"/>
        <v>0</v>
      </c>
      <c r="F24" s="46" t="s">
        <v>301</v>
      </c>
      <c r="G24" s="46"/>
      <c r="H24" s="46"/>
      <c r="I24" s="46">
        <f t="shared" si="1"/>
        <v>0</v>
      </c>
      <c r="J24" s="46"/>
      <c r="K24" s="46"/>
      <c r="L24" s="46">
        <f t="shared" si="2"/>
        <v>0</v>
      </c>
    </row>
    <row r="25" spans="2:12" x14ac:dyDescent="0.25">
      <c r="B25" s="46"/>
      <c r="C25" s="46"/>
      <c r="D25" s="46"/>
      <c r="E25" s="46">
        <f>C25*D25</f>
        <v>0</v>
      </c>
      <c r="F25" s="46" t="s">
        <v>301</v>
      </c>
      <c r="G25" s="46"/>
      <c r="H25" s="46"/>
      <c r="I25" s="46">
        <f>G25*H25</f>
        <v>0</v>
      </c>
      <c r="J25" s="46"/>
      <c r="K25" s="46"/>
      <c r="L25" s="46">
        <f>J25*K25</f>
        <v>0</v>
      </c>
    </row>
    <row r="26" spans="2:12" x14ac:dyDescent="0.25">
      <c r="B26" s="46"/>
      <c r="C26" s="46"/>
      <c r="D26" s="46"/>
      <c r="E26" s="46">
        <f>C26*D26</f>
        <v>0</v>
      </c>
      <c r="F26" s="46" t="s">
        <v>301</v>
      </c>
      <c r="G26" s="46"/>
      <c r="H26" s="46"/>
      <c r="I26" s="46">
        <f>G26*H26</f>
        <v>0</v>
      </c>
      <c r="J26" s="46"/>
      <c r="K26" s="46"/>
      <c r="L26" s="46">
        <f>J26*K26</f>
        <v>0</v>
      </c>
    </row>
    <row r="27" spans="2:12" x14ac:dyDescent="0.25">
      <c r="B27" s="46"/>
      <c r="C27" s="46"/>
      <c r="D27" s="46"/>
      <c r="E27" s="46">
        <f>C27*D27</f>
        <v>0</v>
      </c>
      <c r="F27" s="46" t="s">
        <v>301</v>
      </c>
      <c r="G27" s="46"/>
      <c r="H27" s="46"/>
      <c r="I27" s="46">
        <f>G27*H27</f>
        <v>0</v>
      </c>
      <c r="J27" s="46"/>
      <c r="K27" s="46"/>
      <c r="L27" s="46">
        <f>J27*K27</f>
        <v>0</v>
      </c>
    </row>
    <row r="28" spans="2:12" x14ac:dyDescent="0.25">
      <c r="B28" s="46" t="s">
        <v>302</v>
      </c>
      <c r="C28" s="46"/>
      <c r="D28" s="46"/>
      <c r="E28" s="46">
        <f t="shared" si="0"/>
        <v>0</v>
      </c>
      <c r="F28" s="46" t="s">
        <v>301</v>
      </c>
      <c r="G28" s="46"/>
      <c r="H28" s="46"/>
      <c r="I28" s="46">
        <f t="shared" si="1"/>
        <v>0</v>
      </c>
      <c r="J28" s="46"/>
      <c r="K28" s="46"/>
      <c r="L28" s="46">
        <f t="shared" si="2"/>
        <v>0</v>
      </c>
    </row>
    <row r="29" spans="2:12" x14ac:dyDescent="0.25">
      <c r="B29" s="46" t="s">
        <v>303</v>
      </c>
      <c r="C29" s="46"/>
      <c r="D29" s="46"/>
      <c r="E29" s="46">
        <f t="shared" si="0"/>
        <v>0</v>
      </c>
      <c r="F29" s="46" t="s">
        <v>301</v>
      </c>
      <c r="G29" s="46"/>
      <c r="H29" s="46"/>
      <c r="I29" s="46">
        <f t="shared" si="1"/>
        <v>0</v>
      </c>
      <c r="J29" s="46"/>
      <c r="K29" s="46"/>
      <c r="L29" s="46">
        <f t="shared" si="2"/>
        <v>0</v>
      </c>
    </row>
    <row r="30" spans="2:12" x14ac:dyDescent="0.25">
      <c r="B30" s="46" t="s">
        <v>307</v>
      </c>
      <c r="C30" s="46"/>
      <c r="D30" s="46"/>
      <c r="E30" s="46">
        <f t="shared" si="0"/>
        <v>0</v>
      </c>
      <c r="F30" s="46"/>
      <c r="G30" s="46"/>
      <c r="H30" s="46"/>
      <c r="I30" s="46">
        <f t="shared" si="1"/>
        <v>0</v>
      </c>
      <c r="J30" s="46"/>
      <c r="K30" s="46"/>
      <c r="L30" s="46">
        <f t="shared" si="2"/>
        <v>0</v>
      </c>
    </row>
    <row r="31" spans="2:12" x14ac:dyDescent="0.25">
      <c r="B31" s="46"/>
      <c r="C31" s="46"/>
      <c r="D31" s="46"/>
      <c r="E31" s="46">
        <f>C31*D31</f>
        <v>0</v>
      </c>
      <c r="F31" s="46"/>
      <c r="G31" s="46"/>
      <c r="H31" s="46"/>
      <c r="I31" s="46">
        <f>G31*H31</f>
        <v>0</v>
      </c>
      <c r="J31" s="46"/>
      <c r="K31" s="46"/>
      <c r="L31" s="46">
        <f>J31*K31</f>
        <v>0</v>
      </c>
    </row>
    <row r="32" spans="2:12" x14ac:dyDescent="0.25">
      <c r="B32" s="46"/>
      <c r="C32" s="46"/>
      <c r="D32" s="46"/>
      <c r="E32" s="46">
        <f>C32*D32</f>
        <v>0</v>
      </c>
      <c r="F32" s="46"/>
      <c r="G32" s="46"/>
      <c r="H32" s="46"/>
      <c r="I32" s="46">
        <f>G32*H32</f>
        <v>0</v>
      </c>
      <c r="J32" s="46"/>
      <c r="K32" s="46"/>
      <c r="L32" s="46">
        <f>J32*K32</f>
        <v>0</v>
      </c>
    </row>
    <row r="33" spans="2:12" x14ac:dyDescent="0.25">
      <c r="B33" s="46" t="s">
        <v>304</v>
      </c>
      <c r="C33" s="46"/>
      <c r="D33" s="46"/>
      <c r="E33" s="46">
        <f t="shared" si="0"/>
        <v>0</v>
      </c>
      <c r="F33" s="46"/>
      <c r="G33" s="46"/>
      <c r="H33" s="46"/>
      <c r="I33" s="46">
        <f t="shared" si="1"/>
        <v>0</v>
      </c>
      <c r="J33" s="46"/>
      <c r="K33" s="46"/>
      <c r="L33" s="46">
        <f t="shared" si="2"/>
        <v>0</v>
      </c>
    </row>
    <row r="34" spans="2:12" x14ac:dyDescent="0.25">
      <c r="B34" s="46" t="s">
        <v>308</v>
      </c>
      <c r="C34" s="46"/>
      <c r="D34" s="46"/>
      <c r="E34" s="46">
        <f t="shared" si="0"/>
        <v>0</v>
      </c>
      <c r="F34" s="46"/>
      <c r="G34" s="46"/>
      <c r="H34" s="46"/>
      <c r="I34" s="46">
        <f t="shared" si="1"/>
        <v>0</v>
      </c>
      <c r="J34" s="46"/>
      <c r="K34" s="46"/>
      <c r="L34" s="46">
        <f t="shared" si="2"/>
        <v>0</v>
      </c>
    </row>
    <row r="35" spans="2:12" x14ac:dyDescent="0.25">
      <c r="B35" s="46" t="s">
        <v>305</v>
      </c>
      <c r="C35" s="46"/>
      <c r="D35" s="46"/>
      <c r="E35" s="46">
        <f t="shared" si="0"/>
        <v>0</v>
      </c>
      <c r="F35" s="46"/>
      <c r="G35" s="46"/>
      <c r="H35" s="46"/>
      <c r="I35" s="46">
        <f t="shared" si="1"/>
        <v>0</v>
      </c>
      <c r="J35" s="46"/>
      <c r="K35" s="46"/>
      <c r="L35" s="46">
        <f t="shared" si="2"/>
        <v>0</v>
      </c>
    </row>
    <row r="36" spans="2:12" x14ac:dyDescent="0.25">
      <c r="B36" s="46" t="s">
        <v>306</v>
      </c>
      <c r="C36" s="46"/>
      <c r="D36" s="46"/>
      <c r="E36" s="46">
        <f t="shared" si="0"/>
        <v>0</v>
      </c>
      <c r="F36" s="46"/>
      <c r="G36" s="46"/>
      <c r="H36" s="46"/>
      <c r="I36" s="46">
        <f t="shared" ref="I36:I41" si="3">G36*H36</f>
        <v>0</v>
      </c>
      <c r="J36" s="46"/>
      <c r="K36" s="46"/>
      <c r="L36" s="46">
        <f t="shared" ref="L36:L41" si="4">J36*K36</f>
        <v>0</v>
      </c>
    </row>
    <row r="37" spans="2:12" x14ac:dyDescent="0.25">
      <c r="B37" s="46"/>
      <c r="C37" s="46"/>
      <c r="D37" s="46"/>
      <c r="E37" s="46">
        <f>C37*D37</f>
        <v>0</v>
      </c>
      <c r="F37" s="46"/>
      <c r="G37" s="46"/>
      <c r="H37" s="46"/>
      <c r="I37" s="46">
        <f t="shared" si="3"/>
        <v>0</v>
      </c>
      <c r="J37" s="46"/>
      <c r="K37" s="46"/>
      <c r="L37" s="46">
        <f t="shared" si="4"/>
        <v>0</v>
      </c>
    </row>
    <row r="38" spans="2:12" x14ac:dyDescent="0.25">
      <c r="B38" s="46" t="s">
        <v>309</v>
      </c>
      <c r="C38" s="46"/>
      <c r="D38" s="46"/>
      <c r="E38" s="46">
        <f>C38*D38</f>
        <v>0</v>
      </c>
      <c r="F38" s="46"/>
      <c r="G38" s="46"/>
      <c r="H38" s="46"/>
      <c r="I38" s="46">
        <f t="shared" si="3"/>
        <v>0</v>
      </c>
      <c r="J38" s="46"/>
      <c r="K38" s="46"/>
      <c r="L38" s="46">
        <f t="shared" si="4"/>
        <v>0</v>
      </c>
    </row>
    <row r="39" spans="2:12" x14ac:dyDescent="0.25">
      <c r="B39" s="46"/>
      <c r="C39" s="46"/>
      <c r="D39" s="46"/>
      <c r="E39" s="46">
        <f t="shared" si="0"/>
        <v>0</v>
      </c>
      <c r="F39" s="46"/>
      <c r="G39" s="46"/>
      <c r="H39" s="46"/>
      <c r="I39" s="46">
        <f t="shared" si="3"/>
        <v>0</v>
      </c>
      <c r="J39" s="46"/>
      <c r="K39" s="46"/>
      <c r="L39" s="46">
        <f t="shared" si="4"/>
        <v>0</v>
      </c>
    </row>
    <row r="40" spans="2:12" x14ac:dyDescent="0.25">
      <c r="B40" s="46"/>
      <c r="C40" s="46"/>
      <c r="D40" s="46"/>
      <c r="E40" s="46">
        <f t="shared" si="0"/>
        <v>0</v>
      </c>
      <c r="F40" s="46"/>
      <c r="G40" s="46"/>
      <c r="H40" s="46"/>
      <c r="I40" s="46">
        <f t="shared" si="3"/>
        <v>0</v>
      </c>
      <c r="J40" s="46"/>
      <c r="K40" s="46"/>
      <c r="L40" s="46">
        <f t="shared" si="4"/>
        <v>0</v>
      </c>
    </row>
    <row r="41" spans="2:12" x14ac:dyDescent="0.25">
      <c r="B41" s="46"/>
      <c r="C41" s="46"/>
      <c r="D41" s="46"/>
      <c r="E41" s="46">
        <f t="shared" si="0"/>
        <v>0</v>
      </c>
      <c r="F41" s="46"/>
      <c r="G41" s="46"/>
      <c r="H41" s="46"/>
      <c r="I41" s="46">
        <f t="shared" si="3"/>
        <v>0</v>
      </c>
      <c r="J41" s="46"/>
      <c r="K41" s="46"/>
      <c r="L41" s="46">
        <f t="shared" si="4"/>
        <v>0</v>
      </c>
    </row>
    <row r="42" spans="2:12" x14ac:dyDescent="0.25">
      <c r="B42" s="46" t="s">
        <v>140</v>
      </c>
      <c r="C42" s="46"/>
      <c r="D42" s="46">
        <f>E42*10.764</f>
        <v>0</v>
      </c>
      <c r="E42" s="59">
        <f>SUM(E6:E41)</f>
        <v>0</v>
      </c>
      <c r="F42" s="46"/>
      <c r="G42" s="46"/>
      <c r="H42" s="46">
        <f>I42*10.764</f>
        <v>0</v>
      </c>
      <c r="I42" s="58">
        <f>SUM(I6:I41)</f>
        <v>0</v>
      </c>
      <c r="J42" s="46"/>
      <c r="K42" s="46">
        <f>L42*10.764</f>
        <v>0</v>
      </c>
      <c r="L42" s="57">
        <f>SUM(L6:L41)</f>
        <v>0</v>
      </c>
    </row>
    <row r="44" spans="2:12" x14ac:dyDescent="0.25">
      <c r="D44" s="45">
        <f>D42+H42</f>
        <v>0</v>
      </c>
      <c r="E44" s="4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2025-08-22T10:54:01Z</cp:lastPrinted>
  <dcterms:created xsi:type="dcterms:W3CDTF">2019-07-16T09:29:46Z</dcterms:created>
  <dcterms:modified xsi:type="dcterms:W3CDTF">2025-08-22T10:54:50Z</dcterms:modified>
</cp:coreProperties>
</file>