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17263 - Hiranandani Westgate Phase 1 (Belvedere A &amp; B)\"/>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Report!$A$1:$H$659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3" i="3" l="1"/>
  <c r="D64" i="3" s="1"/>
  <c r="A111" i="3"/>
  <c r="D112" i="3" s="1"/>
  <c r="G143" i="3"/>
  <c r="E143" i="3"/>
  <c r="E142" i="3"/>
  <c r="E141" i="3"/>
  <c r="E140" i="3"/>
  <c r="G142" i="3"/>
  <c r="G141" i="3"/>
  <c r="G140" i="3"/>
  <c r="F510" i="3"/>
  <c r="H510" i="3" s="1"/>
  <c r="E510" i="3"/>
  <c r="H509" i="3"/>
  <c r="F509" i="3"/>
  <c r="E509" i="3"/>
  <c r="F508" i="3"/>
  <c r="E508" i="3"/>
  <c r="F507" i="3"/>
  <c r="E507" i="3"/>
  <c r="H507" i="3" s="1"/>
  <c r="F506" i="3"/>
  <c r="H506" i="3" s="1"/>
  <c r="E506" i="3"/>
  <c r="H505" i="3"/>
  <c r="F505" i="3"/>
  <c r="E505" i="3"/>
  <c r="F504" i="3"/>
  <c r="E504" i="3"/>
  <c r="H504" i="3" s="1"/>
  <c r="I502" i="3"/>
  <c r="F501" i="3"/>
  <c r="E501" i="3"/>
  <c r="F500" i="3"/>
  <c r="E500" i="3"/>
  <c r="H500" i="3" s="1"/>
  <c r="F499" i="3"/>
  <c r="H499" i="3" s="1"/>
  <c r="E499" i="3"/>
  <c r="H498" i="3"/>
  <c r="F498" i="3"/>
  <c r="E498" i="3"/>
  <c r="F497" i="3"/>
  <c r="E497" i="3"/>
  <c r="H497" i="3" s="1"/>
  <c r="F496" i="3"/>
  <c r="E496" i="3"/>
  <c r="H496" i="3" s="1"/>
  <c r="F495" i="3"/>
  <c r="H495" i="3" s="1"/>
  <c r="E495" i="3"/>
  <c r="H494" i="3"/>
  <c r="F494" i="3"/>
  <c r="E494" i="3"/>
  <c r="I493" i="3"/>
  <c r="H492" i="3"/>
  <c r="F492" i="3"/>
  <c r="E492" i="3"/>
  <c r="F491" i="3"/>
  <c r="E491" i="3"/>
  <c r="F488" i="3"/>
  <c r="E488" i="3"/>
  <c r="H488" i="3" s="1"/>
  <c r="F487" i="3"/>
  <c r="H487" i="3" s="1"/>
  <c r="E487" i="3"/>
  <c r="F486" i="3"/>
  <c r="E486" i="3"/>
  <c r="H486" i="3" s="1"/>
  <c r="F485" i="3"/>
  <c r="E485" i="3"/>
  <c r="H485" i="3" s="1"/>
  <c r="F483" i="3"/>
  <c r="H483" i="3" s="1"/>
  <c r="E483" i="3"/>
  <c r="F482" i="3"/>
  <c r="E482" i="3"/>
  <c r="H482" i="3" s="1"/>
  <c r="F479" i="3"/>
  <c r="E479" i="3"/>
  <c r="H479" i="3" s="1"/>
  <c r="F478" i="3"/>
  <c r="H478" i="3" s="1"/>
  <c r="E478" i="3"/>
  <c r="F477" i="3"/>
  <c r="E477" i="3"/>
  <c r="H477" i="3" s="1"/>
  <c r="F476" i="3"/>
  <c r="H476" i="3" s="1"/>
  <c r="E476" i="3"/>
  <c r="F474" i="3"/>
  <c r="E474" i="3"/>
  <c r="H474" i="3" s="1"/>
  <c r="F469" i="3"/>
  <c r="H469" i="3" s="1"/>
  <c r="E469" i="3"/>
  <c r="F468" i="3"/>
  <c r="E468" i="3"/>
  <c r="H468" i="3" s="1"/>
  <c r="F467" i="3"/>
  <c r="E467" i="3"/>
  <c r="H467" i="3" s="1"/>
  <c r="H465" i="3"/>
  <c r="F465" i="3"/>
  <c r="E465" i="3"/>
  <c r="F460" i="3"/>
  <c r="E460" i="3"/>
  <c r="H460" i="3" s="1"/>
  <c r="G459" i="3"/>
  <c r="F459" i="3"/>
  <c r="E459" i="3"/>
  <c r="H459" i="3" s="1"/>
  <c r="H458" i="3"/>
  <c r="G458" i="3"/>
  <c r="F458" i="3"/>
  <c r="E458" i="3"/>
  <c r="F452" i="3"/>
  <c r="E452" i="3"/>
  <c r="H451" i="3"/>
  <c r="F451" i="3"/>
  <c r="E451" i="3"/>
  <c r="F450" i="3"/>
  <c r="E450" i="3"/>
  <c r="H450" i="3" s="1"/>
  <c r="H449" i="3"/>
  <c r="F449" i="3"/>
  <c r="E449" i="3"/>
  <c r="F448" i="3"/>
  <c r="E448" i="3"/>
  <c r="H447" i="3"/>
  <c r="F447" i="3"/>
  <c r="E447" i="3"/>
  <c r="E446" i="3"/>
  <c r="H446" i="3" s="1"/>
  <c r="I444" i="3"/>
  <c r="H443" i="3"/>
  <c r="F443" i="3"/>
  <c r="E443" i="3"/>
  <c r="F442" i="3"/>
  <c r="E442" i="3"/>
  <c r="H442" i="3" s="1"/>
  <c r="H441" i="3"/>
  <c r="F441" i="3"/>
  <c r="E441" i="3"/>
  <c r="F440" i="3"/>
  <c r="E440" i="3"/>
  <c r="H440" i="3" s="1"/>
  <c r="H439" i="3"/>
  <c r="F439" i="3"/>
  <c r="E439" i="3"/>
  <c r="F438" i="3"/>
  <c r="E438" i="3"/>
  <c r="H438" i="3" s="1"/>
  <c r="H437" i="3"/>
  <c r="E437" i="3"/>
  <c r="E436" i="3"/>
  <c r="H436" i="3" s="1"/>
  <c r="I435" i="3"/>
  <c r="F434" i="3"/>
  <c r="H434" i="3" s="1"/>
  <c r="E434" i="3"/>
  <c r="F433" i="3"/>
  <c r="E433" i="3"/>
  <c r="H433" i="3" s="1"/>
  <c r="F430" i="3"/>
  <c r="E430" i="3"/>
  <c r="H430" i="3" s="1"/>
  <c r="F429" i="3"/>
  <c r="H429" i="3" s="1"/>
  <c r="E429" i="3"/>
  <c r="E428" i="3"/>
  <c r="H428" i="3" s="1"/>
  <c r="H427" i="3"/>
  <c r="E427" i="3"/>
  <c r="F425" i="3"/>
  <c r="H425" i="3" s="1"/>
  <c r="E425" i="3"/>
  <c r="F424" i="3"/>
  <c r="E424" i="3"/>
  <c r="H424" i="3" s="1"/>
  <c r="F421" i="3"/>
  <c r="E421" i="3"/>
  <c r="H421" i="3" s="1"/>
  <c r="F420" i="3"/>
  <c r="H420" i="3" s="1"/>
  <c r="E420" i="3"/>
  <c r="E419" i="3"/>
  <c r="H419" i="3" s="1"/>
  <c r="H418" i="3"/>
  <c r="E418" i="3"/>
  <c r="F416" i="3"/>
  <c r="H416" i="3" s="1"/>
  <c r="E416" i="3"/>
  <c r="F411" i="3"/>
  <c r="E411" i="3"/>
  <c r="H411" i="3" s="1"/>
  <c r="E410" i="3"/>
  <c r="H410" i="3" s="1"/>
  <c r="H409" i="3"/>
  <c r="E409" i="3"/>
  <c r="F407" i="3"/>
  <c r="E407" i="3"/>
  <c r="H407" i="3" s="1"/>
  <c r="F402" i="3"/>
  <c r="H402" i="3" s="1"/>
  <c r="E402" i="3"/>
  <c r="G401" i="3"/>
  <c r="E401" i="3"/>
  <c r="H401" i="3" s="1"/>
  <c r="G400" i="3"/>
  <c r="E400" i="3"/>
  <c r="F394" i="3"/>
  <c r="H394" i="3" s="1"/>
  <c r="E394" i="3"/>
  <c r="F393" i="3"/>
  <c r="E393" i="3"/>
  <c r="F392" i="3"/>
  <c r="H392" i="3" s="1"/>
  <c r="E392" i="3"/>
  <c r="F391" i="3"/>
  <c r="E391" i="3"/>
  <c r="F390" i="3"/>
  <c r="H390" i="3" s="1"/>
  <c r="E390" i="3"/>
  <c r="F389" i="3"/>
  <c r="E389" i="3"/>
  <c r="E388" i="3"/>
  <c r="H388" i="3" s="1"/>
  <c r="I386" i="3"/>
  <c r="F385" i="3"/>
  <c r="E385" i="3"/>
  <c r="H385" i="3" s="1"/>
  <c r="H384" i="3"/>
  <c r="F384" i="3"/>
  <c r="E384" i="3"/>
  <c r="F383" i="3"/>
  <c r="E383" i="3"/>
  <c r="H383" i="3" s="1"/>
  <c r="H382" i="3"/>
  <c r="F382" i="3"/>
  <c r="E382" i="3"/>
  <c r="H381" i="3"/>
  <c r="F381" i="3"/>
  <c r="E381" i="3"/>
  <c r="H380" i="3"/>
  <c r="F380" i="3"/>
  <c r="E380" i="3"/>
  <c r="E379" i="3"/>
  <c r="H379" i="3" s="1"/>
  <c r="I377" i="3"/>
  <c r="F376" i="3"/>
  <c r="H376" i="3" s="1"/>
  <c r="E376" i="3"/>
  <c r="F375" i="3"/>
  <c r="E375" i="3"/>
  <c r="H375" i="3" s="1"/>
  <c r="F374" i="3"/>
  <c r="H374" i="3" s="1"/>
  <c r="E374" i="3"/>
  <c r="F373" i="3"/>
  <c r="E373" i="3"/>
  <c r="H373" i="3" s="1"/>
  <c r="F372" i="3"/>
  <c r="H372" i="3" s="1"/>
  <c r="E372" i="3"/>
  <c r="F371" i="3"/>
  <c r="E371" i="3"/>
  <c r="H371" i="3" s="1"/>
  <c r="E370" i="3"/>
  <c r="H370" i="3" s="1"/>
  <c r="H369" i="3"/>
  <c r="E369" i="3"/>
  <c r="I368" i="3"/>
  <c r="H367" i="3"/>
  <c r="F367" i="3"/>
  <c r="E367" i="3"/>
  <c r="F366" i="3"/>
  <c r="E366" i="3"/>
  <c r="H366" i="3" s="1"/>
  <c r="F363" i="3"/>
  <c r="E363" i="3"/>
  <c r="H363" i="3" s="1"/>
  <c r="H362" i="3"/>
  <c r="F362" i="3"/>
  <c r="E362" i="3"/>
  <c r="H361" i="3"/>
  <c r="E361" i="3"/>
  <c r="E360" i="3"/>
  <c r="H360" i="3" s="1"/>
  <c r="H358" i="3"/>
  <c r="F358" i="3"/>
  <c r="E358" i="3"/>
  <c r="F357" i="3"/>
  <c r="E357" i="3"/>
  <c r="H357" i="3" s="1"/>
  <c r="F354" i="3"/>
  <c r="E354" i="3"/>
  <c r="H354" i="3" s="1"/>
  <c r="H353" i="3"/>
  <c r="F353" i="3"/>
  <c r="E353" i="3"/>
  <c r="H352" i="3"/>
  <c r="E352" i="3"/>
  <c r="E351" i="3"/>
  <c r="H351" i="3" s="1"/>
  <c r="H349" i="3"/>
  <c r="F349" i="3"/>
  <c r="E349" i="3"/>
  <c r="F344" i="3"/>
  <c r="E344" i="3"/>
  <c r="H344" i="3" s="1"/>
  <c r="H343" i="3"/>
  <c r="G343" i="3"/>
  <c r="E343" i="3"/>
  <c r="G342" i="3"/>
  <c r="E342" i="3"/>
  <c r="H342" i="3" s="1"/>
  <c r="H340" i="3"/>
  <c r="F340" i="3"/>
  <c r="E340" i="3"/>
  <c r="F335" i="3"/>
  <c r="E335" i="3"/>
  <c r="H335" i="3" s="1"/>
  <c r="H334" i="3"/>
  <c r="G334" i="3"/>
  <c r="E334" i="3"/>
  <c r="G333" i="3"/>
  <c r="E333" i="3"/>
  <c r="H333" i="3" s="1"/>
  <c r="E137" i="3"/>
  <c r="G137" i="3"/>
  <c r="F179" i="3"/>
  <c r="E179" i="3"/>
  <c r="H179" i="3" s="1"/>
  <c r="F178" i="3"/>
  <c r="E178" i="3"/>
  <c r="H178" i="3" s="1"/>
  <c r="F177" i="3"/>
  <c r="E177" i="3"/>
  <c r="F176" i="3"/>
  <c r="E176" i="3"/>
  <c r="H176" i="3" s="1"/>
  <c r="I175" i="3"/>
  <c r="F174" i="3"/>
  <c r="E174" i="3"/>
  <c r="F173" i="3"/>
  <c r="E173" i="3"/>
  <c r="F172" i="3"/>
  <c r="E172" i="3"/>
  <c r="F171" i="3"/>
  <c r="E171" i="3"/>
  <c r="I170" i="3"/>
  <c r="F167" i="3"/>
  <c r="E167" i="3"/>
  <c r="H167" i="3" s="1"/>
  <c r="F166" i="3"/>
  <c r="E166" i="3"/>
  <c r="H166" i="3" s="1"/>
  <c r="F162" i="3"/>
  <c r="E162" i="3"/>
  <c r="H162" i="3" s="1"/>
  <c r="F161" i="3"/>
  <c r="E161" i="3"/>
  <c r="F157" i="3"/>
  <c r="E157" i="3"/>
  <c r="A157" i="3"/>
  <c r="A158" i="3" s="1"/>
  <c r="A159" i="3" s="1"/>
  <c r="F156" i="3"/>
  <c r="E156" i="3"/>
  <c r="F152" i="3"/>
  <c r="E152" i="3"/>
  <c r="H152" i="3" s="1"/>
  <c r="A152" i="3"/>
  <c r="A153" i="3" s="1"/>
  <c r="A154" i="3" s="1"/>
  <c r="G151" i="3"/>
  <c r="F151" i="3"/>
  <c r="E151" i="3"/>
  <c r="H112" i="3"/>
  <c r="U418" i="3"/>
  <c r="U400" i="3"/>
  <c r="V485" i="3"/>
  <c r="V351" i="3"/>
  <c r="V436" i="3"/>
  <c r="U351" i="3"/>
  <c r="U360" i="3"/>
  <c r="V369" i="3"/>
  <c r="V378" i="3"/>
  <c r="H64" i="3"/>
  <c r="V418" i="3"/>
  <c r="U171" i="3"/>
  <c r="U467" i="3"/>
  <c r="U378" i="3"/>
  <c r="U369" i="3"/>
  <c r="V427" i="3"/>
  <c r="U427" i="3"/>
  <c r="U445" i="3"/>
  <c r="V161" i="3"/>
  <c r="V342" i="3"/>
  <c r="V171" i="3"/>
  <c r="V360" i="3"/>
  <c r="U387" i="3"/>
  <c r="U476" i="3"/>
  <c r="V476" i="3"/>
  <c r="U161" i="3"/>
  <c r="V467" i="3"/>
  <c r="U458" i="3"/>
  <c r="V400" i="3"/>
  <c r="U333" i="3"/>
  <c r="U436" i="3"/>
  <c r="U342" i="3"/>
  <c r="V387" i="3"/>
  <c r="V333" i="3"/>
  <c r="V445" i="3"/>
  <c r="V409" i="3"/>
  <c r="V458" i="3"/>
  <c r="U409" i="3"/>
  <c r="U485" i="3"/>
  <c r="J69" i="3" l="1"/>
  <c r="C66" i="3" s="1"/>
  <c r="D66" i="3" s="1"/>
  <c r="J67" i="3"/>
  <c r="D74" i="3"/>
  <c r="D68" i="3"/>
  <c r="D77" i="3"/>
  <c r="D75" i="3"/>
  <c r="D73" i="3"/>
  <c r="D71" i="3"/>
  <c r="D69" i="3"/>
  <c r="D76" i="3"/>
  <c r="D70" i="3"/>
  <c r="J68" i="3"/>
  <c r="D72" i="3"/>
  <c r="J70" i="3"/>
  <c r="J71" i="3" s="1"/>
  <c r="J74" i="3"/>
  <c r="J73" i="3"/>
  <c r="J75" i="3"/>
  <c r="J117" i="3"/>
  <c r="C114" i="3" s="1"/>
  <c r="D114" i="3" s="1"/>
  <c r="J115" i="3"/>
  <c r="D125" i="3"/>
  <c r="D123" i="3"/>
  <c r="D121" i="3"/>
  <c r="D119" i="3"/>
  <c r="D117" i="3"/>
  <c r="J116" i="3"/>
  <c r="D124" i="3"/>
  <c r="D122" i="3"/>
  <c r="D120" i="3"/>
  <c r="D118" i="3"/>
  <c r="D116" i="3"/>
  <c r="J118" i="3"/>
  <c r="J119" i="3" s="1"/>
  <c r="J124" i="3" s="1"/>
  <c r="J122" i="3"/>
  <c r="J121" i="3"/>
  <c r="J123" i="3"/>
  <c r="T342" i="3"/>
  <c r="U343" i="3"/>
  <c r="V352" i="3"/>
  <c r="V353" i="3" s="1"/>
  <c r="V354" i="3" s="1"/>
  <c r="V355" i="3" s="1"/>
  <c r="V356" i="3" s="1"/>
  <c r="V357" i="3" s="1"/>
  <c r="V358" i="3" s="1"/>
  <c r="T427" i="3"/>
  <c r="U428" i="3"/>
  <c r="V468" i="3"/>
  <c r="V469" i="3" s="1"/>
  <c r="V470" i="3" s="1"/>
  <c r="V471" i="3" s="1"/>
  <c r="V472" i="3" s="1"/>
  <c r="V473" i="3" s="1"/>
  <c r="V474" i="3" s="1"/>
  <c r="V334" i="3"/>
  <c r="V335" i="3" s="1"/>
  <c r="V336" i="3" s="1"/>
  <c r="V337" i="3" s="1"/>
  <c r="V338" i="3" s="1"/>
  <c r="V339" i="3" s="1"/>
  <c r="V340" i="3" s="1"/>
  <c r="V343" i="3"/>
  <c r="V344" i="3" s="1"/>
  <c r="V345" i="3" s="1"/>
  <c r="V346" i="3" s="1"/>
  <c r="V347" i="3" s="1"/>
  <c r="V348" i="3" s="1"/>
  <c r="V349" i="3" s="1"/>
  <c r="V370" i="3"/>
  <c r="V371" i="3" s="1"/>
  <c r="V372" i="3" s="1"/>
  <c r="V373" i="3" s="1"/>
  <c r="V374" i="3" s="1"/>
  <c r="V375" i="3" s="1"/>
  <c r="V376" i="3" s="1"/>
  <c r="V379" i="3"/>
  <c r="V380" i="3" s="1"/>
  <c r="V381" i="3" s="1"/>
  <c r="V382" i="3" s="1"/>
  <c r="V383" i="3" s="1"/>
  <c r="V384" i="3" s="1"/>
  <c r="V385" i="3" s="1"/>
  <c r="V401" i="3"/>
  <c r="V402" i="3" s="1"/>
  <c r="V403" i="3" s="1"/>
  <c r="V404" i="3" s="1"/>
  <c r="V405" i="3" s="1"/>
  <c r="V406" i="3" s="1"/>
  <c r="V407" i="3" s="1"/>
  <c r="T418" i="3"/>
  <c r="U419" i="3"/>
  <c r="T369" i="3"/>
  <c r="U370" i="3"/>
  <c r="T387" i="3"/>
  <c r="U388" i="3"/>
  <c r="T333" i="3"/>
  <c r="U334" i="3"/>
  <c r="V361" i="3"/>
  <c r="V362" i="3" s="1"/>
  <c r="V363" i="3" s="1"/>
  <c r="V364" i="3" s="1"/>
  <c r="V365" i="3" s="1"/>
  <c r="V366" i="3" s="1"/>
  <c r="V367" i="3" s="1"/>
  <c r="T351" i="3"/>
  <c r="U352" i="3"/>
  <c r="U361" i="3"/>
  <c r="T360" i="3"/>
  <c r="V477" i="3"/>
  <c r="V478" i="3" s="1"/>
  <c r="V479" i="3" s="1"/>
  <c r="V480" i="3" s="1"/>
  <c r="V481" i="3" s="1"/>
  <c r="V482" i="3" s="1"/>
  <c r="V483" i="3" s="1"/>
  <c r="V388" i="3"/>
  <c r="V389" i="3" s="1"/>
  <c r="V390" i="3" s="1"/>
  <c r="V391" i="3" s="1"/>
  <c r="V392" i="3" s="1"/>
  <c r="V393" i="3" s="1"/>
  <c r="V394" i="3" s="1"/>
  <c r="V419" i="3"/>
  <c r="V420" i="3" s="1"/>
  <c r="V421" i="3" s="1"/>
  <c r="V422" i="3" s="1"/>
  <c r="V423" i="3" s="1"/>
  <c r="V424" i="3" s="1"/>
  <c r="V425" i="3" s="1"/>
  <c r="V428" i="3"/>
  <c r="V429" i="3" s="1"/>
  <c r="V430" i="3" s="1"/>
  <c r="V431" i="3" s="1"/>
  <c r="V432" i="3" s="1"/>
  <c r="V433" i="3" s="1"/>
  <c r="V434" i="3" s="1"/>
  <c r="U437" i="3"/>
  <c r="T436" i="3"/>
  <c r="U486" i="3"/>
  <c r="T485" i="3"/>
  <c r="U410" i="3"/>
  <c r="T409" i="3"/>
  <c r="V437" i="3"/>
  <c r="V438" i="3" s="1"/>
  <c r="V439" i="3" s="1"/>
  <c r="V440" i="3" s="1"/>
  <c r="V441" i="3" s="1"/>
  <c r="V442" i="3" s="1"/>
  <c r="V443" i="3" s="1"/>
  <c r="U446" i="3"/>
  <c r="T445" i="3"/>
  <c r="U459" i="3"/>
  <c r="T458" i="3"/>
  <c r="V486" i="3"/>
  <c r="U379" i="3"/>
  <c r="T378" i="3"/>
  <c r="T400" i="3"/>
  <c r="U401" i="3"/>
  <c r="V410" i="3"/>
  <c r="V411" i="3" s="1"/>
  <c r="V412" i="3" s="1"/>
  <c r="V413" i="3" s="1"/>
  <c r="V414" i="3" s="1"/>
  <c r="V415" i="3" s="1"/>
  <c r="V416" i="3" s="1"/>
  <c r="V446" i="3"/>
  <c r="V447" i="3" s="1"/>
  <c r="V448" i="3" s="1"/>
  <c r="V449" i="3" s="1"/>
  <c r="V450" i="3" s="1"/>
  <c r="V451" i="3" s="1"/>
  <c r="V452" i="3" s="1"/>
  <c r="V459" i="3"/>
  <c r="V460" i="3" s="1"/>
  <c r="V461" i="3" s="1"/>
  <c r="V462" i="3" s="1"/>
  <c r="V463" i="3" s="1"/>
  <c r="V464" i="3" s="1"/>
  <c r="V465" i="3" s="1"/>
  <c r="T467" i="3"/>
  <c r="U468" i="3"/>
  <c r="T476" i="3"/>
  <c r="U477" i="3"/>
  <c r="H389" i="3"/>
  <c r="H393" i="3"/>
  <c r="H452" i="3"/>
  <c r="H501" i="3"/>
  <c r="H508" i="3"/>
  <c r="H391" i="3"/>
  <c r="H400" i="3"/>
  <c r="H448" i="3"/>
  <c r="H491" i="3"/>
  <c r="H151" i="3"/>
  <c r="H156" i="3"/>
  <c r="H161" i="3"/>
  <c r="H172" i="3"/>
  <c r="H174" i="3"/>
  <c r="H157" i="3"/>
  <c r="H171" i="3"/>
  <c r="H173" i="3"/>
  <c r="H177" i="3"/>
  <c r="T171" i="3"/>
  <c r="U172" i="3"/>
  <c r="V172" i="3"/>
  <c r="V173" i="3" s="1"/>
  <c r="V174" i="3" s="1"/>
  <c r="V176" i="3" s="1"/>
  <c r="V177" i="3" s="1"/>
  <c r="V178" i="3" s="1"/>
  <c r="V179" i="3" s="1"/>
  <c r="T161" i="3"/>
  <c r="U162" i="3"/>
  <c r="V162" i="3"/>
  <c r="V163" i="3" s="1"/>
  <c r="V164" i="3" s="1"/>
  <c r="V166" i="3" s="1"/>
  <c r="V167" i="3" s="1"/>
  <c r="V168" i="3" s="1"/>
  <c r="V169" i="3" s="1"/>
  <c r="G133" i="3"/>
  <c r="G132" i="3"/>
  <c r="I128" i="3"/>
  <c r="J76" i="3" l="1"/>
  <c r="J72" i="3"/>
  <c r="J120" i="3"/>
  <c r="J125" i="3" s="1"/>
  <c r="C115" i="3" s="1"/>
  <c r="D115" i="3" s="1"/>
  <c r="U469" i="3"/>
  <c r="T468" i="3"/>
  <c r="T379" i="3"/>
  <c r="U380" i="3"/>
  <c r="T410" i="3"/>
  <c r="U411" i="3"/>
  <c r="T437" i="3"/>
  <c r="U438" i="3"/>
  <c r="U389" i="3"/>
  <c r="T388" i="3"/>
  <c r="U420" i="3"/>
  <c r="T419" i="3"/>
  <c r="U429" i="3"/>
  <c r="T428" i="3"/>
  <c r="U402" i="3"/>
  <c r="T401" i="3"/>
  <c r="T446" i="3"/>
  <c r="U447" i="3"/>
  <c r="T486" i="3"/>
  <c r="T361" i="3"/>
  <c r="U362" i="3"/>
  <c r="U335" i="3"/>
  <c r="T334" i="3"/>
  <c r="U371" i="3"/>
  <c r="T370" i="3"/>
  <c r="U478" i="3"/>
  <c r="T477" i="3"/>
  <c r="U460" i="3"/>
  <c r="T459" i="3"/>
  <c r="T352" i="3"/>
  <c r="U353" i="3"/>
  <c r="U344" i="3"/>
  <c r="T343" i="3"/>
  <c r="T172" i="3"/>
  <c r="U173" i="3"/>
  <c r="U163" i="3"/>
  <c r="T162" i="3"/>
  <c r="F327" i="3"/>
  <c r="E327" i="3"/>
  <c r="F326" i="3"/>
  <c r="E326" i="3"/>
  <c r="F325" i="3"/>
  <c r="E325" i="3"/>
  <c r="F324" i="3"/>
  <c r="E324" i="3"/>
  <c r="F323" i="3"/>
  <c r="E323" i="3"/>
  <c r="F313" i="3"/>
  <c r="E313" i="3"/>
  <c r="F312" i="3"/>
  <c r="E312" i="3"/>
  <c r="F311" i="3"/>
  <c r="E311" i="3"/>
  <c r="F310" i="3"/>
  <c r="E310" i="3"/>
  <c r="F309" i="3"/>
  <c r="E309" i="3"/>
  <c r="I321" i="3"/>
  <c r="F320" i="3"/>
  <c r="E320" i="3"/>
  <c r="F319" i="3"/>
  <c r="E319" i="3"/>
  <c r="F318" i="3"/>
  <c r="E318" i="3"/>
  <c r="F317" i="3"/>
  <c r="E317" i="3"/>
  <c r="F316" i="3"/>
  <c r="E316" i="3"/>
  <c r="F315" i="3"/>
  <c r="E315" i="3"/>
  <c r="A316" i="3"/>
  <c r="A317" i="3" s="1"/>
  <c r="A318" i="3" s="1"/>
  <c r="A319" i="3" s="1"/>
  <c r="A320" i="3" s="1"/>
  <c r="I314" i="3"/>
  <c r="I307" i="3"/>
  <c r="I300" i="3"/>
  <c r="F306" i="3"/>
  <c r="E306" i="3"/>
  <c r="F305" i="3"/>
  <c r="E305" i="3"/>
  <c r="F304" i="3"/>
  <c r="E304" i="3"/>
  <c r="F303" i="3"/>
  <c r="E303" i="3"/>
  <c r="F302" i="3"/>
  <c r="E302" i="3"/>
  <c r="F301" i="3"/>
  <c r="E301" i="3"/>
  <c r="F299" i="3"/>
  <c r="E299" i="3"/>
  <c r="F298" i="3"/>
  <c r="E298" i="3"/>
  <c r="F297" i="3"/>
  <c r="E297" i="3"/>
  <c r="F296" i="3"/>
  <c r="E296" i="3"/>
  <c r="F295" i="3"/>
  <c r="E295" i="3"/>
  <c r="I293" i="3"/>
  <c r="F292" i="3"/>
  <c r="E292" i="3"/>
  <c r="F291" i="3"/>
  <c r="E291" i="3"/>
  <c r="F290" i="3"/>
  <c r="E290" i="3"/>
  <c r="F289" i="3"/>
  <c r="E289" i="3"/>
  <c r="F288" i="3"/>
  <c r="E288" i="3"/>
  <c r="F287" i="3"/>
  <c r="E287" i="3"/>
  <c r="I286" i="3"/>
  <c r="F285" i="3"/>
  <c r="E285" i="3"/>
  <c r="F282" i="3"/>
  <c r="E282" i="3"/>
  <c r="F281" i="3"/>
  <c r="E281" i="3"/>
  <c r="F280" i="3"/>
  <c r="E280" i="3"/>
  <c r="I279" i="3"/>
  <c r="F275" i="3"/>
  <c r="E275" i="3"/>
  <c r="F274" i="3"/>
  <c r="E274" i="3"/>
  <c r="F273" i="3"/>
  <c r="E273" i="3"/>
  <c r="I272" i="3"/>
  <c r="I265" i="3"/>
  <c r="F267" i="3"/>
  <c r="E267" i="3"/>
  <c r="F266" i="3"/>
  <c r="E266" i="3"/>
  <c r="G260" i="3"/>
  <c r="G259" i="3"/>
  <c r="F260" i="3"/>
  <c r="E260" i="3"/>
  <c r="F259" i="3"/>
  <c r="E259" i="3"/>
  <c r="A259" i="3"/>
  <c r="A260" i="3" s="1"/>
  <c r="A261" i="3" s="1"/>
  <c r="A262" i="3" s="1"/>
  <c r="A263" i="3" s="1"/>
  <c r="A264" i="3" s="1"/>
  <c r="I258" i="3"/>
  <c r="I247" i="3"/>
  <c r="F253" i="3"/>
  <c r="E253" i="3"/>
  <c r="F252" i="3"/>
  <c r="E252" i="3"/>
  <c r="F251" i="3"/>
  <c r="E251" i="3"/>
  <c r="F250" i="3"/>
  <c r="E250" i="3"/>
  <c r="H250" i="3" s="1"/>
  <c r="F249" i="3"/>
  <c r="E249" i="3"/>
  <c r="F246" i="3"/>
  <c r="E246" i="3"/>
  <c r="F245" i="3"/>
  <c r="E245" i="3"/>
  <c r="F244" i="3"/>
  <c r="E244" i="3"/>
  <c r="F243" i="3"/>
  <c r="E243" i="3"/>
  <c r="F242" i="3"/>
  <c r="E242" i="3"/>
  <c r="F241" i="3"/>
  <c r="E241" i="3"/>
  <c r="I240" i="3"/>
  <c r="F239" i="3"/>
  <c r="E239" i="3"/>
  <c r="F238" i="3"/>
  <c r="E238" i="3"/>
  <c r="F237" i="3"/>
  <c r="E237" i="3"/>
  <c r="F236" i="3"/>
  <c r="E236" i="3"/>
  <c r="F235" i="3"/>
  <c r="E235" i="3"/>
  <c r="I233" i="3"/>
  <c r="F232" i="3"/>
  <c r="E232" i="3"/>
  <c r="F231" i="3"/>
  <c r="E231" i="3"/>
  <c r="F230" i="3"/>
  <c r="E230" i="3"/>
  <c r="F229" i="3"/>
  <c r="E229" i="3"/>
  <c r="F228" i="3"/>
  <c r="E228" i="3"/>
  <c r="F227" i="3"/>
  <c r="E227" i="3"/>
  <c r="I226" i="3"/>
  <c r="F225" i="3"/>
  <c r="E225" i="3"/>
  <c r="F224" i="3"/>
  <c r="E224" i="3"/>
  <c r="F223" i="3"/>
  <c r="E223" i="3"/>
  <c r="F222" i="3"/>
  <c r="E222" i="3"/>
  <c r="F221" i="3"/>
  <c r="E221" i="3"/>
  <c r="A221" i="3"/>
  <c r="A222" i="3" s="1"/>
  <c r="A223" i="3" s="1"/>
  <c r="A224" i="3" s="1"/>
  <c r="A225" i="3" s="1"/>
  <c r="I219" i="3"/>
  <c r="F218" i="3"/>
  <c r="E218" i="3"/>
  <c r="F217" i="3"/>
  <c r="E217" i="3"/>
  <c r="F216" i="3"/>
  <c r="E216" i="3"/>
  <c r="F215" i="3"/>
  <c r="E215" i="3"/>
  <c r="F214" i="3"/>
  <c r="E214" i="3"/>
  <c r="F213" i="3"/>
  <c r="E213" i="3"/>
  <c r="I212" i="3"/>
  <c r="A274" i="3"/>
  <c r="A275" i="3" s="1"/>
  <c r="A281" i="3" s="1"/>
  <c r="A282" i="3" s="1"/>
  <c r="A283" i="3" s="1"/>
  <c r="A284" i="3" s="1"/>
  <c r="A285" i="3" s="1"/>
  <c r="A242" i="3"/>
  <c r="A243" i="3" s="1"/>
  <c r="A244" i="3" s="1"/>
  <c r="A245" i="3" s="1"/>
  <c r="A246" i="3" s="1"/>
  <c r="A214" i="3"/>
  <c r="A215" i="3" s="1"/>
  <c r="A216" i="3" s="1"/>
  <c r="A217" i="3" s="1"/>
  <c r="A218" i="3" s="1"/>
  <c r="V220" i="3"/>
  <c r="V301" i="3"/>
  <c r="V322" i="3"/>
  <c r="U234" i="3"/>
  <c r="U294" i="3"/>
  <c r="U259" i="3"/>
  <c r="U248" i="3"/>
  <c r="V227" i="3"/>
  <c r="U322" i="3"/>
  <c r="U220" i="3"/>
  <c r="V294" i="3"/>
  <c r="U287" i="3"/>
  <c r="V234" i="3"/>
  <c r="V287" i="3"/>
  <c r="V266" i="3"/>
  <c r="V308" i="3"/>
  <c r="U227" i="3"/>
  <c r="V248" i="3"/>
  <c r="U301" i="3"/>
  <c r="V259" i="3"/>
  <c r="U266" i="3"/>
  <c r="U308" i="3"/>
  <c r="J77" i="3" l="1"/>
  <c r="C67" i="3" s="1"/>
  <c r="D67" i="3" s="1"/>
  <c r="E114" i="3"/>
  <c r="I113" i="3" s="1"/>
  <c r="G114" i="3" s="1"/>
  <c r="U336" i="3"/>
  <c r="T335" i="3"/>
  <c r="U448" i="3"/>
  <c r="T447" i="3"/>
  <c r="U412" i="3"/>
  <c r="T411" i="3"/>
  <c r="T429" i="3"/>
  <c r="U430" i="3"/>
  <c r="T389" i="3"/>
  <c r="U390" i="3"/>
  <c r="U470" i="3"/>
  <c r="T469" i="3"/>
  <c r="U345" i="3"/>
  <c r="T344" i="3"/>
  <c r="U461" i="3"/>
  <c r="T460" i="3"/>
  <c r="T371" i="3"/>
  <c r="U372" i="3"/>
  <c r="T438" i="3"/>
  <c r="U439" i="3"/>
  <c r="T380" i="3"/>
  <c r="U381" i="3"/>
  <c r="T478" i="3"/>
  <c r="U479" i="3"/>
  <c r="U363" i="3"/>
  <c r="T362" i="3"/>
  <c r="T353" i="3"/>
  <c r="U354" i="3"/>
  <c r="U403" i="3"/>
  <c r="T402" i="3"/>
  <c r="T420" i="3"/>
  <c r="U421" i="3"/>
  <c r="U164" i="3"/>
  <c r="T163" i="3"/>
  <c r="T173" i="3"/>
  <c r="U174" i="3"/>
  <c r="H303" i="3"/>
  <c r="H325" i="3"/>
  <c r="H296" i="3"/>
  <c r="H298" i="3"/>
  <c r="H301" i="3"/>
  <c r="H315" i="3"/>
  <c r="H317" i="3"/>
  <c r="H319" i="3"/>
  <c r="H310" i="3"/>
  <c r="H312" i="3"/>
  <c r="H316" i="3"/>
  <c r="H320" i="3"/>
  <c r="H324" i="3"/>
  <c r="H326" i="3"/>
  <c r="H281" i="3"/>
  <c r="H288" i="3"/>
  <c r="H290" i="3"/>
  <c r="H292" i="3"/>
  <c r="E139" i="3"/>
  <c r="H311" i="3"/>
  <c r="H313" i="3"/>
  <c r="H259" i="3"/>
  <c r="H285" i="3"/>
  <c r="H289" i="3"/>
  <c r="H297" i="3"/>
  <c r="H299" i="3"/>
  <c r="H302" i="3"/>
  <c r="H304" i="3"/>
  <c r="H306" i="3"/>
  <c r="H323" i="3"/>
  <c r="H327" i="3"/>
  <c r="T322" i="3"/>
  <c r="U323" i="3"/>
  <c r="V323" i="3"/>
  <c r="V324" i="3" s="1"/>
  <c r="V325" i="3" s="1"/>
  <c r="V326" i="3" s="1"/>
  <c r="V327" i="3" s="1"/>
  <c r="H309" i="3"/>
  <c r="H318" i="3"/>
  <c r="H295" i="3"/>
  <c r="H305" i="3"/>
  <c r="H246" i="3"/>
  <c r="H274" i="3"/>
  <c r="H287" i="3"/>
  <c r="H291" i="3"/>
  <c r="H249" i="3"/>
  <c r="H280" i="3"/>
  <c r="H282" i="3"/>
  <c r="H266" i="3"/>
  <c r="H267" i="3"/>
  <c r="H273" i="3"/>
  <c r="H275" i="3"/>
  <c r="U295" i="3"/>
  <c r="T294" i="3"/>
  <c r="V295" i="3"/>
  <c r="V296" i="3" s="1"/>
  <c r="V297" i="3" s="1"/>
  <c r="V298" i="3" s="1"/>
  <c r="V299" i="3" s="1"/>
  <c r="A276" i="3"/>
  <c r="A277" i="3" s="1"/>
  <c r="A278" i="3" s="1"/>
  <c r="H260" i="3"/>
  <c r="H221" i="3"/>
  <c r="H252" i="3"/>
  <c r="H235" i="3"/>
  <c r="H237" i="3"/>
  <c r="H239" i="3"/>
  <c r="H242" i="3"/>
  <c r="H244" i="3"/>
  <c r="H251" i="3"/>
  <c r="H227" i="3"/>
  <c r="H229" i="3"/>
  <c r="H231" i="3"/>
  <c r="H241" i="3"/>
  <c r="I241" i="3" s="1"/>
  <c r="H243" i="3"/>
  <c r="I243" i="3" s="1"/>
  <c r="H245" i="3"/>
  <c r="H253" i="3"/>
  <c r="H236" i="3"/>
  <c r="H238" i="3"/>
  <c r="H222" i="3"/>
  <c r="H228" i="3"/>
  <c r="H230" i="3"/>
  <c r="H232" i="3"/>
  <c r="H224" i="3"/>
  <c r="H214" i="3"/>
  <c r="H216" i="3"/>
  <c r="H223" i="3"/>
  <c r="H225" i="3"/>
  <c r="H218" i="3"/>
  <c r="H213" i="3"/>
  <c r="H215" i="3"/>
  <c r="H217" i="3"/>
  <c r="T301" i="3"/>
  <c r="U302" i="3"/>
  <c r="T287" i="3"/>
  <c r="U288" i="3"/>
  <c r="T308" i="3"/>
  <c r="U309" i="3"/>
  <c r="V288" i="3"/>
  <c r="V289" i="3" s="1"/>
  <c r="V290" i="3" s="1"/>
  <c r="V291" i="3" s="1"/>
  <c r="V292" i="3" s="1"/>
  <c r="V302" i="3"/>
  <c r="V303" i="3" s="1"/>
  <c r="V304" i="3" s="1"/>
  <c r="V305" i="3" s="1"/>
  <c r="V306" i="3" s="1"/>
  <c r="V309" i="3"/>
  <c r="V310" i="3" s="1"/>
  <c r="V311" i="3" s="1"/>
  <c r="V312" i="3" s="1"/>
  <c r="V313" i="3" s="1"/>
  <c r="T248" i="3"/>
  <c r="U249" i="3"/>
  <c r="V249" i="3"/>
  <c r="V250" i="3" s="1"/>
  <c r="V251" i="3" s="1"/>
  <c r="V252" i="3" s="1"/>
  <c r="V253" i="3" s="1"/>
  <c r="V260" i="3"/>
  <c r="V261" i="3" s="1"/>
  <c r="V262" i="3" s="1"/>
  <c r="V263" i="3" s="1"/>
  <c r="V264" i="3" s="1"/>
  <c r="V267" i="3"/>
  <c r="V268" i="3" s="1"/>
  <c r="V269" i="3" s="1"/>
  <c r="V270" i="3" s="1"/>
  <c r="V271" i="3" s="1"/>
  <c r="T259" i="3"/>
  <c r="U260" i="3"/>
  <c r="T266" i="3"/>
  <c r="U267" i="3"/>
  <c r="T220" i="3"/>
  <c r="U221" i="3"/>
  <c r="V221" i="3"/>
  <c r="V222" i="3" s="1"/>
  <c r="V223" i="3" s="1"/>
  <c r="V224" i="3" s="1"/>
  <c r="V225" i="3" s="1"/>
  <c r="V228" i="3"/>
  <c r="V229" i="3" s="1"/>
  <c r="V230" i="3" s="1"/>
  <c r="V231" i="3" s="1"/>
  <c r="V232" i="3" s="1"/>
  <c r="V235" i="3"/>
  <c r="V236" i="3" s="1"/>
  <c r="V237" i="3" s="1"/>
  <c r="V238" i="3" s="1"/>
  <c r="V239" i="3" s="1"/>
  <c r="T227" i="3"/>
  <c r="U228" i="3"/>
  <c r="T234" i="3"/>
  <c r="U235" i="3"/>
  <c r="E66" i="3" l="1"/>
  <c r="I65" i="3" s="1"/>
  <c r="G66" i="3" s="1"/>
  <c r="T381" i="3"/>
  <c r="U382" i="3"/>
  <c r="U391" i="3"/>
  <c r="T390" i="3"/>
  <c r="U364" i="3"/>
  <c r="T363" i="3"/>
  <c r="U346" i="3"/>
  <c r="T345" i="3"/>
  <c r="U413" i="3"/>
  <c r="T412" i="3"/>
  <c r="U337" i="3"/>
  <c r="T336" i="3"/>
  <c r="U422" i="3"/>
  <c r="T421" i="3"/>
  <c r="U355" i="3"/>
  <c r="T354" i="3"/>
  <c r="U480" i="3"/>
  <c r="T479" i="3"/>
  <c r="T439" i="3"/>
  <c r="U440" i="3"/>
  <c r="U431" i="3"/>
  <c r="T430" i="3"/>
  <c r="U462" i="3"/>
  <c r="T461" i="3"/>
  <c r="U471" i="3"/>
  <c r="T470" i="3"/>
  <c r="T448" i="3"/>
  <c r="U449" i="3"/>
  <c r="U373" i="3"/>
  <c r="T372" i="3"/>
  <c r="U404" i="3"/>
  <c r="T403" i="3"/>
  <c r="U176" i="3"/>
  <c r="T174" i="3"/>
  <c r="T164" i="3"/>
  <c r="U166" i="3"/>
  <c r="G139" i="3"/>
  <c r="T323" i="3"/>
  <c r="U324" i="3"/>
  <c r="T295" i="3"/>
  <c r="U296" i="3"/>
  <c r="U289" i="3"/>
  <c r="T288" i="3"/>
  <c r="U310" i="3"/>
  <c r="T309" i="3"/>
  <c r="U303" i="3"/>
  <c r="T302" i="3"/>
  <c r="U261" i="3"/>
  <c r="T260" i="3"/>
  <c r="U250" i="3"/>
  <c r="T249" i="3"/>
  <c r="T267" i="3"/>
  <c r="U268" i="3"/>
  <c r="U222" i="3"/>
  <c r="T221" i="3"/>
  <c r="T235" i="3"/>
  <c r="U236" i="3"/>
  <c r="U229" i="3"/>
  <c r="T228" i="3"/>
  <c r="U450" i="3" l="1"/>
  <c r="T449" i="3"/>
  <c r="T440" i="3"/>
  <c r="U441" i="3"/>
  <c r="U405" i="3"/>
  <c r="T404" i="3"/>
  <c r="T462" i="3"/>
  <c r="U463" i="3"/>
  <c r="U356" i="3"/>
  <c r="T355" i="3"/>
  <c r="U338" i="3"/>
  <c r="T337" i="3"/>
  <c r="U347" i="3"/>
  <c r="T346" i="3"/>
  <c r="T391" i="3"/>
  <c r="U392" i="3"/>
  <c r="T382" i="3"/>
  <c r="U383" i="3"/>
  <c r="T373" i="3"/>
  <c r="U374" i="3"/>
  <c r="T471" i="3"/>
  <c r="U472" i="3"/>
  <c r="U432" i="3"/>
  <c r="T431" i="3"/>
  <c r="U481" i="3"/>
  <c r="T480" i="3"/>
  <c r="U423" i="3"/>
  <c r="T422" i="3"/>
  <c r="U414" i="3"/>
  <c r="T413" i="3"/>
  <c r="U365" i="3"/>
  <c r="T364" i="3"/>
  <c r="U177" i="3"/>
  <c r="T176" i="3"/>
  <c r="T166" i="3"/>
  <c r="U167" i="3"/>
  <c r="T324" i="3"/>
  <c r="U325" i="3"/>
  <c r="T296" i="3"/>
  <c r="U297" i="3"/>
  <c r="U304" i="3"/>
  <c r="T303" i="3"/>
  <c r="U290" i="3"/>
  <c r="T289" i="3"/>
  <c r="U311" i="3"/>
  <c r="T310" i="3"/>
  <c r="U251" i="3"/>
  <c r="T250" i="3"/>
  <c r="U269" i="3"/>
  <c r="T268" i="3"/>
  <c r="U262" i="3"/>
  <c r="T261" i="3"/>
  <c r="U230" i="3"/>
  <c r="T229" i="3"/>
  <c r="U223" i="3"/>
  <c r="T222" i="3"/>
  <c r="U237" i="3"/>
  <c r="T236" i="3"/>
  <c r="T365" i="3" l="1"/>
  <c r="U366" i="3"/>
  <c r="T423" i="3"/>
  <c r="U424" i="3"/>
  <c r="U339" i="3"/>
  <c r="T338" i="3"/>
  <c r="U473" i="3"/>
  <c r="T472" i="3"/>
  <c r="T383" i="3"/>
  <c r="U384" i="3"/>
  <c r="U415" i="3"/>
  <c r="T414" i="3"/>
  <c r="T481" i="3"/>
  <c r="U482" i="3"/>
  <c r="U348" i="3"/>
  <c r="T347" i="3"/>
  <c r="T356" i="3"/>
  <c r="U357" i="3"/>
  <c r="U406" i="3"/>
  <c r="T405" i="3"/>
  <c r="T450" i="3"/>
  <c r="U451" i="3"/>
  <c r="U375" i="3"/>
  <c r="T374" i="3"/>
  <c r="U393" i="3"/>
  <c r="T392" i="3"/>
  <c r="U464" i="3"/>
  <c r="T463" i="3"/>
  <c r="T441" i="3"/>
  <c r="U442" i="3"/>
  <c r="T432" i="3"/>
  <c r="U433" i="3"/>
  <c r="T177" i="3"/>
  <c r="U178" i="3"/>
  <c r="U168" i="3"/>
  <c r="T167" i="3"/>
  <c r="T325" i="3"/>
  <c r="U326" i="3"/>
  <c r="T297" i="3"/>
  <c r="U298" i="3"/>
  <c r="T311" i="3"/>
  <c r="U312" i="3"/>
  <c r="T290" i="3"/>
  <c r="U291" i="3"/>
  <c r="T304" i="3"/>
  <c r="U305" i="3"/>
  <c r="U270" i="3"/>
  <c r="T269" i="3"/>
  <c r="U263" i="3"/>
  <c r="T262" i="3"/>
  <c r="T251" i="3"/>
  <c r="U252" i="3"/>
  <c r="T223" i="3"/>
  <c r="U224" i="3"/>
  <c r="U238" i="3"/>
  <c r="T237" i="3"/>
  <c r="U231" i="3"/>
  <c r="T230" i="3"/>
  <c r="T375" i="3" l="1"/>
  <c r="U376" i="3"/>
  <c r="T376" i="3" s="1"/>
  <c r="T442" i="3"/>
  <c r="U443" i="3"/>
  <c r="T443" i="3" s="1"/>
  <c r="U452" i="3"/>
  <c r="T452" i="3" s="1"/>
  <c r="T451" i="3"/>
  <c r="T357" i="3"/>
  <c r="U358" i="3"/>
  <c r="T358" i="3" s="1"/>
  <c r="U483" i="3"/>
  <c r="T483" i="3" s="1"/>
  <c r="T482" i="3"/>
  <c r="T384" i="3"/>
  <c r="U385" i="3"/>
  <c r="T385" i="3" s="1"/>
  <c r="T366" i="3"/>
  <c r="U367" i="3"/>
  <c r="T367" i="3" s="1"/>
  <c r="T393" i="3"/>
  <c r="U394" i="3"/>
  <c r="T394" i="3" s="1"/>
  <c r="T339" i="3"/>
  <c r="U340" i="3"/>
  <c r="T340" i="3" s="1"/>
  <c r="U434" i="3"/>
  <c r="T434" i="3" s="1"/>
  <c r="T433" i="3"/>
  <c r="U425" i="3"/>
  <c r="T425" i="3" s="1"/>
  <c r="T424" i="3"/>
  <c r="T464" i="3"/>
  <c r="U465" i="3"/>
  <c r="T465" i="3" s="1"/>
  <c r="T406" i="3"/>
  <c r="U407" i="3"/>
  <c r="T407" i="3" s="1"/>
  <c r="T348" i="3"/>
  <c r="U349" i="3"/>
  <c r="T349" i="3" s="1"/>
  <c r="U416" i="3"/>
  <c r="T416" i="3" s="1"/>
  <c r="T415" i="3"/>
  <c r="T473" i="3"/>
  <c r="U474" i="3"/>
  <c r="T474" i="3" s="1"/>
  <c r="U169" i="3"/>
  <c r="T169" i="3" s="1"/>
  <c r="T168" i="3"/>
  <c r="U179" i="3"/>
  <c r="T179" i="3" s="1"/>
  <c r="T178" i="3"/>
  <c r="T326" i="3"/>
  <c r="U327" i="3"/>
  <c r="T327" i="3" s="1"/>
  <c r="T298" i="3"/>
  <c r="U299" i="3"/>
  <c r="T299" i="3" s="1"/>
  <c r="T312" i="3"/>
  <c r="U313" i="3"/>
  <c r="T305" i="3"/>
  <c r="U306" i="3"/>
  <c r="T291" i="3"/>
  <c r="U292" i="3"/>
  <c r="T263" i="3"/>
  <c r="U264" i="3"/>
  <c r="T252" i="3"/>
  <c r="U253" i="3"/>
  <c r="T270" i="3"/>
  <c r="U271" i="3"/>
  <c r="T231" i="3"/>
  <c r="U232" i="3"/>
  <c r="T238" i="3"/>
  <c r="U239" i="3"/>
  <c r="T224" i="3"/>
  <c r="U225" i="3"/>
  <c r="T306" i="3" l="1"/>
  <c r="T292" i="3"/>
  <c r="T313" i="3"/>
  <c r="T271" i="3"/>
  <c r="T264" i="3"/>
  <c r="T253" i="3"/>
  <c r="T225" i="3"/>
  <c r="T232" i="3"/>
  <c r="T239" i="3"/>
  <c r="F211" i="3" l="1"/>
  <c r="E211" i="3"/>
  <c r="F208" i="3"/>
  <c r="E208" i="3"/>
  <c r="F207" i="3"/>
  <c r="E207" i="3"/>
  <c r="F206" i="3"/>
  <c r="E206" i="3"/>
  <c r="I205" i="3"/>
  <c r="F201" i="3"/>
  <c r="E201" i="3"/>
  <c r="F200" i="3"/>
  <c r="E200" i="3"/>
  <c r="F199" i="3"/>
  <c r="E199" i="3"/>
  <c r="F193" i="3"/>
  <c r="E193" i="3"/>
  <c r="F192" i="3"/>
  <c r="E192" i="3"/>
  <c r="I191" i="3"/>
  <c r="G186" i="3"/>
  <c r="G185" i="3"/>
  <c r="F186" i="3"/>
  <c r="E186" i="3"/>
  <c r="F185" i="3"/>
  <c r="E185" i="3"/>
  <c r="I198" i="3"/>
  <c r="I184" i="3"/>
  <c r="C20" i="3"/>
  <c r="G20" i="3"/>
  <c r="G19" i="3"/>
  <c r="C19" i="3" s="1"/>
  <c r="G18" i="3"/>
  <c r="U192" i="3"/>
  <c r="V199" i="3"/>
  <c r="U199" i="3"/>
  <c r="U206" i="3"/>
  <c r="V192" i="3"/>
  <c r="V206" i="3"/>
  <c r="E138" i="3" l="1"/>
  <c r="H199" i="3"/>
  <c r="H201" i="3"/>
  <c r="H207" i="3"/>
  <c r="H211" i="3"/>
  <c r="H200" i="3"/>
  <c r="H206" i="3"/>
  <c r="H208" i="3"/>
  <c r="H193" i="3"/>
  <c r="H192" i="3"/>
  <c r="T206" i="3"/>
  <c r="U207" i="3"/>
  <c r="V207" i="3"/>
  <c r="V208" i="3" s="1"/>
  <c r="V209" i="3" s="1"/>
  <c r="V210" i="3" s="1"/>
  <c r="V211" i="3" s="1"/>
  <c r="U193" i="3"/>
  <c r="T192" i="3"/>
  <c r="V193" i="3"/>
  <c r="V194" i="3" s="1"/>
  <c r="V195" i="3" s="1"/>
  <c r="V196" i="3" s="1"/>
  <c r="V197" i="3" s="1"/>
  <c r="T199" i="3"/>
  <c r="U200" i="3"/>
  <c r="V200" i="3"/>
  <c r="V201" i="3" s="1"/>
  <c r="V202" i="3" s="1"/>
  <c r="V203" i="3" s="1"/>
  <c r="V204" i="3" s="1"/>
  <c r="T207" i="3" l="1"/>
  <c r="U208" i="3"/>
  <c r="U194" i="3"/>
  <c r="T193" i="3"/>
  <c r="T200" i="3"/>
  <c r="U201" i="3"/>
  <c r="T208" i="3" l="1"/>
  <c r="U209" i="3"/>
  <c r="U195" i="3"/>
  <c r="T194" i="3"/>
  <c r="T201" i="3"/>
  <c r="U202" i="3"/>
  <c r="T209" i="3" l="1"/>
  <c r="U210" i="3"/>
  <c r="U196" i="3"/>
  <c r="T195" i="3"/>
  <c r="T202" i="3"/>
  <c r="U203" i="3"/>
  <c r="U211" i="3" l="1"/>
  <c r="T211" i="3" s="1"/>
  <c r="T210" i="3"/>
  <c r="U197" i="3"/>
  <c r="T197" i="3" s="1"/>
  <c r="T196" i="3"/>
  <c r="T203" i="3"/>
  <c r="U204" i="3"/>
  <c r="T204" i="3" s="1"/>
  <c r="D523" i="3" l="1"/>
  <c r="D52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D42" i="6"/>
  <c r="D44" i="6" s="1"/>
  <c r="E44" i="6" l="1"/>
  <c r="C26" i="3"/>
  <c r="C18" i="3"/>
  <c r="H186" i="3"/>
  <c r="H185" i="3"/>
  <c r="G138" i="3" l="1"/>
  <c r="A95" i="3"/>
  <c r="D96" i="3" s="1"/>
  <c r="J107" i="3" s="1"/>
  <c r="A79" i="3"/>
  <c r="D80" i="3" s="1"/>
  <c r="J106"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0" i="3"/>
  <c r="I5" i="4"/>
  <c r="F38" i="4" l="1"/>
  <c r="G38" i="4"/>
  <c r="E18" i="4"/>
  <c r="E15" i="4"/>
  <c r="E17" i="4"/>
  <c r="E11" i="4"/>
  <c r="K6" i="4"/>
  <c r="E9" i="4"/>
  <c r="K8" i="4"/>
  <c r="C7" i="4" s="1"/>
  <c r="E14" i="4"/>
  <c r="E12" i="4"/>
  <c r="E16" i="4"/>
  <c r="E10" i="4"/>
  <c r="K9" i="4"/>
  <c r="K10" i="4" s="1"/>
  <c r="K11" i="4" s="1"/>
  <c r="E13" i="4"/>
  <c r="K7" i="4"/>
  <c r="J91" i="3"/>
  <c r="J90" i="3"/>
  <c r="K12" i="4" l="1"/>
  <c r="K16" i="4" s="1"/>
  <c r="C8" i="4" s="1"/>
  <c r="E8" i="4" s="1"/>
  <c r="E7" i="4"/>
  <c r="F7" i="4" l="1"/>
  <c r="J4" i="4" s="1"/>
  <c r="H7" i="4" s="1"/>
  <c r="G4" i="3" l="1"/>
  <c r="D522" i="3" l="1"/>
  <c r="G134" i="3"/>
  <c r="D93" i="3" l="1"/>
  <c r="D85" i="3"/>
  <c r="D88" i="3"/>
  <c r="J84" i="3"/>
  <c r="D92" i="3"/>
  <c r="D86" i="3"/>
  <c r="J83" i="3"/>
  <c r="D91" i="3"/>
  <c r="J86" i="3"/>
  <c r="J87" i="3" s="1"/>
  <c r="D90" i="3"/>
  <c r="D84" i="3"/>
  <c r="J85" i="3"/>
  <c r="C82" i="3" s="1"/>
  <c r="D89" i="3"/>
  <c r="D87" i="3"/>
  <c r="D82" i="3" l="1"/>
  <c r="J88" i="3"/>
  <c r="J92" i="3"/>
  <c r="J89" i="3"/>
  <c r="H96" i="3"/>
  <c r="J93" i="3" l="1"/>
  <c r="C83" i="3" s="1"/>
  <c r="D109" i="3"/>
  <c r="D108" i="3"/>
  <c r="D102" i="3"/>
  <c r="J101" i="3"/>
  <c r="C98" i="3" s="1"/>
  <c r="D104" i="3"/>
  <c r="D103" i="3"/>
  <c r="J99" i="3"/>
  <c r="D107" i="3"/>
  <c r="D101" i="3"/>
  <c r="J102" i="3"/>
  <c r="J103" i="3" s="1"/>
  <c r="J104" i="3" s="1"/>
  <c r="J105" i="3" s="1"/>
  <c r="D106" i="3"/>
  <c r="D100" i="3"/>
  <c r="J100" i="3"/>
  <c r="D105" i="3"/>
  <c r="D83" i="3" l="1"/>
  <c r="E82" i="3"/>
  <c r="J108" i="3"/>
  <c r="J109" i="3" s="1"/>
  <c r="C99" i="3" s="1"/>
  <c r="D99" i="3" s="1"/>
  <c r="D98" i="3"/>
  <c r="V185" i="3"/>
  <c r="U185" i="3"/>
  <c r="I81" i="3" l="1"/>
  <c r="G82" i="3" s="1"/>
  <c r="E98" i="3"/>
  <c r="I97" i="3" s="1"/>
  <c r="G98" i="3" s="1"/>
  <c r="T185" i="3"/>
  <c r="U186" i="3"/>
  <c r="V186" i="3"/>
  <c r="V187" i="3" s="1"/>
  <c r="V188" i="3" s="1"/>
  <c r="V189" i="3" s="1"/>
  <c r="V190" i="3" s="1"/>
  <c r="G126" i="3" l="1"/>
  <c r="T186" i="3"/>
  <c r="U187" i="3"/>
  <c r="T187" i="3" s="1"/>
  <c r="U188" i="3" l="1"/>
  <c r="T188" i="3" s="1"/>
  <c r="U189" i="3" l="1"/>
  <c r="T189" i="3" s="1"/>
  <c r="U190" i="3" l="1"/>
  <c r="T190"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G15" authorId="0" shapeId="0">
      <text>
        <r>
          <rPr>
            <b/>
            <sz val="12"/>
            <color indexed="81"/>
            <rFont val="Tahoma"/>
            <family val="2"/>
          </rPr>
          <t>Maybe same as RERA Registration Validity or different</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32"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<sst xmlns="http://schemas.openxmlformats.org/spreadsheetml/2006/main" count="1246" uniqueCount="421">
  <si>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</si>
  <si>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</si>
  <si>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</si>
  <si>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</si>
  <si>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</si>
  <si>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</si>
  <si>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</si>
  <si>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</si>
  <si>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</si>
  <si>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</si>
  <si>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</si>
  <si>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</si>
  <si>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</si>
  <si>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</si>
  <si>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</si>
  <si>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</si>
  <si>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</si>
  <si>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</si>
  <si>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</si>
  <si>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</si>
  <si>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</si>
  <si>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</si>
  <si>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</si>
  <si>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</si>
  <si>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</si>
  <si>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</si>
  <si>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</si>
  <si>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</si>
  <si>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</si>
  <si>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</si>
  <si>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</si>
  <si>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</si>
  <si>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</si>
  <si>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</si>
  <si>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</si>
  <si>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</si>
  <si>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</si>
  <si>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</si>
  <si>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</si>
  <si>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</si>
  <si>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</si>
  <si>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</si>
  <si>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</si>
  <si>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</si>
  <si>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</si>
  <si>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</si>
  <si>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</si>
  <si>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</si>
  <si>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</si>
  <si>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</si>
  <si>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</si>
  <si>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</si>
  <si>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</si>
  <si>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</si>
  <si>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</si>
  <si>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</si>
  <si>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</si>
  <si>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</si>
  <si>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</si>
  <si>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</si>
  <si>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</si>
  <si>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</si>
  <si>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</si>
  <si>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</si>
  <si>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</si>
  <si>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</si>
  <si>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</si>
  <si>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</si>
  <si>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</si>
  <si>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</si>
  <si>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</si>
  <si>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</si>
  <si>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</si>
  <si>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</si>
  <si>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</si>
  <si>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</si>
  <si>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</si>
  <si>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</si>
  <si>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</si>
  <si>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</si>
  <si>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</si>
  <si>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</si>
  <si>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</si>
  <si>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</si>
  <si>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</si>
  <si>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</si>
  <si>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</si>
  <si>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</si>
  <si>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</si>
  <si>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</si>
  <si>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</si>
  <si>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</si>
  <si>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</si>
  <si>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</si>
  <si>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</si>
  <si>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</si>
  <si>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</si>
  <si>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</si>
  <si>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</si>
  <si>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</si>
  <si>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</si>
  <si>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</si>
  <si>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</si>
  <si>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</si>
  <si>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</si>
  <si>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</si>
  <si>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</si>
  <si>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</si>
  <si>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</si>
  <si>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</si>
  <si>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</si>
  <si>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</si>
  <si>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</si>
  <si>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</si>
  <si>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</si>
  <si>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</si>
  <si>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</si>
  <si>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</si>
  <si>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</si>
  <si>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</si>
  <si>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</si>
  <si>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</si>
  <si>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</si>
  <si>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</si>
  <si>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</si>
  <si>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</si>
  <si>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</si>
  <si>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</si>
  <si>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</si>
  <si>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</si>
  <si>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</si>
  <si>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</si>
  <si>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</si>
  <si>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</si>
  <si>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</si>
  <si>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</si>
  <si>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</si>
  <si>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</si>
  <si>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</si>
  <si>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</si>
  <si>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</si>
  <si>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</si>
  <si>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</si>
  <si>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</si>
  <si>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</si>
  <si>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</si>
  <si>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</si>
  <si>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</si>
  <si>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</si>
  <si>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</si>
  <si>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</si>
  <si>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</si>
  <si>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</si>
  <si>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</si>
  <si>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</si>
  <si>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</si>
  <si>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</si>
  <si>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</si>
  <si>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</si>
  <si>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</si>
  <si>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</si>
  <si>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</si>
  <si>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</si>
  <si>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</si>
  <si>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</si>
  <si>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</si>
  <si>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</si>
  <si>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</si>
  <si>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</si>
  <si>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</si>
  <si>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</si>
  <si>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</si>
  <si>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</si>
  <si>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</si>
  <si>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</si>
  <si>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</si>
  <si>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</si>
  <si>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</si>
  <si>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</si>
  <si>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</si>
  <si>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</si>
  <si>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</si>
  <si>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</si>
  <si>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</si>
  <si>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</si>
  <si>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</si>
  <si>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</si>
  <si>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</si>
  <si>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</si>
  <si>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</si>
  <si>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</si>
  <si>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</si>
  <si>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</si>
  <si>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</si>
  <si>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</si>
  <si>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</si>
  <si>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</si>
  <si>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</si>
  <si>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</si>
  <si>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</si>
  <si>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</si>
  <si>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</si>
  <si>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</si>
  <si>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</si>
  <si>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</si>
  <si>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</si>
  <si>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</si>
  <si>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</si>
  <si>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</si>
  <si>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</si>
  <si>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</si>
  <si>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</si>
  <si>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</si>
  <si>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</si>
  <si>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</si>
  <si>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</si>
  <si>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</si>
  <si>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</si>
  <si>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</si>
  <si>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</si>
  <si>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</si>
  <si>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</si>
  <si>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</si>
  <si>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</si>
  <si>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</si>
  <si>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</si>
  <si>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</si>
  <si>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</si>
  <si>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</si>
  <si>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</si>
  <si>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</si>
  <si>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</si>
  <si>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</si>
  <si>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</si>
  <si>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</si>
  <si>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</si>
  <si>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</si>
  <si>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</si>
  <si>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</si>
  <si>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</si>
  <si>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</si>
  <si>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</si>
  <si>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</si>
  <si>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</si>
  <si>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</si>
  <si>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</si>
  <si>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</si>
  <si>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</si>
  <si>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</si>
  <si>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</si>
  <si>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</si>
  <si>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</si>
  <si>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</si>
  <si>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</si>
  <si>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</si>
  <si>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</si>
  <si>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</si>
  <si>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</si>
  <si>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</si>
  <si>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</si>
  <si>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</si>
  <si>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</si>
  <si>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</si>
  <si>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</si>
  <si>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</si>
  <si>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</si>
  <si>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</si>
  <si>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</si>
  <si>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</si>
  <si>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</si>
  <si>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</si>
  <si>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</si>
  <si>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</si>
  <si>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</si>
  <si>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</si>
  <si>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</si>
  <si>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</si>
  <si>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</si>
  <si>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</si>
  <si>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</si>
  <si>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</si>
  <si>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</si>
  <si>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</si>
  <si>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</si>
  <si>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</si>
  <si>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</si>
  <si>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</si>
  <si>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</si>
  <si>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</si>
  <si>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</si>
  <si>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</si>
  <si>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</si>
  <si>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</si>
  <si>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</si>
  <si>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</si>
  <si>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</si>
  <si>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</si>
  <si>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</si>
  <si>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7 RCC
3Brick 
2 plaster</t>
  </si>
  <si>
    <t>Mr. Suraj Khare</t>
  </si>
  <si>
    <t>Hiranandani Westgate Phase 1</t>
  </si>
  <si>
    <t>M/s. Shoden Developers Private Limited</t>
  </si>
  <si>
    <t>2nd Floor, Technology Street, Olympia, House Of Hiranandani, Central Avenue, Hiranandani Gardens, Near Galleria Mall, Powai, Tal. Kurla 400076.</t>
  </si>
  <si>
    <t>S. No. 138/2/15, 214/6, 214/8, 214/9A, 214/9B, 215/1, 215/2, 215/3A, 215/3B, 216/1, 216/2, 218/1, 218/2, 218/3, 218/4, 218/5, 218/6, 218/7, 219/1, 219/2, 219/3A, 219/3B, 219/4, 219/5, 219/6, 219/7, 220/1/A, 220/1/B, 220/2, 220/3, 220/4A, 220/4B, 220/5, 220/6, 221/1, 221/2, 222/1/A, 222/2/B, 222/2/C, 222/3, 222/4, 222/5, 222/6, 222/7, 222/8, 231/2/2/A, 231/2/2/B, 231/2/2/C, 231/2/2/D, 231/3/A, 231/3/B, 231/4, 231/6A, 231/6B, 232/1, 232/2, 232/3, 232/4, 232/5A, 232/5B, 285, 286, 288 at Thane (M Corp.), Thane, Thane, 400607</t>
  </si>
  <si>
    <t>Hiranandani Westgate Phase 1, Near Vijay Residency CHS, Cosmos Park Road, Kavesar, Thane West, Tal. Thane, Dist. Thane 400615.</t>
  </si>
  <si>
    <t>Approved Layout &amp; Floor Plans, CC, RERA certificate, Fire NOC, EC</t>
  </si>
  <si>
    <t>Thane Muncipal Cooperation (TMC)</t>
  </si>
  <si>
    <t>P51700077268</t>
  </si>
  <si>
    <t>State Bank Of India</t>
  </si>
  <si>
    <t>19.260847,72.975027</t>
  </si>
  <si>
    <t>https://maps.app.goo.gl/BWeLqEvyknSFtXqn7</t>
  </si>
  <si>
    <t>Vijay Residency CHS</t>
  </si>
  <si>
    <t>Kids Play Area, Landscaped Garden, Gymnasium, Multi Purpose Court, Banquet Hall, Senior Citizen Area, Indoor Heated Pool etc.</t>
  </si>
  <si>
    <t>40m</t>
  </si>
  <si>
    <t>Other Plot</t>
  </si>
  <si>
    <t>30.00Mt Wide DP Road</t>
  </si>
  <si>
    <t>Other Plot/40.00mt Wide DP Road</t>
  </si>
  <si>
    <t>Vijay Vatika</t>
  </si>
  <si>
    <t>Aakar Residency/Vijay Residency</t>
  </si>
  <si>
    <t>Vijay Garden Road</t>
  </si>
  <si>
    <t>Waghbil Road</t>
  </si>
  <si>
    <t xml:space="preserve"> Belvedere A &amp; B</t>
  </si>
  <si>
    <t>Florencia A &amp; B</t>
  </si>
  <si>
    <t>2B + LG + UG + 1st to 55th Floor</t>
  </si>
  <si>
    <t>2B + LG + UG + 1st to 51st Floor</t>
  </si>
  <si>
    <t>2B + LG + UG + 1st to 47th Floor</t>
  </si>
  <si>
    <t>S06/0401/23/TMCB/TD-DP/TPS/0131/P/C/2024 Auto DCR</t>
  </si>
  <si>
    <t>S06/0401/23 TMC/TDD/24</t>
  </si>
  <si>
    <t>Somerset = 2B + LG + UG + 1st (Podium -1) to 3rd (Podium -3) Floor
Belvedere A  &amp; B = 2B + LG + UG + 1st (Podium -1)to 2nd Floor (Podium-2)
Florencia A &amp; B = 2B + LG + UG + 1st (Podium -1)to 2nd Floor (Podium-2)
Amalfi = 2B + LG + UG + 1st (Podium -1)to 2nd Floor (Podium-2)</t>
  </si>
  <si>
    <t xml:space="preserve">CC Details
Valid Up to: </t>
  </si>
  <si>
    <t>TMC/CFO/M/HR/29/28</t>
  </si>
  <si>
    <t>Florencia A &amp; B = 2B + LG + UG + 3P + 4th to 47th Floor (148.10M Height)
Amalfi = 2B + LG + UG + 3P + 4th to 47th Floor (148.10M Height)</t>
  </si>
  <si>
    <t>Other NOC Details
(Fire NOC)
Valid Up to:</t>
  </si>
  <si>
    <t>SIA/MH/INFRA2/454172/2023
Survey No. 138/2/15, 214/6, 8, 9A, 9B, 215/1, 2, 3A, 3B, 216/1, 2, 218/1, 2, 3, 4, 5, 6, 7, 219/1, 2, 3A, 3B, 4, 5, 6, 7, 220/1/A, 1/B, 2, 3, 4A, 4B, 5, 6, 221/1, 2, 222/1/A, 2B, 2C, 3, 4, 5, 6, 7, 8, 231/2/2/A, 2/2/C, 2/2/D, 2/2/B, 3/A, 3/B, 4, 6A, 6B, 232/1, 2, 3, 4, 232/5A &amp; 5B, 285, 286, 288.
Net Plot Area = 88856.63 Sq.m
Building No. 1 (Type A) = 2B + LG + UG + 1st to 55th Floor(188M Height)
Building No. 2 (Type B) = 2B + LG + UG + 1st to 51st Floor(166.25M Height)
Building No. 3 (Type B) = 2B + LG + UG + 1st to 51st Floor(166.25M Height)
Building No. 4 (Type C1) = 2B + LG + UG + 1st to 47th Floor(148.10M Height)
Building No. 5 (Type C1) = 2B + LG + UG + 1st to 47tht Floor(148.10M Height)
Building No. 6 (Type C2) = 2B + LG + UG + 1st to 47th Floor(148.30M Height)</t>
  </si>
  <si>
    <t>1st &amp; 2nd Basement Floor For Parking</t>
  </si>
  <si>
    <t>2nd Floor For Residential &amp; Parking</t>
  </si>
  <si>
    <t>Deck Area</t>
  </si>
  <si>
    <t xml:space="preserve"> - </t>
  </si>
  <si>
    <t>Parking</t>
  </si>
  <si>
    <t>4th Floor</t>
  </si>
  <si>
    <t>Belvedere A</t>
  </si>
  <si>
    <t>Belvedere B</t>
  </si>
  <si>
    <t>OK</t>
  </si>
  <si>
    <t>Lower Ground Floor For Entrance Lobby (Double Heighted), Society Office, Driver Room, Meter Room, Telecom Room &amp; Parking</t>
  </si>
  <si>
    <t>Upper Floor For Meter Room, Landscaped Area &amp; Parking</t>
  </si>
  <si>
    <t>3BHK</t>
  </si>
  <si>
    <t>Meter Room</t>
  </si>
  <si>
    <t>Parking &amp; Void Area</t>
  </si>
  <si>
    <t>1st Floor For Residential, Meter Room &amp; Parking</t>
  </si>
  <si>
    <t>3rd Floor For Residential, Amenity &amp; Parking</t>
  </si>
  <si>
    <t>Double Height Indoor Games</t>
  </si>
  <si>
    <t>Double Height Indoor Games Below</t>
  </si>
  <si>
    <t>5th, 7th to 10th, 12th to 14th, 16th to 18th Floor</t>
  </si>
  <si>
    <t>6th, 11th, 15th &amp; 19th Floor (Part Refuge Area)</t>
  </si>
  <si>
    <t>4.5BHK</t>
  </si>
  <si>
    <t>Refuge Area</t>
  </si>
  <si>
    <t>20th to 22nd, 24th to 26th, 28th to 30th Floor</t>
  </si>
  <si>
    <t>23rd, 27th &amp; 31st Floor (Part Refuge Area)</t>
  </si>
  <si>
    <t>32nd to 34th, 36th to 38th, 40th to 42nd, 44th to 46th, 48th to 51st Floor</t>
  </si>
  <si>
    <t>35th, 39th, 43rd &amp; 47th Floor ( Part Refuge Area)</t>
  </si>
  <si>
    <t>3rd Floor</t>
  </si>
  <si>
    <t>BMS Room</t>
  </si>
  <si>
    <t>Business Center (Double Heighted)</t>
  </si>
  <si>
    <t>Business Center Below</t>
  </si>
  <si>
    <t xml:space="preserve">We considered Gross carpet area = Net carpet + Deck Area.
</t>
  </si>
  <si>
    <t>We have refered the Environment Clearance Certificate from the Parivesh Portal on 21/08/2025.</t>
  </si>
  <si>
    <t>We have updated fire Noc for Building Florencia A &amp; B, Amalfi on 08/10/2024.
Please Check fire noc for Somerset, Belvedere A &amp; B.</t>
  </si>
  <si>
    <t>Mr. Ajay Songare</t>
  </si>
  <si>
    <t>11/08/2025 @ 12:13 PM</t>
  </si>
  <si>
    <t>Miss. Sonali</t>
  </si>
  <si>
    <t>Construction work is in process at the time of Visit (Internal Visit Not Allowed).</t>
  </si>
  <si>
    <t>Concrete</t>
  </si>
  <si>
    <t>52 M from Swastik Regalia Bus Stop</t>
  </si>
  <si>
    <t>About 0.23 KM from Radcliffe School</t>
  </si>
  <si>
    <t>About 1.00 KM from Kevalya Hospital</t>
  </si>
  <si>
    <t>1. Approx. 0.35 KM from Khetlaji Super Market.
2. Approx. 0.40 KM from Nikita Super Market.</t>
  </si>
  <si>
    <t>10.10 KM from Thane Railway Station
11.00 KM from Kalwa Railway Station</t>
  </si>
  <si>
    <t>Unable to Find Ready Reckonor Rate</t>
  </si>
  <si>
    <t>Proposed Residential/Commercial Layout On Plot Bearing 138/2/15, 214/6, 8, 9A, 9B, 215/1, 2, 3A, 3B, 216/1, 2, 218/1, 2, 3, 4, 5, 6, 7, 219/1, 2, 3A, 3B, 4, 5, 6, 7, 220/1/A, 1/B, 2, 3, 4A, 4B, 5, 6, 221/1, 2, 222/1/A, 2B, 2C, 3, 4, 5, 6, 7, 8, 231/2/2/A, 2/2/C, 2/2/D, 2/2/B, 3/A, 3/B, 4, 6A, 6B, 232/1, 2, 3, 4, 232/5A &amp; 5B, 285, 286, 288 At Village Kavesar Tal. &amp; Dist. Thane.</t>
  </si>
  <si>
    <t>Middle</t>
  </si>
  <si>
    <t>27000 to 28000</t>
  </si>
  <si>
    <t>Somerset</t>
  </si>
  <si>
    <t>Lower Ground Floor For Entrance Lobby (Double Heighted), Society Office, Driver Room, Garbage Room, Telecom Room &amp; Parking</t>
  </si>
  <si>
    <t>Upper Ground Floor Meter Room &amp; Parking</t>
  </si>
  <si>
    <t>1st Floor For Residential, Meter Room, Parking</t>
  </si>
  <si>
    <t>4BHK</t>
  </si>
  <si>
    <t xml:space="preserve">3rd Floor For Residential &amp; Amenity </t>
  </si>
  <si>
    <t>Yoga Area</t>
  </si>
  <si>
    <t xml:space="preserve">Gymnasium </t>
  </si>
  <si>
    <t>5th &amp; 6th, 8th to 10th, 12th to 14th, 16th to 18th, 20th to 22nd, 24th to 26th, 28th to 30th, 32nd to 34th, 36th to 38th, 40th to 42nd, 44th to 46th, 48th to 50th, 52nd to 55th Floor</t>
  </si>
  <si>
    <t>7th, 11th, 15th, 19th, 23rd, 27th, 31st, 35th, 39th, 43rd, 47th &amp; 51st Floor (Part Refuge Area)</t>
  </si>
  <si>
    <t>Florencia A</t>
  </si>
  <si>
    <t>Florencia B</t>
  </si>
  <si>
    <t>Amalfi</t>
  </si>
  <si>
    <t>Lower Ground Floor For Entrance Lobby(Double Heighted), Driver Room, Society Office, Telecom Room &amp; Parking</t>
  </si>
  <si>
    <t>Upper Ground Floor For Meter Room-1, Meter Room-2 &amp; Parking</t>
  </si>
  <si>
    <t>1st Floor For Residential &amp; Meter Room-3</t>
  </si>
  <si>
    <t>2BHK</t>
  </si>
  <si>
    <t>Meter Room - 3</t>
  </si>
  <si>
    <t>DG Panel Room</t>
  </si>
  <si>
    <t>Creche</t>
  </si>
  <si>
    <t>Creche Area Below</t>
  </si>
  <si>
    <t>5th, 6th, 8th to 11th, 13th to 16th, 18th to 21st, 23rd to 26th, 28th to 31st, 33rd to 36th, 38th to 41st, 43rd to 46th &amp; 47th Floor</t>
  </si>
  <si>
    <t>7th &amp; 12th Floor (Part Refuge Area)</t>
  </si>
  <si>
    <t>17th, 22nd, 27th,  32nd, 37th &amp; 42nd Floor (Part Refuge Area)</t>
  </si>
  <si>
    <t>1st Floor For Residential, Meter Room-3, DG Panel Room &amp; Parking</t>
  </si>
  <si>
    <t>Void</t>
  </si>
  <si>
    <t>3rd Floor For Residential &amp; Amenity</t>
  </si>
  <si>
    <t>Maze Area &amp; Kids Play Area (Double Heighted)</t>
  </si>
  <si>
    <t>Maze Area &amp; Kids Play Area Below</t>
  </si>
  <si>
    <t>7th, 12th, 17th, 22nd, 27th, 32nd, 37th &amp; 42nd Floor (Part Refuge Area)</t>
  </si>
  <si>
    <t xml:space="preserve">Amalfi </t>
  </si>
  <si>
    <t>Lower Ground Floor For Entrance Lobby (Double Heighted), Society Office, Driver Room, Fire Control Room, Telecom Room &amp; Parking</t>
  </si>
  <si>
    <t>1st Floor For Residential, Meter Room, Meter Room-3 &amp; Parking</t>
  </si>
  <si>
    <t>3rd Floor For Residential &amp; Creche</t>
  </si>
  <si>
    <t>Creche Area</t>
  </si>
  <si>
    <t>5th, 6th, 8th to 11th, 13th to 16th, 18th to 21st, 23rd to 26th, 28th to 31st, 33rd to 36th, 38th to 41st, 43rd to 47th  Floor</t>
  </si>
  <si>
    <t>2B  + LG + UG + 1st to 47th Floor</t>
  </si>
  <si>
    <t>Double Height Entrance Lobby below</t>
  </si>
  <si>
    <t>Flats =  1844</t>
  </si>
  <si>
    <t>As per RERA Site
 Flats = 1844</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</si>
</sst>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20"/>
      <color theme="10"/>
      <name val="Calibri"/>
      <family val="2"/>
    </font>
    <font>
      <sz val="2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9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9" fillId="0" borderId="0" xfId="0" applyFont="1" applyAlignment="1">
      <alignment horizontal="center" vertical="top"/>
    </xf>
    <xf numFmtId="0" fontId="9" fillId="0" borderId="0" xfId="0" applyFont="1" applyAlignment="1">
      <alignment vertical="top"/>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4" fillId="4" borderId="1"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 xfId="0" applyFont="1" applyFill="1" applyBorder="1" applyAlignment="1">
      <alignment horizontal="center" vertical="top" wrapText="1"/>
    </xf>
    <xf numFmtId="0" fontId="4" fillId="0" borderId="1" xfId="0" applyFont="1" applyBorder="1" applyAlignment="1">
      <alignment horizontal="left" vertical="top" wrapText="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1" fontId="4" fillId="4" borderId="1"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8" fillId="4" borderId="1" xfId="0"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8</xdr:col>
      <xdr:colOff>462642</xdr:colOff>
      <xdr:row>8</xdr:row>
      <xdr:rowOff>884465</xdr:rowOff>
    </xdr:from>
    <xdr:to>
      <xdr:col>14</xdr:col>
      <xdr:colOff>414494</xdr:colOff>
      <xdr:row>9</xdr:row>
      <xdr:rowOff>180747</xdr:rowOff>
    </xdr:to>
    <xdr:pic>
      <xdr:nvPicPr>
        <xdr:cNvPr id="2" name="Picture 1"/>
        <xdr:cNvPicPr>
          <a:picLocks noChangeAspect="1"/>
        </xdr:cNvPicPr>
      </xdr:nvPicPr>
      <xdr:blipFill>
        <a:blip xmlns:r="http://schemas.openxmlformats.org/officeDocument/2006/relationships" r:embed="rId1"/>
        <a:stretch>
          <a:fillRect/>
        </a:stretch>
      </xdr:blipFill>
      <xdr:spPr>
        <a:xfrm>
          <a:off x="9824356" y="4694465"/>
          <a:ext cx="5462745" cy="1187675"/>
        </a:xfrm>
        <a:prstGeom prst="rect">
          <a:avLst/>
        </a:prstGeom>
        <a:ln>
          <a:solidFill>
            <a:schemeClr val="tx1"/>
          </a:solidFill>
        </a:ln>
      </xdr:spPr>
    </xdr:pic>
    <xdr:clientData/>
  </xdr:twoCellAnchor>
  <xdr:twoCellAnchor editAs="oneCell">
    <xdr:from>
      <xdr:col>8</xdr:col>
      <xdr:colOff>845244</xdr:colOff>
      <xdr:row>180</xdr:row>
      <xdr:rowOff>197704</xdr:rowOff>
    </xdr:from>
    <xdr:to>
      <xdr:col>13</xdr:col>
      <xdr:colOff>135389</xdr:colOff>
      <xdr:row>184</xdr:row>
      <xdr:rowOff>9573</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0206958" y="69009025"/>
          <a:ext cx="4188717" cy="846012"/>
        </a:xfrm>
        <a:prstGeom prst="rect">
          <a:avLst/>
        </a:prstGeom>
        <a:ln>
          <a:solidFill>
            <a:schemeClr val="tx1"/>
          </a:solidFill>
        </a:ln>
      </xdr:spPr>
    </xdr:pic>
    <xdr:clientData/>
  </xdr:twoCellAnchor>
  <xdr:twoCellAnchor editAs="oneCell">
    <xdr:from>
      <xdr:col>8</xdr:col>
      <xdr:colOff>818030</xdr:colOff>
      <xdr:row>258</xdr:row>
      <xdr:rowOff>44823</xdr:rowOff>
    </xdr:from>
    <xdr:to>
      <xdr:col>12</xdr:col>
      <xdr:colOff>251109</xdr:colOff>
      <xdr:row>261</xdr:row>
      <xdr:rowOff>2622</xdr:rowOff>
    </xdr:to>
    <xdr:pic>
      <xdr:nvPicPr>
        <xdr:cNvPr id="4" name="Picture 3">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7133105" y="38033325"/>
          <a:ext cx="3709804" cy="783753"/>
        </a:xfrm>
        <a:prstGeom prst="rect">
          <a:avLst/>
        </a:prstGeom>
        <a:ln>
          <a:solidFill>
            <a:schemeClr val="tx1"/>
          </a:solidFill>
        </a:ln>
      </xdr:spPr>
    </xdr:pic>
    <xdr:clientData/>
  </xdr:twoCellAnchor>
  <xdr:twoCellAnchor editAs="oneCell">
    <xdr:from>
      <xdr:col>8</xdr:col>
      <xdr:colOff>818029</xdr:colOff>
      <xdr:row>273</xdr:row>
      <xdr:rowOff>89646</xdr:rowOff>
    </xdr:from>
    <xdr:to>
      <xdr:col>12</xdr:col>
      <xdr:colOff>46627</xdr:colOff>
      <xdr:row>277</xdr:row>
      <xdr:rowOff>103908</xdr:rowOff>
    </xdr:to>
    <xdr:pic>
      <xdr:nvPicPr>
        <xdr:cNvPr id="5" name="Picture 4">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7133104" y="38033325"/>
          <a:ext cx="3505323" cy="1151819"/>
        </a:xfrm>
        <a:prstGeom prst="rect">
          <a:avLst/>
        </a:prstGeom>
        <a:ln>
          <a:solidFill>
            <a:schemeClr val="tx1"/>
          </a:solidFill>
        </a:ln>
      </xdr:spPr>
    </xdr:pic>
    <xdr:clientData/>
  </xdr:twoCellAnchor>
  <xdr:twoCellAnchor>
    <xdr:from>
      <xdr:col>0</xdr:col>
      <xdr:colOff>285750</xdr:colOff>
      <xdr:row>569</xdr:row>
      <xdr:rowOff>13607</xdr:rowOff>
    </xdr:from>
    <xdr:to>
      <xdr:col>7</xdr:col>
      <xdr:colOff>762000</xdr:colOff>
      <xdr:row>614</xdr:row>
      <xdr:rowOff>95249</xdr:rowOff>
    </xdr:to>
    <xdr:grpSp>
      <xdr:nvGrpSpPr>
        <xdr:cNvPr id="6" name="Group 5">
          <a:extLst>
            <a:ext uri="{FF2B5EF4-FFF2-40B4-BE49-F238E27FC236}">
              <a16:creationId xmlns="" xmlns:a16="http://schemas.microsoft.com/office/drawing/2014/main" id="{0CDD22C5-144B-8036-2BF0-C4A4293062EF}"/>
            </a:ext>
          </a:extLst>
        </xdr:cNvPr>
        <xdr:cNvGrpSpPr/>
      </xdr:nvGrpSpPr>
      <xdr:grpSpPr>
        <a:xfrm>
          <a:off x="285750" y="169613036"/>
          <a:ext cx="8667750" cy="11715749"/>
          <a:chOff x="739588" y="125465091"/>
          <a:chExt cx="4281095" cy="8021413"/>
        </a:xfrm>
      </xdr:grpSpPr>
      <xdr:grpSp>
        <xdr:nvGrpSpPr>
          <xdr:cNvPr id="7" name="Group 6">
            <a:extLst>
              <a:ext uri="{FF2B5EF4-FFF2-40B4-BE49-F238E27FC236}">
                <a16:creationId xmlns="" xmlns:a16="http://schemas.microsoft.com/office/drawing/2014/main" id="{00000000-0008-0000-0000-00001E000000}"/>
              </a:ext>
            </a:extLst>
          </xdr:cNvPr>
          <xdr:cNvGrpSpPr/>
        </xdr:nvGrpSpPr>
        <xdr:grpSpPr>
          <a:xfrm>
            <a:off x="739588" y="125465091"/>
            <a:ext cx="4281095" cy="5338035"/>
            <a:chOff x="1815434" y="2322000"/>
            <a:chExt cx="3227132" cy="4500000"/>
          </a:xfrm>
        </xdr:grpSpPr>
        <xdr:grpSp>
          <xdr:nvGrpSpPr>
            <xdr:cNvPr id="12" name="Group 11">
              <a:extLst>
                <a:ext uri="{FF2B5EF4-FFF2-40B4-BE49-F238E27FC236}">
                  <a16:creationId xmlns="" xmlns:a16="http://schemas.microsoft.com/office/drawing/2014/main" id="{00000000-0008-0000-0000-00001F000000}"/>
                </a:ext>
              </a:extLst>
            </xdr:cNvPr>
            <xdr:cNvGrpSpPr/>
          </xdr:nvGrpSpPr>
          <xdr:grpSpPr>
            <a:xfrm>
              <a:off x="1815434" y="2322000"/>
              <a:ext cx="3227132" cy="4500000"/>
              <a:chOff x="0" y="0"/>
              <a:chExt cx="3227132" cy="4500000"/>
            </a:xfrm>
          </xdr:grpSpPr>
          <xdr:sp macro="" textlink="">
            <xdr:nvSpPr>
              <xdr:cNvPr id="15" name="TextBox 8">
                <a:extLst>
                  <a:ext uri="{FF2B5EF4-FFF2-40B4-BE49-F238E27FC236}">
                    <a16:creationId xmlns="" xmlns:a16="http://schemas.microsoft.com/office/drawing/2014/main" id="{00000000-0008-0000-0000-000022000000}"/>
                  </a:ext>
                </a:extLst>
              </xdr:cNvPr>
              <xdr:cNvSpPr txBox="1"/>
            </xdr:nvSpPr>
            <xdr:spPr>
              <a:xfrm>
                <a:off x="3042401" y="1199238"/>
                <a:ext cx="18473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pic>
            <xdr:nvPicPr>
              <xdr:cNvPr id="16" name="Picture 15">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2616" y="0"/>
                <a:ext cx="3127949" cy="4500000"/>
              </a:xfrm>
              <a:prstGeom prst="rect">
                <a:avLst/>
              </a:prstGeom>
              <a:ln>
                <a:solidFill>
                  <a:schemeClr val="tx1"/>
                </a:solidFill>
              </a:ln>
            </xdr:spPr>
          </xdr:pic>
          <xdr:sp macro="" textlink="">
            <xdr:nvSpPr>
              <xdr:cNvPr id="17" name="TextBox 13">
                <a:extLst>
                  <a:ext uri="{FF2B5EF4-FFF2-40B4-BE49-F238E27FC236}">
                    <a16:creationId xmlns="" xmlns:a16="http://schemas.microsoft.com/office/drawing/2014/main" id="{00000000-0008-0000-0000-000024000000}"/>
                  </a:ext>
                </a:extLst>
              </xdr:cNvPr>
              <xdr:cNvSpPr txBox="1"/>
            </xdr:nvSpPr>
            <xdr:spPr>
              <a:xfrm>
                <a:off x="722255" y="2599592"/>
                <a:ext cx="539214" cy="2701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Somerset</a:t>
                </a:r>
                <a:endParaRPr lang="en-IN" sz="2400" b="1"/>
              </a:p>
            </xdr:txBody>
          </xdr:sp>
          <xdr:sp macro="" textlink="">
            <xdr:nvSpPr>
              <xdr:cNvPr id="18" name="TextBox 14">
                <a:extLst>
                  <a:ext uri="{FF2B5EF4-FFF2-40B4-BE49-F238E27FC236}">
                    <a16:creationId xmlns="" xmlns:a16="http://schemas.microsoft.com/office/drawing/2014/main" id="{00000000-0008-0000-0000-000025000000}"/>
                  </a:ext>
                </a:extLst>
              </xdr:cNvPr>
              <xdr:cNvSpPr txBox="1"/>
            </xdr:nvSpPr>
            <xdr:spPr>
              <a:xfrm>
                <a:off x="86049" y="2137927"/>
                <a:ext cx="663740" cy="2701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Belvedere A</a:t>
                </a:r>
                <a:endParaRPr lang="en-IN" sz="2400" b="1"/>
              </a:p>
            </xdr:txBody>
          </xdr:sp>
          <xdr:sp macro="" textlink="">
            <xdr:nvSpPr>
              <xdr:cNvPr id="19" name="TextBox 15">
                <a:extLst>
                  <a:ext uri="{FF2B5EF4-FFF2-40B4-BE49-F238E27FC236}">
                    <a16:creationId xmlns="" xmlns:a16="http://schemas.microsoft.com/office/drawing/2014/main" id="{00000000-0008-0000-0000-000026000000}"/>
                  </a:ext>
                </a:extLst>
              </xdr:cNvPr>
              <xdr:cNvSpPr txBox="1"/>
            </xdr:nvSpPr>
            <xdr:spPr>
              <a:xfrm>
                <a:off x="0" y="1075511"/>
                <a:ext cx="650318" cy="2701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Belvedere B</a:t>
                </a:r>
                <a:endParaRPr lang="en-IN" sz="2400" b="1"/>
              </a:p>
            </xdr:txBody>
          </xdr:sp>
          <xdr:sp macro="" textlink="">
            <xdr:nvSpPr>
              <xdr:cNvPr id="20" name="TextBox 16">
                <a:extLst>
                  <a:ext uri="{FF2B5EF4-FFF2-40B4-BE49-F238E27FC236}">
                    <a16:creationId xmlns="" xmlns:a16="http://schemas.microsoft.com/office/drawing/2014/main" id="{00000000-0008-0000-0000-000027000000}"/>
                  </a:ext>
                </a:extLst>
              </xdr:cNvPr>
              <xdr:cNvSpPr txBox="1"/>
            </xdr:nvSpPr>
            <xdr:spPr>
              <a:xfrm>
                <a:off x="509502" y="744635"/>
                <a:ext cx="616031" cy="2701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Florencia A</a:t>
                </a:r>
                <a:endParaRPr lang="en-IN" sz="2400" b="1"/>
              </a:p>
            </xdr:txBody>
          </xdr:sp>
          <xdr:sp macro="" textlink="">
            <xdr:nvSpPr>
              <xdr:cNvPr id="21" name="TextBox 17">
                <a:extLst>
                  <a:ext uri="{FF2B5EF4-FFF2-40B4-BE49-F238E27FC236}">
                    <a16:creationId xmlns="" xmlns:a16="http://schemas.microsoft.com/office/drawing/2014/main" id="{00000000-0008-0000-0000-000028000000}"/>
                  </a:ext>
                </a:extLst>
              </xdr:cNvPr>
              <xdr:cNvSpPr txBox="1"/>
            </xdr:nvSpPr>
            <xdr:spPr>
              <a:xfrm>
                <a:off x="1151179" y="559560"/>
                <a:ext cx="611624" cy="2701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Florencia B</a:t>
                </a:r>
                <a:endParaRPr lang="en-IN" sz="2400" b="1"/>
              </a:p>
            </xdr:txBody>
          </xdr:sp>
          <xdr:sp macro="" textlink="">
            <xdr:nvSpPr>
              <xdr:cNvPr id="22" name="TextBox 18">
                <a:extLst>
                  <a:ext uri="{FF2B5EF4-FFF2-40B4-BE49-F238E27FC236}">
                    <a16:creationId xmlns="" xmlns:a16="http://schemas.microsoft.com/office/drawing/2014/main" id="{00000000-0008-0000-0000-000029000000}"/>
                  </a:ext>
                </a:extLst>
              </xdr:cNvPr>
              <xdr:cNvSpPr txBox="1"/>
            </xdr:nvSpPr>
            <xdr:spPr>
              <a:xfrm>
                <a:off x="1776312" y="795723"/>
                <a:ext cx="414492" cy="2701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t>Amalfi</a:t>
                </a:r>
                <a:endParaRPr lang="en-IN" sz="2400" b="1"/>
              </a:p>
            </xdr:txBody>
          </xdr:sp>
          <xdr:sp macro="" textlink="">
            <xdr:nvSpPr>
              <xdr:cNvPr id="23" name="TextBox 19">
                <a:extLst>
                  <a:ext uri="{FF2B5EF4-FFF2-40B4-BE49-F238E27FC236}">
                    <a16:creationId xmlns="" xmlns:a16="http://schemas.microsoft.com/office/drawing/2014/main" id="{00000000-0008-0000-0000-00002A000000}"/>
                  </a:ext>
                </a:extLst>
              </xdr:cNvPr>
              <xdr:cNvSpPr txBox="1"/>
            </xdr:nvSpPr>
            <xdr:spPr>
              <a:xfrm>
                <a:off x="2512955" y="1842354"/>
                <a:ext cx="707610" cy="461665"/>
              </a:xfrm>
              <a:prstGeom prst="rect">
                <a:avLst/>
              </a:prstGeom>
              <a:solidFill>
                <a:schemeClr val="bg1">
                  <a:lumMod val="9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t>Hiranandani </a:t>
                </a:r>
              </a:p>
              <a:p>
                <a:r>
                  <a:rPr lang="en-US" sz="800" b="1"/>
                  <a:t>Westgate </a:t>
                </a:r>
              </a:p>
              <a:p>
                <a:r>
                  <a:rPr lang="en-US" sz="800" b="1"/>
                  <a:t>Phase 1</a:t>
                </a:r>
                <a:endParaRPr lang="en-IN" sz="800" b="1"/>
              </a:p>
            </xdr:txBody>
          </xdr:sp>
        </xdr:grpSp>
        <xdr:sp macro="" textlink="">
          <xdr:nvSpPr>
            <xdr:cNvPr id="13" name="Down Arrow 12">
              <a:extLst>
                <a:ext uri="{FF2B5EF4-FFF2-40B4-BE49-F238E27FC236}">
                  <a16:creationId xmlns="" xmlns:a16="http://schemas.microsoft.com/office/drawing/2014/main" id="{00000000-0008-0000-0000-000020000000}"/>
                </a:ext>
              </a:extLst>
            </xdr:cNvPr>
            <xdr:cNvSpPr/>
          </xdr:nvSpPr>
          <xdr:spPr>
            <a:xfrm rot="9082958">
              <a:off x="2453640" y="6355080"/>
              <a:ext cx="228600" cy="32766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4" name="TextBox 13">
              <a:extLst>
                <a:ext uri="{FF2B5EF4-FFF2-40B4-BE49-F238E27FC236}">
                  <a16:creationId xmlns="" xmlns:a16="http://schemas.microsoft.com/office/drawing/2014/main" id="{00000000-0008-0000-0000-000021000000}"/>
                </a:ext>
              </a:extLst>
            </xdr:cNvPr>
            <xdr:cNvSpPr txBox="1"/>
          </xdr:nvSpPr>
          <xdr:spPr>
            <a:xfrm>
              <a:off x="2104960" y="6400404"/>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grpSp>
        <xdr:nvGrpSpPr>
          <xdr:cNvPr id="8" name="Group 7">
            <a:extLst>
              <a:ext uri="{FF2B5EF4-FFF2-40B4-BE49-F238E27FC236}">
                <a16:creationId xmlns="" xmlns:a16="http://schemas.microsoft.com/office/drawing/2014/main" id="{00000000-0008-0000-0000-000036000000}"/>
              </a:ext>
            </a:extLst>
          </xdr:cNvPr>
          <xdr:cNvGrpSpPr/>
        </xdr:nvGrpSpPr>
        <xdr:grpSpPr>
          <a:xfrm>
            <a:off x="2011232" y="130967630"/>
            <a:ext cx="1740173" cy="2518874"/>
            <a:chOff x="1961030" y="129203824"/>
            <a:chExt cx="1704762" cy="2561905"/>
          </a:xfrm>
        </xdr:grpSpPr>
        <xdr:pic>
          <xdr:nvPicPr>
            <xdr:cNvPr id="9" name="Picture 8">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6"/>
            <a:stretch>
              <a:fillRect/>
            </a:stretch>
          </xdr:blipFill>
          <xdr:spPr>
            <a:xfrm>
              <a:off x="1961030" y="129203824"/>
              <a:ext cx="1704762" cy="2561905"/>
            </a:xfrm>
            <a:prstGeom prst="rect">
              <a:avLst/>
            </a:prstGeom>
            <a:ln>
              <a:solidFill>
                <a:schemeClr val="tx1"/>
              </a:solidFill>
            </a:ln>
          </xdr:spPr>
        </xdr:pic>
        <xdr:sp macro="" textlink="">
          <xdr:nvSpPr>
            <xdr:cNvPr id="10" name="Down Arrow 9">
              <a:extLst>
                <a:ext uri="{FF2B5EF4-FFF2-40B4-BE49-F238E27FC236}">
                  <a16:creationId xmlns="" xmlns:a16="http://schemas.microsoft.com/office/drawing/2014/main" id="{00000000-0008-0000-0000-000034000000}"/>
                </a:ext>
              </a:extLst>
            </xdr:cNvPr>
            <xdr:cNvSpPr/>
          </xdr:nvSpPr>
          <xdr:spPr>
            <a:xfrm rot="9082958">
              <a:off x="3026544" y="131254500"/>
              <a:ext cx="294496" cy="39573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 name="TextBox 10">
              <a:extLst>
                <a:ext uri="{FF2B5EF4-FFF2-40B4-BE49-F238E27FC236}">
                  <a16:creationId xmlns="" xmlns:a16="http://schemas.microsoft.com/office/drawing/2014/main" id="{00000000-0008-0000-0000-000035000000}"/>
                </a:ext>
              </a:extLst>
            </xdr:cNvPr>
            <xdr:cNvSpPr txBox="1"/>
          </xdr:nvSpPr>
          <xdr:spPr>
            <a:xfrm>
              <a:off x="2577353" y="131309239"/>
              <a:ext cx="429951" cy="4460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grpSp>
    <xdr:clientData/>
  </xdr:twoCellAnchor>
  <xdr:twoCellAnchor>
    <xdr:from>
      <xdr:col>0</xdr:col>
      <xdr:colOff>312964</xdr:colOff>
      <xdr:row>525</xdr:row>
      <xdr:rowOff>122465</xdr:rowOff>
    </xdr:from>
    <xdr:to>
      <xdr:col>7</xdr:col>
      <xdr:colOff>857249</xdr:colOff>
      <xdr:row>553</xdr:row>
      <xdr:rowOff>27215</xdr:rowOff>
    </xdr:to>
    <xdr:grpSp>
      <xdr:nvGrpSpPr>
        <xdr:cNvPr id="30" name="Group 29">
          <a:extLst>
            <a:ext uri="{FF2B5EF4-FFF2-40B4-BE49-F238E27FC236}">
              <a16:creationId xmlns="" xmlns:a16="http://schemas.microsoft.com/office/drawing/2014/main" id="{C5F96DDD-F65E-4C31-8C89-8FFCC2BE9E63}"/>
            </a:ext>
          </a:extLst>
        </xdr:cNvPr>
        <xdr:cNvGrpSpPr/>
      </xdr:nvGrpSpPr>
      <xdr:grpSpPr>
        <a:xfrm>
          <a:off x="312964" y="158346322"/>
          <a:ext cx="8735785" cy="7143750"/>
          <a:chOff x="0" y="0"/>
          <a:chExt cx="6461782" cy="4701285"/>
        </a:xfrm>
      </xdr:grpSpPr>
      <xdr:pic>
        <xdr:nvPicPr>
          <xdr:cNvPr id="31" name="Picture 30">
            <a:extLst>
              <a:ext uri="{FF2B5EF4-FFF2-40B4-BE49-F238E27FC236}">
                <a16:creationId xmlns="" xmlns:a16="http://schemas.microsoft.com/office/drawing/2014/main" id="{D2BE0919-D72F-4D88-9248-EDFA11E94543}"/>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306306" y="0"/>
            <a:ext cx="3155476" cy="2368800"/>
          </a:xfrm>
          <a:prstGeom prst="rect">
            <a:avLst/>
          </a:prstGeom>
          <a:ln>
            <a:solidFill>
              <a:schemeClr val="tx1"/>
            </a:solidFill>
          </a:ln>
        </xdr:spPr>
      </xdr:pic>
      <xdr:pic>
        <xdr:nvPicPr>
          <xdr:cNvPr id="32" name="Picture 31">
            <a:extLst>
              <a:ext uri="{FF2B5EF4-FFF2-40B4-BE49-F238E27FC236}">
                <a16:creationId xmlns="" xmlns:a16="http://schemas.microsoft.com/office/drawing/2014/main" id="{B83ADF41-BA32-4120-9BEB-47052026D56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322" y="0"/>
            <a:ext cx="3155477" cy="2368800"/>
          </a:xfrm>
          <a:prstGeom prst="rect">
            <a:avLst/>
          </a:prstGeom>
          <a:ln>
            <a:solidFill>
              <a:schemeClr val="tx1"/>
            </a:solidFill>
          </a:ln>
        </xdr:spPr>
      </xdr:pic>
      <xdr:pic>
        <xdr:nvPicPr>
          <xdr:cNvPr id="33" name="Picture 32">
            <a:extLst>
              <a:ext uri="{FF2B5EF4-FFF2-40B4-BE49-F238E27FC236}">
                <a16:creationId xmlns="" xmlns:a16="http://schemas.microsoft.com/office/drawing/2014/main" id="{97C389E7-25F1-492D-ACDF-C43EF0B85C96}"/>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051245" y="2541285"/>
            <a:ext cx="1618313" cy="2160000"/>
          </a:xfrm>
          <a:prstGeom prst="rect">
            <a:avLst/>
          </a:prstGeom>
          <a:ln>
            <a:solidFill>
              <a:schemeClr val="tx1"/>
            </a:solidFill>
          </a:ln>
        </xdr:spPr>
      </xdr:pic>
      <xdr:pic>
        <xdr:nvPicPr>
          <xdr:cNvPr id="34" name="Picture 33">
            <a:extLst>
              <a:ext uri="{FF2B5EF4-FFF2-40B4-BE49-F238E27FC236}">
                <a16:creationId xmlns="" xmlns:a16="http://schemas.microsoft.com/office/drawing/2014/main" id="{CC00CA5C-4E52-40D7-AB4D-D6A9E44628A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843469" y="2541285"/>
            <a:ext cx="1618312" cy="2160000"/>
          </a:xfrm>
          <a:prstGeom prst="rect">
            <a:avLst/>
          </a:prstGeom>
          <a:ln>
            <a:solidFill>
              <a:schemeClr val="tx1"/>
            </a:solidFill>
          </a:ln>
        </xdr:spPr>
      </xdr:pic>
      <xdr:pic>
        <xdr:nvPicPr>
          <xdr:cNvPr id="35" name="Picture 34">
            <a:extLst>
              <a:ext uri="{FF2B5EF4-FFF2-40B4-BE49-F238E27FC236}">
                <a16:creationId xmlns="" xmlns:a16="http://schemas.microsoft.com/office/drawing/2014/main" id="{734DFCDA-DA53-4A82-AAD0-21AAF82F3B5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0" y="2541284"/>
            <a:ext cx="2877333" cy="2160000"/>
          </a:xfrm>
          <a:prstGeom prst="rect">
            <a:avLst/>
          </a:prstGeom>
          <a:ln>
            <a:solidFill>
              <a:schemeClr val="tx1"/>
            </a:solidFill>
          </a:ln>
        </xdr:spPr>
      </xdr:pic>
    </xdr:grpSp>
    <xdr:clientData/>
  </xdr:twoCellAnchor>
  <xdr:twoCellAnchor>
    <xdr:from>
      <xdr:col>1</xdr:col>
      <xdr:colOff>1143001</xdr:colOff>
      <xdr:row>618</xdr:row>
      <xdr:rowOff>163285</xdr:rowOff>
    </xdr:from>
    <xdr:to>
      <xdr:col>6</xdr:col>
      <xdr:colOff>763929</xdr:colOff>
      <xdr:row>647</xdr:row>
      <xdr:rowOff>150528</xdr:rowOff>
    </xdr:to>
    <xdr:grpSp>
      <xdr:nvGrpSpPr>
        <xdr:cNvPr id="36" name="Group 35"/>
        <xdr:cNvGrpSpPr/>
      </xdr:nvGrpSpPr>
      <xdr:grpSpPr>
        <a:xfrm>
          <a:off x="2313215" y="182430964"/>
          <a:ext cx="5472000" cy="7484778"/>
          <a:chOff x="693000" y="-22094"/>
          <a:chExt cx="5472000" cy="7484779"/>
        </a:xfrm>
      </xdr:grpSpPr>
      <xdr:pic>
        <xdr:nvPicPr>
          <xdr:cNvPr id="37" name="Picture 36">
            <a:extLst>
              <a:ext uri="{FF2B5EF4-FFF2-40B4-BE49-F238E27FC236}">
                <a16:creationId xmlns=""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588852" y="-22094"/>
            <a:ext cx="3680296" cy="3681266"/>
          </a:xfrm>
          <a:prstGeom prst="rect">
            <a:avLst/>
          </a:prstGeom>
          <a:ln>
            <a:solidFill>
              <a:schemeClr val="tx1"/>
            </a:solidFill>
          </a:ln>
        </xdr:spPr>
      </xdr:pic>
      <xdr:grpSp>
        <xdr:nvGrpSpPr>
          <xdr:cNvPr id="38" name="Group 37"/>
          <xdr:cNvGrpSpPr/>
        </xdr:nvGrpSpPr>
        <xdr:grpSpPr>
          <a:xfrm>
            <a:off x="693000" y="3814602"/>
            <a:ext cx="5472000" cy="3648083"/>
            <a:chOff x="240277" y="3814602"/>
            <a:chExt cx="5472000" cy="3648083"/>
          </a:xfrm>
        </xdr:grpSpPr>
        <xdr:pic>
          <xdr:nvPicPr>
            <xdr:cNvPr id="39" name="Picture 38"/>
            <xdr:cNvPicPr>
              <a:picLocks noChangeAspect="1"/>
            </xdr:cNvPicPr>
          </xdr:nvPicPr>
          <xdr:blipFill rotWithShape="1">
            <a:blip xmlns:r="http://schemas.openxmlformats.org/officeDocument/2006/relationships" r:embed="rId13"/>
            <a:srcRect l="21832" t="27381" r="25119" b="10484"/>
            <a:stretch/>
          </xdr:blipFill>
          <xdr:spPr>
            <a:xfrm>
              <a:off x="240277" y="3859226"/>
              <a:ext cx="5472000" cy="3603459"/>
            </a:xfrm>
            <a:prstGeom prst="rect">
              <a:avLst/>
            </a:prstGeom>
            <a:ln>
              <a:solidFill>
                <a:schemeClr val="tx1"/>
              </a:solidFill>
            </a:ln>
          </xdr:spPr>
        </xdr:pic>
        <xdr:sp macro="" textlink="">
          <xdr:nvSpPr>
            <xdr:cNvPr id="40" name="Freeform 39">
              <a:extLst>
                <a:ext uri="{FF2B5EF4-FFF2-40B4-BE49-F238E27FC236}">
                  <a16:creationId xmlns="" xmlns:a16="http://schemas.microsoft.com/office/drawing/2014/main" id="{00000000-0008-0000-0000-00002E000000}"/>
                </a:ext>
              </a:extLst>
            </xdr:cNvPr>
            <xdr:cNvSpPr/>
          </xdr:nvSpPr>
          <xdr:spPr>
            <a:xfrm>
              <a:off x="2231770" y="4170087"/>
              <a:ext cx="1985195" cy="2681316"/>
            </a:xfrm>
            <a:custGeom>
              <a:avLst/>
              <a:gdLst>
                <a:gd name="connsiteX0" fmla="*/ 441960 w 1569720"/>
                <a:gd name="connsiteY0" fmla="*/ 0 h 2164080"/>
                <a:gd name="connsiteX1" fmla="*/ 1569720 w 1569720"/>
                <a:gd name="connsiteY1" fmla="*/ 182880 h 2164080"/>
                <a:gd name="connsiteX2" fmla="*/ 1226820 w 1569720"/>
                <a:gd name="connsiteY2" fmla="*/ 1592580 h 2164080"/>
                <a:gd name="connsiteX3" fmla="*/ 480060 w 1569720"/>
                <a:gd name="connsiteY3" fmla="*/ 2164080 h 2164080"/>
                <a:gd name="connsiteX4" fmla="*/ 0 w 1569720"/>
                <a:gd name="connsiteY4" fmla="*/ 1135380 h 2164080"/>
                <a:gd name="connsiteX5" fmla="*/ 327660 w 1569720"/>
                <a:gd name="connsiteY5" fmla="*/ 510540 h 2164080"/>
                <a:gd name="connsiteX6" fmla="*/ 441960 w 1569720"/>
                <a:gd name="connsiteY6" fmla="*/ 0 h 21640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69720" h="2164080">
                  <a:moveTo>
                    <a:pt x="441960" y="0"/>
                  </a:moveTo>
                  <a:lnTo>
                    <a:pt x="1569720" y="182880"/>
                  </a:lnTo>
                  <a:lnTo>
                    <a:pt x="1226820" y="1592580"/>
                  </a:lnTo>
                  <a:lnTo>
                    <a:pt x="480060" y="2164080"/>
                  </a:lnTo>
                  <a:lnTo>
                    <a:pt x="0" y="1135380"/>
                  </a:lnTo>
                  <a:lnTo>
                    <a:pt x="327660" y="510540"/>
                  </a:lnTo>
                  <a:lnTo>
                    <a:pt x="441960" y="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1" name="TextBox 37">
              <a:extLst>
                <a:ext uri="{FF2B5EF4-FFF2-40B4-BE49-F238E27FC236}">
                  <a16:creationId xmlns="" xmlns:a16="http://schemas.microsoft.com/office/drawing/2014/main" id="{00000000-0008-0000-0000-00002F000000}"/>
                </a:ext>
              </a:extLst>
            </xdr:cNvPr>
            <xdr:cNvSpPr txBox="1"/>
          </xdr:nvSpPr>
          <xdr:spPr>
            <a:xfrm>
              <a:off x="240277" y="3814602"/>
              <a:ext cx="3612939"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FF00"/>
                  </a:solidFill>
                </a:rPr>
                <a:t>Hiranandani Westgate  Phase - 1</a:t>
              </a:r>
            </a:p>
          </xdr:txBody>
        </xdr:sp>
      </xdr:grpSp>
    </xdr:grpSp>
    <xdr:clientData/>
  </xdr:twoCellAnchor>
  <xdr:twoCellAnchor editAs="oneCell">
    <xdr:from>
      <xdr:col>8</xdr:col>
      <xdr:colOff>1877787</xdr:colOff>
      <xdr:row>127</xdr:row>
      <xdr:rowOff>136072</xdr:rowOff>
    </xdr:from>
    <xdr:to>
      <xdr:col>26</xdr:col>
      <xdr:colOff>202415</xdr:colOff>
      <xdr:row>139</xdr:row>
      <xdr:rowOff>244159</xdr:rowOff>
    </xdr:to>
    <xdr:pic>
      <xdr:nvPicPr>
        <xdr:cNvPr id="42" name="Picture 41"/>
        <xdr:cNvPicPr>
          <a:picLocks noChangeAspect="1"/>
        </xdr:cNvPicPr>
      </xdr:nvPicPr>
      <xdr:blipFill rotWithShape="1">
        <a:blip xmlns:r="http://schemas.openxmlformats.org/officeDocument/2006/relationships" r:embed="rId14"/>
        <a:srcRect l="2562" t="30661" r="26231" b="17453"/>
        <a:stretch/>
      </xdr:blipFill>
      <xdr:spPr>
        <a:xfrm>
          <a:off x="11239501" y="36154179"/>
          <a:ext cx="9264771" cy="3795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WeLqEvyknSFtXqn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659"/>
  <sheetViews>
    <sheetView tabSelected="1" view="pageBreakPreview" topLeftCell="A507" zoomScale="70" zoomScaleNormal="85" zoomScaleSheetLayoutView="70" zoomScalePageLayoutView="70" workbookViewId="0">
      <selection activeCell="L516" sqref="L51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8" ht="20.25" x14ac:dyDescent="0.25">
      <c r="A1" s="150" t="s">
        <v>38</v>
      </c>
      <c r="B1" s="151"/>
      <c r="C1" s="151"/>
      <c r="D1" s="151"/>
      <c r="E1" s="151"/>
      <c r="F1" s="151"/>
      <c r="G1" s="151"/>
      <c r="H1" s="152"/>
    </row>
    <row r="2" spans="1:8" ht="42" customHeight="1" x14ac:dyDescent="0.25">
      <c r="A2" s="135" t="s">
        <v>10</v>
      </c>
      <c r="B2" s="135"/>
      <c r="C2" s="107" t="s">
        <v>87</v>
      </c>
      <c r="D2" s="107"/>
      <c r="E2" s="135" t="s">
        <v>12</v>
      </c>
      <c r="F2" s="135"/>
      <c r="G2" s="167">
        <v>45880</v>
      </c>
      <c r="H2" s="167"/>
    </row>
    <row r="3" spans="1:8" ht="42.75" customHeight="1" x14ac:dyDescent="0.25">
      <c r="A3" s="135" t="s">
        <v>39</v>
      </c>
      <c r="B3" s="135"/>
      <c r="C3" s="178" t="s">
        <v>300</v>
      </c>
      <c r="D3" s="178"/>
      <c r="E3" s="135" t="s">
        <v>157</v>
      </c>
      <c r="F3" s="135"/>
      <c r="G3" s="107" t="s">
        <v>368</v>
      </c>
      <c r="H3" s="107"/>
    </row>
    <row r="4" spans="1:8" ht="43.5" customHeight="1" x14ac:dyDescent="0.25">
      <c r="A4" s="135" t="s">
        <v>36</v>
      </c>
      <c r="B4" s="135"/>
      <c r="C4" s="107" t="s">
        <v>369</v>
      </c>
      <c r="D4" s="107"/>
      <c r="E4" s="135" t="s">
        <v>33</v>
      </c>
      <c r="F4" s="135"/>
      <c r="G4" s="107" t="str">
        <f ca="1">TEXT(TODAY(),"DD/MM/YYYY")</f>
        <v>22/08/2025</v>
      </c>
      <c r="H4" s="107"/>
    </row>
    <row r="5" spans="1:8" ht="20.25" x14ac:dyDescent="0.25">
      <c r="A5" s="124" t="s">
        <v>40</v>
      </c>
      <c r="B5" s="124"/>
      <c r="C5" s="124"/>
      <c r="D5" s="124"/>
      <c r="E5" s="124"/>
      <c r="F5" s="124"/>
      <c r="G5" s="124"/>
      <c r="H5" s="124"/>
    </row>
    <row r="6" spans="1:8" ht="43.5" customHeight="1" x14ac:dyDescent="0.25">
      <c r="A6" s="135" t="s">
        <v>29</v>
      </c>
      <c r="B6" s="135"/>
      <c r="C6" s="154" t="s">
        <v>93</v>
      </c>
      <c r="D6" s="154"/>
      <c r="E6" s="135" t="s">
        <v>35</v>
      </c>
      <c r="F6" s="135"/>
      <c r="G6" s="154" t="s">
        <v>299</v>
      </c>
      <c r="H6" s="154"/>
    </row>
    <row r="7" spans="1:8" ht="45" customHeight="1" x14ac:dyDescent="0.25">
      <c r="A7" s="135" t="s">
        <v>42</v>
      </c>
      <c r="B7" s="135"/>
      <c r="C7" s="107" t="s">
        <v>301</v>
      </c>
      <c r="D7" s="107"/>
      <c r="E7" s="135" t="s">
        <v>43</v>
      </c>
      <c r="F7" s="135"/>
      <c r="G7" s="107" t="s">
        <v>301</v>
      </c>
      <c r="H7" s="107"/>
    </row>
    <row r="8" spans="1:8" ht="41.25" customHeight="1" x14ac:dyDescent="0.25">
      <c r="A8" s="135" t="s">
        <v>44</v>
      </c>
      <c r="B8" s="135"/>
      <c r="C8" s="107" t="s">
        <v>302</v>
      </c>
      <c r="D8" s="107"/>
      <c r="E8" s="107"/>
      <c r="F8" s="107"/>
      <c r="G8" s="107"/>
      <c r="H8" s="107"/>
    </row>
    <row r="9" spans="1:8" ht="148.5" customHeight="1" x14ac:dyDescent="0.25">
      <c r="A9" s="155" t="s">
        <v>148</v>
      </c>
      <c r="B9" s="35" t="s">
        <v>41</v>
      </c>
      <c r="C9" s="107" t="s">
        <v>303</v>
      </c>
      <c r="D9" s="107"/>
      <c r="E9" s="107"/>
      <c r="F9" s="107"/>
      <c r="G9" s="107"/>
      <c r="H9" s="107"/>
    </row>
    <row r="10" spans="1:8" ht="102.75" customHeight="1" x14ac:dyDescent="0.25">
      <c r="A10" s="155"/>
      <c r="B10" s="35" t="s">
        <v>11</v>
      </c>
      <c r="C10" s="107" t="s">
        <v>378</v>
      </c>
      <c r="D10" s="107"/>
      <c r="E10" s="107"/>
      <c r="F10" s="107"/>
      <c r="G10" s="107"/>
      <c r="H10" s="107"/>
    </row>
    <row r="11" spans="1:8" ht="42" customHeight="1" x14ac:dyDescent="0.25">
      <c r="A11" s="155"/>
      <c r="B11" s="35" t="s">
        <v>5</v>
      </c>
      <c r="C11" s="107" t="s">
        <v>304</v>
      </c>
      <c r="D11" s="107"/>
      <c r="E11" s="107"/>
      <c r="F11" s="107"/>
      <c r="G11" s="107"/>
      <c r="H11" s="107"/>
    </row>
    <row r="12" spans="1:8" ht="40.5" customHeight="1" x14ac:dyDescent="0.25">
      <c r="A12" s="135" t="s">
        <v>34</v>
      </c>
      <c r="B12" s="135"/>
      <c r="C12" s="107" t="s">
        <v>305</v>
      </c>
      <c r="D12" s="107"/>
      <c r="E12" s="107"/>
      <c r="F12" s="107"/>
      <c r="G12" s="107"/>
      <c r="H12" s="107"/>
    </row>
    <row r="13" spans="1:8" ht="20.100000000000001" customHeight="1" x14ac:dyDescent="0.25">
      <c r="A13" s="124" t="s">
        <v>45</v>
      </c>
      <c r="B13" s="124"/>
      <c r="C13" s="124"/>
      <c r="D13" s="124"/>
      <c r="E13" s="124"/>
      <c r="F13" s="124"/>
      <c r="G13" s="124"/>
      <c r="H13" s="124"/>
    </row>
    <row r="14" spans="1:8" ht="41.25" customHeight="1" x14ac:dyDescent="0.25">
      <c r="A14" s="135" t="s">
        <v>27</v>
      </c>
      <c r="B14" s="135" t="s">
        <v>4</v>
      </c>
      <c r="C14" s="107" t="s">
        <v>88</v>
      </c>
      <c r="D14" s="107"/>
      <c r="E14" s="135" t="s">
        <v>46</v>
      </c>
      <c r="F14" s="135" t="s">
        <v>4</v>
      </c>
      <c r="G14" s="107" t="s">
        <v>306</v>
      </c>
      <c r="H14" s="107"/>
    </row>
    <row r="15" spans="1:8" ht="41.25" customHeight="1" x14ac:dyDescent="0.25">
      <c r="A15" s="135" t="s">
        <v>47</v>
      </c>
      <c r="B15" s="135" t="s">
        <v>4</v>
      </c>
      <c r="C15" s="107" t="s">
        <v>307</v>
      </c>
      <c r="D15" s="107"/>
      <c r="E15" s="135" t="s">
        <v>48</v>
      </c>
      <c r="F15" s="135" t="s">
        <v>4</v>
      </c>
      <c r="G15" s="167">
        <v>48152</v>
      </c>
      <c r="H15" s="107"/>
    </row>
    <row r="16" spans="1:8" ht="41.25" customHeight="1" x14ac:dyDescent="0.25">
      <c r="A16" s="135" t="s">
        <v>49</v>
      </c>
      <c r="B16" s="135" t="s">
        <v>4</v>
      </c>
      <c r="C16" s="167">
        <v>45506</v>
      </c>
      <c r="D16" s="107"/>
      <c r="E16" s="135" t="s">
        <v>50</v>
      </c>
      <c r="F16" s="135" t="s">
        <v>4</v>
      </c>
      <c r="G16" s="166">
        <v>45506</v>
      </c>
      <c r="H16" s="107"/>
    </row>
    <row r="17" spans="1:8" ht="41.25" customHeight="1" x14ac:dyDescent="0.25">
      <c r="A17" s="135" t="s">
        <v>51</v>
      </c>
      <c r="B17" s="135" t="s">
        <v>4</v>
      </c>
      <c r="C17" s="167">
        <v>48152</v>
      </c>
      <c r="D17" s="107"/>
      <c r="E17" s="135" t="s">
        <v>52</v>
      </c>
      <c r="F17" s="135" t="s">
        <v>4</v>
      </c>
      <c r="G17" s="107" t="s">
        <v>308</v>
      </c>
      <c r="H17" s="107"/>
    </row>
    <row r="18" spans="1:8" ht="41.25" customHeight="1" x14ac:dyDescent="0.25">
      <c r="A18" s="135" t="s">
        <v>53</v>
      </c>
      <c r="B18" s="135" t="s">
        <v>4</v>
      </c>
      <c r="C18" s="10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07"/>
      <c r="E18" s="135" t="s">
        <v>96</v>
      </c>
      <c r="F18" s="135" t="s">
        <v>4</v>
      </c>
      <c r="G18" s="107">
        <f>103166.16</f>
        <v>103166.16</v>
      </c>
      <c r="H18" s="107"/>
    </row>
    <row r="19" spans="1:8" ht="41.25" customHeight="1" x14ac:dyDescent="0.25">
      <c r="A19" s="135" t="s">
        <v>54</v>
      </c>
      <c r="B19" s="135" t="s">
        <v>4</v>
      </c>
      <c r="C19" s="179">
        <f>97742.29/G19</f>
        <v>1.0999999662377471</v>
      </c>
      <c r="D19" s="179"/>
      <c r="E19" s="135" t="s">
        <v>240</v>
      </c>
      <c r="F19" s="135" t="s">
        <v>4</v>
      </c>
      <c r="G19" s="107">
        <f>88856.63</f>
        <v>88856.63</v>
      </c>
      <c r="H19" s="107"/>
    </row>
    <row r="20" spans="1:8" ht="41.25" customHeight="1" x14ac:dyDescent="0.25">
      <c r="A20" s="135" t="s">
        <v>94</v>
      </c>
      <c r="B20" s="135" t="s">
        <v>4</v>
      </c>
      <c r="C20" s="107">
        <f>248114.66</f>
        <v>248114.66</v>
      </c>
      <c r="D20" s="107"/>
      <c r="E20" s="135" t="s">
        <v>95</v>
      </c>
      <c r="F20" s="135" t="s">
        <v>4</v>
      </c>
      <c r="G20" s="107">
        <f>247738.22</f>
        <v>247738.22</v>
      </c>
      <c r="H20" s="107"/>
    </row>
    <row r="21" spans="1:8" ht="41.25" customHeight="1" x14ac:dyDescent="0.25">
      <c r="A21" s="135" t="s">
        <v>56</v>
      </c>
      <c r="B21" s="135" t="s">
        <v>4</v>
      </c>
      <c r="C21" s="107" t="s">
        <v>419</v>
      </c>
      <c r="D21" s="107"/>
      <c r="E21" s="135" t="s">
        <v>55</v>
      </c>
      <c r="F21" s="135" t="s">
        <v>4</v>
      </c>
      <c r="G21" s="107" t="s">
        <v>420</v>
      </c>
      <c r="H21" s="107"/>
    </row>
    <row r="22" spans="1:8" ht="20.25" x14ac:dyDescent="0.25">
      <c r="A22" s="135" t="s">
        <v>161</v>
      </c>
      <c r="B22" s="135" t="s">
        <v>4</v>
      </c>
      <c r="C22" s="107" t="s">
        <v>309</v>
      </c>
      <c r="D22" s="107"/>
      <c r="E22" s="135" t="s">
        <v>162</v>
      </c>
      <c r="F22" s="135" t="s">
        <v>4</v>
      </c>
      <c r="G22" s="107" t="s">
        <v>311</v>
      </c>
      <c r="H22" s="107"/>
    </row>
    <row r="23" spans="1:8" ht="26.25" customHeight="1" x14ac:dyDescent="0.25">
      <c r="A23" s="135" t="s">
        <v>159</v>
      </c>
      <c r="B23" s="135" t="s">
        <v>4</v>
      </c>
      <c r="C23" s="168" t="s">
        <v>310</v>
      </c>
      <c r="D23" s="169"/>
      <c r="E23" s="169"/>
      <c r="F23" s="169"/>
      <c r="G23" s="169"/>
      <c r="H23" s="169"/>
    </row>
    <row r="24" spans="1:8" ht="41.25" customHeight="1" x14ac:dyDescent="0.25">
      <c r="A24" s="135" t="s">
        <v>25</v>
      </c>
      <c r="B24" s="135" t="s">
        <v>4</v>
      </c>
      <c r="C24" s="107" t="s">
        <v>312</v>
      </c>
      <c r="D24" s="107"/>
      <c r="E24" s="107"/>
      <c r="F24" s="107"/>
      <c r="G24" s="107"/>
      <c r="H24" s="107"/>
    </row>
    <row r="25" spans="1:8" ht="24" customHeight="1" x14ac:dyDescent="0.25">
      <c r="A25" s="124" t="s">
        <v>20</v>
      </c>
      <c r="B25" s="124"/>
      <c r="C25" s="124"/>
      <c r="D25" s="124"/>
      <c r="E25" s="124"/>
      <c r="F25" s="124"/>
      <c r="G25" s="124"/>
      <c r="H25" s="124"/>
    </row>
    <row r="26" spans="1:8" ht="23.25" customHeight="1" x14ac:dyDescent="0.25">
      <c r="A26" s="135" t="s">
        <v>26</v>
      </c>
      <c r="B26" s="135" t="s">
        <v>4</v>
      </c>
      <c r="C26" s="107" t="str">
        <f>IF(AND(G26="Upper"),"Developed","Developing")</f>
        <v>Developing</v>
      </c>
      <c r="D26" s="107"/>
      <c r="E26" s="135" t="s">
        <v>13</v>
      </c>
      <c r="F26" s="135" t="s">
        <v>4</v>
      </c>
      <c r="G26" s="154" t="s">
        <v>379</v>
      </c>
      <c r="H26" s="154"/>
    </row>
    <row r="27" spans="1:8" ht="20.25" x14ac:dyDescent="0.25">
      <c r="A27" s="135" t="s">
        <v>14</v>
      </c>
      <c r="B27" s="135" t="s">
        <v>4</v>
      </c>
      <c r="C27" s="107" t="s">
        <v>371</v>
      </c>
      <c r="D27" s="107"/>
      <c r="E27" s="135" t="s">
        <v>149</v>
      </c>
      <c r="F27" s="135" t="s">
        <v>4</v>
      </c>
      <c r="G27" s="107" t="s">
        <v>313</v>
      </c>
      <c r="H27" s="107"/>
    </row>
    <row r="28" spans="1:8" ht="43.5" customHeight="1" x14ac:dyDescent="0.25">
      <c r="A28" s="135" t="s">
        <v>23</v>
      </c>
      <c r="B28" s="135" t="s">
        <v>4</v>
      </c>
      <c r="C28" s="107" t="s">
        <v>98</v>
      </c>
      <c r="D28" s="107"/>
      <c r="E28" s="135" t="s">
        <v>16</v>
      </c>
      <c r="F28" s="135" t="s">
        <v>4</v>
      </c>
      <c r="G28" s="107" t="s">
        <v>372</v>
      </c>
      <c r="H28" s="107"/>
    </row>
    <row r="29" spans="1:8" ht="43.5" customHeight="1" x14ac:dyDescent="0.25">
      <c r="A29" s="135" t="s">
        <v>107</v>
      </c>
      <c r="B29" s="135" t="s">
        <v>4</v>
      </c>
      <c r="C29" s="107" t="s">
        <v>373</v>
      </c>
      <c r="D29" s="107"/>
      <c r="E29" s="135" t="s">
        <v>108</v>
      </c>
      <c r="F29" s="135" t="s">
        <v>4</v>
      </c>
      <c r="G29" s="107" t="s">
        <v>374</v>
      </c>
      <c r="H29" s="107"/>
    </row>
    <row r="30" spans="1:8" ht="84" customHeight="1" x14ac:dyDescent="0.25">
      <c r="A30" s="135" t="s">
        <v>17</v>
      </c>
      <c r="B30" s="135" t="s">
        <v>4</v>
      </c>
      <c r="C30" s="107" t="s">
        <v>375</v>
      </c>
      <c r="D30" s="107"/>
      <c r="E30" s="135" t="s">
        <v>15</v>
      </c>
      <c r="F30" s="135" t="s">
        <v>4</v>
      </c>
      <c r="G30" s="107" t="s">
        <v>376</v>
      </c>
      <c r="H30" s="107"/>
    </row>
    <row r="31" spans="1:8" ht="20.25" x14ac:dyDescent="0.25">
      <c r="A31" s="135" t="s">
        <v>113</v>
      </c>
      <c r="B31" s="135" t="s">
        <v>4</v>
      </c>
      <c r="C31" s="107" t="s">
        <v>114</v>
      </c>
      <c r="D31" s="107"/>
      <c r="E31" s="135" t="s">
        <v>115</v>
      </c>
      <c r="F31" s="135" t="s">
        <v>4</v>
      </c>
      <c r="G31" s="107" t="s">
        <v>114</v>
      </c>
      <c r="H31" s="107"/>
    </row>
    <row r="32" spans="1:8" ht="21.75" customHeight="1" x14ac:dyDescent="0.25">
      <c r="A32" s="135" t="s">
        <v>116</v>
      </c>
      <c r="B32" s="135" t="s">
        <v>4</v>
      </c>
      <c r="C32" s="107" t="s">
        <v>114</v>
      </c>
      <c r="D32" s="107"/>
      <c r="E32" s="107"/>
      <c r="F32" s="107"/>
      <c r="G32" s="107"/>
      <c r="H32" s="107"/>
    </row>
    <row r="33" spans="1:15" ht="20.25" x14ac:dyDescent="0.25">
      <c r="A33" s="134" t="s">
        <v>37</v>
      </c>
      <c r="B33" s="134"/>
      <c r="C33" s="134"/>
      <c r="D33" s="134"/>
      <c r="E33" s="134"/>
      <c r="F33" s="134"/>
      <c r="G33" s="134"/>
      <c r="H33" s="134"/>
    </row>
    <row r="34" spans="1:15" ht="43.5" customHeight="1" x14ac:dyDescent="0.25">
      <c r="A34" s="135" t="s">
        <v>18</v>
      </c>
      <c r="B34" s="135"/>
      <c r="C34" s="107" t="s">
        <v>99</v>
      </c>
      <c r="D34" s="107"/>
      <c r="E34" s="135" t="s">
        <v>19</v>
      </c>
      <c r="F34" s="135" t="s">
        <v>4</v>
      </c>
      <c r="G34" s="107" t="s">
        <v>100</v>
      </c>
      <c r="H34" s="107"/>
    </row>
    <row r="35" spans="1:15" ht="43.5" customHeight="1" x14ac:dyDescent="0.25">
      <c r="A35" s="135" t="s">
        <v>22</v>
      </c>
      <c r="B35" s="135"/>
      <c r="C35" s="107" t="s">
        <v>100</v>
      </c>
      <c r="D35" s="107"/>
      <c r="E35" s="135" t="s">
        <v>32</v>
      </c>
      <c r="F35" s="135" t="s">
        <v>4</v>
      </c>
      <c r="G35" s="107" t="s">
        <v>100</v>
      </c>
      <c r="H35" s="107"/>
    </row>
    <row r="36" spans="1:15" ht="20.25" x14ac:dyDescent="0.25">
      <c r="A36" s="135" t="s">
        <v>31</v>
      </c>
      <c r="B36" s="135"/>
      <c r="C36" s="107" t="s">
        <v>101</v>
      </c>
      <c r="D36" s="107"/>
      <c r="E36" s="135" t="s">
        <v>21</v>
      </c>
      <c r="F36" s="135" t="s">
        <v>4</v>
      </c>
      <c r="G36" s="107" t="s">
        <v>102</v>
      </c>
      <c r="H36" s="107"/>
    </row>
    <row r="37" spans="1:15" ht="20.25" x14ac:dyDescent="0.25">
      <c r="A37" s="124" t="s">
        <v>0</v>
      </c>
      <c r="B37" s="124"/>
      <c r="C37" s="124"/>
      <c r="D37" s="124"/>
      <c r="E37" s="124"/>
      <c r="F37" s="124"/>
      <c r="G37" s="124"/>
      <c r="H37" s="124"/>
    </row>
    <row r="38" spans="1:15" ht="20.25" customHeight="1" x14ac:dyDescent="0.25">
      <c r="A38" s="137" t="s">
        <v>0</v>
      </c>
      <c r="B38" s="137"/>
      <c r="C38" s="137" t="s">
        <v>227</v>
      </c>
      <c r="D38" s="137"/>
      <c r="E38" s="137"/>
      <c r="F38" s="137" t="s">
        <v>7</v>
      </c>
      <c r="G38" s="137"/>
      <c r="H38" s="137"/>
      <c r="J38" s="181" t="s">
        <v>1</v>
      </c>
      <c r="K38" s="182"/>
      <c r="L38" s="2" t="s">
        <v>6</v>
      </c>
      <c r="M38" s="181" t="s">
        <v>2</v>
      </c>
      <c r="N38" s="182"/>
      <c r="O38" s="2" t="s">
        <v>3</v>
      </c>
    </row>
    <row r="39" spans="1:15" ht="20.25" x14ac:dyDescent="0.25">
      <c r="A39" s="155" t="s">
        <v>2</v>
      </c>
      <c r="B39" s="155"/>
      <c r="C39" s="180" t="s">
        <v>314</v>
      </c>
      <c r="D39" s="180"/>
      <c r="E39" s="180"/>
      <c r="F39" s="180" t="s">
        <v>317</v>
      </c>
      <c r="G39" s="180"/>
      <c r="H39" s="180"/>
    </row>
    <row r="40" spans="1:15" ht="20.25" x14ac:dyDescent="0.25">
      <c r="A40" s="155" t="s">
        <v>3</v>
      </c>
      <c r="B40" s="155"/>
      <c r="C40" s="180" t="s">
        <v>314</v>
      </c>
      <c r="D40" s="180"/>
      <c r="E40" s="180"/>
      <c r="F40" s="180" t="s">
        <v>318</v>
      </c>
      <c r="G40" s="180"/>
      <c r="H40" s="180"/>
    </row>
    <row r="41" spans="1:15" ht="20.25" x14ac:dyDescent="0.25">
      <c r="A41" s="155" t="s">
        <v>1</v>
      </c>
      <c r="B41" s="155"/>
      <c r="C41" s="180" t="s">
        <v>315</v>
      </c>
      <c r="D41" s="180"/>
      <c r="E41" s="180"/>
      <c r="F41" s="180" t="s">
        <v>319</v>
      </c>
      <c r="G41" s="180"/>
      <c r="H41" s="180"/>
    </row>
    <row r="42" spans="1:15" ht="20.25" x14ac:dyDescent="0.25">
      <c r="A42" s="155" t="s">
        <v>6</v>
      </c>
      <c r="B42" s="155"/>
      <c r="C42" s="180" t="s">
        <v>316</v>
      </c>
      <c r="D42" s="180"/>
      <c r="E42" s="180"/>
      <c r="F42" s="180" t="s">
        <v>320</v>
      </c>
      <c r="G42" s="180"/>
      <c r="H42" s="180"/>
    </row>
    <row r="43" spans="1:15" ht="43.5" customHeight="1" x14ac:dyDescent="0.25">
      <c r="A43" s="135" t="s">
        <v>228</v>
      </c>
      <c r="B43" s="135"/>
      <c r="C43" s="107" t="s">
        <v>98</v>
      </c>
      <c r="D43" s="107"/>
      <c r="E43" s="107"/>
      <c r="F43" s="107"/>
      <c r="G43" s="107"/>
      <c r="H43" s="107"/>
    </row>
    <row r="44" spans="1:15" ht="20.25" x14ac:dyDescent="0.25">
      <c r="A44" s="124" t="s">
        <v>57</v>
      </c>
      <c r="B44" s="124"/>
      <c r="C44" s="124"/>
      <c r="D44" s="124"/>
      <c r="E44" s="124"/>
      <c r="F44" s="124"/>
      <c r="G44" s="124"/>
      <c r="H44" s="124"/>
    </row>
    <row r="45" spans="1:15" ht="21" customHeight="1" x14ac:dyDescent="0.25">
      <c r="A45" s="137" t="s">
        <v>58</v>
      </c>
      <c r="B45" s="137"/>
      <c r="C45" s="2" t="s">
        <v>59</v>
      </c>
      <c r="D45" s="137" t="s">
        <v>147</v>
      </c>
      <c r="E45" s="137"/>
      <c r="F45" s="137"/>
      <c r="G45" s="137" t="s">
        <v>60</v>
      </c>
      <c r="H45" s="137"/>
    </row>
    <row r="46" spans="1:15" ht="39.75" customHeight="1" x14ac:dyDescent="0.25">
      <c r="A46" s="138" t="s">
        <v>381</v>
      </c>
      <c r="B46" s="138"/>
      <c r="C46" s="81" t="s">
        <v>89</v>
      </c>
      <c r="D46" s="107" t="s">
        <v>323</v>
      </c>
      <c r="E46" s="107"/>
      <c r="F46" s="107"/>
      <c r="G46" s="107" t="s">
        <v>323</v>
      </c>
      <c r="H46" s="107"/>
    </row>
    <row r="47" spans="1:15" ht="39.75" customHeight="1" x14ac:dyDescent="0.25">
      <c r="A47" s="138" t="s">
        <v>321</v>
      </c>
      <c r="B47" s="138"/>
      <c r="C47" s="34" t="s">
        <v>89</v>
      </c>
      <c r="D47" s="107" t="s">
        <v>323</v>
      </c>
      <c r="E47" s="107"/>
      <c r="F47" s="107"/>
      <c r="G47" s="107" t="s">
        <v>324</v>
      </c>
      <c r="H47" s="107"/>
    </row>
    <row r="48" spans="1:15" ht="39.75" customHeight="1" x14ac:dyDescent="0.25">
      <c r="A48" s="138" t="s">
        <v>322</v>
      </c>
      <c r="B48" s="138"/>
      <c r="C48" s="34" t="s">
        <v>89</v>
      </c>
      <c r="D48" s="107" t="s">
        <v>323</v>
      </c>
      <c r="E48" s="107"/>
      <c r="F48" s="107"/>
      <c r="G48" s="107" t="s">
        <v>325</v>
      </c>
      <c r="H48" s="107"/>
    </row>
    <row r="49" spans="1:14" ht="39.75" customHeight="1" x14ac:dyDescent="0.25">
      <c r="A49" s="138" t="s">
        <v>393</v>
      </c>
      <c r="B49" s="138"/>
      <c r="C49" s="81" t="s">
        <v>89</v>
      </c>
      <c r="D49" s="107" t="s">
        <v>323</v>
      </c>
      <c r="E49" s="107"/>
      <c r="F49" s="107"/>
      <c r="G49" s="107" t="s">
        <v>417</v>
      </c>
      <c r="H49" s="107"/>
    </row>
    <row r="50" spans="1:14" ht="20.25" x14ac:dyDescent="0.25">
      <c r="A50" s="124" t="s">
        <v>61</v>
      </c>
      <c r="B50" s="124"/>
      <c r="C50" s="124"/>
      <c r="D50" s="124"/>
      <c r="E50" s="124"/>
      <c r="F50" s="124"/>
      <c r="G50" s="124"/>
      <c r="H50" s="124"/>
    </row>
    <row r="51" spans="1:14" ht="42.75" customHeight="1" x14ac:dyDescent="0.25">
      <c r="A51" s="135" t="s">
        <v>62</v>
      </c>
      <c r="B51" s="135" t="s">
        <v>4</v>
      </c>
      <c r="C51" s="154" t="s">
        <v>98</v>
      </c>
      <c r="D51" s="154"/>
      <c r="E51" s="154"/>
      <c r="F51" s="154"/>
      <c r="G51" s="154"/>
      <c r="H51" s="154"/>
    </row>
    <row r="52" spans="1:14" ht="44.25" customHeight="1" x14ac:dyDescent="0.25">
      <c r="A52" s="135" t="s">
        <v>63</v>
      </c>
      <c r="B52" s="135" t="s">
        <v>4</v>
      </c>
      <c r="C52" s="107" t="s">
        <v>326</v>
      </c>
      <c r="D52" s="107"/>
      <c r="E52" s="107"/>
      <c r="F52" s="107"/>
      <c r="G52" s="51" t="s">
        <v>229</v>
      </c>
      <c r="H52" s="76">
        <v>45412</v>
      </c>
    </row>
    <row r="53" spans="1:14" ht="44.25" customHeight="1" x14ac:dyDescent="0.25">
      <c r="A53" s="135" t="s">
        <v>64</v>
      </c>
      <c r="B53" s="135" t="s">
        <v>4</v>
      </c>
      <c r="C53" s="107" t="s">
        <v>326</v>
      </c>
      <c r="D53" s="107"/>
      <c r="E53" s="107"/>
      <c r="F53" s="107"/>
      <c r="G53" s="51" t="s">
        <v>229</v>
      </c>
      <c r="H53" s="76">
        <v>45412</v>
      </c>
    </row>
    <row r="54" spans="1:14" ht="20.25" x14ac:dyDescent="0.25">
      <c r="A54" s="135" t="s">
        <v>329</v>
      </c>
      <c r="B54" s="135"/>
      <c r="C54" s="107" t="s">
        <v>327</v>
      </c>
      <c r="D54" s="107"/>
      <c r="E54" s="107"/>
      <c r="F54" s="107"/>
      <c r="G54" s="51" t="s">
        <v>229</v>
      </c>
      <c r="H54" s="76">
        <v>45484</v>
      </c>
    </row>
    <row r="55" spans="1:14" ht="82.5" customHeight="1" x14ac:dyDescent="0.25">
      <c r="A55" s="135"/>
      <c r="B55" s="135"/>
      <c r="C55" s="112" t="s">
        <v>328</v>
      </c>
      <c r="D55" s="113"/>
      <c r="E55" s="113"/>
      <c r="F55" s="113"/>
      <c r="G55" s="113"/>
      <c r="H55" s="114"/>
    </row>
    <row r="56" spans="1:14" ht="388.5" customHeight="1" x14ac:dyDescent="0.25">
      <c r="A56" s="135" t="s">
        <v>65</v>
      </c>
      <c r="B56" s="135" t="s">
        <v>4</v>
      </c>
      <c r="C56" s="107" t="s">
        <v>333</v>
      </c>
      <c r="D56" s="107"/>
      <c r="E56" s="107"/>
      <c r="F56" s="107"/>
      <c r="G56" s="51" t="s">
        <v>230</v>
      </c>
      <c r="H56" s="76">
        <v>45523</v>
      </c>
    </row>
    <row r="57" spans="1:14" ht="45" hidden="1" customHeight="1" x14ac:dyDescent="0.25">
      <c r="A57" s="135" t="s">
        <v>67</v>
      </c>
      <c r="B57" s="135" t="s">
        <v>4</v>
      </c>
      <c r="C57" s="107"/>
      <c r="D57" s="107"/>
      <c r="E57" s="107"/>
      <c r="F57" s="107"/>
      <c r="G57" s="51" t="s">
        <v>230</v>
      </c>
      <c r="H57" s="36"/>
    </row>
    <row r="58" spans="1:14" ht="46.5" hidden="1" customHeight="1" x14ac:dyDescent="0.25">
      <c r="A58" s="135" t="s">
        <v>66</v>
      </c>
      <c r="B58" s="135" t="s">
        <v>4</v>
      </c>
      <c r="C58" s="107"/>
      <c r="D58" s="107"/>
      <c r="E58" s="107"/>
      <c r="F58" s="107"/>
      <c r="G58" s="51" t="s">
        <v>230</v>
      </c>
      <c r="H58" s="36"/>
      <c r="N58" s="72" t="s">
        <v>298</v>
      </c>
    </row>
    <row r="59" spans="1:14" ht="27.75" customHeight="1" x14ac:dyDescent="0.25">
      <c r="A59" s="108" t="s">
        <v>332</v>
      </c>
      <c r="B59" s="109"/>
      <c r="C59" s="107" t="s">
        <v>330</v>
      </c>
      <c r="D59" s="107"/>
      <c r="E59" s="107"/>
      <c r="F59" s="107"/>
      <c r="G59" s="51" t="s">
        <v>230</v>
      </c>
      <c r="H59" s="76">
        <v>45407</v>
      </c>
    </row>
    <row r="60" spans="1:14" ht="40.5" customHeight="1" x14ac:dyDescent="0.25">
      <c r="A60" s="110"/>
      <c r="B60" s="111"/>
      <c r="C60" s="112" t="s">
        <v>331</v>
      </c>
      <c r="D60" s="113"/>
      <c r="E60" s="113"/>
      <c r="F60" s="113"/>
      <c r="G60" s="113"/>
      <c r="H60" s="114"/>
    </row>
    <row r="61" spans="1:14" ht="45" hidden="1" customHeight="1" x14ac:dyDescent="0.25">
      <c r="A61" s="135" t="s">
        <v>68</v>
      </c>
      <c r="B61" s="135" t="s">
        <v>4</v>
      </c>
      <c r="C61" s="107"/>
      <c r="D61" s="107"/>
      <c r="E61" s="107"/>
      <c r="F61" s="107"/>
      <c r="G61" s="51" t="s">
        <v>230</v>
      </c>
      <c r="H61" s="36"/>
    </row>
    <row r="62" spans="1:14" ht="20.25" x14ac:dyDescent="0.25">
      <c r="A62" s="124" t="s">
        <v>69</v>
      </c>
      <c r="B62" s="124"/>
      <c r="C62" s="124"/>
      <c r="D62" s="124"/>
      <c r="E62" s="124"/>
      <c r="F62" s="124"/>
      <c r="G62" s="124"/>
      <c r="H62" s="124"/>
    </row>
    <row r="63" spans="1:14" ht="20.25" customHeight="1" x14ac:dyDescent="0.25">
      <c r="A63" s="125" t="str">
        <f>CONCATENATE((IF(OR(A46="",A46="NA"),"",A46)),"= ",(IF(OR(D46="",D46="NA"),"",D46)),".")</f>
        <v>Somerset= 2B + LG + UG + 1st to 55th Floor.</v>
      </c>
      <c r="B63" s="125"/>
      <c r="C63" s="125"/>
      <c r="D63" s="83" t="s">
        <v>117</v>
      </c>
      <c r="E63" s="127" t="s">
        <v>104</v>
      </c>
      <c r="F63" s="127"/>
      <c r="G63" s="83" t="s">
        <v>118</v>
      </c>
      <c r="H63" s="83" t="s">
        <v>119</v>
      </c>
    </row>
    <row r="64" spans="1:14" ht="21" thickBot="1" x14ac:dyDescent="0.3">
      <c r="A64" s="125"/>
      <c r="B64" s="125"/>
      <c r="C64" s="125"/>
      <c r="D64" s="83">
        <f>IF(AND(ISNUMBER(SEARCH("1B",A63))),1,IF(AND(ISNUMBER(SEARCH("2B",A63))),2,IF(AND(ISNUMBER(SEARCH("3B",A63))),3,IF(AND(ISNUMBER(SEARCH("4B",A63))),4,IF(ISNUMBER(SEARCH("5B",A63)),5,0)))))</f>
        <v>2</v>
      </c>
      <c r="E64" s="127">
        <v>2</v>
      </c>
      <c r="F64" s="127"/>
      <c r="G64" s="83">
        <v>0</v>
      </c>
      <c r="H64" s="83">
        <f ca="1">--TRIM(RIGHT(SUBSTITUTE(LEFT(A63,_xlfn.AGGREGATE(16,6,FIND({0,1,2,3,4,5,6,7,8,9},A63,ROW(INDIRECT("1:"&amp;LEN(A63)))),1))," ",REPT(" ",LEN(A63))),LEN(A63)))</f>
        <v>55</v>
      </c>
    </row>
    <row r="65" spans="1:10" ht="20.25" customHeight="1" x14ac:dyDescent="0.3">
      <c r="A65" s="136" t="s">
        <v>121</v>
      </c>
      <c r="B65" s="136"/>
      <c r="C65" s="79" t="s">
        <v>131</v>
      </c>
      <c r="D65" s="79" t="s">
        <v>132</v>
      </c>
      <c r="E65" s="136" t="s">
        <v>122</v>
      </c>
      <c r="F65" s="136"/>
      <c r="G65" s="29" t="s">
        <v>120</v>
      </c>
      <c r="H65" s="29"/>
      <c r="I65" s="16" t="str">
        <f ca="1">(IF(E66&gt;99%,"All work completed. Please provide OC.",IF(E66&gt;89.8%,"Plinth, RCC, Brick, Plaster, Flooring, Wooden, Plumbing, Electrification, etc., work Completed. Finishing work is in process.",IF(E66&lt;94%,(IF(C66=0,"Work not yet Started.",IF(D66=25%,"Piling work in process",IF(D66=50%,"Excavation work in process",IF(D66=100%,"Excavation work Completed. ","0")))&amp;(IF(C67=0%,"",IF(C67=J70,"Footing work is process",IF(C67=J71,"Footing work Completed",IF(C67=J72,"1st Basement Completed",IF(C67=J73,"1st &amp; 2nd Basement Completed",IF(C67=J74,"1st to 3rd Basement Completed",IF(C67=J75,"1st to 4th Basement Completed",IF(C67=J76,"Plinth work is process",IF(C67=J77,"Plinth work completed","0")))))))))))&amp;(IF(C68=(E64+G64+H64),", RCC Slab",IF(C68&gt;0,", RCC upto "&amp;C68&amp;" Slab",""))&amp;(IF(C69=H64,", Brickwork",IF(C69&gt;0,", Brickwork upto "&amp;C69&amp;" Floor",""))&amp;(IF(C70=H64,", Internal Plaster",IF(C70&gt;0,", Internal Plaster upto "&amp;C70&amp;" Floor",""))&amp;(IF(C71=H64,", External Plaster",IF(C71&gt;0,", External Plaster upto "&amp;C71&amp;" Floor",""))&amp;(IF(C72=H64,", External Plumbing, Elevation and Waterproofing",IF(C72&gt;0,", External Plumbing, Elevation and Waterproofing upto "&amp;C72&amp;" Floor",""))&amp;(IF(C73=H64,", Flooring &amp; Fitting",IF(C73&gt;0,", Flooring &amp; Fitting upto "&amp;C73&amp;" Floor",""))&amp;(IF(C74=H64,", Wooden Work",IF(C74&gt;0,", Wooden Work upto "&amp;C74&amp;" Floor",""))&amp;(IF(C75=H64,", Electrical &amp; Sanitary fittings",IF(C75&gt;0,", Electrical &amp; Sanitary fittings upto "&amp;C75&amp;" Floor",""))&amp;(IF(C76&gt;0,", Finishing upto "&amp;C76&amp;" Floor","")&amp;(IF(C68&gt;0.5," Completed",""))))))))))))))))</f>
        <v>Excavation work Completed. Plinth work completed</v>
      </c>
      <c r="J65" s="18"/>
    </row>
    <row r="66" spans="1:10" ht="20.25" customHeight="1" x14ac:dyDescent="0.3">
      <c r="A66" s="126" t="s">
        <v>134</v>
      </c>
      <c r="B66" s="126"/>
      <c r="C66" s="83">
        <f ca="1">J69</f>
        <v>55</v>
      </c>
      <c r="D66" s="80">
        <f ca="1">((100/H64)*C66)/100</f>
        <v>1</v>
      </c>
      <c r="E66" s="170">
        <f ca="1">(((C66/H64*10)+(C67/H64*15)+(25/(E64+G64+H64)*C68)+(5/(H64)*C69)+(2.5/(H64)*C70)+(2.5/(H64)*C71)+(5/H64*C72)+(10/H64*C73)+(2.5/H64*C74)+(2.5/H64*C75)+(10/H64*C76)+(10/H64*C77))/100)</f>
        <v>0.25</v>
      </c>
      <c r="F66" s="171"/>
      <c r="G66" s="126" t="str">
        <f ca="1">I65</f>
        <v>Excavation work Completed. Plinth work completed</v>
      </c>
      <c r="H66" s="126"/>
      <c r="I66" s="17" t="s">
        <v>123</v>
      </c>
      <c r="J66" s="18"/>
    </row>
    <row r="67" spans="1:10" ht="20.25" x14ac:dyDescent="0.3">
      <c r="A67" s="126" t="s">
        <v>105</v>
      </c>
      <c r="B67" s="126"/>
      <c r="C67" s="85">
        <f ca="1">J77</f>
        <v>55</v>
      </c>
      <c r="D67" s="80">
        <f ca="1">((100/H64)*C67)/100</f>
        <v>1</v>
      </c>
      <c r="E67" s="172"/>
      <c r="F67" s="173"/>
      <c r="G67" s="126"/>
      <c r="H67" s="126"/>
      <c r="I67" s="20" t="s">
        <v>133</v>
      </c>
      <c r="J67" s="19">
        <f ca="1">H64*25%</f>
        <v>13.75</v>
      </c>
    </row>
    <row r="68" spans="1:10" ht="21" customHeight="1" x14ac:dyDescent="0.3">
      <c r="A68" s="126" t="s">
        <v>135</v>
      </c>
      <c r="B68" s="126"/>
      <c r="C68" s="83">
        <v>0</v>
      </c>
      <c r="D68" s="80">
        <f ca="1">((100/(E64+G64+H64))*C68)/100</f>
        <v>0</v>
      </c>
      <c r="E68" s="172"/>
      <c r="F68" s="173"/>
      <c r="G68" s="126"/>
      <c r="H68" s="126"/>
      <c r="I68" s="20" t="s">
        <v>124</v>
      </c>
      <c r="J68" s="24">
        <f ca="1">H64*50%</f>
        <v>27.5</v>
      </c>
    </row>
    <row r="69" spans="1:10" ht="21" customHeight="1" x14ac:dyDescent="0.3">
      <c r="A69" s="126" t="s">
        <v>136</v>
      </c>
      <c r="B69" s="126"/>
      <c r="C69" s="83">
        <v>0</v>
      </c>
      <c r="D69" s="80">
        <f ca="1">((100/H64)*C69)/100</f>
        <v>0</v>
      </c>
      <c r="E69" s="172"/>
      <c r="F69" s="173"/>
      <c r="G69" s="126"/>
      <c r="H69" s="126"/>
      <c r="I69" s="20" t="s">
        <v>125</v>
      </c>
      <c r="J69" s="24">
        <f ca="1">H64</f>
        <v>55</v>
      </c>
    </row>
    <row r="70" spans="1:10" ht="21" customHeight="1" x14ac:dyDescent="0.35">
      <c r="A70" s="176" t="s">
        <v>137</v>
      </c>
      <c r="B70" s="177"/>
      <c r="C70" s="83">
        <v>0</v>
      </c>
      <c r="D70" s="80">
        <f ca="1">((100/H64)*C70)/100</f>
        <v>0</v>
      </c>
      <c r="E70" s="172"/>
      <c r="F70" s="173"/>
      <c r="G70" s="126"/>
      <c r="H70" s="126"/>
      <c r="I70" s="20" t="s">
        <v>126</v>
      </c>
      <c r="J70" s="25">
        <f ca="1">(IF(D64&gt;1,(H64/(D64+2)),H64*0.2))</f>
        <v>13.75</v>
      </c>
    </row>
    <row r="71" spans="1:10" ht="21" customHeight="1" x14ac:dyDescent="0.35">
      <c r="A71" s="176" t="s">
        <v>168</v>
      </c>
      <c r="B71" s="177"/>
      <c r="C71" s="83">
        <v>0</v>
      </c>
      <c r="D71" s="80">
        <f ca="1">((100/H64)*C71)/100</f>
        <v>0</v>
      </c>
      <c r="E71" s="172"/>
      <c r="F71" s="173"/>
      <c r="G71" s="126"/>
      <c r="H71" s="126"/>
      <c r="I71" s="20" t="s">
        <v>127</v>
      </c>
      <c r="J71" s="25">
        <f ca="1">(IF(D64&gt;1,(H64/(D64+2)+J70),H64*0.2+J70))</f>
        <v>27.5</v>
      </c>
    </row>
    <row r="72" spans="1:10" ht="57.75" customHeight="1" x14ac:dyDescent="0.35">
      <c r="A72" s="176" t="s">
        <v>165</v>
      </c>
      <c r="B72" s="177"/>
      <c r="C72" s="83">
        <v>0</v>
      </c>
      <c r="D72" s="80">
        <f ca="1">((100/(H64))*C72)/100</f>
        <v>0</v>
      </c>
      <c r="E72" s="172"/>
      <c r="F72" s="173"/>
      <c r="G72" s="126"/>
      <c r="H72" s="126"/>
      <c r="I72" s="20" t="s">
        <v>138</v>
      </c>
      <c r="J72" s="25">
        <f ca="1">(IF(D64&gt;1,(H64/(D64+2)+J71),0))</f>
        <v>41.25</v>
      </c>
    </row>
    <row r="73" spans="1:10" ht="21" x14ac:dyDescent="0.35">
      <c r="A73" s="126" t="s">
        <v>140</v>
      </c>
      <c r="B73" s="126"/>
      <c r="C73" s="83">
        <v>0</v>
      </c>
      <c r="D73" s="80">
        <f ca="1">((100/(H64))*C73)/100</f>
        <v>0</v>
      </c>
      <c r="E73" s="172"/>
      <c r="F73" s="173"/>
      <c r="G73" s="126"/>
      <c r="H73" s="126"/>
      <c r="I73" s="20" t="s">
        <v>139</v>
      </c>
      <c r="J73" s="25">
        <f>(IF(D64&gt;2,(H64/(D64+2)+J72),0))</f>
        <v>0</v>
      </c>
    </row>
    <row r="74" spans="1:10" ht="21" customHeight="1" x14ac:dyDescent="0.35">
      <c r="A74" s="126" t="s">
        <v>167</v>
      </c>
      <c r="B74" s="126"/>
      <c r="C74" s="83">
        <v>0</v>
      </c>
      <c r="D74" s="80">
        <f ca="1">((100/H64)*C74)/100</f>
        <v>0</v>
      </c>
      <c r="E74" s="172"/>
      <c r="F74" s="173"/>
      <c r="G74" s="126"/>
      <c r="H74" s="126"/>
      <c r="I74" s="20" t="s">
        <v>141</v>
      </c>
      <c r="J74" s="26">
        <f>(IF(D64&gt;3,(H64/(D64+2)+J73),0))</f>
        <v>0</v>
      </c>
    </row>
    <row r="75" spans="1:10" ht="21" x14ac:dyDescent="0.35">
      <c r="A75" s="126" t="s">
        <v>166</v>
      </c>
      <c r="B75" s="126"/>
      <c r="C75" s="83">
        <v>0</v>
      </c>
      <c r="D75" s="80">
        <f ca="1">((100/H64)*C75)/100</f>
        <v>0</v>
      </c>
      <c r="E75" s="172"/>
      <c r="F75" s="173"/>
      <c r="G75" s="126"/>
      <c r="H75" s="126"/>
      <c r="I75" s="20" t="s">
        <v>142</v>
      </c>
      <c r="J75" s="25">
        <f>(IF(D64&gt;4,(H64/(D64+2)+J74),0))</f>
        <v>0</v>
      </c>
    </row>
    <row r="76" spans="1:10" ht="21" x14ac:dyDescent="0.35">
      <c r="A76" s="126" t="s">
        <v>143</v>
      </c>
      <c r="B76" s="126"/>
      <c r="C76" s="83">
        <v>0</v>
      </c>
      <c r="D76" s="80">
        <f ca="1">((100/(H64))*C76)/100</f>
        <v>0</v>
      </c>
      <c r="E76" s="172"/>
      <c r="F76" s="173"/>
      <c r="G76" s="126"/>
      <c r="H76" s="126"/>
      <c r="I76" s="20" t="s">
        <v>128</v>
      </c>
      <c r="J76" s="25">
        <f>(IF(D64=1,(H64/(D64+3)+J71),IF(D64=0,(H64*0.3+J71),IF(D64&gt;1,0))))</f>
        <v>0</v>
      </c>
    </row>
    <row r="77" spans="1:10" ht="21.75" thickBot="1" x14ac:dyDescent="0.4">
      <c r="A77" s="126" t="s">
        <v>144</v>
      </c>
      <c r="B77" s="126"/>
      <c r="C77" s="83">
        <v>0</v>
      </c>
      <c r="D77" s="80">
        <f ca="1">((100/(H64))*C77)/100</f>
        <v>0</v>
      </c>
      <c r="E77" s="174"/>
      <c r="F77" s="175"/>
      <c r="G77" s="126"/>
      <c r="H77" s="126"/>
      <c r="I77" s="22" t="s">
        <v>129</v>
      </c>
      <c r="J77" s="27">
        <f ca="1">(IF(D64&gt;1.5,(H64/(D64+2)+J71+MAX(0,J72-J71)+MAX(0,J73-J72)+MAX(0,J74-J73)+MAX(0,J75-J74)+MAX(0,J76-J75)),IF(D64=1,(H64/(D64+3)+J76),IF(D64=0,H64*0.3+J76))))</f>
        <v>55</v>
      </c>
    </row>
    <row r="78" spans="1:10" ht="20.25" x14ac:dyDescent="0.25">
      <c r="A78" s="124" t="s">
        <v>69</v>
      </c>
      <c r="B78" s="124"/>
      <c r="C78" s="124"/>
      <c r="D78" s="124"/>
      <c r="E78" s="124"/>
      <c r="F78" s="124"/>
      <c r="G78" s="124"/>
      <c r="H78" s="124"/>
    </row>
    <row r="79" spans="1:10" ht="20.25" customHeight="1" x14ac:dyDescent="0.25">
      <c r="A79" s="125" t="str">
        <f>CONCATENATE((IF(OR(A47="",A47="NA"),"",A47)),"= ",(IF(OR(D47="",D47="NA"),"",D47)),".")</f>
        <v xml:space="preserve"> Belvedere A &amp; B= 2B + LG + UG + 1st to 55th Floor.</v>
      </c>
      <c r="B79" s="125"/>
      <c r="C79" s="125"/>
      <c r="D79" s="30" t="s">
        <v>117</v>
      </c>
      <c r="E79" s="127" t="s">
        <v>104</v>
      </c>
      <c r="F79" s="127"/>
      <c r="G79" s="30" t="s">
        <v>118</v>
      </c>
      <c r="H79" s="30" t="s">
        <v>119</v>
      </c>
    </row>
    <row r="80" spans="1:10" ht="21" thickBot="1" x14ac:dyDescent="0.3">
      <c r="A80" s="125"/>
      <c r="B80" s="125"/>
      <c r="C80" s="125"/>
      <c r="D80" s="73">
        <f>IF(AND(ISNUMBER(SEARCH("1B",A79))),1,IF(AND(ISNUMBER(SEARCH("2B",A79))),2,IF(AND(ISNUMBER(SEARCH("3B",A79))),3,IF(AND(ISNUMBER(SEARCH("4B",A79))),4,IF(ISNUMBER(SEARCH("5B",A79)),5,0)))))</f>
        <v>2</v>
      </c>
      <c r="E80" s="127">
        <v>2</v>
      </c>
      <c r="F80" s="127"/>
      <c r="G80" s="73">
        <v>0</v>
      </c>
      <c r="H80" s="30">
        <f ca="1">--TRIM(RIGHT(SUBSTITUTE(LEFT(A79,_xlfn.AGGREGATE(16,6,FIND({0,1,2,3,4,5,6,7,8,9},A79,ROW(INDIRECT("1:"&amp;LEN(A79)))),1))," ",REPT(" ",LEN(A79))),LEN(A79)))</f>
        <v>55</v>
      </c>
    </row>
    <row r="81" spans="1:10" ht="20.25" customHeight="1" x14ac:dyDescent="0.3">
      <c r="A81" s="136" t="s">
        <v>121</v>
      </c>
      <c r="B81" s="136"/>
      <c r="C81" s="28" t="s">
        <v>131</v>
      </c>
      <c r="D81" s="28" t="s">
        <v>132</v>
      </c>
      <c r="E81" s="136" t="s">
        <v>122</v>
      </c>
      <c r="F81" s="136"/>
      <c r="G81" s="29" t="s">
        <v>120</v>
      </c>
      <c r="H81" s="29"/>
      <c r="I81" s="16" t="str">
        <f ca="1">(IF(E82&gt;99%,"All work completed. Please provide OC.",IF(E82&gt;89.8%,"Plinth, RCC, Brick, Plaster, Flooring, Wooden, Plumbing, Electrification, etc., work Completed. Finishing work is in process.",IF(E82&lt;94%,(IF(C82=0,"Work not yet Started.",IF(D82=25%,"Piling work in process",IF(D82=50%,"Excavation work in process",IF(D82=100%,"Excavation work Completed. ","0")))&amp;(IF(C83=0%,"",IF(C83=J86,"Footing work is process",IF(C83=J87,"Footing work Completed",IF(C83=J88,"1st Basement Completed",IF(C83=J89,"1st &amp; 2nd Basement Completed",IF(C83=J90,"1st to 3rd Basement Completed",IF(C83=J91,"1st to 4th Basement Completed",IF(C83=J92,"Plinth work is process",IF(C83=J93,"Plinth work completed","0")))))))))))&amp;(IF(C84=(E80+G80+H80),", RCC Slab",IF(C84&gt;0,", RCC upto "&amp;C84&amp;" Slab",""))&amp;(IF(C85=H80,", Brickwork",IF(C85&gt;0,", Brickwork upto "&amp;C85&amp;" Floor",""))&amp;(IF(C86=H80,", Internal Plaster",IF(C86&gt;0,", Internal Plaster upto "&amp;C86&amp;" Floor",""))&amp;(IF(C87=H80,", External Plaster",IF(C87&gt;0,", External Plaster upto "&amp;C87&amp;" Floor",""))&amp;(IF(C88=H80,", External Plumbing, Elevation and Waterproofing",IF(C88&gt;0,", External Plumbing, Elevation and Waterproofing upto "&amp;C88&amp;" Floor",""))&amp;(IF(C89=H80,", Flooring &amp; Fitting",IF(C89&gt;0,", Flooring &amp; Fitting upto "&amp;C89&amp;" Floor",""))&amp;(IF(C90=H80,", Wooden Work",IF(C90&gt;0,", Wooden Work upto "&amp;C90&amp;" Floor",""))&amp;(IF(C91=H80,", Electrical &amp; Sanitary fittings",IF(C91&gt;0,", Electrical &amp; Sanitary fittings upto "&amp;C91&amp;" Floor",""))&amp;(IF(C92&gt;0,", Finishing upto "&amp;C92&amp;" Floor","")&amp;(IF(C84&gt;0.5," Completed",""))))))))))))))))</f>
        <v>Excavation work Completed. Plinth work completed</v>
      </c>
      <c r="J81" s="18"/>
    </row>
    <row r="82" spans="1:10" ht="20.25" customHeight="1" x14ac:dyDescent="0.3">
      <c r="A82" s="126" t="s">
        <v>134</v>
      </c>
      <c r="B82" s="126"/>
      <c r="C82" s="30">
        <f ca="1">J85</f>
        <v>55</v>
      </c>
      <c r="D82" s="5">
        <f ca="1">((100/H80)*C82)/100</f>
        <v>1</v>
      </c>
      <c r="E82" s="170">
        <f ca="1">(((C82/H80*10)+(C83/H80*15)+(25/(E80+G80+H80)*C84)+(5/(H80)*C85)+(2.5/(H80)*C86)+(2.5/(H80)*C87)+(5/H80*C88)+(10/H80*C89)+(2.5/H80*C90)+(2.5/H80*C91)+(10/H80*C92)+(10/H80*C93))/100)</f>
        <v>0.25</v>
      </c>
      <c r="F82" s="171"/>
      <c r="G82" s="126" t="str">
        <f ca="1">I81</f>
        <v>Excavation work Completed. Plinth work completed</v>
      </c>
      <c r="H82" s="126"/>
      <c r="I82" s="17" t="s">
        <v>123</v>
      </c>
      <c r="J82" s="18"/>
    </row>
    <row r="83" spans="1:10" ht="20.25" x14ac:dyDescent="0.3">
      <c r="A83" s="126" t="s">
        <v>105</v>
      </c>
      <c r="B83" s="126"/>
      <c r="C83" s="32">
        <f ca="1">J93</f>
        <v>55</v>
      </c>
      <c r="D83" s="5">
        <f ca="1">((100/H80)*C83)/100</f>
        <v>1</v>
      </c>
      <c r="E83" s="172"/>
      <c r="F83" s="173"/>
      <c r="G83" s="126"/>
      <c r="H83" s="126"/>
      <c r="I83" s="20" t="s">
        <v>133</v>
      </c>
      <c r="J83" s="19">
        <f ca="1">H80*25%</f>
        <v>13.75</v>
      </c>
    </row>
    <row r="84" spans="1:10" ht="21" customHeight="1" x14ac:dyDescent="0.3">
      <c r="A84" s="126" t="s">
        <v>135</v>
      </c>
      <c r="B84" s="126"/>
      <c r="C84" s="30">
        <v>0</v>
      </c>
      <c r="D84" s="5">
        <f ca="1">((100/(E80+G80+H80))*C84)/100</f>
        <v>0</v>
      </c>
      <c r="E84" s="172"/>
      <c r="F84" s="173"/>
      <c r="G84" s="126"/>
      <c r="H84" s="126"/>
      <c r="I84" s="20" t="s">
        <v>124</v>
      </c>
      <c r="J84" s="24">
        <f ca="1">H80*50%</f>
        <v>27.5</v>
      </c>
    </row>
    <row r="85" spans="1:10" ht="21" customHeight="1" x14ac:dyDescent="0.3">
      <c r="A85" s="126" t="s">
        <v>136</v>
      </c>
      <c r="B85" s="126"/>
      <c r="C85" s="30">
        <v>0</v>
      </c>
      <c r="D85" s="5">
        <f ca="1">((100/H80)*C85)/100</f>
        <v>0</v>
      </c>
      <c r="E85" s="172"/>
      <c r="F85" s="173"/>
      <c r="G85" s="126"/>
      <c r="H85" s="126"/>
      <c r="I85" s="20" t="s">
        <v>125</v>
      </c>
      <c r="J85" s="24">
        <f ca="1">H80</f>
        <v>55</v>
      </c>
    </row>
    <row r="86" spans="1:10" ht="21" customHeight="1" x14ac:dyDescent="0.35">
      <c r="A86" s="176" t="s">
        <v>137</v>
      </c>
      <c r="B86" s="177"/>
      <c r="C86" s="30">
        <v>0</v>
      </c>
      <c r="D86" s="5">
        <f ca="1">((100/H80)*C86)/100</f>
        <v>0</v>
      </c>
      <c r="E86" s="172"/>
      <c r="F86" s="173"/>
      <c r="G86" s="126"/>
      <c r="H86" s="126"/>
      <c r="I86" s="20" t="s">
        <v>126</v>
      </c>
      <c r="J86" s="25">
        <f ca="1">(IF(D80&gt;1,(H80/(D80+2)),H80*0.2))</f>
        <v>13.75</v>
      </c>
    </row>
    <row r="87" spans="1:10" ht="21" customHeight="1" x14ac:dyDescent="0.35">
      <c r="A87" s="176" t="s">
        <v>168</v>
      </c>
      <c r="B87" s="177"/>
      <c r="C87" s="30">
        <v>0</v>
      </c>
      <c r="D87" s="5">
        <f ca="1">((100/H80)*C87)/100</f>
        <v>0</v>
      </c>
      <c r="E87" s="172"/>
      <c r="F87" s="173"/>
      <c r="G87" s="126"/>
      <c r="H87" s="126"/>
      <c r="I87" s="20" t="s">
        <v>127</v>
      </c>
      <c r="J87" s="25">
        <f ca="1">(IF(D80&gt;1,(H80/(D80+2)+J86),H80*0.2+J86))</f>
        <v>27.5</v>
      </c>
    </row>
    <row r="88" spans="1:10" ht="57.75" customHeight="1" x14ac:dyDescent="0.35">
      <c r="A88" s="176" t="s">
        <v>165</v>
      </c>
      <c r="B88" s="177"/>
      <c r="C88" s="30">
        <v>0</v>
      </c>
      <c r="D88" s="5">
        <f ca="1">((100/(H80))*C88)/100</f>
        <v>0</v>
      </c>
      <c r="E88" s="172"/>
      <c r="F88" s="173"/>
      <c r="G88" s="126"/>
      <c r="H88" s="126"/>
      <c r="I88" s="20" t="s">
        <v>138</v>
      </c>
      <c r="J88" s="25">
        <f ca="1">(IF(D80&gt;1,(H80/(D80+2)+J87),0))</f>
        <v>41.25</v>
      </c>
    </row>
    <row r="89" spans="1:10" ht="21" x14ac:dyDescent="0.35">
      <c r="A89" s="126" t="s">
        <v>140</v>
      </c>
      <c r="B89" s="126"/>
      <c r="C89" s="30">
        <v>0</v>
      </c>
      <c r="D89" s="5">
        <f ca="1">((100/(H80))*C89)/100</f>
        <v>0</v>
      </c>
      <c r="E89" s="172"/>
      <c r="F89" s="173"/>
      <c r="G89" s="126"/>
      <c r="H89" s="126"/>
      <c r="I89" s="20" t="s">
        <v>139</v>
      </c>
      <c r="J89" s="25">
        <f>(IF(D80&gt;2,(H80/(D80+2)+J88),0))</f>
        <v>0</v>
      </c>
    </row>
    <row r="90" spans="1:10" ht="21" customHeight="1" x14ac:dyDescent="0.35">
      <c r="A90" s="126" t="s">
        <v>167</v>
      </c>
      <c r="B90" s="126"/>
      <c r="C90" s="30">
        <v>0</v>
      </c>
      <c r="D90" s="5">
        <f ca="1">((100/H80)*C90)/100</f>
        <v>0</v>
      </c>
      <c r="E90" s="172"/>
      <c r="F90" s="173"/>
      <c r="G90" s="126"/>
      <c r="H90" s="126"/>
      <c r="I90" s="20" t="s">
        <v>141</v>
      </c>
      <c r="J90" s="26">
        <f>(IF(D80&gt;3,(H80/(D80+2)+J89),0))</f>
        <v>0</v>
      </c>
    </row>
    <row r="91" spans="1:10" ht="21" x14ac:dyDescent="0.35">
      <c r="A91" s="126" t="s">
        <v>166</v>
      </c>
      <c r="B91" s="126"/>
      <c r="C91" s="30">
        <v>0</v>
      </c>
      <c r="D91" s="5">
        <f ca="1">((100/H80)*C91)/100</f>
        <v>0</v>
      </c>
      <c r="E91" s="172"/>
      <c r="F91" s="173"/>
      <c r="G91" s="126"/>
      <c r="H91" s="126"/>
      <c r="I91" s="20" t="s">
        <v>142</v>
      </c>
      <c r="J91" s="25">
        <f>(IF(D80&gt;4,(H80/(D80+2)+J90),0))</f>
        <v>0</v>
      </c>
    </row>
    <row r="92" spans="1:10" ht="21" x14ac:dyDescent="0.35">
      <c r="A92" s="126" t="s">
        <v>143</v>
      </c>
      <c r="B92" s="126"/>
      <c r="C92" s="30">
        <v>0</v>
      </c>
      <c r="D92" s="5">
        <f ca="1">((100/(H80))*C92)/100</f>
        <v>0</v>
      </c>
      <c r="E92" s="172"/>
      <c r="F92" s="173"/>
      <c r="G92" s="126"/>
      <c r="H92" s="126"/>
      <c r="I92" s="20" t="s">
        <v>128</v>
      </c>
      <c r="J92" s="25">
        <f>(IF(D80=1,(H80/(D80+3)+J87),IF(D80=0,(H80*0.3+J87),IF(D80&gt;1,0))))</f>
        <v>0</v>
      </c>
    </row>
    <row r="93" spans="1:10" ht="21.75" thickBot="1" x14ac:dyDescent="0.4">
      <c r="A93" s="126" t="s">
        <v>144</v>
      </c>
      <c r="B93" s="126"/>
      <c r="C93" s="30">
        <v>0</v>
      </c>
      <c r="D93" s="5">
        <f ca="1">((100/(H80))*C93)/100</f>
        <v>0</v>
      </c>
      <c r="E93" s="174"/>
      <c r="F93" s="175"/>
      <c r="G93" s="126"/>
      <c r="H93" s="126"/>
      <c r="I93" s="22" t="s">
        <v>129</v>
      </c>
      <c r="J93" s="27">
        <f ca="1">(IF(D80&gt;1.5,(H80/(D80+2)+J87+MAX(0,J88-J87)+MAX(0,J89-J88)+MAX(0,J90-J89)+MAX(0,J91-J90)+MAX(0,J92-J91)),IF(D80=1,(H80/(D80+3)+J92),IF(D80=0,H80*0.3+J92))))</f>
        <v>55</v>
      </c>
    </row>
    <row r="94" spans="1:10" ht="20.25" x14ac:dyDescent="0.25">
      <c r="A94" s="124" t="s">
        <v>69</v>
      </c>
      <c r="B94" s="124"/>
      <c r="C94" s="124"/>
      <c r="D94" s="124"/>
      <c r="E94" s="124"/>
      <c r="F94" s="124"/>
      <c r="G94" s="124"/>
      <c r="H94" s="124"/>
    </row>
    <row r="95" spans="1:10" ht="20.25" customHeight="1" x14ac:dyDescent="0.25">
      <c r="A95" s="125" t="str">
        <f>CONCATENATE((IF(OR(A48="",A48="NA"),"",A48)),"= ",(IF(OR(D48="",D48="NA"),"",D48)),".")</f>
        <v>Florencia A &amp; B= 2B + LG + UG + 1st to 55th Floor.</v>
      </c>
      <c r="B95" s="125"/>
      <c r="C95" s="125"/>
      <c r="D95" s="30" t="s">
        <v>117</v>
      </c>
      <c r="E95" s="127" t="s">
        <v>104</v>
      </c>
      <c r="F95" s="127"/>
      <c r="G95" s="30" t="s">
        <v>118</v>
      </c>
      <c r="H95" s="30" t="s">
        <v>119</v>
      </c>
    </row>
    <row r="96" spans="1:10" ht="21" thickBot="1" x14ac:dyDescent="0.3">
      <c r="A96" s="125"/>
      <c r="B96" s="125"/>
      <c r="C96" s="125"/>
      <c r="D96" s="73">
        <f>IF(AND(ISNUMBER(SEARCH("1B",A95))),1,IF(AND(ISNUMBER(SEARCH("2B",A95))),2,IF(AND(ISNUMBER(SEARCH("3B",A95))),3,IF(AND(ISNUMBER(SEARCH("4B",A95))),4,IF(ISNUMBER(SEARCH("5B",A95)),5,0)))))</f>
        <v>2</v>
      </c>
      <c r="E96" s="127">
        <v>2</v>
      </c>
      <c r="F96" s="127"/>
      <c r="G96" s="73">
        <v>0</v>
      </c>
      <c r="H96" s="30">
        <f ca="1">--TRIM(RIGHT(SUBSTITUTE(LEFT(A95,_xlfn.AGGREGATE(16,6,FIND({0,1,2,3,4,5,6,7,8,9},A95,ROW(INDIRECT("1:"&amp;LEN(A95)))),1))," ",REPT(" ",LEN(A95))),LEN(A95)))</f>
        <v>55</v>
      </c>
    </row>
    <row r="97" spans="1:10" ht="20.25" customHeight="1" x14ac:dyDescent="0.3">
      <c r="A97" s="136" t="s">
        <v>121</v>
      </c>
      <c r="B97" s="136"/>
      <c r="C97" s="28" t="s">
        <v>131</v>
      </c>
      <c r="D97" s="28" t="s">
        <v>132</v>
      </c>
      <c r="E97" s="136" t="s">
        <v>122</v>
      </c>
      <c r="F97" s="136"/>
      <c r="G97" s="29" t="s">
        <v>120</v>
      </c>
      <c r="H97" s="29"/>
      <c r="I97" s="16" t="str">
        <f ca="1">(IF(E98&gt;99%,"All work completed. Please provide OC.",IF(E98&gt;89.8%,"Plinth, RCC, Brick, Plaster, Flooring, Wooden, Plumbing, Electrification, etc., work Completed. Finishing work is in process.",IF(E98&lt;94%,(IF(C98=0,"Work not yet Started.",IF(D98=25%,"Piling work in process",IF(D98=50%,"Excavation work in process",IF(D98=100%,"Excavation work Completed. ","0")))&amp;(IF(C99=0%,"",IF(C99=J102,"Footing work is process",IF(C99=J103,"Footing work Completed",IF(C99=J104,"1st Basement Completed",IF(C99=J105,"1st &amp; 2nd Basement Completed",IF(C99=J106,"1st to 3rd Basement Completed",IF(C99=J107,"1st to 4th Basement Completed",IF(C99=J108,"Plinth work is process",IF(C99=J109,"Plinth work completed","0")))))))))))&amp;(IF(C100=(E96+G96+H96),", RCC Slab",IF(C100&gt;0,", RCC upto "&amp;C100&amp;" Slab",""))&amp;(IF(C101=H96,", Brickwork",IF(C101&gt;0,", Brickwork upto "&amp;C101&amp;" Floor",""))&amp;(IF(C102=H96,", Internal Plaster",IF(C102&gt;0,", Internal Plaster upto "&amp;C102&amp;" Floor",""))&amp;(IF(C103=H96,", External Plaster",IF(C103&gt;0,", External Plaster upto "&amp;C103&amp;" Floor",""))&amp;(IF(C104=H96,", External Plumbing, Elevation and Waterproofing",IF(C104&gt;0,", External Plumbing, Elevation and Waterproofing upto "&amp;C104&amp;" Floor",""))&amp;(IF(C105=H96,", Flooring &amp; Fitting",IF(C105&gt;0,", Flooring &amp; Fitting upto "&amp;C105&amp;" Floor",""))&amp;(IF(C106=H96,", Wooden Work",IF(C106&gt;0,", Wooden Work upto "&amp;C106&amp;" Floor",""))&amp;(IF(C107=H96,", Electrical &amp; Sanitary fittings",IF(C107&gt;0,", Electrical &amp; Sanitary fittings upto "&amp;C107&amp;" Floor",""))&amp;(IF(C108&gt;0,", Finishing upto "&amp;C108&amp;" Floor","")&amp;(IF(C100&gt;0.5," Completed",""))))))))))))))))</f>
        <v>Excavation work Completed. Plinth work completed</v>
      </c>
      <c r="J97" s="18"/>
    </row>
    <row r="98" spans="1:10" ht="20.25" customHeight="1" x14ac:dyDescent="0.3">
      <c r="A98" s="126" t="s">
        <v>134</v>
      </c>
      <c r="B98" s="126"/>
      <c r="C98" s="30">
        <f ca="1">J101</f>
        <v>55</v>
      </c>
      <c r="D98" s="5">
        <f ca="1">((100/H96)*C98)/100</f>
        <v>1</v>
      </c>
      <c r="E98" s="170">
        <f ca="1">(((C98/H96*10)+(C99/H96*15)+(25/(E96+G96+H96)*C100)+(5/(H96)*C101)+(2.5/(H96)*C102)+(2.5/(H96)*C103)+(5/H96*C104)+(10/H96*C105)+(2.5/H96*C106)+(2.5/H96*C107)+(10/H96*C108)+(10/H96*C109))/100)</f>
        <v>0.25</v>
      </c>
      <c r="F98" s="171"/>
      <c r="G98" s="126" t="str">
        <f ca="1">I97</f>
        <v>Excavation work Completed. Plinth work completed</v>
      </c>
      <c r="H98" s="126"/>
      <c r="I98" s="17" t="s">
        <v>123</v>
      </c>
      <c r="J98" s="18"/>
    </row>
    <row r="99" spans="1:10" ht="20.25" x14ac:dyDescent="0.3">
      <c r="A99" s="126" t="s">
        <v>105</v>
      </c>
      <c r="B99" s="126"/>
      <c r="C99" s="32">
        <f ca="1">J109</f>
        <v>55</v>
      </c>
      <c r="D99" s="5">
        <f ca="1">((100/H96)*C99)/100</f>
        <v>1</v>
      </c>
      <c r="E99" s="172"/>
      <c r="F99" s="173"/>
      <c r="G99" s="126"/>
      <c r="H99" s="126"/>
      <c r="I99" s="20" t="s">
        <v>133</v>
      </c>
      <c r="J99" s="19">
        <f ca="1">H96*25%</f>
        <v>13.75</v>
      </c>
    </row>
    <row r="100" spans="1:10" ht="21" customHeight="1" x14ac:dyDescent="0.3">
      <c r="A100" s="126" t="s">
        <v>135</v>
      </c>
      <c r="B100" s="126"/>
      <c r="C100" s="30">
        <v>0</v>
      </c>
      <c r="D100" s="5">
        <f ca="1">((100/(E96+G96+H96))*C100)/100</f>
        <v>0</v>
      </c>
      <c r="E100" s="172"/>
      <c r="F100" s="173"/>
      <c r="G100" s="126"/>
      <c r="H100" s="126"/>
      <c r="I100" s="20" t="s">
        <v>124</v>
      </c>
      <c r="J100" s="24">
        <f ca="1">H96*50%</f>
        <v>27.5</v>
      </c>
    </row>
    <row r="101" spans="1:10" ht="21" customHeight="1" x14ac:dyDescent="0.3">
      <c r="A101" s="126" t="s">
        <v>136</v>
      </c>
      <c r="B101" s="126"/>
      <c r="C101" s="30">
        <v>0</v>
      </c>
      <c r="D101" s="5">
        <f ca="1">((100/H96)*C101)/100</f>
        <v>0</v>
      </c>
      <c r="E101" s="172"/>
      <c r="F101" s="173"/>
      <c r="G101" s="126"/>
      <c r="H101" s="126"/>
      <c r="I101" s="20" t="s">
        <v>125</v>
      </c>
      <c r="J101" s="24">
        <f ca="1">H96</f>
        <v>55</v>
      </c>
    </row>
    <row r="102" spans="1:10" ht="21" customHeight="1" x14ac:dyDescent="0.35">
      <c r="A102" s="176" t="s">
        <v>137</v>
      </c>
      <c r="B102" s="177"/>
      <c r="C102" s="30">
        <v>0</v>
      </c>
      <c r="D102" s="5">
        <f ca="1">((100/H96)*C102)/100</f>
        <v>0</v>
      </c>
      <c r="E102" s="172"/>
      <c r="F102" s="173"/>
      <c r="G102" s="126"/>
      <c r="H102" s="126"/>
      <c r="I102" s="20" t="s">
        <v>126</v>
      </c>
      <c r="J102" s="25">
        <f ca="1">(IF(D96&gt;1,(H96/(D96+2)),H96*0.2))</f>
        <v>13.75</v>
      </c>
    </row>
    <row r="103" spans="1:10" ht="21" customHeight="1" x14ac:dyDescent="0.35">
      <c r="A103" s="176" t="s">
        <v>168</v>
      </c>
      <c r="B103" s="177"/>
      <c r="C103" s="30">
        <v>0</v>
      </c>
      <c r="D103" s="5">
        <f ca="1">((100/H96)*C103)/100</f>
        <v>0</v>
      </c>
      <c r="E103" s="172"/>
      <c r="F103" s="173"/>
      <c r="G103" s="126"/>
      <c r="H103" s="126"/>
      <c r="I103" s="20" t="s">
        <v>127</v>
      </c>
      <c r="J103" s="25">
        <f ca="1">(IF(D96&gt;1,(H96/(D96+2)+J102),H96*0.2+J102))</f>
        <v>27.5</v>
      </c>
    </row>
    <row r="104" spans="1:10" ht="57.75" customHeight="1" x14ac:dyDescent="0.35">
      <c r="A104" s="176" t="s">
        <v>165</v>
      </c>
      <c r="B104" s="177"/>
      <c r="C104" s="30">
        <v>0</v>
      </c>
      <c r="D104" s="5">
        <f ca="1">((100/(H96))*C104)/100</f>
        <v>0</v>
      </c>
      <c r="E104" s="172"/>
      <c r="F104" s="173"/>
      <c r="G104" s="126"/>
      <c r="H104" s="126"/>
      <c r="I104" s="20" t="s">
        <v>138</v>
      </c>
      <c r="J104" s="25">
        <f ca="1">(IF(D96&gt;1,(H96/(D96+2)+J103),0))</f>
        <v>41.25</v>
      </c>
    </row>
    <row r="105" spans="1:10" ht="21" x14ac:dyDescent="0.35">
      <c r="A105" s="126" t="s">
        <v>140</v>
      </c>
      <c r="B105" s="126"/>
      <c r="C105" s="30">
        <v>0</v>
      </c>
      <c r="D105" s="5">
        <f ca="1">((100/(H96))*C105)/100</f>
        <v>0</v>
      </c>
      <c r="E105" s="172"/>
      <c r="F105" s="173"/>
      <c r="G105" s="126"/>
      <c r="H105" s="126"/>
      <c r="I105" s="20" t="s">
        <v>139</v>
      </c>
      <c r="J105" s="25">
        <f>(IF(D96&gt;2,(H96/(D96+2)+J104),0))</f>
        <v>0</v>
      </c>
    </row>
    <row r="106" spans="1:10" ht="21" customHeight="1" x14ac:dyDescent="0.35">
      <c r="A106" s="126" t="s">
        <v>167</v>
      </c>
      <c r="B106" s="126"/>
      <c r="C106" s="30">
        <v>0</v>
      </c>
      <c r="D106" s="5">
        <f ca="1">((100/H96)*C106)/100</f>
        <v>0</v>
      </c>
      <c r="E106" s="172"/>
      <c r="F106" s="173"/>
      <c r="G106" s="126"/>
      <c r="H106" s="126"/>
      <c r="I106" s="20" t="s">
        <v>141</v>
      </c>
      <c r="J106" s="26">
        <f>(IF(D96&gt;3,(H96/(D96+2)+J105),0))</f>
        <v>0</v>
      </c>
    </row>
    <row r="107" spans="1:10" ht="21" x14ac:dyDescent="0.35">
      <c r="A107" s="126" t="s">
        <v>166</v>
      </c>
      <c r="B107" s="126"/>
      <c r="C107" s="30">
        <v>0</v>
      </c>
      <c r="D107" s="5">
        <f ca="1">((100/H96)*C107)/100</f>
        <v>0</v>
      </c>
      <c r="E107" s="172"/>
      <c r="F107" s="173"/>
      <c r="G107" s="126"/>
      <c r="H107" s="126"/>
      <c r="I107" s="20" t="s">
        <v>142</v>
      </c>
      <c r="J107" s="25">
        <f>(IF(D96&gt;4,(H96/(D96+2)+J106),0))</f>
        <v>0</v>
      </c>
    </row>
    <row r="108" spans="1:10" ht="21" x14ac:dyDescent="0.35">
      <c r="A108" s="126" t="s">
        <v>143</v>
      </c>
      <c r="B108" s="126"/>
      <c r="C108" s="30">
        <v>0</v>
      </c>
      <c r="D108" s="5">
        <f ca="1">((100/(H96))*C108)/100</f>
        <v>0</v>
      </c>
      <c r="E108" s="172"/>
      <c r="F108" s="173"/>
      <c r="G108" s="126"/>
      <c r="H108" s="126"/>
      <c r="I108" s="20" t="s">
        <v>128</v>
      </c>
      <c r="J108" s="25">
        <f>(IF(D96=1,(H96/(D96+3)+J103),IF(D96=0,(H96*0.3+J103),IF(D96&gt;1,0))))</f>
        <v>0</v>
      </c>
    </row>
    <row r="109" spans="1:10" ht="21.75" thickBot="1" x14ac:dyDescent="0.4">
      <c r="A109" s="126" t="s">
        <v>144</v>
      </c>
      <c r="B109" s="126"/>
      <c r="C109" s="30">
        <v>0</v>
      </c>
      <c r="D109" s="5">
        <f ca="1">((100/(H96))*C109)/100</f>
        <v>0</v>
      </c>
      <c r="E109" s="174"/>
      <c r="F109" s="175"/>
      <c r="G109" s="126"/>
      <c r="H109" s="126"/>
      <c r="I109" s="22" t="s">
        <v>129</v>
      </c>
      <c r="J109" s="27">
        <f ca="1">(IF(D96&gt;1.5,(H96/(D96+2)+J103+MAX(0,J104-J103)+MAX(0,J105-J104)+MAX(0,J106-J105)+MAX(0,J107-J106)+MAX(0,J108-J107)),IF(D96=1,(H96/(D96+3)+J108),IF(D96=0,H96*0.3+J108))))</f>
        <v>55</v>
      </c>
    </row>
    <row r="110" spans="1:10" ht="20.25" x14ac:dyDescent="0.25">
      <c r="A110" s="124" t="s">
        <v>69</v>
      </c>
      <c r="B110" s="124"/>
      <c r="C110" s="124"/>
      <c r="D110" s="124"/>
      <c r="E110" s="124"/>
      <c r="F110" s="124"/>
      <c r="G110" s="124"/>
      <c r="H110" s="124"/>
    </row>
    <row r="111" spans="1:10" ht="20.25" customHeight="1" x14ac:dyDescent="0.25">
      <c r="A111" s="125" t="str">
        <f>CONCATENATE((IF(OR(A49="",A49="NA"),"",A49)),"= ",(IF(OR(D49="",D49="NA"),"",D49)),".")</f>
        <v>Amalfi= 2B + LG + UG + 1st to 55th Floor.</v>
      </c>
      <c r="B111" s="125"/>
      <c r="C111" s="125"/>
      <c r="D111" s="83" t="s">
        <v>117</v>
      </c>
      <c r="E111" s="127" t="s">
        <v>104</v>
      </c>
      <c r="F111" s="127"/>
      <c r="G111" s="83" t="s">
        <v>118</v>
      </c>
      <c r="H111" s="83" t="s">
        <v>119</v>
      </c>
    </row>
    <row r="112" spans="1:10" ht="21" thickBot="1" x14ac:dyDescent="0.3">
      <c r="A112" s="125"/>
      <c r="B112" s="125"/>
      <c r="C112" s="125"/>
      <c r="D112" s="83">
        <f>IF(AND(ISNUMBER(SEARCH("1B",A111))),1,IF(AND(ISNUMBER(SEARCH("2B",A111))),2,IF(AND(ISNUMBER(SEARCH("3B",A111))),3,IF(AND(ISNUMBER(SEARCH("4B",A111))),4,IF(ISNUMBER(SEARCH("5B",A111)),5,0)))))</f>
        <v>2</v>
      </c>
      <c r="E112" s="127">
        <v>2</v>
      </c>
      <c r="F112" s="127"/>
      <c r="G112" s="83">
        <v>0</v>
      </c>
      <c r="H112" s="83">
        <f ca="1">--TRIM(RIGHT(SUBSTITUTE(LEFT(A111,_xlfn.AGGREGATE(16,6,FIND({0,1,2,3,4,5,6,7,8,9},A111,ROW(INDIRECT("1:"&amp;LEN(A111)))),1))," ",REPT(" ",LEN(A111))),LEN(A111)))</f>
        <v>55</v>
      </c>
    </row>
    <row r="113" spans="1:11" ht="20.25" customHeight="1" x14ac:dyDescent="0.3">
      <c r="A113" s="136" t="s">
        <v>121</v>
      </c>
      <c r="B113" s="136"/>
      <c r="C113" s="79" t="s">
        <v>131</v>
      </c>
      <c r="D113" s="79" t="s">
        <v>132</v>
      </c>
      <c r="E113" s="136" t="s">
        <v>122</v>
      </c>
      <c r="F113" s="136"/>
      <c r="G113" s="29" t="s">
        <v>120</v>
      </c>
      <c r="H113" s="29"/>
      <c r="I113" s="16" t="str">
        <f ca="1">(IF(E114&gt;99%,"All work completed. Please provide OC.",IF(E114&gt;89.8%,"Plinth, RCC, Brick, Plaster, Flooring, Wooden, Plumbing, Electrification, etc., work Completed. Finishing work is in process.",IF(E114&lt;94%,(IF(C114=0,"Work not yet Started.",IF(D114=25%,"Piling work in process",IF(D114=50%,"Excavation work in process",IF(D114=100%,"Excavation work Completed. ","0")))&amp;(IF(C115=0%,"",IF(C115=J118,"Footing work is process",IF(C115=J119,"Footing work Completed",IF(C115=J120,"1st Basement Completed",IF(C115=J121,"1st &amp; 2nd Basement Completed",IF(C115=J122,"1st to 3rd Basement Completed",IF(C115=J123,"1st to 4th Basement Completed",IF(C115=J124,"Plinth work is process",IF(C115=J125,"Plinth work completed","0")))))))))))&amp;(IF(C116=(E112+G112+H112),", RCC Slab",IF(C116&gt;0,", RCC upto "&amp;C116&amp;" Slab",""))&amp;(IF(C117=H112,", Brickwork",IF(C117&gt;0,", Brickwork upto "&amp;C117&amp;" Floor",""))&amp;(IF(C118=H112,", Internal Plaster",IF(C118&gt;0,", Internal Plaster upto "&amp;C118&amp;" Floor",""))&amp;(IF(C119=H112,", External Plaster",IF(C119&gt;0,", External Plaster upto "&amp;C119&amp;" Floor",""))&amp;(IF(C120=H112,", External Plumbing, Elevation and Waterproofing",IF(C120&gt;0,", External Plumbing, Elevation and Waterproofing upto "&amp;C120&amp;" Floor",""))&amp;(IF(C121=H112,", Flooring &amp; Fitting",IF(C121&gt;0,", Flooring &amp; Fitting upto "&amp;C121&amp;" Floor",""))&amp;(IF(C122=H112,", Wooden Work",IF(C122&gt;0,", Wooden Work upto "&amp;C122&amp;" Floor",""))&amp;(IF(C123=H112,", Electrical &amp; Sanitary fittings",IF(C123&gt;0,", Electrical &amp; Sanitary fittings upto "&amp;C123&amp;" Floor",""))&amp;(IF(C124&gt;0,", Finishing upto "&amp;C124&amp;" Floor","")&amp;(IF(C116&gt;0.5," Completed",""))))))))))))))))</f>
        <v>Excavation work Completed. Plinth work completed</v>
      </c>
      <c r="J113" s="18"/>
    </row>
    <row r="114" spans="1:11" ht="20.25" customHeight="1" x14ac:dyDescent="0.3">
      <c r="A114" s="126" t="s">
        <v>134</v>
      </c>
      <c r="B114" s="126"/>
      <c r="C114" s="83">
        <f ca="1">J117</f>
        <v>55</v>
      </c>
      <c r="D114" s="80">
        <f ca="1">((100/H112)*C114)/100</f>
        <v>1</v>
      </c>
      <c r="E114" s="170">
        <f ca="1">(((C114/H112*10)+(C115/H112*15)+(25/(E112+G112+H112)*C116)+(5/(H112)*C117)+(2.5/(H112)*C118)+(2.5/(H112)*C119)+(5/H112*C120)+(10/H112*C121)+(2.5/H112*C122)+(2.5/H112*C123)+(10/H112*C124)+(10/H112*C125))/100)</f>
        <v>0.25</v>
      </c>
      <c r="F114" s="171"/>
      <c r="G114" s="126" t="str">
        <f ca="1">I113</f>
        <v>Excavation work Completed. Plinth work completed</v>
      </c>
      <c r="H114" s="126"/>
      <c r="I114" s="17" t="s">
        <v>123</v>
      </c>
      <c r="J114" s="18"/>
    </row>
    <row r="115" spans="1:11" ht="20.25" x14ac:dyDescent="0.3">
      <c r="A115" s="126" t="s">
        <v>105</v>
      </c>
      <c r="B115" s="126"/>
      <c r="C115" s="85">
        <f ca="1">J125</f>
        <v>55</v>
      </c>
      <c r="D115" s="80">
        <f ca="1">((100/H112)*C115)/100</f>
        <v>1</v>
      </c>
      <c r="E115" s="172"/>
      <c r="F115" s="173"/>
      <c r="G115" s="126"/>
      <c r="H115" s="126"/>
      <c r="I115" s="20" t="s">
        <v>133</v>
      </c>
      <c r="J115" s="19">
        <f ca="1">H112*25%</f>
        <v>13.75</v>
      </c>
    </row>
    <row r="116" spans="1:11" ht="21" customHeight="1" x14ac:dyDescent="0.3">
      <c r="A116" s="126" t="s">
        <v>135</v>
      </c>
      <c r="B116" s="126"/>
      <c r="C116" s="83">
        <v>0</v>
      </c>
      <c r="D116" s="80">
        <f ca="1">((100/(E112+G112+H112))*C116)/100</f>
        <v>0</v>
      </c>
      <c r="E116" s="172"/>
      <c r="F116" s="173"/>
      <c r="G116" s="126"/>
      <c r="H116" s="126"/>
      <c r="I116" s="20" t="s">
        <v>124</v>
      </c>
      <c r="J116" s="24">
        <f ca="1">H112*50%</f>
        <v>27.5</v>
      </c>
    </row>
    <row r="117" spans="1:11" ht="21" customHeight="1" x14ac:dyDescent="0.3">
      <c r="A117" s="126" t="s">
        <v>136</v>
      </c>
      <c r="B117" s="126"/>
      <c r="C117" s="83">
        <v>0</v>
      </c>
      <c r="D117" s="80">
        <f ca="1">((100/H112)*C117)/100</f>
        <v>0</v>
      </c>
      <c r="E117" s="172"/>
      <c r="F117" s="173"/>
      <c r="G117" s="126"/>
      <c r="H117" s="126"/>
      <c r="I117" s="20" t="s">
        <v>125</v>
      </c>
      <c r="J117" s="24">
        <f ca="1">H112</f>
        <v>55</v>
      </c>
    </row>
    <row r="118" spans="1:11" ht="21" customHeight="1" x14ac:dyDescent="0.35">
      <c r="A118" s="176" t="s">
        <v>137</v>
      </c>
      <c r="B118" s="177"/>
      <c r="C118" s="83">
        <v>0</v>
      </c>
      <c r="D118" s="80">
        <f ca="1">((100/H112)*C118)/100</f>
        <v>0</v>
      </c>
      <c r="E118" s="172"/>
      <c r="F118" s="173"/>
      <c r="G118" s="126"/>
      <c r="H118" s="126"/>
      <c r="I118" s="20" t="s">
        <v>126</v>
      </c>
      <c r="J118" s="25">
        <f ca="1">(IF(D112&gt;1,(H112/(D112+2)),H112*0.2))</f>
        <v>13.75</v>
      </c>
    </row>
    <row r="119" spans="1:11" ht="21" customHeight="1" x14ac:dyDescent="0.35">
      <c r="A119" s="176" t="s">
        <v>168</v>
      </c>
      <c r="B119" s="177"/>
      <c r="C119" s="83">
        <v>0</v>
      </c>
      <c r="D119" s="80">
        <f ca="1">((100/H112)*C119)/100</f>
        <v>0</v>
      </c>
      <c r="E119" s="172"/>
      <c r="F119" s="173"/>
      <c r="G119" s="126"/>
      <c r="H119" s="126"/>
      <c r="I119" s="20" t="s">
        <v>127</v>
      </c>
      <c r="J119" s="25">
        <f ca="1">(IF(D112&gt;1,(H112/(D112+2)+J118),H112*0.2+J118))</f>
        <v>27.5</v>
      </c>
    </row>
    <row r="120" spans="1:11" ht="57.75" customHeight="1" x14ac:dyDescent="0.35">
      <c r="A120" s="176" t="s">
        <v>165</v>
      </c>
      <c r="B120" s="177"/>
      <c r="C120" s="83">
        <v>0</v>
      </c>
      <c r="D120" s="80">
        <f ca="1">((100/(H112))*C120)/100</f>
        <v>0</v>
      </c>
      <c r="E120" s="172"/>
      <c r="F120" s="173"/>
      <c r="G120" s="126"/>
      <c r="H120" s="126"/>
      <c r="I120" s="20" t="s">
        <v>138</v>
      </c>
      <c r="J120" s="25">
        <f ca="1">(IF(D112&gt;1,(H112/(D112+2)+J119),0))</f>
        <v>41.25</v>
      </c>
    </row>
    <row r="121" spans="1:11" ht="21" x14ac:dyDescent="0.35">
      <c r="A121" s="126" t="s">
        <v>140</v>
      </c>
      <c r="B121" s="126"/>
      <c r="C121" s="83">
        <v>0</v>
      </c>
      <c r="D121" s="80">
        <f ca="1">((100/(H112))*C121)/100</f>
        <v>0</v>
      </c>
      <c r="E121" s="172"/>
      <c r="F121" s="173"/>
      <c r="G121" s="126"/>
      <c r="H121" s="126"/>
      <c r="I121" s="20" t="s">
        <v>139</v>
      </c>
      <c r="J121" s="25">
        <f>(IF(D112&gt;2,(H112/(D112+2)+J120),0))</f>
        <v>0</v>
      </c>
    </row>
    <row r="122" spans="1:11" ht="21" customHeight="1" x14ac:dyDescent="0.35">
      <c r="A122" s="126" t="s">
        <v>167</v>
      </c>
      <c r="B122" s="126"/>
      <c r="C122" s="83">
        <v>0</v>
      </c>
      <c r="D122" s="80">
        <f ca="1">((100/H112)*C122)/100</f>
        <v>0</v>
      </c>
      <c r="E122" s="172"/>
      <c r="F122" s="173"/>
      <c r="G122" s="126"/>
      <c r="H122" s="126"/>
      <c r="I122" s="20" t="s">
        <v>141</v>
      </c>
      <c r="J122" s="26">
        <f>(IF(D112&gt;3,(H112/(D112+2)+J121),0))</f>
        <v>0</v>
      </c>
    </row>
    <row r="123" spans="1:11" ht="21" x14ac:dyDescent="0.35">
      <c r="A123" s="126" t="s">
        <v>166</v>
      </c>
      <c r="B123" s="126"/>
      <c r="C123" s="83">
        <v>0</v>
      </c>
      <c r="D123" s="80">
        <f ca="1">((100/H112)*C123)/100</f>
        <v>0</v>
      </c>
      <c r="E123" s="172"/>
      <c r="F123" s="173"/>
      <c r="G123" s="126"/>
      <c r="H123" s="126"/>
      <c r="I123" s="20" t="s">
        <v>142</v>
      </c>
      <c r="J123" s="25">
        <f>(IF(D112&gt;4,(H112/(D112+2)+J122),0))</f>
        <v>0</v>
      </c>
    </row>
    <row r="124" spans="1:11" ht="21" x14ac:dyDescent="0.35">
      <c r="A124" s="126" t="s">
        <v>143</v>
      </c>
      <c r="B124" s="126"/>
      <c r="C124" s="83">
        <v>0</v>
      </c>
      <c r="D124" s="80">
        <f ca="1">((100/(H112))*C124)/100</f>
        <v>0</v>
      </c>
      <c r="E124" s="172"/>
      <c r="F124" s="173"/>
      <c r="G124" s="126"/>
      <c r="H124" s="126"/>
      <c r="I124" s="20" t="s">
        <v>128</v>
      </c>
      <c r="J124" s="25">
        <f>(IF(D112=1,(H112/(D112+3)+J119),IF(D112=0,(H112*0.3+J119),IF(D112&gt;1,0))))</f>
        <v>0</v>
      </c>
    </row>
    <row r="125" spans="1:11" ht="21.75" thickBot="1" x14ac:dyDescent="0.4">
      <c r="A125" s="126" t="s">
        <v>144</v>
      </c>
      <c r="B125" s="126"/>
      <c r="C125" s="83">
        <v>0</v>
      </c>
      <c r="D125" s="80">
        <f ca="1">((100/(H112))*C125)/100</f>
        <v>0</v>
      </c>
      <c r="E125" s="174"/>
      <c r="F125" s="175"/>
      <c r="G125" s="126"/>
      <c r="H125" s="126"/>
      <c r="I125" s="22" t="s">
        <v>129</v>
      </c>
      <c r="J125" s="27">
        <f ca="1">(IF(D112&gt;1.5,(H112/(D112+2)+J119+MAX(0,J120-J119)+MAX(0,J121-J120)+MAX(0,J122-J121)+MAX(0,J123-J122)+MAX(0,J124-J123)),IF(D112=1,(H112/(D112+3)+J124),IF(D112=0,H112*0.3+J124))))</f>
        <v>55</v>
      </c>
    </row>
    <row r="126" spans="1:11" ht="36.75" customHeight="1" x14ac:dyDescent="0.3">
      <c r="A126" s="115" t="s">
        <v>130</v>
      </c>
      <c r="B126" s="116"/>
      <c r="C126" s="116"/>
      <c r="D126" s="116"/>
      <c r="E126" s="116"/>
      <c r="F126" s="116"/>
      <c r="G126" s="128">
        <f ca="1">AVERAGE(E82,E98)</f>
        <v>0.25</v>
      </c>
      <c r="H126" s="129"/>
      <c r="K126" s="21"/>
    </row>
    <row r="127" spans="1:11" ht="20.25" x14ac:dyDescent="0.25">
      <c r="A127" s="150" t="s">
        <v>73</v>
      </c>
      <c r="B127" s="151"/>
      <c r="C127" s="151"/>
      <c r="D127" s="151"/>
      <c r="E127" s="151"/>
      <c r="F127" s="151"/>
      <c r="G127" s="151"/>
      <c r="H127" s="152"/>
    </row>
    <row r="128" spans="1:11" ht="42.75" customHeight="1" x14ac:dyDescent="0.3">
      <c r="A128" s="139" t="s">
        <v>74</v>
      </c>
      <c r="B128" s="140"/>
      <c r="C128" s="141" t="s">
        <v>109</v>
      </c>
      <c r="D128" s="142"/>
      <c r="E128" s="139" t="s">
        <v>145</v>
      </c>
      <c r="F128" s="140" t="s">
        <v>4</v>
      </c>
      <c r="G128" s="164" t="s">
        <v>158</v>
      </c>
      <c r="H128" s="164"/>
      <c r="I128" s="20">
        <f>18300*1.5</f>
        <v>27450</v>
      </c>
      <c r="J128" s="21"/>
    </row>
    <row r="129" spans="1:150 16226:16383" ht="44.25" customHeight="1" x14ac:dyDescent="0.25">
      <c r="A129" s="139" t="s">
        <v>155</v>
      </c>
      <c r="B129" s="140"/>
      <c r="C129" s="141" t="s">
        <v>380</v>
      </c>
      <c r="D129" s="142"/>
      <c r="E129" s="139" t="s">
        <v>156</v>
      </c>
      <c r="F129" s="140" t="s">
        <v>4</v>
      </c>
      <c r="G129" s="107" t="s">
        <v>146</v>
      </c>
      <c r="H129" s="107"/>
    </row>
    <row r="130" spans="1:150 16226:16383" ht="20.25" x14ac:dyDescent="0.25">
      <c r="A130" s="139" t="s">
        <v>75</v>
      </c>
      <c r="B130" s="140"/>
      <c r="C130" s="143">
        <v>800000</v>
      </c>
      <c r="D130" s="144"/>
      <c r="E130" s="139" t="s">
        <v>103</v>
      </c>
      <c r="F130" s="140" t="s">
        <v>4</v>
      </c>
      <c r="G130" s="141" t="s">
        <v>110</v>
      </c>
      <c r="H130" s="142"/>
    </row>
    <row r="131" spans="1:150 16226:16383" ht="20.25" x14ac:dyDescent="0.25">
      <c r="A131" s="150" t="s">
        <v>72</v>
      </c>
      <c r="B131" s="151"/>
      <c r="C131" s="151"/>
      <c r="D131" s="151"/>
      <c r="E131" s="151"/>
      <c r="F131" s="151"/>
      <c r="G131" s="151"/>
      <c r="H131" s="152"/>
    </row>
    <row r="132" spans="1:150 16226:16383" ht="20.25" customHeight="1" x14ac:dyDescent="0.25">
      <c r="A132" s="139" t="s">
        <v>8</v>
      </c>
      <c r="B132" s="145"/>
      <c r="C132" s="145"/>
      <c r="D132" s="145"/>
      <c r="E132" s="145"/>
      <c r="F132" s="140"/>
      <c r="G132" s="130">
        <f>23600/10.764</f>
        <v>2192.4934968413231</v>
      </c>
      <c r="H132" s="131"/>
    </row>
    <row r="133" spans="1:150 16226:16383" ht="20.25" customHeight="1" x14ac:dyDescent="0.25">
      <c r="A133" s="139" t="s">
        <v>28</v>
      </c>
      <c r="B133" s="145"/>
      <c r="C133" s="145"/>
      <c r="D133" s="145"/>
      <c r="E133" s="145"/>
      <c r="F133" s="140" t="s">
        <v>4</v>
      </c>
      <c r="G133" s="153">
        <f>115500/10.764</f>
        <v>10730.21181716834</v>
      </c>
      <c r="H133" s="153"/>
      <c r="I133" s="78" t="s">
        <v>377</v>
      </c>
    </row>
    <row r="134" spans="1:150 16226:16383" ht="20.25" customHeight="1" x14ac:dyDescent="0.25">
      <c r="A134" s="139" t="s">
        <v>111</v>
      </c>
      <c r="B134" s="145"/>
      <c r="C134" s="145"/>
      <c r="D134" s="145"/>
      <c r="E134" s="145"/>
      <c r="F134" s="140" t="s">
        <v>4</v>
      </c>
      <c r="G134" s="153">
        <f>G132*0.8</f>
        <v>1753.9947974730585</v>
      </c>
      <c r="H134" s="153"/>
    </row>
    <row r="135" spans="1:150 16226:16383" ht="20.25" x14ac:dyDescent="0.25">
      <c r="A135" s="132" t="s">
        <v>231</v>
      </c>
      <c r="B135" s="133"/>
      <c r="C135" s="133"/>
      <c r="D135" s="133"/>
      <c r="E135" s="133"/>
      <c r="F135" s="133"/>
      <c r="G135" s="133"/>
      <c r="H135" s="119"/>
    </row>
    <row r="136" spans="1:150 16226:16383" s="3" customFormat="1" ht="20.25" x14ac:dyDescent="0.25">
      <c r="A136" s="120" t="s">
        <v>152</v>
      </c>
      <c r="B136" s="121"/>
      <c r="C136" s="120" t="s">
        <v>153</v>
      </c>
      <c r="D136" s="121"/>
      <c r="E136" s="120" t="s">
        <v>151</v>
      </c>
      <c r="F136" s="121"/>
      <c r="G136" s="120" t="s">
        <v>163</v>
      </c>
      <c r="H136" s="12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22" t="s">
        <v>381</v>
      </c>
      <c r="B137" s="123"/>
      <c r="C137" s="120" t="s">
        <v>97</v>
      </c>
      <c r="D137" s="121"/>
      <c r="E137" s="122">
        <f>COUNT(F151:F152)+COUNT(F156:F157)+COUNT(F161:F162)+COUNT(F166:F167)+COUNT(F171:F174)*39+COUNT(F176:F179)*12</f>
        <v>212</v>
      </c>
      <c r="F137" s="123"/>
      <c r="G137" s="122">
        <f>SUM(H151:H152)+SUM(H156:H157)+SUM(H161:H162)+SUM(H166:H167)+SUM(H171:H174)*39+SUM(H176:H179)*12</f>
        <v>359330.48804249999</v>
      </c>
      <c r="H137" s="123"/>
      <c r="I137" s="78" t="s">
        <v>342</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22" t="s">
        <v>340</v>
      </c>
      <c r="B138" s="123"/>
      <c r="C138" s="120" t="s">
        <v>97</v>
      </c>
      <c r="D138" s="121"/>
      <c r="E138" s="122">
        <f>COUNT(F185:F186)+COUNT(F192:F193)+COUNT(F199:F201)+COUNT(F206:F208,F211)+COUNT(F213:F218)*11+COUNT(F221:F225)*4+COUNT(F227:F232)*9+COUNT(F235:F239)*3+COUNT(F241:F246)*16+COUNT(F249:F253)*4</f>
        <v>282</v>
      </c>
      <c r="F138" s="123"/>
      <c r="G138" s="122">
        <f>SUM(H185:H186)+SUM(H192:H193)+SUM(H199:H201)+SUM(H206:H208,H211)+SUM(H213:H218)*11+SUM(H221:H225)*4+SUM(H227:H232)*9+SUM(H235:H239)*3+SUM(H241:H246)*16+SUM(H249:H253)*4</f>
        <v>322972.140816</v>
      </c>
      <c r="H138" s="123"/>
      <c r="I138" s="78" t="s">
        <v>342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22" t="s">
        <v>341</v>
      </c>
      <c r="B139" s="123"/>
      <c r="C139" s="120" t="s">
        <v>97</v>
      </c>
      <c r="D139" s="121"/>
      <c r="E139" s="122">
        <f>COUNT(F259:F260)+COUNT(F266:F267)+COUNT(F273:F275)+COUNT(F280:F282,F285)+COUNT(F287:F292)*11+COUNT(F295:F299)*4+COUNT(F301:F306)*9+COUNT(F309:F313)*3+COUNT(F315:F320)*16+COUNT(F323:F327)*4</f>
        <v>282</v>
      </c>
      <c r="F139" s="123"/>
      <c r="G139" s="122">
        <f>SUM(H259:H260)+SUM(H266:H267)+SUM(H273:H275)+SUM(H280:H282,H285)+SUM(H287:H292)*11+SUM(H295:H299)*4+SUM(H301:H306)*9+SUM(H309:H313)*3+SUM(H315:H320)*16+SUM(H323:H327)*4</f>
        <v>322975.80057600001</v>
      </c>
      <c r="H139" s="123"/>
      <c r="I139" s="78" t="s">
        <v>342</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122" t="s">
        <v>391</v>
      </c>
      <c r="B140" s="123"/>
      <c r="C140" s="120" t="s">
        <v>97</v>
      </c>
      <c r="D140" s="121"/>
      <c r="E140" s="122">
        <f>COUNT(F333:F335,F340)*1+COUNT(F342:F344,F349)+COUNT(F351:F354,F357:F358)+COUNT(F360:F363,F366:F367)+COUNT(F369:F376)*35+COUNT(F379:F385)*2+COUNT(F388:F394)*6</f>
        <v>356</v>
      </c>
      <c r="F140" s="123"/>
      <c r="G140" s="122">
        <f>SUM(H333:H335,H340)*1+SUM(H342:H344,H349)+SUM(H351:H354,H357:H358)+SUM(H360:H363,H366:H367)+SUM(H369:H376)*35+SUM(H379:H385)*2+SUM(H388:H394)*6</f>
        <v>232779.89592000004</v>
      </c>
      <c r="H140" s="123"/>
      <c r="I140" s="78" t="s">
        <v>342</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122" t="s">
        <v>392</v>
      </c>
      <c r="B141" s="123"/>
      <c r="C141" s="120" t="s">
        <v>97</v>
      </c>
      <c r="D141" s="121"/>
      <c r="E141" s="122">
        <f>COUNT(F400:F402,F407)+COUNT(F409:F411,F416)+COUNT(F418:F421,F424:F425)+COUNT(F427:F430,F433:F434)+COUNT(F436:F443)*35+COUNT(F446:F452)*8</f>
        <v>356</v>
      </c>
      <c r="F141" s="123"/>
      <c r="G141" s="122">
        <f>SUM(H400:H402,H407)+SUM(H409:H411,H416)+SUM(H418:H421,H424:H425)+SUM(H427:H430,H433:H434)+SUM(H436:H443)*35+SUM(H446:H452)*8</f>
        <v>233091.72900000002</v>
      </c>
      <c r="H141" s="123"/>
      <c r="I141" s="78" t="s">
        <v>342</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x14ac:dyDescent="0.25">
      <c r="A142" s="122" t="s">
        <v>393</v>
      </c>
      <c r="B142" s="123"/>
      <c r="C142" s="120" t="s">
        <v>97</v>
      </c>
      <c r="D142" s="121"/>
      <c r="E142" s="122">
        <f>COUNT(F458:F460,F465)+COUNT(F467:F469,F474)+COUNT(F476:F479,F482:F483)+COUNT(F485:F488,F491:F492)+COUNT(F494:F501)*35+COUNT(F504:F510)*8</f>
        <v>356</v>
      </c>
      <c r="F142" s="123"/>
      <c r="G142" s="122">
        <f>SUM(H458:H460,H465)+SUM(H467:H469,H474)+SUM(H476:H479,H482:H483)+SUM(H485:H488,H491:H492)+SUM(H494:H501)*35+SUM(H504:H510)*8</f>
        <v>250004.577888</v>
      </c>
      <c r="H142" s="123"/>
      <c r="I142" s="78" t="s">
        <v>342</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120" t="s">
        <v>154</v>
      </c>
      <c r="B143" s="121"/>
      <c r="C143" s="120" t="s">
        <v>97</v>
      </c>
      <c r="D143" s="121"/>
      <c r="E143" s="120">
        <f>SUM(E137:E142)</f>
        <v>1844</v>
      </c>
      <c r="F143" s="121"/>
      <c r="G143" s="120">
        <f>SUM(G137:G142)</f>
        <v>1721154.6322425001</v>
      </c>
      <c r="H143" s="12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ht="20.25" x14ac:dyDescent="0.25">
      <c r="A144" s="117" t="s">
        <v>150</v>
      </c>
      <c r="B144" s="118"/>
      <c r="C144" s="118"/>
      <c r="D144" s="118"/>
      <c r="E144" s="118"/>
      <c r="F144" s="118"/>
      <c r="G144" s="118"/>
      <c r="H144" s="119"/>
    </row>
    <row r="145" spans="1:150 16226:16383" ht="66" customHeight="1" x14ac:dyDescent="0.25">
      <c r="A145" s="52" t="s">
        <v>232</v>
      </c>
      <c r="B145" s="31" t="s">
        <v>233</v>
      </c>
      <c r="C145" s="33" t="s">
        <v>234</v>
      </c>
      <c r="D145" s="31" t="s">
        <v>90</v>
      </c>
      <c r="E145" s="31" t="s">
        <v>164</v>
      </c>
      <c r="F145" s="33" t="s">
        <v>336</v>
      </c>
      <c r="G145" s="31" t="s">
        <v>92</v>
      </c>
      <c r="H145" s="31" t="s">
        <v>91</v>
      </c>
    </row>
    <row r="146" spans="1:150 16226:16383" s="3" customFormat="1" ht="20.25" x14ac:dyDescent="0.25">
      <c r="A146" s="92" t="s">
        <v>381</v>
      </c>
      <c r="B146" s="93"/>
      <c r="C146" s="93"/>
      <c r="D146" s="93"/>
      <c r="E146" s="93"/>
      <c r="F146" s="93"/>
      <c r="G146" s="93"/>
      <c r="H146" s="9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92" t="s">
        <v>334</v>
      </c>
      <c r="B147" s="93"/>
      <c r="C147" s="93"/>
      <c r="D147" s="93"/>
      <c r="E147" s="93"/>
      <c r="F147" s="93"/>
      <c r="G147" s="93"/>
      <c r="H147" s="9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42" customHeight="1" x14ac:dyDescent="0.25">
      <c r="A148" s="92" t="s">
        <v>382</v>
      </c>
      <c r="B148" s="93"/>
      <c r="C148" s="93"/>
      <c r="D148" s="93"/>
      <c r="E148" s="93"/>
      <c r="F148" s="93"/>
      <c r="G148" s="93"/>
      <c r="H148" s="9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92" t="s">
        <v>383</v>
      </c>
      <c r="B149" s="93"/>
      <c r="C149" s="93"/>
      <c r="D149" s="93"/>
      <c r="E149" s="93"/>
      <c r="F149" s="93"/>
      <c r="G149" s="93"/>
      <c r="H149" s="9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92" t="s">
        <v>384</v>
      </c>
      <c r="B150" s="93"/>
      <c r="C150" s="93"/>
      <c r="D150" s="93"/>
      <c r="E150" s="93"/>
      <c r="F150" s="93"/>
      <c r="G150" s="93"/>
      <c r="H150" s="94"/>
      <c r="I150" s="77">
        <v>1</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86">
        <v>1</v>
      </c>
      <c r="B151" s="86"/>
      <c r="C151" s="53" t="s">
        <v>337</v>
      </c>
      <c r="D151" s="53" t="s">
        <v>385</v>
      </c>
      <c r="E151" s="84">
        <f>(154.44)*10.764</f>
        <v>1662.3921599999999</v>
      </c>
      <c r="F151" s="82">
        <f>(9.19)*10.764</f>
        <v>98.921159999999986</v>
      </c>
      <c r="G151" s="82">
        <f>(7.925*5.5)*10.764</f>
        <v>469.17584999999997</v>
      </c>
      <c r="H151" s="82">
        <f>E151+F151+(IF(G151&lt;101,G151,IF(G151&lt;201,G151/2,IF(G151&lt;=301,G151/3,G151/4))))</f>
        <v>1878.6072824999997</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x14ac:dyDescent="0.25">
      <c r="A152" s="87">
        <f>A151+1</f>
        <v>2</v>
      </c>
      <c r="B152" s="88"/>
      <c r="C152" s="53" t="s">
        <v>337</v>
      </c>
      <c r="D152" s="53" t="s">
        <v>385</v>
      </c>
      <c r="E152" s="84">
        <f>(154.44)*10.764</f>
        <v>1662.3921599999999</v>
      </c>
      <c r="F152" s="82">
        <f>(9.19)*10.764</f>
        <v>98.921159999999986</v>
      </c>
      <c r="G152" s="82">
        <v>0</v>
      </c>
      <c r="H152" s="82">
        <f t="shared" ref="H152:H157" si="0">E152+F152+(IF(G152&lt;101,G152,IF(G152&lt;201,G152/2,IF(G152&lt;=301,G152/3,G152/4))))</f>
        <v>1761.3133199999997</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87">
        <f t="shared" ref="A153:A159" si="1">A152+1</f>
        <v>3</v>
      </c>
      <c r="B153" s="88"/>
      <c r="C153" s="53" t="s">
        <v>337</v>
      </c>
      <c r="D153" s="98" t="s">
        <v>338</v>
      </c>
      <c r="E153" s="99"/>
      <c r="F153" s="99"/>
      <c r="G153" s="99"/>
      <c r="H153" s="100"/>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87">
        <f t="shared" si="1"/>
        <v>4</v>
      </c>
      <c r="B154" s="88"/>
      <c r="C154" s="53" t="s">
        <v>337</v>
      </c>
      <c r="D154" s="101"/>
      <c r="E154" s="102"/>
      <c r="F154" s="102"/>
      <c r="G154" s="102"/>
      <c r="H154" s="103"/>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92" t="s">
        <v>335</v>
      </c>
      <c r="B155" s="93"/>
      <c r="C155" s="93"/>
      <c r="D155" s="93"/>
      <c r="E155" s="93"/>
      <c r="F155" s="93"/>
      <c r="G155" s="93"/>
      <c r="H155" s="94"/>
      <c r="I155" s="77">
        <v>1</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7">
        <v>1</v>
      </c>
      <c r="B156" s="88"/>
      <c r="C156" s="53" t="s">
        <v>337</v>
      </c>
      <c r="D156" s="53" t="s">
        <v>385</v>
      </c>
      <c r="E156" s="84">
        <f>(154.44)*10.764</f>
        <v>1662.3921599999999</v>
      </c>
      <c r="F156" s="82">
        <f>(9.19)*10.764</f>
        <v>98.921159999999986</v>
      </c>
      <c r="G156" s="82">
        <v>0</v>
      </c>
      <c r="H156" s="82">
        <f t="shared" si="0"/>
        <v>1761.3133199999997</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7">
        <f t="shared" si="1"/>
        <v>2</v>
      </c>
      <c r="B157" s="88"/>
      <c r="C157" s="53" t="s">
        <v>337</v>
      </c>
      <c r="D157" s="53" t="s">
        <v>385</v>
      </c>
      <c r="E157" s="84">
        <f>(154.44)*10.764</f>
        <v>1662.3921599999999</v>
      </c>
      <c r="F157" s="82">
        <f>(9.19)*10.764</f>
        <v>98.921159999999986</v>
      </c>
      <c r="G157" s="82">
        <v>0</v>
      </c>
      <c r="H157" s="82">
        <f t="shared" si="0"/>
        <v>1761.3133199999997</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87">
        <f t="shared" si="1"/>
        <v>3</v>
      </c>
      <c r="B158" s="88"/>
      <c r="C158" s="53" t="s">
        <v>337</v>
      </c>
      <c r="D158" s="98" t="s">
        <v>338</v>
      </c>
      <c r="E158" s="99"/>
      <c r="F158" s="99"/>
      <c r="G158" s="99"/>
      <c r="H158" s="10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87">
        <f t="shared" si="1"/>
        <v>4</v>
      </c>
      <c r="B159" s="88"/>
      <c r="C159" s="53" t="s">
        <v>337</v>
      </c>
      <c r="D159" s="101"/>
      <c r="E159" s="102"/>
      <c r="F159" s="102"/>
      <c r="G159" s="102"/>
      <c r="H159" s="103"/>
      <c r="I159" s="77">
        <v>1</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89" t="s">
        <v>386</v>
      </c>
      <c r="B160" s="90"/>
      <c r="C160" s="90"/>
      <c r="D160" s="90"/>
      <c r="E160" s="90"/>
      <c r="F160" s="90"/>
      <c r="G160" s="90"/>
      <c r="H160" s="9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86">
        <v>1</v>
      </c>
      <c r="B161" s="86"/>
      <c r="C161" s="53" t="s">
        <v>337</v>
      </c>
      <c r="D161" s="53" t="s">
        <v>385</v>
      </c>
      <c r="E161" s="84">
        <f>(154.44)*10.764</f>
        <v>1662.3921599999999</v>
      </c>
      <c r="F161" s="82">
        <f>(9.19)*10.764</f>
        <v>98.921159999999986</v>
      </c>
      <c r="G161" s="82">
        <v>0</v>
      </c>
      <c r="H161" s="82">
        <f>E161+F161+(IF(G161&lt;101,G161,IF(G161&lt;201,G161/2,IF(G161&lt;=301,G161/3,G161/4))))</f>
        <v>1761.3133199999997</v>
      </c>
      <c r="I161" s="1"/>
      <c r="J161" s="1"/>
      <c r="K161" s="1"/>
      <c r="L161" s="1"/>
      <c r="M161" s="1"/>
      <c r="N161" s="1"/>
      <c r="O161" s="1"/>
      <c r="P161" s="1"/>
      <c r="Q161" s="1"/>
      <c r="R161" s="1"/>
      <c r="S161" s="1"/>
      <c r="T161" s="23" t="str">
        <f t="shared" ref="T161:T169" ca="1" si="2">U161&amp;""&amp;",..,"&amp;""&amp;V161</f>
        <v>301,..,301</v>
      </c>
      <c r="U161" s="23">
        <f ca="1">(SUMPRODUCT(MID(0&amp;(LEFT(A160,SUM(LEN(A160)-LEN(SUBSTITUTE(A160,{"0","1","2","3"},""))))), LARGE(INDEX(ISNUMBER(--MID((LEFT(A160,SUM(LEN(A160)-LEN(SUBSTITUTE(A160,{"0","1","2","3"},""))))), ROW(INDIRECT("1:"&amp;LEN((LEFT(A160,SUM(LEN(A160)-LEN(SUBSTITUTE(A160,{"0","1","2","3"},"")))))))), 1)) * ROW(INDIRECT("1:"&amp;LEN((LEFT(A160,SUM(LEN(A160)-LEN(SUBSTITUTE(A160,{"0","1","2","3"},"")))))))), 0), ROW(INDIRECT("1:"&amp;LEN((LEFT(A160,SUM(LEN(A160)-LEN(SUBSTITUTE(A160,{"0","1","2","3"},"")))))))))+1, 1) * 10^ROW(INDIRECT("1:"&amp;LEN((LEFT(A160,SUM(LEN(A160)-LEN(SUBSTITUTE(A160,{"0","1","2","3"},""))))))))/10))*100+1</f>
        <v>301</v>
      </c>
      <c r="V161" s="23">
        <f ca="1">(SUMPRODUCT(MID(0&amp;(--TRIM(RIGHT(SUBSTITUTE(LEFT(A160,_xlfn.AGGREGATE(16,6,FIND({0,1,2,3,4,5,6,7,8,9},A160,ROW(INDIRECT("1:"&amp;LEN(A160)))),1)),"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",LEN(A160))),LEN(A160)))))))/10))*100+1</f>
        <v>301</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6">
        <v>2</v>
      </c>
      <c r="B162" s="86"/>
      <c r="C162" s="53" t="s">
        <v>337</v>
      </c>
      <c r="D162" s="53" t="s">
        <v>385</v>
      </c>
      <c r="E162" s="84">
        <f>(154.44)*10.764</f>
        <v>1662.3921599999999</v>
      </c>
      <c r="F162" s="82">
        <f>(9.19)*10.764</f>
        <v>98.921159999999986</v>
      </c>
      <c r="G162" s="82">
        <v>0</v>
      </c>
      <c r="H162" s="82">
        <f t="shared" ref="H162:H167" si="3">E162+F162+(IF(G162&lt;101,G162,IF(G162&lt;201,G162/2,IF(G162&lt;=301,G162/3,G162/4))))</f>
        <v>1761.3133199999997</v>
      </c>
      <c r="I162" s="1"/>
      <c r="J162" s="1"/>
      <c r="K162" s="1"/>
      <c r="L162" s="1"/>
      <c r="M162" s="1"/>
      <c r="N162" s="1"/>
      <c r="O162" s="1"/>
      <c r="P162" s="1"/>
      <c r="Q162" s="1"/>
      <c r="R162" s="1"/>
      <c r="S162" s="1"/>
      <c r="T162" s="23" t="str">
        <f t="shared" ca="1" si="2"/>
        <v>302,..,302</v>
      </c>
      <c r="U162" s="23">
        <f ca="1">U161+1</f>
        <v>302</v>
      </c>
      <c r="V162" s="23">
        <f ca="1">V161+1</f>
        <v>302</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86">
        <v>3</v>
      </c>
      <c r="B163" s="86"/>
      <c r="C163" s="53" t="s">
        <v>337</v>
      </c>
      <c r="D163" s="95" t="s">
        <v>387</v>
      </c>
      <c r="E163" s="96"/>
      <c r="F163" s="96"/>
      <c r="G163" s="96"/>
      <c r="H163" s="97"/>
      <c r="I163" s="1"/>
      <c r="J163" s="1"/>
      <c r="K163" s="1"/>
      <c r="L163" s="1"/>
      <c r="M163" s="1"/>
      <c r="N163" s="1"/>
      <c r="O163" s="1"/>
      <c r="P163" s="1"/>
      <c r="Q163" s="1"/>
      <c r="R163" s="1"/>
      <c r="S163" s="1"/>
      <c r="T163" s="23" t="str">
        <f t="shared" ca="1" si="2"/>
        <v>303,..,303</v>
      </c>
      <c r="U163" s="23">
        <f t="shared" ref="U163:V169" ca="1" si="4">U162+1</f>
        <v>303</v>
      </c>
      <c r="V163" s="23">
        <f t="shared" ca="1" si="4"/>
        <v>303</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86">
        <v>4</v>
      </c>
      <c r="B164" s="86"/>
      <c r="C164" s="53" t="s">
        <v>337</v>
      </c>
      <c r="D164" s="95" t="s">
        <v>388</v>
      </c>
      <c r="E164" s="96"/>
      <c r="F164" s="96"/>
      <c r="G164" s="96"/>
      <c r="H164" s="97"/>
      <c r="I164" s="1"/>
      <c r="J164" s="1"/>
      <c r="K164" s="1"/>
      <c r="L164" s="1"/>
      <c r="M164" s="1"/>
      <c r="N164" s="1"/>
      <c r="O164" s="1"/>
      <c r="P164" s="1"/>
      <c r="Q164" s="1"/>
      <c r="R164" s="1"/>
      <c r="S164" s="1"/>
      <c r="T164" s="23" t="str">
        <f t="shared" ca="1" si="2"/>
        <v>304,..,304</v>
      </c>
      <c r="U164" s="23">
        <f t="shared" ca="1" si="4"/>
        <v>304</v>
      </c>
      <c r="V164" s="23">
        <f t="shared" ca="1" si="4"/>
        <v>304</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89" t="s">
        <v>339</v>
      </c>
      <c r="B165" s="90"/>
      <c r="C165" s="90"/>
      <c r="D165" s="90"/>
      <c r="E165" s="90"/>
      <c r="F165" s="90"/>
      <c r="G165" s="90"/>
      <c r="H165" s="91"/>
      <c r="I165" s="77">
        <v>1</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86">
        <v>1</v>
      </c>
      <c r="B166" s="86"/>
      <c r="C166" s="53" t="s">
        <v>337</v>
      </c>
      <c r="D166" s="53" t="s">
        <v>385</v>
      </c>
      <c r="E166" s="84">
        <f>(154.44)*10.764</f>
        <v>1662.3921599999999</v>
      </c>
      <c r="F166" s="82">
        <f>(9.19)*10.764</f>
        <v>98.921159999999986</v>
      </c>
      <c r="G166" s="82">
        <v>0</v>
      </c>
      <c r="H166" s="82">
        <f t="shared" si="3"/>
        <v>1761.3133199999997</v>
      </c>
      <c r="I166" s="1"/>
      <c r="J166" s="1"/>
      <c r="K166" s="1"/>
      <c r="L166" s="1"/>
      <c r="M166" s="1"/>
      <c r="N166" s="1"/>
      <c r="O166" s="1"/>
      <c r="P166" s="1"/>
      <c r="Q166" s="1"/>
      <c r="R166" s="1"/>
      <c r="S166" s="1"/>
      <c r="T166" s="23" t="str">
        <f t="shared" ca="1" si="2"/>
        <v>305,..,305</v>
      </c>
      <c r="U166" s="23">
        <f ca="1">U164+1</f>
        <v>305</v>
      </c>
      <c r="V166" s="23">
        <f ca="1">V164+1</f>
        <v>305</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6">
        <v>2</v>
      </c>
      <c r="B167" s="86"/>
      <c r="C167" s="53" t="s">
        <v>337</v>
      </c>
      <c r="D167" s="53" t="s">
        <v>385</v>
      </c>
      <c r="E167" s="84">
        <f>(154.44)*10.764</f>
        <v>1662.3921599999999</v>
      </c>
      <c r="F167" s="82">
        <f>(9.19)*10.764</f>
        <v>98.921159999999986</v>
      </c>
      <c r="G167" s="82">
        <v>0</v>
      </c>
      <c r="H167" s="82">
        <f t="shared" si="3"/>
        <v>1761.3133199999997</v>
      </c>
      <c r="I167" s="1"/>
      <c r="J167" s="1"/>
      <c r="K167" s="1"/>
      <c r="L167" s="1"/>
      <c r="M167" s="1"/>
      <c r="N167" s="1"/>
      <c r="O167" s="1"/>
      <c r="P167" s="1"/>
      <c r="Q167" s="1"/>
      <c r="R167" s="1"/>
      <c r="S167" s="1"/>
      <c r="T167" s="23" t="str">
        <f t="shared" ca="1" si="2"/>
        <v>306,..,306</v>
      </c>
      <c r="U167" s="23">
        <f t="shared" ca="1" si="4"/>
        <v>306</v>
      </c>
      <c r="V167" s="23">
        <f t="shared" ca="1" si="4"/>
        <v>306</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6">
        <v>3</v>
      </c>
      <c r="B168" s="86"/>
      <c r="C168" s="53" t="s">
        <v>337</v>
      </c>
      <c r="D168" s="98" t="s">
        <v>418</v>
      </c>
      <c r="E168" s="99"/>
      <c r="F168" s="99"/>
      <c r="G168" s="99"/>
      <c r="H168" s="100"/>
      <c r="I168" s="1"/>
      <c r="J168" s="1"/>
      <c r="K168" s="1"/>
      <c r="L168" s="1"/>
      <c r="M168" s="1"/>
      <c r="N168" s="1"/>
      <c r="O168" s="1"/>
      <c r="P168" s="1"/>
      <c r="Q168" s="1"/>
      <c r="R168" s="1"/>
      <c r="S168" s="1"/>
      <c r="T168" s="23" t="str">
        <f t="shared" ca="1" si="2"/>
        <v>307,..,307</v>
      </c>
      <c r="U168" s="23">
        <f t="shared" ca="1" si="4"/>
        <v>307</v>
      </c>
      <c r="V168" s="23">
        <f t="shared" ca="1" si="4"/>
        <v>307</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86">
        <v>4</v>
      </c>
      <c r="B169" s="86"/>
      <c r="C169" s="53" t="s">
        <v>337</v>
      </c>
      <c r="D169" s="101"/>
      <c r="E169" s="102"/>
      <c r="F169" s="102"/>
      <c r="G169" s="102"/>
      <c r="H169" s="103"/>
      <c r="I169" s="1"/>
      <c r="J169" s="1"/>
      <c r="K169" s="1"/>
      <c r="L169" s="1"/>
      <c r="M169" s="1"/>
      <c r="N169" s="1"/>
      <c r="O169" s="1"/>
      <c r="P169" s="1"/>
      <c r="Q169" s="1"/>
      <c r="R169" s="1"/>
      <c r="S169" s="1"/>
      <c r="T169" s="23" t="str">
        <f t="shared" ca="1" si="2"/>
        <v>308,..,308</v>
      </c>
      <c r="U169" s="23">
        <f t="shared" ca="1" si="4"/>
        <v>308</v>
      </c>
      <c r="V169" s="23">
        <f t="shared" ca="1" si="4"/>
        <v>308</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42" customHeight="1" x14ac:dyDescent="0.25">
      <c r="A170" s="89" t="s">
        <v>389</v>
      </c>
      <c r="B170" s="90"/>
      <c r="C170" s="90"/>
      <c r="D170" s="90"/>
      <c r="E170" s="90"/>
      <c r="F170" s="90"/>
      <c r="G170" s="90"/>
      <c r="H170" s="91"/>
      <c r="I170" s="77">
        <f>39</f>
        <v>39</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86">
        <v>1</v>
      </c>
      <c r="B171" s="86"/>
      <c r="C171" s="53" t="s">
        <v>337</v>
      </c>
      <c r="D171" s="82" t="s">
        <v>385</v>
      </c>
      <c r="E171" s="82">
        <f>(154.44)*10.764</f>
        <v>1662.3921599999999</v>
      </c>
      <c r="F171" s="82">
        <f>(9.19)*10.764</f>
        <v>98.921159999999986</v>
      </c>
      <c r="G171" s="82">
        <v>0</v>
      </c>
      <c r="H171" s="82">
        <f>E171+F171+(IF(G171&lt;101,G171,IF(G171&lt;201,G171/2,IF(G171&lt;=301,G171/3,G171/4))))</f>
        <v>1761.3133199999997</v>
      </c>
      <c r="I171" s="1"/>
      <c r="J171" s="1"/>
      <c r="K171" s="1"/>
      <c r="L171" s="1"/>
      <c r="M171" s="1"/>
      <c r="N171" s="1"/>
      <c r="O171" s="1"/>
      <c r="P171" s="1"/>
      <c r="Q171" s="1"/>
      <c r="R171" s="1"/>
      <c r="S171" s="1"/>
      <c r="T171" s="23" t="str">
        <f ca="1">U171&amp;""&amp;" to "&amp;""&amp;V171</f>
        <v>56810101 to 5501</v>
      </c>
      <c r="U171" s="23">
        <f ca="1">(SUMPRODUCT(MID(0&amp;(LEFT(A170,SUM(LEN(A170)-LEN(SUBSTITUTE(A170,{"0","1","2","3"},""))))), LARGE(INDEX(ISNUMBER(--MID((LEFT(A170,SUM(LEN(A170)-LEN(SUBSTITUTE(A170,{"0","1","2","3"},""))))), ROW(INDIRECT("1:"&amp;LEN((LEFT(A170,SUM(LEN(A170)-LEN(SUBSTITUTE(A170,{"0","1","2","3"},"")))))))), 1)) * ROW(INDIRECT("1:"&amp;LEN((LEFT(A170,SUM(LEN(A170)-LEN(SUBSTITUTE(A170,{"0","1","2","3"},"")))))))), 0), ROW(INDIRECT("1:"&amp;LEN((LEFT(A170,SUM(LEN(A170)-LEN(SUBSTITUTE(A170,{"0","1","2","3"},"")))))))))+1, 1) * 10^ROW(INDIRECT("1:"&amp;LEN((LEFT(A170,SUM(LEN(A170)-LEN(SUBSTITUTE(A170,{"0","1","2","3"},""))))))))/10))*100+1</f>
        <v>56810101</v>
      </c>
      <c r="V171" s="23">
        <f ca="1">(SUMPRODUCT(MID(0&amp;(--TRIM(RIGHT(SUBSTITUTE(LEFT(A170,_xlfn.AGGREGATE(16,6,FIND({0,1,2,3,4,5,6,7,8,9},A170,ROW(INDIRECT("1:"&amp;LEN(A170)))),1)),"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5501</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86">
        <v>2</v>
      </c>
      <c r="B172" s="86"/>
      <c r="C172" s="53" t="s">
        <v>337</v>
      </c>
      <c r="D172" s="82" t="s">
        <v>385</v>
      </c>
      <c r="E172" s="82">
        <f>(154.44)*10.764</f>
        <v>1662.3921599999999</v>
      </c>
      <c r="F172" s="82">
        <f>(9.19)*10.764</f>
        <v>98.921159999999986</v>
      </c>
      <c r="G172" s="82">
        <v>0</v>
      </c>
      <c r="H172" s="82">
        <f t="shared" ref="H172:H179" si="5">E172+F172+(IF(G172&lt;101,G172,IF(G172&lt;201,G172/2,IF(G172&lt;=301,G172/3,G172/4))))</f>
        <v>1761.3133199999997</v>
      </c>
      <c r="I172" s="1"/>
      <c r="J172" s="1"/>
      <c r="K172" s="1"/>
      <c r="L172" s="1"/>
      <c r="M172" s="1"/>
      <c r="N172" s="1"/>
      <c r="O172" s="1"/>
      <c r="P172" s="1"/>
      <c r="Q172" s="1"/>
      <c r="R172" s="1"/>
      <c r="S172" s="1"/>
      <c r="T172" s="23" t="str">
        <f t="shared" ref="T172:T179" ca="1" si="6">U172&amp;""&amp;" to "&amp;""&amp;V172</f>
        <v>56810102 to 5502</v>
      </c>
      <c r="U172" s="23">
        <f ca="1">U171+1</f>
        <v>56810102</v>
      </c>
      <c r="V172" s="23">
        <f ca="1">V171+1</f>
        <v>5502</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86">
        <v>3</v>
      </c>
      <c r="B173" s="86"/>
      <c r="C173" s="53" t="s">
        <v>337</v>
      </c>
      <c r="D173" s="82" t="s">
        <v>385</v>
      </c>
      <c r="E173" s="82">
        <f>(142.62)*10.764</f>
        <v>1535.1616799999999</v>
      </c>
      <c r="F173" s="82">
        <f>(8.09)*10.764</f>
        <v>87.080759999999998</v>
      </c>
      <c r="G173" s="82">
        <v>0</v>
      </c>
      <c r="H173" s="82">
        <f t="shared" si="5"/>
        <v>1622.24244</v>
      </c>
      <c r="I173" s="1"/>
      <c r="J173" s="1"/>
      <c r="K173" s="1"/>
      <c r="L173" s="1"/>
      <c r="M173" s="1"/>
      <c r="N173" s="1"/>
      <c r="O173" s="1"/>
      <c r="P173" s="1"/>
      <c r="Q173" s="1"/>
      <c r="R173" s="1"/>
      <c r="S173" s="1"/>
      <c r="T173" s="23" t="str">
        <f t="shared" ca="1" si="6"/>
        <v>56810103 to 5503</v>
      </c>
      <c r="U173" s="23">
        <f t="shared" ref="U173:V179" ca="1" si="7">U172+1</f>
        <v>56810103</v>
      </c>
      <c r="V173" s="23">
        <f t="shared" ca="1" si="7"/>
        <v>5503</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86">
        <v>4</v>
      </c>
      <c r="B174" s="86"/>
      <c r="C174" s="53" t="s">
        <v>337</v>
      </c>
      <c r="D174" s="82" t="s">
        <v>385</v>
      </c>
      <c r="E174" s="82">
        <f>(142.62)*10.764</f>
        <v>1535.1616799999999</v>
      </c>
      <c r="F174" s="82">
        <f>(8.09)*10.764</f>
        <v>87.080759999999998</v>
      </c>
      <c r="G174" s="82">
        <v>0</v>
      </c>
      <c r="H174" s="82">
        <f t="shared" si="5"/>
        <v>1622.24244</v>
      </c>
      <c r="I174" s="1"/>
      <c r="J174" s="1"/>
      <c r="K174" s="1"/>
      <c r="L174" s="1"/>
      <c r="M174" s="1"/>
      <c r="N174" s="1"/>
      <c r="O174" s="1"/>
      <c r="P174" s="1"/>
      <c r="Q174" s="1"/>
      <c r="R174" s="1"/>
      <c r="S174" s="1"/>
      <c r="T174" s="23" t="str">
        <f t="shared" ca="1" si="6"/>
        <v>56810104 to 5504</v>
      </c>
      <c r="U174" s="23">
        <f t="shared" ca="1" si="7"/>
        <v>56810104</v>
      </c>
      <c r="V174" s="23">
        <f t="shared" ca="1" si="7"/>
        <v>5504</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89" t="s">
        <v>390</v>
      </c>
      <c r="B175" s="90"/>
      <c r="C175" s="90"/>
      <c r="D175" s="90"/>
      <c r="E175" s="90"/>
      <c r="F175" s="90"/>
      <c r="G175" s="90"/>
      <c r="H175" s="91"/>
      <c r="I175" s="77">
        <f>12</f>
        <v>12</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86">
        <v>1</v>
      </c>
      <c r="B176" s="86"/>
      <c r="C176" s="53" t="s">
        <v>337</v>
      </c>
      <c r="D176" s="82" t="s">
        <v>385</v>
      </c>
      <c r="E176" s="82">
        <f>(154.44)*10.764</f>
        <v>1662.3921599999999</v>
      </c>
      <c r="F176" s="82">
        <f>(9.19)*10.764</f>
        <v>98.921159999999986</v>
      </c>
      <c r="G176" s="82">
        <v>0</v>
      </c>
      <c r="H176" s="82">
        <f t="shared" si="5"/>
        <v>1761.3133199999997</v>
      </c>
      <c r="I176" s="1"/>
      <c r="J176" s="1"/>
      <c r="K176" s="1"/>
      <c r="L176" s="1"/>
      <c r="M176" s="1"/>
      <c r="N176" s="1"/>
      <c r="O176" s="1"/>
      <c r="P176" s="1"/>
      <c r="Q176" s="1"/>
      <c r="R176" s="1"/>
      <c r="S176" s="1"/>
      <c r="T176" s="23" t="str">
        <f t="shared" ca="1" si="6"/>
        <v>56810105 to 5505</v>
      </c>
      <c r="U176" s="23">
        <f ca="1">U174+1</f>
        <v>56810105</v>
      </c>
      <c r="V176" s="23">
        <f ca="1">V174+1</f>
        <v>5505</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86">
        <v>2</v>
      </c>
      <c r="B177" s="86"/>
      <c r="C177" s="53" t="s">
        <v>337</v>
      </c>
      <c r="D177" s="82" t="s">
        <v>385</v>
      </c>
      <c r="E177" s="82">
        <f>(154.44)*10.764</f>
        <v>1662.3921599999999</v>
      </c>
      <c r="F177" s="82">
        <f>(9.19)*10.764</f>
        <v>98.921159999999986</v>
      </c>
      <c r="G177" s="82">
        <v>0</v>
      </c>
      <c r="H177" s="82">
        <f t="shared" si="5"/>
        <v>1761.3133199999997</v>
      </c>
      <c r="I177" s="1"/>
      <c r="J177" s="1"/>
      <c r="K177" s="1"/>
      <c r="L177" s="1"/>
      <c r="M177" s="1"/>
      <c r="N177" s="1"/>
      <c r="O177" s="1"/>
      <c r="P177" s="1"/>
      <c r="Q177" s="1"/>
      <c r="R177" s="1"/>
      <c r="S177" s="1"/>
      <c r="T177" s="23" t="str">
        <f t="shared" ca="1" si="6"/>
        <v>56810106 to 5506</v>
      </c>
      <c r="U177" s="23">
        <f t="shared" ca="1" si="7"/>
        <v>56810106</v>
      </c>
      <c r="V177" s="23">
        <f t="shared" ca="1" si="7"/>
        <v>5506</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86">
        <v>3</v>
      </c>
      <c r="B178" s="86"/>
      <c r="C178" s="53" t="s">
        <v>337</v>
      </c>
      <c r="D178" s="82" t="s">
        <v>385</v>
      </c>
      <c r="E178" s="82">
        <f>(142.62)*10.764</f>
        <v>1535.1616799999999</v>
      </c>
      <c r="F178" s="82">
        <f>(8.09)*10.764</f>
        <v>87.080759999999998</v>
      </c>
      <c r="G178" s="82">
        <v>0</v>
      </c>
      <c r="H178" s="82">
        <f t="shared" si="5"/>
        <v>1622.24244</v>
      </c>
      <c r="I178" s="1"/>
      <c r="J178" s="1"/>
      <c r="K178" s="1"/>
      <c r="L178" s="1"/>
      <c r="M178" s="1"/>
      <c r="N178" s="1"/>
      <c r="O178" s="1"/>
      <c r="P178" s="1"/>
      <c r="Q178" s="1"/>
      <c r="R178" s="1"/>
      <c r="S178" s="1"/>
      <c r="T178" s="23" t="str">
        <f t="shared" ca="1" si="6"/>
        <v>56810107 to 5507</v>
      </c>
      <c r="U178" s="23">
        <f t="shared" ca="1" si="7"/>
        <v>56810107</v>
      </c>
      <c r="V178" s="23">
        <f t="shared" ca="1" si="7"/>
        <v>5507</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86">
        <v>4</v>
      </c>
      <c r="B179" s="86"/>
      <c r="C179" s="53" t="s">
        <v>337</v>
      </c>
      <c r="D179" s="82" t="s">
        <v>385</v>
      </c>
      <c r="E179" s="82">
        <f>(142.62)*10.764</f>
        <v>1535.1616799999999</v>
      </c>
      <c r="F179" s="82">
        <f>(8.09)*10.764</f>
        <v>87.080759999999998</v>
      </c>
      <c r="G179" s="82">
        <v>0</v>
      </c>
      <c r="H179" s="82">
        <f t="shared" si="5"/>
        <v>1622.24244</v>
      </c>
      <c r="I179" s="1"/>
      <c r="J179" s="1"/>
      <c r="K179" s="1"/>
      <c r="L179" s="1"/>
      <c r="M179" s="1"/>
      <c r="N179" s="1"/>
      <c r="O179" s="1"/>
      <c r="P179" s="1"/>
      <c r="Q179" s="1"/>
      <c r="R179" s="1"/>
      <c r="S179" s="1"/>
      <c r="T179" s="23" t="str">
        <f t="shared" ca="1" si="6"/>
        <v>56810108 to 5508</v>
      </c>
      <c r="U179" s="23">
        <f t="shared" ca="1" si="7"/>
        <v>56810108</v>
      </c>
      <c r="V179" s="23">
        <f t="shared" ca="1" si="7"/>
        <v>5508</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89" t="s">
        <v>340</v>
      </c>
      <c r="B180" s="90"/>
      <c r="C180" s="90"/>
      <c r="D180" s="90"/>
      <c r="E180" s="90"/>
      <c r="F180" s="90"/>
      <c r="G180" s="90"/>
      <c r="H180" s="9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89" t="s">
        <v>334</v>
      </c>
      <c r="B181" s="90"/>
      <c r="C181" s="90"/>
      <c r="D181" s="90"/>
      <c r="E181" s="90"/>
      <c r="F181" s="90"/>
      <c r="G181" s="90"/>
      <c r="H181" s="9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89" t="s">
        <v>343</v>
      </c>
      <c r="B182" s="90"/>
      <c r="C182" s="90"/>
      <c r="D182" s="90"/>
      <c r="E182" s="90"/>
      <c r="F182" s="90"/>
      <c r="G182" s="90"/>
      <c r="H182" s="9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89" t="s">
        <v>344</v>
      </c>
      <c r="B183" s="90"/>
      <c r="C183" s="90"/>
      <c r="D183" s="90"/>
      <c r="E183" s="90"/>
      <c r="F183" s="90"/>
      <c r="G183" s="90"/>
      <c r="H183" s="9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x14ac:dyDescent="0.25">
      <c r="A184" s="89" t="s">
        <v>348</v>
      </c>
      <c r="B184" s="90"/>
      <c r="C184" s="90"/>
      <c r="D184" s="90"/>
      <c r="E184" s="90"/>
      <c r="F184" s="90"/>
      <c r="G184" s="90"/>
      <c r="H184" s="91"/>
      <c r="I184" s="77">
        <f>1</f>
        <v>1</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86">
        <v>1</v>
      </c>
      <c r="B185" s="86"/>
      <c r="C185" s="53" t="s">
        <v>337</v>
      </c>
      <c r="D185" s="53" t="s">
        <v>345</v>
      </c>
      <c r="E185" s="74">
        <f>(88.185)*10.764</f>
        <v>949.22334000000001</v>
      </c>
      <c r="F185" s="75">
        <f>(2.623)*10.764</f>
        <v>28.233972000000001</v>
      </c>
      <c r="G185" s="75">
        <f>(3.35*5)*10.764</f>
        <v>180.297</v>
      </c>
      <c r="H185" s="6">
        <f>E185+F185+(IF(G185&lt;101,G185,IF(G185&lt;201,G185/2,IF(G185&lt;=301,G185/3,G185/4))))</f>
        <v>1067.605812</v>
      </c>
      <c r="I185" s="1"/>
      <c r="J185" s="1"/>
      <c r="K185" s="1"/>
      <c r="L185" s="1"/>
      <c r="M185" s="1"/>
      <c r="N185" s="1"/>
      <c r="O185" s="1"/>
      <c r="P185" s="1"/>
      <c r="Q185" s="1"/>
      <c r="R185" s="1"/>
      <c r="S185" s="1"/>
      <c r="T185" s="23" t="e">
        <f ca="1">U185&amp;""&amp;" &amp; "&amp;""&amp;V185</f>
        <v>#REF!</v>
      </c>
      <c r="U185"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185"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86">
        <v>2</v>
      </c>
      <c r="B186" s="86"/>
      <c r="C186" s="53" t="s">
        <v>337</v>
      </c>
      <c r="D186" s="53" t="s">
        <v>345</v>
      </c>
      <c r="E186" s="74">
        <f>(88.185)*10.764</f>
        <v>949.22334000000001</v>
      </c>
      <c r="F186" s="75">
        <f>(2.623)*10.764</f>
        <v>28.233972000000001</v>
      </c>
      <c r="G186" s="75">
        <f>(3.35*5)*10.764</f>
        <v>180.297</v>
      </c>
      <c r="H186" s="6">
        <f t="shared" ref="H186" si="8">E186+F186+(IF(G186&lt;101,G186,IF(G186&lt;201,G186/2,IF(G186&lt;=301,G186/3,G186/4))))</f>
        <v>1067.605812</v>
      </c>
      <c r="I186" s="1"/>
      <c r="J186" s="1"/>
      <c r="K186" s="1"/>
      <c r="L186" s="1"/>
      <c r="M186" s="1"/>
      <c r="N186" s="1"/>
      <c r="O186" s="1"/>
      <c r="P186" s="1"/>
      <c r="Q186" s="1"/>
      <c r="R186" s="1"/>
      <c r="S186" s="1"/>
      <c r="T186" s="23" t="e">
        <f t="shared" ref="T186:T190" ca="1" si="9">U186&amp;""&amp;" &amp; "&amp;""&amp;V186</f>
        <v>#REF!</v>
      </c>
      <c r="U186" s="23" t="e">
        <f ca="1">U185+1</f>
        <v>#REF!</v>
      </c>
      <c r="V186" s="23" t="e">
        <f ca="1">V185+1</f>
        <v>#REF!</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86">
        <v>3</v>
      </c>
      <c r="B187" s="86"/>
      <c r="C187" s="53" t="s">
        <v>337</v>
      </c>
      <c r="D187" s="95" t="s">
        <v>346</v>
      </c>
      <c r="E187" s="96"/>
      <c r="F187" s="96"/>
      <c r="G187" s="96"/>
      <c r="H187" s="97"/>
      <c r="I187" s="1"/>
      <c r="J187" s="1"/>
      <c r="K187" s="1"/>
      <c r="L187" s="1"/>
      <c r="M187" s="1"/>
      <c r="N187" s="1"/>
      <c r="O187" s="1"/>
      <c r="P187" s="1"/>
      <c r="Q187" s="1"/>
      <c r="R187" s="1"/>
      <c r="S187" s="1"/>
      <c r="T187" s="23" t="e">
        <f t="shared" ca="1" si="9"/>
        <v>#REF!</v>
      </c>
      <c r="U187" s="23" t="e">
        <f t="shared" ref="U187:U211" ca="1" si="10">U186+1</f>
        <v>#REF!</v>
      </c>
      <c r="V187" s="23" t="e">
        <f t="shared" ref="V187:V211" ca="1" si="11">V186+1</f>
        <v>#REF!</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86">
        <v>4</v>
      </c>
      <c r="B188" s="86"/>
      <c r="C188" s="53" t="s">
        <v>337</v>
      </c>
      <c r="D188" s="98" t="s">
        <v>338</v>
      </c>
      <c r="E188" s="99"/>
      <c r="F188" s="99"/>
      <c r="G188" s="99"/>
      <c r="H188" s="100"/>
      <c r="I188" s="1"/>
      <c r="J188" s="1"/>
      <c r="K188" s="1"/>
      <c r="L188" s="1"/>
      <c r="M188" s="1"/>
      <c r="N188" s="1"/>
      <c r="O188" s="1"/>
      <c r="P188" s="1"/>
      <c r="Q188" s="1"/>
      <c r="R188" s="1"/>
      <c r="S188" s="1"/>
      <c r="T188" s="23" t="e">
        <f t="shared" ca="1" si="9"/>
        <v>#REF!</v>
      </c>
      <c r="U188" s="23" t="e">
        <f t="shared" ca="1" si="10"/>
        <v>#REF!</v>
      </c>
      <c r="V188" s="23" t="e">
        <f t="shared" ca="1" si="11"/>
        <v>#REF!</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86">
        <v>5</v>
      </c>
      <c r="B189" s="86"/>
      <c r="C189" s="53" t="s">
        <v>337</v>
      </c>
      <c r="D189" s="104"/>
      <c r="E189" s="105"/>
      <c r="F189" s="105"/>
      <c r="G189" s="105"/>
      <c r="H189" s="106"/>
      <c r="I189" s="1"/>
      <c r="J189" s="1"/>
      <c r="K189" s="1"/>
      <c r="L189" s="1"/>
      <c r="M189" s="1"/>
      <c r="N189" s="1"/>
      <c r="O189" s="1"/>
      <c r="P189" s="1"/>
      <c r="Q189" s="1"/>
      <c r="R189" s="1"/>
      <c r="S189" s="1"/>
      <c r="T189" s="23" t="e">
        <f t="shared" ca="1" si="9"/>
        <v>#REF!</v>
      </c>
      <c r="U189" s="23" t="e">
        <f t="shared" ca="1" si="10"/>
        <v>#REF!</v>
      </c>
      <c r="V189" s="23" t="e">
        <f t="shared" ca="1" si="11"/>
        <v>#REF!</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86">
        <v>6</v>
      </c>
      <c r="B190" s="86"/>
      <c r="C190" s="53" t="s">
        <v>337</v>
      </c>
      <c r="D190" s="101"/>
      <c r="E190" s="102"/>
      <c r="F190" s="102"/>
      <c r="G190" s="102"/>
      <c r="H190" s="103"/>
      <c r="I190" s="1"/>
      <c r="J190" s="1"/>
      <c r="K190" s="1"/>
      <c r="L190" s="1"/>
      <c r="M190" s="1"/>
      <c r="N190" s="1"/>
      <c r="O190" s="1"/>
      <c r="P190" s="1"/>
      <c r="Q190" s="1"/>
      <c r="R190" s="1"/>
      <c r="S190" s="1"/>
      <c r="T190" s="23" t="e">
        <f t="shared" ca="1" si="9"/>
        <v>#REF!</v>
      </c>
      <c r="U190" s="23" t="e">
        <f t="shared" ca="1" si="10"/>
        <v>#REF!</v>
      </c>
      <c r="V190" s="23" t="e">
        <f t="shared" ca="1" si="11"/>
        <v>#REF!</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89" t="s">
        <v>335</v>
      </c>
      <c r="B191" s="90"/>
      <c r="C191" s="90"/>
      <c r="D191" s="90"/>
      <c r="E191" s="90"/>
      <c r="F191" s="90"/>
      <c r="G191" s="90"/>
      <c r="H191" s="91"/>
      <c r="I191" s="77">
        <f>1</f>
        <v>1</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86">
        <v>1</v>
      </c>
      <c r="B192" s="86"/>
      <c r="C192" s="53" t="s">
        <v>337</v>
      </c>
      <c r="D192" s="53" t="s">
        <v>345</v>
      </c>
      <c r="E192" s="74">
        <f>(88.185)*10.764</f>
        <v>949.22334000000001</v>
      </c>
      <c r="F192" s="75">
        <f>(2.623)*10.764</f>
        <v>28.233972000000001</v>
      </c>
      <c r="G192" s="75">
        <v>0</v>
      </c>
      <c r="H192" s="75">
        <f>E192+F192+(IF(G192&lt;101,G192,IF(G192&lt;201,G192/2,IF(G192&lt;=301,G192/3,G192/4))))</f>
        <v>977.457312</v>
      </c>
      <c r="I192" s="1"/>
      <c r="J192" s="1"/>
      <c r="K192" s="1"/>
      <c r="L192" s="1"/>
      <c r="M192" s="1"/>
      <c r="N192" s="1"/>
      <c r="O192" s="1"/>
      <c r="P192" s="1"/>
      <c r="Q192" s="1"/>
      <c r="R192" s="1"/>
      <c r="S192" s="1"/>
      <c r="T192" s="23" t="e">
        <f ca="1">U192&amp;""&amp;" &amp; "&amp;""&amp;V192</f>
        <v>#REF!</v>
      </c>
      <c r="U192"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192"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86">
        <v>2</v>
      </c>
      <c r="B193" s="86"/>
      <c r="C193" s="53" t="s">
        <v>337</v>
      </c>
      <c r="D193" s="53" t="s">
        <v>345</v>
      </c>
      <c r="E193" s="74">
        <f>(88.185)*10.764</f>
        <v>949.22334000000001</v>
      </c>
      <c r="F193" s="75">
        <f>(2.623)*10.764</f>
        <v>28.233972000000001</v>
      </c>
      <c r="G193" s="75">
        <v>0</v>
      </c>
      <c r="H193" s="75">
        <f t="shared" ref="H193" si="12">E193+F193+(IF(G193&lt;101,G193,IF(G193&lt;201,G193/2,IF(G193&lt;=301,G193/3,G193/4))))</f>
        <v>977.457312</v>
      </c>
      <c r="I193" s="1"/>
      <c r="J193" s="1"/>
      <c r="K193" s="1"/>
      <c r="L193" s="1"/>
      <c r="M193" s="1"/>
      <c r="N193" s="1"/>
      <c r="O193" s="1"/>
      <c r="P193" s="1"/>
      <c r="Q193" s="1"/>
      <c r="R193" s="1"/>
      <c r="S193" s="1"/>
      <c r="T193" s="23" t="e">
        <f t="shared" ref="T193:T197" ca="1" si="13">U193&amp;""&amp;" &amp; "&amp;""&amp;V193</f>
        <v>#REF!</v>
      </c>
      <c r="U193" s="23" t="e">
        <f ca="1">U192+1</f>
        <v>#REF!</v>
      </c>
      <c r="V193" s="23" t="e">
        <f ca="1">V192+1</f>
        <v>#REF!</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86">
        <v>3</v>
      </c>
      <c r="B194" s="86"/>
      <c r="C194" s="53" t="s">
        <v>337</v>
      </c>
      <c r="D194" s="98" t="s">
        <v>347</v>
      </c>
      <c r="E194" s="99"/>
      <c r="F194" s="99"/>
      <c r="G194" s="99"/>
      <c r="H194" s="100"/>
      <c r="I194" s="1"/>
      <c r="J194" s="1"/>
      <c r="K194" s="1"/>
      <c r="L194" s="1"/>
      <c r="M194" s="1"/>
      <c r="N194" s="1"/>
      <c r="O194" s="1"/>
      <c r="P194" s="1"/>
      <c r="Q194" s="1"/>
      <c r="R194" s="1"/>
      <c r="S194" s="1"/>
      <c r="T194" s="23" t="e">
        <f t="shared" ca="1" si="13"/>
        <v>#REF!</v>
      </c>
      <c r="U194" s="23" t="e">
        <f t="shared" ca="1" si="10"/>
        <v>#REF!</v>
      </c>
      <c r="V194" s="23" t="e">
        <f t="shared" ca="1" si="11"/>
        <v>#REF!</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86">
        <v>4</v>
      </c>
      <c r="B195" s="86"/>
      <c r="C195" s="53" t="s">
        <v>337</v>
      </c>
      <c r="D195" s="104"/>
      <c r="E195" s="105"/>
      <c r="F195" s="105"/>
      <c r="G195" s="105"/>
      <c r="H195" s="106"/>
      <c r="I195" s="1"/>
      <c r="J195" s="1"/>
      <c r="K195" s="1"/>
      <c r="L195" s="1"/>
      <c r="M195" s="1"/>
      <c r="N195" s="1"/>
      <c r="O195" s="1"/>
      <c r="P195" s="1"/>
      <c r="Q195" s="1"/>
      <c r="R195" s="1"/>
      <c r="S195" s="1"/>
      <c r="T195" s="23" t="e">
        <f t="shared" ca="1" si="13"/>
        <v>#REF!</v>
      </c>
      <c r="U195" s="23" t="e">
        <f t="shared" ca="1" si="10"/>
        <v>#REF!</v>
      </c>
      <c r="V195" s="23" t="e">
        <f t="shared" ca="1" si="11"/>
        <v>#REF!</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86">
        <v>5</v>
      </c>
      <c r="B196" s="86"/>
      <c r="C196" s="53" t="s">
        <v>337</v>
      </c>
      <c r="D196" s="104"/>
      <c r="E196" s="105"/>
      <c r="F196" s="105"/>
      <c r="G196" s="105"/>
      <c r="H196" s="106"/>
      <c r="I196" s="1"/>
      <c r="J196" s="1"/>
      <c r="K196" s="1"/>
      <c r="L196" s="1"/>
      <c r="M196" s="1"/>
      <c r="N196" s="1"/>
      <c r="O196" s="1"/>
      <c r="P196" s="1"/>
      <c r="Q196" s="1"/>
      <c r="R196" s="1"/>
      <c r="S196" s="1"/>
      <c r="T196" s="23" t="e">
        <f t="shared" ca="1" si="13"/>
        <v>#REF!</v>
      </c>
      <c r="U196" s="23" t="e">
        <f t="shared" ca="1" si="10"/>
        <v>#REF!</v>
      </c>
      <c r="V196" s="23" t="e">
        <f t="shared" ca="1" si="11"/>
        <v>#REF!</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86">
        <v>6</v>
      </c>
      <c r="B197" s="86"/>
      <c r="C197" s="53" t="s">
        <v>337</v>
      </c>
      <c r="D197" s="101"/>
      <c r="E197" s="102"/>
      <c r="F197" s="102"/>
      <c r="G197" s="102"/>
      <c r="H197" s="103"/>
      <c r="I197" s="1"/>
      <c r="J197" s="1"/>
      <c r="K197" s="1"/>
      <c r="L197" s="1"/>
      <c r="M197" s="1"/>
      <c r="N197" s="1"/>
      <c r="O197" s="1"/>
      <c r="P197" s="1"/>
      <c r="Q197" s="1"/>
      <c r="R197" s="1"/>
      <c r="S197" s="1"/>
      <c r="T197" s="23" t="e">
        <f t="shared" ca="1" si="13"/>
        <v>#REF!</v>
      </c>
      <c r="U197" s="23" t="e">
        <f t="shared" ca="1" si="10"/>
        <v>#REF!</v>
      </c>
      <c r="V197" s="23" t="e">
        <f t="shared" ca="1" si="11"/>
        <v>#REF!</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89" t="s">
        <v>349</v>
      </c>
      <c r="B198" s="90"/>
      <c r="C198" s="90"/>
      <c r="D198" s="90"/>
      <c r="E198" s="90"/>
      <c r="F198" s="90"/>
      <c r="G198" s="90"/>
      <c r="H198" s="91"/>
      <c r="I198" s="77">
        <f>1</f>
        <v>1</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86">
        <v>1</v>
      </c>
      <c r="B199" s="86"/>
      <c r="C199" s="53" t="s">
        <v>337</v>
      </c>
      <c r="D199" s="53" t="s">
        <v>345</v>
      </c>
      <c r="E199" s="74">
        <f>(88.185)*10.764</f>
        <v>949.22334000000001</v>
      </c>
      <c r="F199" s="75">
        <f>(2.623)*10.764</f>
        <v>28.233972000000001</v>
      </c>
      <c r="G199" s="75">
        <v>0</v>
      </c>
      <c r="H199" s="75">
        <f>E199+F199+(IF(G199&lt;101,G199,IF(G199&lt;201,G199/2,IF(G199&lt;=301,G199/3,G199/4))))</f>
        <v>977.457312</v>
      </c>
      <c r="I199" s="1"/>
      <c r="J199" s="1"/>
      <c r="K199" s="1"/>
      <c r="L199" s="1"/>
      <c r="M199" s="1"/>
      <c r="N199" s="1"/>
      <c r="O199" s="1"/>
      <c r="P199" s="1"/>
      <c r="Q199" s="1"/>
      <c r="R199" s="1"/>
      <c r="S199" s="1"/>
      <c r="T199" s="23" t="e">
        <f ca="1">U199&amp;""&amp;" &amp; "&amp;""&amp;V199</f>
        <v>#REF!</v>
      </c>
      <c r="U199"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199"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86">
        <v>2</v>
      </c>
      <c r="B200" s="86"/>
      <c r="C200" s="53" t="s">
        <v>337</v>
      </c>
      <c r="D200" s="53" t="s">
        <v>345</v>
      </c>
      <c r="E200" s="74">
        <f>(88.185)*10.764</f>
        <v>949.22334000000001</v>
      </c>
      <c r="F200" s="75">
        <f>(2.623)*10.764</f>
        <v>28.233972000000001</v>
      </c>
      <c r="G200" s="75">
        <v>0</v>
      </c>
      <c r="H200" s="75">
        <f t="shared" ref="H200:H201" si="14">E200+F200+(IF(G200&lt;101,G200,IF(G200&lt;201,G200/2,IF(G200&lt;=301,G200/3,G200/4))))</f>
        <v>977.457312</v>
      </c>
      <c r="I200" s="1"/>
      <c r="J200" s="1"/>
      <c r="K200" s="1"/>
      <c r="L200" s="1"/>
      <c r="M200" s="1"/>
      <c r="N200" s="1"/>
      <c r="O200" s="1"/>
      <c r="P200" s="1"/>
      <c r="Q200" s="1"/>
      <c r="R200" s="1"/>
      <c r="S200" s="1"/>
      <c r="T200" s="23" t="e">
        <f t="shared" ref="T200:T204" ca="1" si="15">U200&amp;""&amp;" &amp; "&amp;""&amp;V200</f>
        <v>#REF!</v>
      </c>
      <c r="U200" s="23" t="e">
        <f ca="1">U199+1</f>
        <v>#REF!</v>
      </c>
      <c r="V200" s="23" t="e">
        <f ca="1">V199+1</f>
        <v>#REF!</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86">
        <v>3</v>
      </c>
      <c r="B201" s="86"/>
      <c r="C201" s="53" t="s">
        <v>337</v>
      </c>
      <c r="D201" s="53" t="s">
        <v>345</v>
      </c>
      <c r="E201" s="74">
        <f>(111.163)*10.764</f>
        <v>1196.5585319999998</v>
      </c>
      <c r="F201" s="75">
        <f>(7.341)*10.764</f>
        <v>79.018523999999999</v>
      </c>
      <c r="G201" s="75">
        <v>0</v>
      </c>
      <c r="H201" s="75">
        <f t="shared" si="14"/>
        <v>1275.5770559999999</v>
      </c>
      <c r="I201" s="1"/>
      <c r="J201" s="1"/>
      <c r="K201" s="1"/>
      <c r="L201" s="1"/>
      <c r="M201" s="1"/>
      <c r="N201" s="1"/>
      <c r="O201" s="1"/>
      <c r="P201" s="1"/>
      <c r="Q201" s="1"/>
      <c r="R201" s="1"/>
      <c r="S201" s="1"/>
      <c r="T201" s="23" t="e">
        <f t="shared" ca="1" si="15"/>
        <v>#REF!</v>
      </c>
      <c r="U201" s="23" t="e">
        <f t="shared" ca="1" si="10"/>
        <v>#REF!</v>
      </c>
      <c r="V201" s="23" t="e">
        <f t="shared" ca="1" si="11"/>
        <v>#REF!</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86">
        <v>4</v>
      </c>
      <c r="B202" s="86"/>
      <c r="C202" s="53" t="s">
        <v>337</v>
      </c>
      <c r="D202" s="98" t="s">
        <v>350</v>
      </c>
      <c r="E202" s="99"/>
      <c r="F202" s="99"/>
      <c r="G202" s="99"/>
      <c r="H202" s="100"/>
      <c r="I202" s="1"/>
      <c r="J202" s="1"/>
      <c r="K202" s="1"/>
      <c r="L202" s="1"/>
      <c r="M202" s="1"/>
      <c r="N202" s="1"/>
      <c r="O202" s="1"/>
      <c r="P202" s="1"/>
      <c r="Q202" s="1"/>
      <c r="R202" s="1"/>
      <c r="S202" s="1"/>
      <c r="T202" s="23" t="e">
        <f t="shared" ca="1" si="15"/>
        <v>#REF!</v>
      </c>
      <c r="U202" s="23" t="e">
        <f t="shared" ca="1" si="10"/>
        <v>#REF!</v>
      </c>
      <c r="V202" s="23" t="e">
        <f t="shared" ca="1" si="11"/>
        <v>#REF!</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86">
        <v>5</v>
      </c>
      <c r="B203" s="86"/>
      <c r="C203" s="53" t="s">
        <v>337</v>
      </c>
      <c r="D203" s="101"/>
      <c r="E203" s="102"/>
      <c r="F203" s="102"/>
      <c r="G203" s="102"/>
      <c r="H203" s="103"/>
      <c r="I203" s="1"/>
      <c r="J203" s="1"/>
      <c r="K203" s="1"/>
      <c r="L203" s="1"/>
      <c r="M203" s="1"/>
      <c r="N203" s="1"/>
      <c r="O203" s="1"/>
      <c r="P203" s="1"/>
      <c r="Q203" s="1"/>
      <c r="R203" s="1"/>
      <c r="S203" s="1"/>
      <c r="T203" s="23" t="e">
        <f t="shared" ca="1" si="15"/>
        <v>#REF!</v>
      </c>
      <c r="U203" s="23" t="e">
        <f t="shared" ca="1" si="10"/>
        <v>#REF!</v>
      </c>
      <c r="V203" s="23" t="e">
        <f t="shared" ca="1" si="11"/>
        <v>#REF!</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86">
        <v>6</v>
      </c>
      <c r="B204" s="86"/>
      <c r="C204" s="53" t="s">
        <v>337</v>
      </c>
      <c r="D204" s="95" t="s">
        <v>338</v>
      </c>
      <c r="E204" s="96"/>
      <c r="F204" s="96"/>
      <c r="G204" s="96"/>
      <c r="H204" s="97"/>
      <c r="I204" s="1"/>
      <c r="J204" s="1"/>
      <c r="K204" s="1"/>
      <c r="L204" s="1"/>
      <c r="M204" s="1"/>
      <c r="N204" s="1"/>
      <c r="O204" s="1"/>
      <c r="P204" s="1"/>
      <c r="Q204" s="1"/>
      <c r="R204" s="1"/>
      <c r="S204" s="1"/>
      <c r="T204" s="23" t="e">
        <f t="shared" ca="1" si="15"/>
        <v>#REF!</v>
      </c>
      <c r="U204" s="23" t="e">
        <f t="shared" ca="1" si="10"/>
        <v>#REF!</v>
      </c>
      <c r="V204" s="23" t="e">
        <f t="shared" ca="1" si="11"/>
        <v>#REF!</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89" t="s">
        <v>339</v>
      </c>
      <c r="B205" s="90"/>
      <c r="C205" s="90"/>
      <c r="D205" s="90"/>
      <c r="E205" s="90"/>
      <c r="F205" s="90"/>
      <c r="G205" s="90"/>
      <c r="H205" s="91"/>
      <c r="I205" s="77">
        <f>1</f>
        <v>1</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86">
        <v>1</v>
      </c>
      <c r="B206" s="86"/>
      <c r="C206" s="53" t="s">
        <v>337</v>
      </c>
      <c r="D206" s="53" t="s">
        <v>345</v>
      </c>
      <c r="E206" s="74">
        <f>(88.185)*10.764</f>
        <v>949.22334000000001</v>
      </c>
      <c r="F206" s="75">
        <f>(2.623)*10.764</f>
        <v>28.233972000000001</v>
      </c>
      <c r="G206" s="75">
        <v>0</v>
      </c>
      <c r="H206" s="75">
        <f>E206+F206+(IF(G206&lt;101,G206,IF(G206&lt;201,G206/2,IF(G206&lt;=301,G206/3,G206/4))))</f>
        <v>977.457312</v>
      </c>
      <c r="I206" s="1"/>
      <c r="J206" s="1"/>
      <c r="K206" s="1"/>
      <c r="L206" s="1"/>
      <c r="M206" s="1"/>
      <c r="N206" s="1"/>
      <c r="O206" s="1"/>
      <c r="P206" s="1"/>
      <c r="Q206" s="1"/>
      <c r="R206" s="1"/>
      <c r="S206" s="1"/>
      <c r="T206" s="23" t="e">
        <f ca="1">U206&amp;""&amp;" &amp; "&amp;""&amp;V206</f>
        <v>#REF!</v>
      </c>
      <c r="U206"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206"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86">
        <v>2</v>
      </c>
      <c r="B207" s="86"/>
      <c r="C207" s="53" t="s">
        <v>337</v>
      </c>
      <c r="D207" s="53" t="s">
        <v>345</v>
      </c>
      <c r="E207" s="74">
        <f>(88.185)*10.764</f>
        <v>949.22334000000001</v>
      </c>
      <c r="F207" s="75">
        <f>(2.623)*10.764</f>
        <v>28.233972000000001</v>
      </c>
      <c r="G207" s="75">
        <v>0</v>
      </c>
      <c r="H207" s="75">
        <f t="shared" ref="H207:H211" si="16">E207+F207+(IF(G207&lt;101,G207,IF(G207&lt;201,G207/2,IF(G207&lt;=301,G207/3,G207/4))))</f>
        <v>977.457312</v>
      </c>
      <c r="I207" s="1"/>
      <c r="J207" s="1"/>
      <c r="K207" s="1"/>
      <c r="L207" s="1"/>
      <c r="M207" s="1"/>
      <c r="N207" s="1"/>
      <c r="O207" s="1"/>
      <c r="P207" s="1"/>
      <c r="Q207" s="1"/>
      <c r="R207" s="1"/>
      <c r="S207" s="1"/>
      <c r="T207" s="23" t="e">
        <f t="shared" ref="T207:T211" ca="1" si="17">U207&amp;""&amp;" &amp; "&amp;""&amp;V207</f>
        <v>#REF!</v>
      </c>
      <c r="U207" s="23" t="e">
        <f ca="1">U206+1</f>
        <v>#REF!</v>
      </c>
      <c r="V207" s="23" t="e">
        <f ca="1">V206+1</f>
        <v>#REF!</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86">
        <v>3</v>
      </c>
      <c r="B208" s="86"/>
      <c r="C208" s="53" t="s">
        <v>337</v>
      </c>
      <c r="D208" s="53" t="s">
        <v>345</v>
      </c>
      <c r="E208" s="74">
        <f>(111.163)*10.764</f>
        <v>1196.5585319999998</v>
      </c>
      <c r="F208" s="75">
        <f>(7.341)*10.764</f>
        <v>79.018523999999999</v>
      </c>
      <c r="G208" s="75">
        <v>0</v>
      </c>
      <c r="H208" s="75">
        <f t="shared" si="16"/>
        <v>1275.5770559999999</v>
      </c>
      <c r="I208" s="1"/>
      <c r="J208" s="1"/>
      <c r="K208" s="1"/>
      <c r="L208" s="1"/>
      <c r="M208" s="1"/>
      <c r="N208" s="1"/>
      <c r="O208" s="1"/>
      <c r="P208" s="1"/>
      <c r="Q208" s="1"/>
      <c r="R208" s="1"/>
      <c r="S208" s="1"/>
      <c r="T208" s="23" t="e">
        <f t="shared" ca="1" si="17"/>
        <v>#REF!</v>
      </c>
      <c r="U208" s="23" t="e">
        <f t="shared" ca="1" si="10"/>
        <v>#REF!</v>
      </c>
      <c r="V208" s="23" t="e">
        <f t="shared" ca="1" si="11"/>
        <v>#REF!</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86">
        <v>4</v>
      </c>
      <c r="B209" s="86"/>
      <c r="C209" s="53" t="s">
        <v>337</v>
      </c>
      <c r="D209" s="98" t="s">
        <v>351</v>
      </c>
      <c r="E209" s="99"/>
      <c r="F209" s="99"/>
      <c r="G209" s="99"/>
      <c r="H209" s="100"/>
      <c r="I209" s="1"/>
      <c r="J209" s="1"/>
      <c r="K209" s="1"/>
      <c r="L209" s="1"/>
      <c r="M209" s="1"/>
      <c r="N209" s="1"/>
      <c r="O209" s="1"/>
      <c r="P209" s="1"/>
      <c r="Q209" s="1"/>
      <c r="R209" s="1"/>
      <c r="S209" s="1"/>
      <c r="T209" s="23" t="e">
        <f t="shared" ca="1" si="17"/>
        <v>#REF!</v>
      </c>
      <c r="U209" s="23" t="e">
        <f t="shared" ca="1" si="10"/>
        <v>#REF!</v>
      </c>
      <c r="V209" s="23" t="e">
        <f t="shared" ca="1" si="11"/>
        <v>#REF!</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86">
        <v>5</v>
      </c>
      <c r="B210" s="86"/>
      <c r="C210" s="53" t="s">
        <v>337</v>
      </c>
      <c r="D210" s="101"/>
      <c r="E210" s="102"/>
      <c r="F210" s="102"/>
      <c r="G210" s="102"/>
      <c r="H210" s="103"/>
      <c r="I210" s="1"/>
      <c r="J210" s="1"/>
      <c r="K210" s="1"/>
      <c r="L210" s="1"/>
      <c r="M210" s="1"/>
      <c r="N210" s="1"/>
      <c r="O210" s="1"/>
      <c r="P210" s="1"/>
      <c r="Q210" s="1"/>
      <c r="R210" s="1"/>
      <c r="S210" s="1"/>
      <c r="T210" s="23" t="e">
        <f t="shared" ca="1" si="17"/>
        <v>#REF!</v>
      </c>
      <c r="U210" s="23" t="e">
        <f t="shared" ca="1" si="10"/>
        <v>#REF!</v>
      </c>
      <c r="V210" s="23" t="e">
        <f t="shared" ca="1" si="11"/>
        <v>#REF!</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86">
        <v>6</v>
      </c>
      <c r="B211" s="86"/>
      <c r="C211" s="53" t="s">
        <v>337</v>
      </c>
      <c r="D211" s="53" t="s">
        <v>345</v>
      </c>
      <c r="E211" s="74">
        <f>(111.163)*10.764</f>
        <v>1196.5585319999998</v>
      </c>
      <c r="F211" s="75">
        <f>(7.341)*10.764</f>
        <v>79.018523999999999</v>
      </c>
      <c r="G211" s="75">
        <v>0</v>
      </c>
      <c r="H211" s="75">
        <f t="shared" si="16"/>
        <v>1275.5770559999999</v>
      </c>
      <c r="I211" s="1"/>
      <c r="J211" s="1"/>
      <c r="K211" s="1"/>
      <c r="L211" s="1"/>
      <c r="M211" s="1"/>
      <c r="N211" s="1"/>
      <c r="O211" s="1"/>
      <c r="P211" s="1"/>
      <c r="Q211" s="1"/>
      <c r="R211" s="1"/>
      <c r="S211" s="1"/>
      <c r="T211" s="23" t="e">
        <f t="shared" ca="1" si="17"/>
        <v>#REF!</v>
      </c>
      <c r="U211" s="23" t="e">
        <f t="shared" ca="1" si="10"/>
        <v>#REF!</v>
      </c>
      <c r="V211" s="23" t="e">
        <f t="shared" ca="1" si="11"/>
        <v>#REF!</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92" t="s">
        <v>352</v>
      </c>
      <c r="B212" s="93"/>
      <c r="C212" s="93"/>
      <c r="D212" s="93"/>
      <c r="E212" s="93"/>
      <c r="F212" s="93"/>
      <c r="G212" s="93"/>
      <c r="H212" s="94"/>
      <c r="I212" s="77">
        <f>11</f>
        <v>11</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86">
        <v>1</v>
      </c>
      <c r="B213" s="86"/>
      <c r="C213" s="53" t="s">
        <v>337</v>
      </c>
      <c r="D213" s="53" t="s">
        <v>345</v>
      </c>
      <c r="E213" s="74">
        <f>(88.4)*10.764</f>
        <v>951.5376</v>
      </c>
      <c r="F213" s="75">
        <f>(2.623)*10.764</f>
        <v>28.233972000000001</v>
      </c>
      <c r="G213" s="75">
        <v>0</v>
      </c>
      <c r="H213" s="75">
        <f>E213+F213+(IF(G213&lt;101,G213,IF(G213&lt;201,G213/2,IF(G213&lt;=301,G213/3,G213/4))))</f>
        <v>979.77157199999999</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87">
        <f>A213+1</f>
        <v>2</v>
      </c>
      <c r="B214" s="88"/>
      <c r="C214" s="53" t="s">
        <v>337</v>
      </c>
      <c r="D214" s="53" t="s">
        <v>345</v>
      </c>
      <c r="E214" s="74">
        <f>(88.4)*10.764</f>
        <v>951.5376</v>
      </c>
      <c r="F214" s="75">
        <f>(2.623)*10.764</f>
        <v>28.233972000000001</v>
      </c>
      <c r="G214" s="75">
        <v>0</v>
      </c>
      <c r="H214" s="75">
        <f t="shared" ref="H214:H218" si="18">E214+F214+(IF(G214&lt;101,G214,IF(G214&lt;201,G214/2,IF(G214&lt;=301,G214/3,G214/4))))</f>
        <v>979.77157199999999</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87">
        <f t="shared" ref="A215:A218" si="19">A214+1</f>
        <v>3</v>
      </c>
      <c r="B215" s="88"/>
      <c r="C215" s="53" t="s">
        <v>337</v>
      </c>
      <c r="D215" s="53" t="s">
        <v>345</v>
      </c>
      <c r="E215" s="74">
        <f>(111.163)*10.764</f>
        <v>1196.5585319999998</v>
      </c>
      <c r="F215" s="75">
        <f>(7.341)*10.764</f>
        <v>79.018523999999999</v>
      </c>
      <c r="G215" s="75">
        <v>0</v>
      </c>
      <c r="H215" s="75">
        <f t="shared" si="18"/>
        <v>1275.5770559999999</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87">
        <f t="shared" si="19"/>
        <v>4</v>
      </c>
      <c r="B216" s="88"/>
      <c r="C216" s="53" t="s">
        <v>337</v>
      </c>
      <c r="D216" s="53" t="s">
        <v>345</v>
      </c>
      <c r="E216" s="74">
        <f>(94.515)*10.764</f>
        <v>1017.3594599999999</v>
      </c>
      <c r="F216" s="75">
        <f>(6.723)*10.764</f>
        <v>72.366371999999998</v>
      </c>
      <c r="G216" s="75">
        <v>0</v>
      </c>
      <c r="H216" s="75">
        <f t="shared" si="18"/>
        <v>1089.7258319999999</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87">
        <f t="shared" si="19"/>
        <v>5</v>
      </c>
      <c r="B217" s="88"/>
      <c r="C217" s="53" t="s">
        <v>337</v>
      </c>
      <c r="D217" s="53" t="s">
        <v>345</v>
      </c>
      <c r="E217" s="74">
        <f>(94.515)*10.764</f>
        <v>1017.3594599999999</v>
      </c>
      <c r="F217" s="75">
        <f>(6.723)*10.764</f>
        <v>72.366371999999998</v>
      </c>
      <c r="G217" s="75">
        <v>0</v>
      </c>
      <c r="H217" s="75">
        <f t="shared" si="18"/>
        <v>1089.7258319999999</v>
      </c>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87">
        <f t="shared" si="19"/>
        <v>6</v>
      </c>
      <c r="B218" s="88"/>
      <c r="C218" s="53" t="s">
        <v>337</v>
      </c>
      <c r="D218" s="53" t="s">
        <v>345</v>
      </c>
      <c r="E218" s="74">
        <f>(111.163)*10.764</f>
        <v>1196.5585319999998</v>
      </c>
      <c r="F218" s="75">
        <f>(7.341)*10.764</f>
        <v>79.018523999999999</v>
      </c>
      <c r="G218" s="75">
        <v>0</v>
      </c>
      <c r="H218" s="75">
        <f t="shared" si="18"/>
        <v>1275.5770559999999</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x14ac:dyDescent="0.25">
      <c r="A219" s="92" t="s">
        <v>353</v>
      </c>
      <c r="B219" s="93"/>
      <c r="C219" s="93"/>
      <c r="D219" s="93"/>
      <c r="E219" s="93"/>
      <c r="F219" s="93"/>
      <c r="G219" s="93"/>
      <c r="H219" s="94"/>
      <c r="I219" s="77">
        <f>4</f>
        <v>4</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86">
        <v>1</v>
      </c>
      <c r="B220" s="86"/>
      <c r="C220" s="53" t="s">
        <v>337</v>
      </c>
      <c r="D220" s="95" t="s">
        <v>355</v>
      </c>
      <c r="E220" s="96"/>
      <c r="F220" s="96"/>
      <c r="G220" s="96"/>
      <c r="H220" s="97"/>
      <c r="I220" s="1"/>
      <c r="J220" s="1"/>
      <c r="K220" s="1"/>
      <c r="L220" s="1"/>
      <c r="M220" s="1"/>
      <c r="N220" s="1"/>
      <c r="O220" s="1"/>
      <c r="P220" s="1"/>
      <c r="Q220" s="1"/>
      <c r="R220" s="1"/>
      <c r="S220" s="1"/>
      <c r="T220" s="23" t="e">
        <f t="shared" ref="T220:T225" ca="1" si="20">U220&amp;""&amp;",..,"&amp;""&amp;V220</f>
        <v>#REF!</v>
      </c>
      <c r="U220"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220"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86">
        <f>A220+1</f>
        <v>2</v>
      </c>
      <c r="B221" s="86"/>
      <c r="C221" s="53" t="s">
        <v>337</v>
      </c>
      <c r="D221" s="53" t="s">
        <v>354</v>
      </c>
      <c r="E221" s="74">
        <f>(141.081)*10.764</f>
        <v>1518.5958839999998</v>
      </c>
      <c r="F221" s="75">
        <f>(5.245)*10.764</f>
        <v>56.457180000000001</v>
      </c>
      <c r="G221" s="75">
        <v>0</v>
      </c>
      <c r="H221" s="75">
        <f t="shared" ref="H221:H225" si="21">E221+F221+(IF(G221&lt;101,G221,IF(G221&lt;201,G221/2,IF(G221&lt;=301,G221/3,G221/4))))</f>
        <v>1575.0530639999999</v>
      </c>
      <c r="I221" s="1"/>
      <c r="J221" s="1"/>
      <c r="K221" s="1"/>
      <c r="L221" s="1"/>
      <c r="M221" s="1"/>
      <c r="N221" s="1"/>
      <c r="O221" s="1"/>
      <c r="P221" s="1"/>
      <c r="Q221" s="1"/>
      <c r="R221" s="1"/>
      <c r="S221" s="1"/>
      <c r="T221" s="23" t="e">
        <f t="shared" ca="1" si="20"/>
        <v>#REF!</v>
      </c>
      <c r="U221" s="23" t="e">
        <f ca="1">U220+1</f>
        <v>#REF!</v>
      </c>
      <c r="V221" s="23" t="e">
        <f ca="1">V220+1</f>
        <v>#REF!</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86">
        <f t="shared" ref="A222:A225" si="22">A221+1</f>
        <v>3</v>
      </c>
      <c r="B222" s="86"/>
      <c r="C222" s="53" t="s">
        <v>337</v>
      </c>
      <c r="D222" s="53" t="s">
        <v>345</v>
      </c>
      <c r="E222" s="74">
        <f>(111.163)*10.764</f>
        <v>1196.5585319999998</v>
      </c>
      <c r="F222" s="75">
        <f>(7.341)*10.764</f>
        <v>79.018523999999999</v>
      </c>
      <c r="G222" s="75">
        <v>0</v>
      </c>
      <c r="H222" s="75">
        <f t="shared" si="21"/>
        <v>1275.5770559999999</v>
      </c>
      <c r="I222" s="1"/>
      <c r="J222" s="1"/>
      <c r="K222" s="1"/>
      <c r="L222" s="1"/>
      <c r="M222" s="1"/>
      <c r="N222" s="1"/>
      <c r="O222" s="1"/>
      <c r="P222" s="1"/>
      <c r="Q222" s="1"/>
      <c r="R222" s="1"/>
      <c r="S222" s="1"/>
      <c r="T222" s="23" t="e">
        <f t="shared" ca="1" si="20"/>
        <v>#REF!</v>
      </c>
      <c r="U222" s="23" t="e">
        <f t="shared" ref="U222:V225" ca="1" si="23">U221+1</f>
        <v>#REF!</v>
      </c>
      <c r="V222" s="23" t="e">
        <f t="shared" ca="1" si="23"/>
        <v>#REF!</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86">
        <f t="shared" si="22"/>
        <v>4</v>
      </c>
      <c r="B223" s="86"/>
      <c r="C223" s="53" t="s">
        <v>337</v>
      </c>
      <c r="D223" s="53" t="s">
        <v>345</v>
      </c>
      <c r="E223" s="74">
        <f t="shared" ref="E223:E224" si="24">(94.515)*10.764</f>
        <v>1017.3594599999999</v>
      </c>
      <c r="F223" s="75">
        <f t="shared" ref="F223:F224" si="25">(6.723)*10.764</f>
        <v>72.366371999999998</v>
      </c>
      <c r="G223" s="75">
        <v>0</v>
      </c>
      <c r="H223" s="75">
        <f t="shared" si="21"/>
        <v>1089.7258319999999</v>
      </c>
      <c r="I223" s="1"/>
      <c r="J223" s="1"/>
      <c r="K223" s="1"/>
      <c r="L223" s="1"/>
      <c r="M223" s="1"/>
      <c r="N223" s="1"/>
      <c r="O223" s="1"/>
      <c r="P223" s="1"/>
      <c r="Q223" s="1"/>
      <c r="R223" s="1"/>
      <c r="S223" s="1"/>
      <c r="T223" s="23" t="e">
        <f t="shared" ca="1" si="20"/>
        <v>#REF!</v>
      </c>
      <c r="U223" s="23" t="e">
        <f t="shared" ca="1" si="23"/>
        <v>#REF!</v>
      </c>
      <c r="V223" s="23" t="e">
        <f t="shared" ca="1" si="23"/>
        <v>#REF!</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86">
        <f t="shared" si="22"/>
        <v>5</v>
      </c>
      <c r="B224" s="86"/>
      <c r="C224" s="53" t="s">
        <v>337</v>
      </c>
      <c r="D224" s="53" t="s">
        <v>345</v>
      </c>
      <c r="E224" s="74">
        <f t="shared" si="24"/>
        <v>1017.3594599999999</v>
      </c>
      <c r="F224" s="75">
        <f t="shared" si="25"/>
        <v>72.366371999999998</v>
      </c>
      <c r="G224" s="75">
        <v>0</v>
      </c>
      <c r="H224" s="75">
        <f t="shared" si="21"/>
        <v>1089.7258319999999</v>
      </c>
      <c r="I224" s="1"/>
      <c r="J224" s="1"/>
      <c r="K224" s="1"/>
      <c r="L224" s="1"/>
      <c r="M224" s="1"/>
      <c r="N224" s="1"/>
      <c r="O224" s="1"/>
      <c r="P224" s="1"/>
      <c r="Q224" s="1"/>
      <c r="R224" s="1"/>
      <c r="S224" s="1"/>
      <c r="T224" s="23" t="e">
        <f t="shared" ca="1" si="20"/>
        <v>#REF!</v>
      </c>
      <c r="U224" s="23" t="e">
        <f t="shared" ca="1" si="23"/>
        <v>#REF!</v>
      </c>
      <c r="V224" s="23" t="e">
        <f t="shared" ca="1" si="23"/>
        <v>#REF!</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86">
        <f t="shared" si="22"/>
        <v>6</v>
      </c>
      <c r="B225" s="86"/>
      <c r="C225" s="53" t="s">
        <v>337</v>
      </c>
      <c r="D225" s="53" t="s">
        <v>345</v>
      </c>
      <c r="E225" s="74">
        <f>(111.163)*10.764</f>
        <v>1196.5585319999998</v>
      </c>
      <c r="F225" s="75">
        <f>(7.341)*10.764</f>
        <v>79.018523999999999</v>
      </c>
      <c r="G225" s="75">
        <v>0</v>
      </c>
      <c r="H225" s="75">
        <f t="shared" si="21"/>
        <v>1275.5770559999999</v>
      </c>
      <c r="I225" s="1"/>
      <c r="J225" s="1"/>
      <c r="K225" s="1"/>
      <c r="L225" s="1"/>
      <c r="M225" s="1"/>
      <c r="N225" s="1"/>
      <c r="O225" s="1"/>
      <c r="P225" s="1"/>
      <c r="Q225" s="1"/>
      <c r="R225" s="1"/>
      <c r="S225" s="1"/>
      <c r="T225" s="23" t="e">
        <f t="shared" ca="1" si="20"/>
        <v>#REF!</v>
      </c>
      <c r="U225" s="23" t="e">
        <f t="shared" ca="1" si="23"/>
        <v>#REF!</v>
      </c>
      <c r="V225" s="23" t="e">
        <f t="shared" ca="1" si="23"/>
        <v>#REF!</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89" t="s">
        <v>356</v>
      </c>
      <c r="B226" s="90"/>
      <c r="C226" s="90"/>
      <c r="D226" s="90"/>
      <c r="E226" s="90"/>
      <c r="F226" s="90"/>
      <c r="G226" s="90"/>
      <c r="H226" s="91"/>
      <c r="I226" s="77">
        <f>9</f>
        <v>9</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86">
        <v>1</v>
      </c>
      <c r="B227" s="86"/>
      <c r="C227" s="53" t="s">
        <v>337</v>
      </c>
      <c r="D227" s="53" t="s">
        <v>345</v>
      </c>
      <c r="E227" s="74">
        <f>(88.661)*10.764</f>
        <v>954.34700399999997</v>
      </c>
      <c r="F227" s="75">
        <f>(2.623)*10.764</f>
        <v>28.233972000000001</v>
      </c>
      <c r="G227" s="75">
        <v>0</v>
      </c>
      <c r="H227" s="75">
        <f>E227+F227+(IF(G227&lt;101,G227,IF(G227&lt;201,G227/2,IF(G227&lt;=301,G227/3,G227/4))))</f>
        <v>982.58097599999996</v>
      </c>
      <c r="I227" s="1"/>
      <c r="J227" s="1"/>
      <c r="K227" s="1"/>
      <c r="L227" s="1"/>
      <c r="M227" s="1"/>
      <c r="N227" s="1"/>
      <c r="O227" s="1"/>
      <c r="P227" s="1"/>
      <c r="Q227" s="1"/>
      <c r="R227" s="1"/>
      <c r="S227" s="1"/>
      <c r="T227" s="23" t="str">
        <f ca="1">U227&amp;""&amp;" to "&amp;""&amp;V227</f>
        <v>20201 to 3001</v>
      </c>
      <c r="U227" s="23">
        <f ca="1">(SUMPRODUCT(MID(0&amp;(LEFT(A226,SUM(LEN(A226)-LEN(SUBSTITUTE(A226,{"0","1","2","3"},""))))), LARGE(INDEX(ISNUMBER(--MID((LEFT(A226,SUM(LEN(A226)-LEN(SUBSTITUTE(A226,{"0","1","2","3"},""))))), ROW(INDIRECT("1:"&amp;LEN((LEFT(A226,SUM(LEN(A226)-LEN(SUBSTITUTE(A226,{"0","1","2","3"},"")))))))), 1)) * ROW(INDIRECT("1:"&amp;LEN((LEFT(A226,SUM(LEN(A226)-LEN(SUBSTITUTE(A226,{"0","1","2","3"},"")))))))), 0), ROW(INDIRECT("1:"&amp;LEN((LEFT(A226,SUM(LEN(A226)-LEN(SUBSTITUTE(A226,{"0","1","2","3"},"")))))))))+1, 1) * 10^ROW(INDIRECT("1:"&amp;LEN((LEFT(A226,SUM(LEN(A226)-LEN(SUBSTITUTE(A226,{"0","1","2","3"},""))))))))/10))*100+1</f>
        <v>20201</v>
      </c>
      <c r="V227" s="23">
        <f ca="1">(SUMPRODUCT(MID(0&amp;(--TRIM(RIGHT(SUBSTITUTE(LEFT(A226,_xlfn.AGGREGATE(16,6,FIND({0,1,2,3,4,5,6,7,8,9},A226,ROW(INDIRECT("1:"&amp;LEN(A226)))),1)),"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",LEN(A226))),LEN(A226)))))))/10))*100+1</f>
        <v>3001</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86">
        <v>2</v>
      </c>
      <c r="B228" s="86"/>
      <c r="C228" s="53" t="s">
        <v>337</v>
      </c>
      <c r="D228" s="53" t="s">
        <v>345</v>
      </c>
      <c r="E228" s="74">
        <f>(88.661)*10.764</f>
        <v>954.34700399999997</v>
      </c>
      <c r="F228" s="75">
        <f>(2.623)*10.764</f>
        <v>28.233972000000001</v>
      </c>
      <c r="G228" s="75">
        <v>0</v>
      </c>
      <c r="H228" s="75">
        <f t="shared" ref="H228:H232" si="26">E228+F228+(IF(G228&lt;101,G228,IF(G228&lt;201,G228/2,IF(G228&lt;=301,G228/3,G228/4))))</f>
        <v>982.58097599999996</v>
      </c>
      <c r="I228" s="1"/>
      <c r="J228" s="1"/>
      <c r="K228" s="1"/>
      <c r="L228" s="1"/>
      <c r="M228" s="1"/>
      <c r="N228" s="1"/>
      <c r="O228" s="1"/>
      <c r="P228" s="1"/>
      <c r="Q228" s="1"/>
      <c r="R228" s="1"/>
      <c r="S228" s="1"/>
      <c r="T228" s="23" t="str">
        <f t="shared" ref="T228:T232" ca="1" si="27">U228&amp;""&amp;" to "&amp;""&amp;V228</f>
        <v>20202 to 3002</v>
      </c>
      <c r="U228" s="23">
        <f ca="1">U227+1</f>
        <v>20202</v>
      </c>
      <c r="V228" s="23">
        <f ca="1">V227+1</f>
        <v>3002</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86">
        <v>3</v>
      </c>
      <c r="B229" s="86"/>
      <c r="C229" s="53" t="s">
        <v>337</v>
      </c>
      <c r="D229" s="53" t="s">
        <v>345</v>
      </c>
      <c r="E229" s="74">
        <f>(111.764)*10.764</f>
        <v>1203.0276959999999</v>
      </c>
      <c r="F229" s="75">
        <f>(7.341)*10.764</f>
        <v>79.018523999999999</v>
      </c>
      <c r="G229" s="75">
        <v>0</v>
      </c>
      <c r="H229" s="75">
        <f t="shared" si="26"/>
        <v>1282.0462199999999</v>
      </c>
      <c r="I229" s="1"/>
      <c r="J229" s="1"/>
      <c r="K229" s="1"/>
      <c r="L229" s="1"/>
      <c r="M229" s="1"/>
      <c r="N229" s="1"/>
      <c r="O229" s="1"/>
      <c r="P229" s="1"/>
      <c r="Q229" s="1"/>
      <c r="R229" s="1"/>
      <c r="S229" s="1"/>
      <c r="T229" s="23" t="str">
        <f t="shared" ca="1" si="27"/>
        <v>20203 to 3003</v>
      </c>
      <c r="U229" s="23">
        <f t="shared" ref="U229:V232" ca="1" si="28">U228+1</f>
        <v>20203</v>
      </c>
      <c r="V229" s="23">
        <f t="shared" ca="1" si="28"/>
        <v>3003</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86">
        <v>4</v>
      </c>
      <c r="B230" s="86"/>
      <c r="C230" s="53" t="s">
        <v>337</v>
      </c>
      <c r="D230" s="53" t="s">
        <v>345</v>
      </c>
      <c r="E230" s="74">
        <f>(94.985)*10.764</f>
        <v>1022.4185399999999</v>
      </c>
      <c r="F230" s="75">
        <f>(6.723)*10.764</f>
        <v>72.366371999999998</v>
      </c>
      <c r="G230" s="75">
        <v>0</v>
      </c>
      <c r="H230" s="75">
        <f t="shared" si="26"/>
        <v>1094.7849119999998</v>
      </c>
      <c r="I230" s="1"/>
      <c r="J230" s="1"/>
      <c r="K230" s="1"/>
      <c r="L230" s="1"/>
      <c r="M230" s="1"/>
      <c r="N230" s="1"/>
      <c r="O230" s="1"/>
      <c r="P230" s="1"/>
      <c r="Q230" s="1"/>
      <c r="R230" s="1"/>
      <c r="S230" s="1"/>
      <c r="T230" s="23" t="str">
        <f t="shared" ca="1" si="27"/>
        <v>20204 to 3004</v>
      </c>
      <c r="U230" s="23">
        <f t="shared" ca="1" si="28"/>
        <v>20204</v>
      </c>
      <c r="V230" s="23">
        <f t="shared" ca="1" si="28"/>
        <v>3004</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86">
        <v>5</v>
      </c>
      <c r="B231" s="86"/>
      <c r="C231" s="53" t="s">
        <v>337</v>
      </c>
      <c r="D231" s="53" t="s">
        <v>345</v>
      </c>
      <c r="E231" s="74">
        <f>(94.985)*10.764</f>
        <v>1022.4185399999999</v>
      </c>
      <c r="F231" s="75">
        <f>(6.723)*10.764</f>
        <v>72.366371999999998</v>
      </c>
      <c r="G231" s="75">
        <v>0</v>
      </c>
      <c r="H231" s="75">
        <f t="shared" si="26"/>
        <v>1094.7849119999998</v>
      </c>
      <c r="I231" s="1"/>
      <c r="J231" s="1"/>
      <c r="K231" s="1"/>
      <c r="L231" s="1"/>
      <c r="M231" s="1"/>
      <c r="N231" s="1"/>
      <c r="O231" s="1"/>
      <c r="P231" s="1"/>
      <c r="Q231" s="1"/>
      <c r="R231" s="1"/>
      <c r="S231" s="1"/>
      <c r="T231" s="23" t="str">
        <f t="shared" ca="1" si="27"/>
        <v>20205 to 3005</v>
      </c>
      <c r="U231" s="23">
        <f t="shared" ca="1" si="28"/>
        <v>20205</v>
      </c>
      <c r="V231" s="23">
        <f t="shared" ca="1" si="28"/>
        <v>3005</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86">
        <v>6</v>
      </c>
      <c r="B232" s="86"/>
      <c r="C232" s="53" t="s">
        <v>337</v>
      </c>
      <c r="D232" s="53" t="s">
        <v>345</v>
      </c>
      <c r="E232" s="74">
        <f>(111.764)*10.764</f>
        <v>1203.0276959999999</v>
      </c>
      <c r="F232" s="75">
        <f>(7.341)*10.764</f>
        <v>79.018523999999999</v>
      </c>
      <c r="G232" s="75">
        <v>0</v>
      </c>
      <c r="H232" s="75">
        <f t="shared" si="26"/>
        <v>1282.0462199999999</v>
      </c>
      <c r="I232" s="1"/>
      <c r="J232" s="1"/>
      <c r="K232" s="1"/>
      <c r="L232" s="1"/>
      <c r="M232" s="1"/>
      <c r="N232" s="1"/>
      <c r="O232" s="1"/>
      <c r="P232" s="1"/>
      <c r="Q232" s="1"/>
      <c r="R232" s="1"/>
      <c r="S232" s="1"/>
      <c r="T232" s="23" t="str">
        <f t="shared" ca="1" si="27"/>
        <v>20206 to 3006</v>
      </c>
      <c r="U232" s="23">
        <f t="shared" ca="1" si="28"/>
        <v>20206</v>
      </c>
      <c r="V232" s="23">
        <f t="shared" ca="1" si="28"/>
        <v>3006</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x14ac:dyDescent="0.25">
      <c r="A233" s="89" t="s">
        <v>357</v>
      </c>
      <c r="B233" s="90"/>
      <c r="C233" s="90"/>
      <c r="D233" s="90"/>
      <c r="E233" s="90"/>
      <c r="F233" s="90"/>
      <c r="G233" s="90"/>
      <c r="H233" s="91"/>
      <c r="I233" s="77">
        <f>3</f>
        <v>3</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86">
        <v>1</v>
      </c>
      <c r="B234" s="86"/>
      <c r="C234" s="53" t="s">
        <v>337</v>
      </c>
      <c r="D234" s="95" t="s">
        <v>355</v>
      </c>
      <c r="E234" s="96"/>
      <c r="F234" s="96"/>
      <c r="G234" s="96"/>
      <c r="H234" s="97"/>
      <c r="I234" s="1"/>
      <c r="J234" s="1"/>
      <c r="K234" s="1"/>
      <c r="L234" s="1"/>
      <c r="M234" s="1"/>
      <c r="N234" s="1"/>
      <c r="O234" s="1"/>
      <c r="P234" s="1"/>
      <c r="Q234" s="1"/>
      <c r="R234" s="1"/>
      <c r="S234" s="1"/>
      <c r="T234" s="23" t="str">
        <f ca="1">U234&amp;""&amp;" &amp; "&amp;""&amp;V234</f>
        <v>2301 &amp; 3101</v>
      </c>
      <c r="U234" s="23">
        <f ca="1">(SUMPRODUCT(MID(0&amp;(LEFT(A233,SUM(LEN(A233)-LEN(SUBSTITUTE(A233,{"0","1","2","3"},""))))), LARGE(INDEX(ISNUMBER(--MID((LEFT(A233,SUM(LEN(A233)-LEN(SUBSTITUTE(A233,{"0","1","2","3"},""))))), ROW(INDIRECT("1:"&amp;LEN((LEFT(A233,SUM(LEN(A233)-LEN(SUBSTITUTE(A233,{"0","1","2","3"},"")))))))), 1)) * ROW(INDIRECT("1:"&amp;LEN((LEFT(A233,SUM(LEN(A233)-LEN(SUBSTITUTE(A233,{"0","1","2","3"},"")))))))), 0), ROW(INDIRECT("1:"&amp;LEN((LEFT(A233,SUM(LEN(A233)-LEN(SUBSTITUTE(A233,{"0","1","2","3"},"")))))))))+1, 1) * 10^ROW(INDIRECT("1:"&amp;LEN((LEFT(A233,SUM(LEN(A233)-LEN(SUBSTITUTE(A233,{"0","1","2","3"},""))))))))/10))*100+1</f>
        <v>2301</v>
      </c>
      <c r="V234" s="23">
        <f ca="1">(SUMPRODUCT(MID(0&amp;(--TRIM(RIGHT(SUBSTITUTE(LEFT(A233,_xlfn.AGGREGATE(16,6,FIND({0,1,2,3,4,5,6,7,8,9},A233,ROW(INDIRECT("1:"&amp;LEN(A233)))),1)),"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",LEN(A233))),LEN(A233)))))))/10))*100+1</f>
        <v>3101</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86">
        <v>2</v>
      </c>
      <c r="B235" s="86"/>
      <c r="C235" s="53" t="s">
        <v>337</v>
      </c>
      <c r="D235" s="53" t="s">
        <v>354</v>
      </c>
      <c r="E235" s="74">
        <f>(141.675)*10.764</f>
        <v>1524.9897000000001</v>
      </c>
      <c r="F235" s="75">
        <f>(5.245)*10.764</f>
        <v>56.457180000000001</v>
      </c>
      <c r="G235" s="75">
        <v>0</v>
      </c>
      <c r="H235" s="75">
        <f t="shared" ref="H235:H239" si="29">E235+F235+(IF(G235&lt;101,G235,IF(G235&lt;201,G235/2,IF(G235&lt;=301,G235/3,G235/4))))</f>
        <v>1581.4468800000002</v>
      </c>
      <c r="I235" s="1"/>
      <c r="J235" s="1"/>
      <c r="K235" s="1"/>
      <c r="L235" s="1"/>
      <c r="M235" s="1"/>
      <c r="N235" s="1"/>
      <c r="O235" s="1"/>
      <c r="P235" s="1"/>
      <c r="Q235" s="1"/>
      <c r="R235" s="1"/>
      <c r="S235" s="1"/>
      <c r="T235" s="23" t="str">
        <f t="shared" ref="T235:T239" ca="1" si="30">U235&amp;""&amp;" &amp; "&amp;""&amp;V235</f>
        <v>2302 &amp; 3102</v>
      </c>
      <c r="U235" s="23">
        <f ca="1">U234+1</f>
        <v>2302</v>
      </c>
      <c r="V235" s="23">
        <f ca="1">V234+1</f>
        <v>3102</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86">
        <v>3</v>
      </c>
      <c r="B236" s="86"/>
      <c r="C236" s="53" t="s">
        <v>337</v>
      </c>
      <c r="D236" s="53" t="s">
        <v>345</v>
      </c>
      <c r="E236" s="74">
        <f>(111.764)*10.764</f>
        <v>1203.0276959999999</v>
      </c>
      <c r="F236" s="75">
        <f>(7.341)*10.764</f>
        <v>79.018523999999999</v>
      </c>
      <c r="G236" s="75">
        <v>0</v>
      </c>
      <c r="H236" s="75">
        <f t="shared" si="29"/>
        <v>1282.0462199999999</v>
      </c>
      <c r="I236" s="1"/>
      <c r="J236" s="1"/>
      <c r="K236" s="1"/>
      <c r="L236" s="1"/>
      <c r="M236" s="1"/>
      <c r="N236" s="1"/>
      <c r="O236" s="1"/>
      <c r="P236" s="1"/>
      <c r="Q236" s="1"/>
      <c r="R236" s="1"/>
      <c r="S236" s="1"/>
      <c r="T236" s="23" t="str">
        <f t="shared" ca="1" si="30"/>
        <v>2303 &amp; 3103</v>
      </c>
      <c r="U236" s="23">
        <f t="shared" ref="U236:V239" ca="1" si="31">U235+1</f>
        <v>2303</v>
      </c>
      <c r="V236" s="23">
        <f t="shared" ca="1" si="31"/>
        <v>3103</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86">
        <v>4</v>
      </c>
      <c r="B237" s="86"/>
      <c r="C237" s="53" t="s">
        <v>337</v>
      </c>
      <c r="D237" s="53" t="s">
        <v>345</v>
      </c>
      <c r="E237" s="74">
        <f>(94.985)*10.764</f>
        <v>1022.4185399999999</v>
      </c>
      <c r="F237" s="75">
        <f>(6.723)*10.764</f>
        <v>72.366371999999998</v>
      </c>
      <c r="G237" s="75">
        <v>0</v>
      </c>
      <c r="H237" s="75">
        <f t="shared" si="29"/>
        <v>1094.7849119999998</v>
      </c>
      <c r="I237" s="1"/>
      <c r="J237" s="1"/>
      <c r="K237" s="1"/>
      <c r="L237" s="1"/>
      <c r="M237" s="1"/>
      <c r="N237" s="1"/>
      <c r="O237" s="1"/>
      <c r="P237" s="1"/>
      <c r="Q237" s="1"/>
      <c r="R237" s="1"/>
      <c r="S237" s="1"/>
      <c r="T237" s="23" t="str">
        <f t="shared" ca="1" si="30"/>
        <v>2304 &amp; 3104</v>
      </c>
      <c r="U237" s="23">
        <f t="shared" ca="1" si="31"/>
        <v>2304</v>
      </c>
      <c r="V237" s="23">
        <f t="shared" ca="1" si="31"/>
        <v>3104</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86">
        <v>5</v>
      </c>
      <c r="B238" s="86"/>
      <c r="C238" s="53" t="s">
        <v>337</v>
      </c>
      <c r="D238" s="53" t="s">
        <v>345</v>
      </c>
      <c r="E238" s="74">
        <f>(94.985)*10.764</f>
        <v>1022.4185399999999</v>
      </c>
      <c r="F238" s="75">
        <f>(6.723)*10.764</f>
        <v>72.366371999999998</v>
      </c>
      <c r="G238" s="75">
        <v>0</v>
      </c>
      <c r="H238" s="75">
        <f t="shared" si="29"/>
        <v>1094.7849119999998</v>
      </c>
      <c r="I238" s="1"/>
      <c r="J238" s="1"/>
      <c r="K238" s="1"/>
      <c r="L238" s="1"/>
      <c r="M238" s="1"/>
      <c r="N238" s="1"/>
      <c r="O238" s="1"/>
      <c r="P238" s="1"/>
      <c r="Q238" s="1"/>
      <c r="R238" s="1"/>
      <c r="S238" s="1"/>
      <c r="T238" s="23" t="str">
        <f t="shared" ca="1" si="30"/>
        <v>2305 &amp; 3105</v>
      </c>
      <c r="U238" s="23">
        <f t="shared" ca="1" si="31"/>
        <v>2305</v>
      </c>
      <c r="V238" s="23">
        <f t="shared" ca="1" si="31"/>
        <v>3105</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86">
        <v>6</v>
      </c>
      <c r="B239" s="86"/>
      <c r="C239" s="53" t="s">
        <v>337</v>
      </c>
      <c r="D239" s="53" t="s">
        <v>345</v>
      </c>
      <c r="E239" s="74">
        <f>(111.764)*10.764</f>
        <v>1203.0276959999999</v>
      </c>
      <c r="F239" s="75">
        <f>(7.341)*10.764</f>
        <v>79.018523999999999</v>
      </c>
      <c r="G239" s="75">
        <v>0</v>
      </c>
      <c r="H239" s="75">
        <f t="shared" si="29"/>
        <v>1282.0462199999999</v>
      </c>
      <c r="I239" s="1"/>
      <c r="J239" s="1"/>
      <c r="K239" s="1"/>
      <c r="L239" s="1"/>
      <c r="M239" s="1"/>
      <c r="N239" s="1"/>
      <c r="O239" s="1"/>
      <c r="P239" s="1"/>
      <c r="Q239" s="1"/>
      <c r="R239" s="1"/>
      <c r="S239" s="1"/>
      <c r="T239" s="23" t="str">
        <f t="shared" ca="1" si="30"/>
        <v>2306 &amp; 3106</v>
      </c>
      <c r="U239" s="23">
        <f t="shared" ca="1" si="31"/>
        <v>2306</v>
      </c>
      <c r="V239" s="23">
        <f t="shared" ca="1" si="31"/>
        <v>3106</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x14ac:dyDescent="0.25">
      <c r="A240" s="92" t="s">
        <v>358</v>
      </c>
      <c r="B240" s="93"/>
      <c r="C240" s="93"/>
      <c r="D240" s="93"/>
      <c r="E240" s="93"/>
      <c r="F240" s="93"/>
      <c r="G240" s="93"/>
      <c r="H240" s="94"/>
      <c r="I240" s="77">
        <f>16</f>
        <v>16</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86">
        <v>1</v>
      </c>
      <c r="B241" s="86"/>
      <c r="C241" s="53" t="s">
        <v>337</v>
      </c>
      <c r="D241" s="53" t="s">
        <v>345</v>
      </c>
      <c r="E241" s="74">
        <f>(88.704)*10.764</f>
        <v>954.80985599999985</v>
      </c>
      <c r="F241" s="75">
        <f>(2.623)*10.764</f>
        <v>28.233972000000001</v>
      </c>
      <c r="G241" s="75">
        <v>0</v>
      </c>
      <c r="H241" s="75">
        <f>E241+F241+(IF(G241&lt;101,G241,IF(G241&lt;201,G241/2,IF(G241&lt;=301,G241/3,G241/4))))</f>
        <v>983.04382799999985</v>
      </c>
      <c r="I241" s="1">
        <f>26100000/H241</f>
        <v>26550.189581170947</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x14ac:dyDescent="0.25">
      <c r="A242" s="87">
        <f>A241+1</f>
        <v>2</v>
      </c>
      <c r="B242" s="88"/>
      <c r="C242" s="53" t="s">
        <v>337</v>
      </c>
      <c r="D242" s="53" t="s">
        <v>345</v>
      </c>
      <c r="E242" s="74">
        <f>(88.704)*10.764</f>
        <v>954.80985599999985</v>
      </c>
      <c r="F242" s="75">
        <f>(2.623)*10.764</f>
        <v>28.233972000000001</v>
      </c>
      <c r="G242" s="75">
        <v>0</v>
      </c>
      <c r="H242" s="75">
        <f t="shared" ref="H242:H246" si="32">E242+F242+(IF(G242&lt;101,G242,IF(G242&lt;201,G242/2,IF(G242&lt;=301,G242/3,G242/4))))</f>
        <v>983.04382799999985</v>
      </c>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87">
        <f t="shared" ref="A243:A246" si="33">A242+1</f>
        <v>3</v>
      </c>
      <c r="B243" s="88"/>
      <c r="C243" s="53" t="s">
        <v>337</v>
      </c>
      <c r="D243" s="53" t="s">
        <v>345</v>
      </c>
      <c r="E243" s="74">
        <f>(111.764)*10.764</f>
        <v>1203.0276959999999</v>
      </c>
      <c r="F243" s="75">
        <f>(7.341)*10.764</f>
        <v>79.018523999999999</v>
      </c>
      <c r="G243" s="75">
        <v>0</v>
      </c>
      <c r="H243" s="75">
        <f t="shared" si="32"/>
        <v>1282.0462199999999</v>
      </c>
      <c r="I243" s="1">
        <f>35500000/H243</f>
        <v>27690.109331627686</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87">
        <f t="shared" si="33"/>
        <v>4</v>
      </c>
      <c r="B244" s="88"/>
      <c r="C244" s="53" t="s">
        <v>337</v>
      </c>
      <c r="D244" s="53" t="s">
        <v>345</v>
      </c>
      <c r="E244" s="74">
        <f>(94.985)*10.764</f>
        <v>1022.4185399999999</v>
      </c>
      <c r="F244" s="75">
        <f>(6.723)*10.764</f>
        <v>72.366371999999998</v>
      </c>
      <c r="G244" s="75">
        <v>0</v>
      </c>
      <c r="H244" s="75">
        <f t="shared" si="32"/>
        <v>1094.7849119999998</v>
      </c>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87">
        <f t="shared" si="33"/>
        <v>5</v>
      </c>
      <c r="B245" s="88"/>
      <c r="C245" s="53" t="s">
        <v>337</v>
      </c>
      <c r="D245" s="53" t="s">
        <v>345</v>
      </c>
      <c r="E245" s="74">
        <f>(94.985)*10.764</f>
        <v>1022.4185399999999</v>
      </c>
      <c r="F245" s="75">
        <f>(6.723)*10.764</f>
        <v>72.366371999999998</v>
      </c>
      <c r="G245" s="75">
        <v>0</v>
      </c>
      <c r="H245" s="75">
        <f t="shared" si="32"/>
        <v>1094.7849119999998</v>
      </c>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87">
        <f t="shared" si="33"/>
        <v>6</v>
      </c>
      <c r="B246" s="88"/>
      <c r="C246" s="53" t="s">
        <v>337</v>
      </c>
      <c r="D246" s="53" t="s">
        <v>345</v>
      </c>
      <c r="E246" s="74">
        <f>(111.764)*10.764</f>
        <v>1203.0276959999999</v>
      </c>
      <c r="F246" s="75">
        <f>(7.341)*10.764</f>
        <v>79.018523999999999</v>
      </c>
      <c r="G246" s="75">
        <v>0</v>
      </c>
      <c r="H246" s="75">
        <f t="shared" si="32"/>
        <v>1282.0462199999999</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x14ac:dyDescent="0.25">
      <c r="A247" s="89" t="s">
        <v>359</v>
      </c>
      <c r="B247" s="90"/>
      <c r="C247" s="90"/>
      <c r="D247" s="90"/>
      <c r="E247" s="90"/>
      <c r="F247" s="90"/>
      <c r="G247" s="90"/>
      <c r="H247" s="91"/>
      <c r="I247" s="77">
        <f>4</f>
        <v>4</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86">
        <v>1</v>
      </c>
      <c r="B248" s="86"/>
      <c r="C248" s="53" t="s">
        <v>337</v>
      </c>
      <c r="D248" s="95" t="s">
        <v>355</v>
      </c>
      <c r="E248" s="96"/>
      <c r="F248" s="96"/>
      <c r="G248" s="96"/>
      <c r="H248" s="97"/>
      <c r="I248" s="1"/>
      <c r="J248" s="1"/>
      <c r="K248" s="1"/>
      <c r="L248" s="1"/>
      <c r="M248" s="1"/>
      <c r="N248" s="1"/>
      <c r="O248" s="1"/>
      <c r="P248" s="1"/>
      <c r="Q248" s="1"/>
      <c r="R248" s="1"/>
      <c r="S248" s="1"/>
      <c r="T248" s="23" t="str">
        <f t="shared" ref="T248:T253" ca="1" si="34">U248&amp;""&amp;",..,"&amp;""&amp;V248</f>
        <v>3501,..,4701</v>
      </c>
      <c r="U248" s="23">
        <f ca="1">(SUMPRODUCT(MID(0&amp;(LEFT(A247,SUM(LEN(A247)-LEN(SUBSTITUTE(A247,{"0","1","2","3"},""))))), LARGE(INDEX(ISNUMBER(--MID((LEFT(A247,SUM(LEN(A247)-LEN(SUBSTITUTE(A247,{"0","1","2","3"},""))))), ROW(INDIRECT("1:"&amp;LEN((LEFT(A247,SUM(LEN(A247)-LEN(SUBSTITUTE(A247,{"0","1","2","3"},"")))))))), 1)) * ROW(INDIRECT("1:"&amp;LEN((LEFT(A247,SUM(LEN(A247)-LEN(SUBSTITUTE(A247,{"0","1","2","3"},"")))))))), 0), ROW(INDIRECT("1:"&amp;LEN((LEFT(A247,SUM(LEN(A247)-LEN(SUBSTITUTE(A247,{"0","1","2","3"},"")))))))))+1, 1) * 10^ROW(INDIRECT("1:"&amp;LEN((LEFT(A247,SUM(LEN(A247)-LEN(SUBSTITUTE(A247,{"0","1","2","3"},""))))))))/10))*100+1</f>
        <v>3501</v>
      </c>
      <c r="V248" s="23">
        <f ca="1">(SUMPRODUCT(MID(0&amp;(--TRIM(RIGHT(SUBSTITUTE(LEFT(A247,_xlfn.AGGREGATE(16,6,FIND({0,1,2,3,4,5,6,7,8,9},A247,ROW(INDIRECT("1:"&amp;LEN(A247)))),1))," ",REPT(" ",LEN(A247))),LEN(A247)))), LARGE(INDEX(ISNUMBER(--MID((--TRIM(RIGHT(SUBSTITUTE(LEFT(A247,_xlfn.AGGREGATE(16,6,FIND({0,1,2,3,4,5,6,7,8,9},A247,ROW(INDIRECT("1:"&amp;LEN(A247)))),1))," ",REPT(" ",LEN(A247))),LEN(A247)))), ROW(INDIRECT("1:"&amp;LEN((--TRIM(RIGHT(SUBSTITUTE(LEFT(A247,_xlfn.AGGREGATE(16,6,FIND({0,1,2,3,4,5,6,7,8,9},A247,ROW(INDIRECT("1:"&amp;LEN(A247)))),1))," ",REPT(" ",LEN(A247))),LEN(A247))))))), 1)) * ROW(INDIRECT("1:"&amp;LEN((--TRIM(RIGHT(SUBSTITUTE(LEFT(A247,_xlfn.AGGREGATE(16,6,FIND({0,1,2,3,4,5,6,7,8,9},A247,ROW(INDIRECT("1:"&amp;LEN(A247)))),1))," ",REPT(" ",LEN(A247))),LEN(A247))))))), 0), ROW(INDIRECT("1:"&amp;LEN((--TRIM(RIGHT(SUBSTITUTE(LEFT(A247,_xlfn.AGGREGATE(16,6,FIND({0,1,2,3,4,5,6,7,8,9},A247,ROW(INDIRECT("1:"&amp;LEN(A247)))),1))," ",REPT(" ",LEN(A247))),LEN(A247))))))))+1, 1) * 10^ROW(INDIRECT("1:"&amp;LEN((--TRIM(RIGHT(SUBSTITUTE(LEFT(A247,_xlfn.AGGREGATE(16,6,FIND({0,1,2,3,4,5,6,7,8,9},A247,ROW(INDIRECT("1:"&amp;LEN(A247)))),1))," ",REPT(" ",LEN(A247))),LEN(A247)))))))/10))*100+1</f>
        <v>4701</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86">
        <v>2</v>
      </c>
      <c r="B249" s="86"/>
      <c r="C249" s="53" t="s">
        <v>337</v>
      </c>
      <c r="D249" s="53" t="s">
        <v>354</v>
      </c>
      <c r="E249" s="74">
        <f>(141.675)*10.764</f>
        <v>1524.9897000000001</v>
      </c>
      <c r="F249" s="75">
        <f>(5.245)*10.764</f>
        <v>56.457180000000001</v>
      </c>
      <c r="G249" s="75">
        <v>0</v>
      </c>
      <c r="H249" s="75">
        <f t="shared" ref="H249:H253" si="35">E249+F249+(IF(G249&lt;101,G249,IF(G249&lt;201,G249/2,IF(G249&lt;=301,G249/3,G249/4))))</f>
        <v>1581.4468800000002</v>
      </c>
      <c r="I249" s="1"/>
      <c r="J249" s="1"/>
      <c r="K249" s="1"/>
      <c r="L249" s="1"/>
      <c r="M249" s="1"/>
      <c r="N249" s="1"/>
      <c r="O249" s="1"/>
      <c r="P249" s="1"/>
      <c r="Q249" s="1"/>
      <c r="R249" s="1"/>
      <c r="S249" s="1"/>
      <c r="T249" s="23" t="str">
        <f t="shared" ca="1" si="34"/>
        <v>3502,..,4702</v>
      </c>
      <c r="U249" s="23">
        <f ca="1">U248+1</f>
        <v>3502</v>
      </c>
      <c r="V249" s="23">
        <f ca="1">V248+1</f>
        <v>4702</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86">
        <v>3</v>
      </c>
      <c r="B250" s="86"/>
      <c r="C250" s="53" t="s">
        <v>337</v>
      </c>
      <c r="D250" s="53" t="s">
        <v>345</v>
      </c>
      <c r="E250" s="74">
        <f>(111.764)*10.764</f>
        <v>1203.0276959999999</v>
      </c>
      <c r="F250" s="75">
        <f>(7.341)*10.764</f>
        <v>79.018523999999999</v>
      </c>
      <c r="G250" s="75">
        <v>0</v>
      </c>
      <c r="H250" s="75">
        <f>E250+F250+(IF(G250&lt;101,G250,IF(G250&lt;201,G250/2,IF(G250&lt;=301,G250/3,G250/4))))</f>
        <v>1282.0462199999999</v>
      </c>
      <c r="I250" s="1"/>
      <c r="J250" s="1"/>
      <c r="K250" s="1"/>
      <c r="L250" s="1"/>
      <c r="M250" s="1"/>
      <c r="N250" s="1"/>
      <c r="O250" s="1"/>
      <c r="P250" s="1"/>
      <c r="Q250" s="1"/>
      <c r="R250" s="1"/>
      <c r="S250" s="1"/>
      <c r="T250" s="23" t="str">
        <f t="shared" ca="1" si="34"/>
        <v>3503,..,4703</v>
      </c>
      <c r="U250" s="23">
        <f t="shared" ref="U250:V250" ca="1" si="36">U249+1</f>
        <v>3503</v>
      </c>
      <c r="V250" s="23">
        <f t="shared" ca="1" si="36"/>
        <v>4703</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86">
        <v>4</v>
      </c>
      <c r="B251" s="86"/>
      <c r="C251" s="53" t="s">
        <v>337</v>
      </c>
      <c r="D251" s="53" t="s">
        <v>345</v>
      </c>
      <c r="E251" s="74">
        <f>(94.985)*10.764</f>
        <v>1022.4185399999999</v>
      </c>
      <c r="F251" s="75">
        <f>(6.723)*10.764</f>
        <v>72.366371999999998</v>
      </c>
      <c r="G251" s="75">
        <v>0</v>
      </c>
      <c r="H251" s="75">
        <f t="shared" si="35"/>
        <v>1094.7849119999998</v>
      </c>
      <c r="I251" s="1"/>
      <c r="J251" s="1"/>
      <c r="K251" s="1"/>
      <c r="L251" s="1"/>
      <c r="M251" s="1"/>
      <c r="N251" s="1"/>
      <c r="O251" s="1"/>
      <c r="P251" s="1"/>
      <c r="Q251" s="1"/>
      <c r="R251" s="1"/>
      <c r="S251" s="1"/>
      <c r="T251" s="23" t="str">
        <f t="shared" ca="1" si="34"/>
        <v>3504,..,4704</v>
      </c>
      <c r="U251" s="23">
        <f t="shared" ref="U251:V251" ca="1" si="37">U250+1</f>
        <v>3504</v>
      </c>
      <c r="V251" s="23">
        <f t="shared" ca="1" si="37"/>
        <v>4704</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86">
        <v>5</v>
      </c>
      <c r="B252" s="86"/>
      <c r="C252" s="53" t="s">
        <v>337</v>
      </c>
      <c r="D252" s="53" t="s">
        <v>345</v>
      </c>
      <c r="E252" s="74">
        <f>(94.985)*10.764</f>
        <v>1022.4185399999999</v>
      </c>
      <c r="F252" s="75">
        <f>(6.723)*10.764</f>
        <v>72.366371999999998</v>
      </c>
      <c r="G252" s="75">
        <v>0</v>
      </c>
      <c r="H252" s="75">
        <f t="shared" si="35"/>
        <v>1094.7849119999998</v>
      </c>
      <c r="I252" s="1"/>
      <c r="J252" s="1"/>
      <c r="K252" s="1"/>
      <c r="L252" s="1"/>
      <c r="M252" s="1"/>
      <c r="N252" s="1"/>
      <c r="O252" s="1"/>
      <c r="P252" s="1"/>
      <c r="Q252" s="1"/>
      <c r="R252" s="1"/>
      <c r="S252" s="1"/>
      <c r="T252" s="23" t="str">
        <f t="shared" ca="1" si="34"/>
        <v>3505,..,4705</v>
      </c>
      <c r="U252" s="23">
        <f t="shared" ref="U252:V252" ca="1" si="38">U251+1</f>
        <v>3505</v>
      </c>
      <c r="V252" s="23">
        <f t="shared" ca="1" si="38"/>
        <v>4705</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86">
        <v>6</v>
      </c>
      <c r="B253" s="86"/>
      <c r="C253" s="53" t="s">
        <v>337</v>
      </c>
      <c r="D253" s="53" t="s">
        <v>345</v>
      </c>
      <c r="E253" s="74">
        <f>(111.764)*10.764</f>
        <v>1203.0276959999999</v>
      </c>
      <c r="F253" s="75">
        <f>(7.341)*10.764</f>
        <v>79.018523999999999</v>
      </c>
      <c r="G253" s="75">
        <v>0</v>
      </c>
      <c r="H253" s="75">
        <f t="shared" si="35"/>
        <v>1282.0462199999999</v>
      </c>
      <c r="I253" s="1"/>
      <c r="J253" s="1"/>
      <c r="K253" s="1"/>
      <c r="L253" s="1"/>
      <c r="M253" s="1"/>
      <c r="N253" s="1"/>
      <c r="O253" s="1"/>
      <c r="P253" s="1"/>
      <c r="Q253" s="1"/>
      <c r="R253" s="1"/>
      <c r="S253" s="1"/>
      <c r="T253" s="23" t="str">
        <f t="shared" ca="1" si="34"/>
        <v>3506,..,4706</v>
      </c>
      <c r="U253" s="23">
        <f t="shared" ref="U253:V253" ca="1" si="39">U252+1</f>
        <v>3506</v>
      </c>
      <c r="V253" s="23">
        <f t="shared" ca="1" si="39"/>
        <v>4706</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x14ac:dyDescent="0.25">
      <c r="A254" s="89" t="s">
        <v>341</v>
      </c>
      <c r="B254" s="90"/>
      <c r="C254" s="90"/>
      <c r="D254" s="90"/>
      <c r="E254" s="90"/>
      <c r="F254" s="90"/>
      <c r="G254" s="90"/>
      <c r="H254" s="9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x14ac:dyDescent="0.25">
      <c r="A255" s="89" t="s">
        <v>334</v>
      </c>
      <c r="B255" s="90"/>
      <c r="C255" s="90"/>
      <c r="D255" s="90"/>
      <c r="E255" s="90"/>
      <c r="F255" s="90"/>
      <c r="G255" s="90"/>
      <c r="H255" s="9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x14ac:dyDescent="0.25">
      <c r="A256" s="89" t="s">
        <v>343</v>
      </c>
      <c r="B256" s="90"/>
      <c r="C256" s="90"/>
      <c r="D256" s="90"/>
      <c r="E256" s="90"/>
      <c r="F256" s="90"/>
      <c r="G256" s="90"/>
      <c r="H256" s="9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89" t="s">
        <v>344</v>
      </c>
      <c r="B257" s="90"/>
      <c r="C257" s="90"/>
      <c r="D257" s="90"/>
      <c r="E257" s="90"/>
      <c r="F257" s="90"/>
      <c r="G257" s="90"/>
      <c r="H257" s="9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x14ac:dyDescent="0.25">
      <c r="A258" s="89" t="s">
        <v>348</v>
      </c>
      <c r="B258" s="90"/>
      <c r="C258" s="90"/>
      <c r="D258" s="90"/>
      <c r="E258" s="90"/>
      <c r="F258" s="90"/>
      <c r="G258" s="90"/>
      <c r="H258" s="91"/>
      <c r="I258" s="77">
        <f>1</f>
        <v>1</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86">
        <f>1</f>
        <v>1</v>
      </c>
      <c r="B259" s="86"/>
      <c r="C259" s="53" t="s">
        <v>337</v>
      </c>
      <c r="D259" s="53" t="s">
        <v>345</v>
      </c>
      <c r="E259" s="74">
        <f>(88.185)*10.764</f>
        <v>949.22334000000001</v>
      </c>
      <c r="F259" s="75">
        <f>(2.623)*10.764</f>
        <v>28.233972000000001</v>
      </c>
      <c r="G259" s="75">
        <f>(3.35*5)*10.764</f>
        <v>180.297</v>
      </c>
      <c r="H259" s="75">
        <f>E259+F259+(IF(G259&lt;101,G259,IF(G259&lt;201,G259/2,IF(G259&lt;=301,G259/3,G259/4))))</f>
        <v>1067.605812</v>
      </c>
      <c r="I259" s="1"/>
      <c r="J259" s="1"/>
      <c r="K259" s="1"/>
      <c r="L259" s="1"/>
      <c r="M259" s="1"/>
      <c r="N259" s="1"/>
      <c r="O259" s="1"/>
      <c r="P259" s="1"/>
      <c r="Q259" s="1"/>
      <c r="R259" s="1"/>
      <c r="S259" s="1"/>
      <c r="T259" s="23" t="e">
        <f ca="1">U259&amp;""&amp;" to "&amp;""&amp;V259</f>
        <v>#REF!</v>
      </c>
      <c r="U259"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259"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86">
        <f>A259+1</f>
        <v>2</v>
      </c>
      <c r="B260" s="86"/>
      <c r="C260" s="53" t="s">
        <v>337</v>
      </c>
      <c r="D260" s="53" t="s">
        <v>345</v>
      </c>
      <c r="E260" s="74">
        <f>(88.185)*10.764</f>
        <v>949.22334000000001</v>
      </c>
      <c r="F260" s="75">
        <f>(2.623)*10.764</f>
        <v>28.233972000000001</v>
      </c>
      <c r="G260" s="75">
        <f>(3.35*5)*10.764</f>
        <v>180.297</v>
      </c>
      <c r="H260" s="75">
        <f t="shared" ref="H260" si="40">E260+F260+(IF(G260&lt;101,G260,IF(G260&lt;201,G260/2,IF(G260&lt;=301,G260/3,G260/4))))</f>
        <v>1067.605812</v>
      </c>
      <c r="I260" s="1"/>
      <c r="J260" s="1"/>
      <c r="K260" s="1"/>
      <c r="L260" s="1"/>
      <c r="M260" s="1"/>
      <c r="N260" s="1"/>
      <c r="O260" s="1"/>
      <c r="P260" s="1"/>
      <c r="Q260" s="1"/>
      <c r="R260" s="1"/>
      <c r="S260" s="1"/>
      <c r="T260" s="23" t="e">
        <f t="shared" ref="T260:T264" ca="1" si="41">U260&amp;""&amp;" to "&amp;""&amp;V260</f>
        <v>#REF!</v>
      </c>
      <c r="U260" s="23" t="e">
        <f ca="1">U259+1</f>
        <v>#REF!</v>
      </c>
      <c r="V260" s="23" t="e">
        <f ca="1">V259+1</f>
        <v>#REF!</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86">
        <f t="shared" ref="A261:A264" si="42">A260+1</f>
        <v>3</v>
      </c>
      <c r="B261" s="86"/>
      <c r="C261" s="53" t="s">
        <v>337</v>
      </c>
      <c r="D261" s="95" t="s">
        <v>346</v>
      </c>
      <c r="E261" s="96"/>
      <c r="F261" s="96"/>
      <c r="G261" s="96"/>
      <c r="H261" s="97"/>
      <c r="I261" s="1"/>
      <c r="J261" s="1"/>
      <c r="K261" s="1"/>
      <c r="L261" s="1"/>
      <c r="M261" s="1"/>
      <c r="N261" s="1"/>
      <c r="O261" s="1"/>
      <c r="P261" s="1"/>
      <c r="Q261" s="1"/>
      <c r="R261" s="1"/>
      <c r="S261" s="1"/>
      <c r="T261" s="23" t="e">
        <f t="shared" ca="1" si="41"/>
        <v>#REF!</v>
      </c>
      <c r="U261" s="23" t="e">
        <f t="shared" ref="U261:V261" ca="1" si="43">U260+1</f>
        <v>#REF!</v>
      </c>
      <c r="V261" s="23" t="e">
        <f t="shared" ca="1" si="43"/>
        <v>#REF!</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86">
        <f t="shared" si="42"/>
        <v>4</v>
      </c>
      <c r="B262" s="86"/>
      <c r="C262" s="53" t="s">
        <v>337</v>
      </c>
      <c r="D262" s="98" t="s">
        <v>338</v>
      </c>
      <c r="E262" s="99"/>
      <c r="F262" s="99"/>
      <c r="G262" s="99"/>
      <c r="H262" s="100"/>
      <c r="I262" s="1"/>
      <c r="J262" s="1"/>
      <c r="K262" s="1"/>
      <c r="L262" s="1"/>
      <c r="M262" s="1"/>
      <c r="N262" s="1"/>
      <c r="O262" s="1"/>
      <c r="P262" s="1"/>
      <c r="Q262" s="1"/>
      <c r="R262" s="1"/>
      <c r="S262" s="1"/>
      <c r="T262" s="23" t="e">
        <f t="shared" ca="1" si="41"/>
        <v>#REF!</v>
      </c>
      <c r="U262" s="23" t="e">
        <f t="shared" ref="U262:V262" ca="1" si="44">U261+1</f>
        <v>#REF!</v>
      </c>
      <c r="V262" s="23" t="e">
        <f t="shared" ca="1" si="44"/>
        <v>#REF!</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86">
        <f t="shared" si="42"/>
        <v>5</v>
      </c>
      <c r="B263" s="86"/>
      <c r="C263" s="53" t="s">
        <v>337</v>
      </c>
      <c r="D263" s="104"/>
      <c r="E263" s="105"/>
      <c r="F263" s="105"/>
      <c r="G263" s="105"/>
      <c r="H263" s="106"/>
      <c r="I263" s="1"/>
      <c r="J263" s="1"/>
      <c r="K263" s="1"/>
      <c r="L263" s="1"/>
      <c r="M263" s="1"/>
      <c r="N263" s="1"/>
      <c r="O263" s="1"/>
      <c r="P263" s="1"/>
      <c r="Q263" s="1"/>
      <c r="R263" s="1"/>
      <c r="S263" s="1"/>
      <c r="T263" s="23" t="e">
        <f t="shared" ca="1" si="41"/>
        <v>#REF!</v>
      </c>
      <c r="U263" s="23" t="e">
        <f t="shared" ref="U263:V263" ca="1" si="45">U262+1</f>
        <v>#REF!</v>
      </c>
      <c r="V263" s="23" t="e">
        <f t="shared" ca="1" si="45"/>
        <v>#REF!</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86">
        <f t="shared" si="42"/>
        <v>6</v>
      </c>
      <c r="B264" s="86"/>
      <c r="C264" s="53" t="s">
        <v>337</v>
      </c>
      <c r="D264" s="101"/>
      <c r="E264" s="102"/>
      <c r="F264" s="102"/>
      <c r="G264" s="102"/>
      <c r="H264" s="103"/>
      <c r="I264" s="1"/>
      <c r="J264" s="1"/>
      <c r="K264" s="1"/>
      <c r="L264" s="1"/>
      <c r="M264" s="1"/>
      <c r="N264" s="1"/>
      <c r="O264" s="1"/>
      <c r="P264" s="1"/>
      <c r="Q264" s="1"/>
      <c r="R264" s="1"/>
      <c r="S264" s="1"/>
      <c r="T264" s="23" t="e">
        <f t="shared" ca="1" si="41"/>
        <v>#REF!</v>
      </c>
      <c r="U264" s="23" t="e">
        <f t="shared" ref="U264:V264" ca="1" si="46">U263+1</f>
        <v>#REF!</v>
      </c>
      <c r="V264" s="23" t="e">
        <f t="shared" ca="1" si="46"/>
        <v>#REF!</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x14ac:dyDescent="0.25">
      <c r="A265" s="89" t="s">
        <v>335</v>
      </c>
      <c r="B265" s="90"/>
      <c r="C265" s="90"/>
      <c r="D265" s="90"/>
      <c r="E265" s="90"/>
      <c r="F265" s="90"/>
      <c r="G265" s="90"/>
      <c r="H265" s="91"/>
      <c r="I265" s="77">
        <f>1</f>
        <v>1</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86">
        <v>1</v>
      </c>
      <c r="B266" s="86"/>
      <c r="C266" s="53" t="s">
        <v>337</v>
      </c>
      <c r="D266" s="53" t="s">
        <v>345</v>
      </c>
      <c r="E266" s="74">
        <f>(88.185)*10.764</f>
        <v>949.22334000000001</v>
      </c>
      <c r="F266" s="75">
        <f>(2.623)*10.764</f>
        <v>28.233972000000001</v>
      </c>
      <c r="G266" s="75">
        <v>0</v>
      </c>
      <c r="H266" s="75">
        <f>E266+F266+(IF(G266&lt;101,G266,IF(G266&lt;201,G266/2,IF(G266&lt;=301,G266/3,G266/4))))</f>
        <v>977.457312</v>
      </c>
      <c r="I266" s="1"/>
      <c r="J266" s="1"/>
      <c r="K266" s="1"/>
      <c r="L266" s="1"/>
      <c r="M266" s="1"/>
      <c r="N266" s="1"/>
      <c r="O266" s="1"/>
      <c r="P266" s="1"/>
      <c r="Q266" s="1"/>
      <c r="R266" s="1"/>
      <c r="S266" s="1"/>
      <c r="T266" s="23" t="str">
        <f ca="1">U266&amp;""&amp;" &amp; "&amp;""&amp;V266</f>
        <v>201 &amp; 201</v>
      </c>
      <c r="U266" s="23">
        <f ca="1">(SUMPRODUCT(MID(0&amp;(LEFT(A265,SUM(LEN(A265)-LEN(SUBSTITUTE(A265,{"0","1","2","3"},""))))), LARGE(INDEX(ISNUMBER(--MID((LEFT(A265,SUM(LEN(A265)-LEN(SUBSTITUTE(A265,{"0","1","2","3"},""))))), ROW(INDIRECT("1:"&amp;LEN((LEFT(A265,SUM(LEN(A265)-LEN(SUBSTITUTE(A265,{"0","1","2","3"},"")))))))), 1)) * ROW(INDIRECT("1:"&amp;LEN((LEFT(A265,SUM(LEN(A265)-LEN(SUBSTITUTE(A265,{"0","1","2","3"},"")))))))), 0), ROW(INDIRECT("1:"&amp;LEN((LEFT(A265,SUM(LEN(A265)-LEN(SUBSTITUTE(A265,{"0","1","2","3"},"")))))))))+1, 1) * 10^ROW(INDIRECT("1:"&amp;LEN((LEFT(A265,SUM(LEN(A265)-LEN(SUBSTITUTE(A265,{"0","1","2","3"},""))))))))/10))*100+1</f>
        <v>201</v>
      </c>
      <c r="V266" s="23">
        <f ca="1">(SUMPRODUCT(MID(0&amp;(--TRIM(RIGHT(SUBSTITUTE(LEFT(A265,_xlfn.AGGREGATE(16,6,FIND({0,1,2,3,4,5,6,7,8,9},A265,ROW(INDIRECT("1:"&amp;LEN(A265)))),1))," ",REPT(" ",LEN(A265))),LEN(A265)))), LARGE(INDEX(ISNUMBER(--MID((--TRIM(RIGHT(SUBSTITUTE(LEFT(A265,_xlfn.AGGREGATE(16,6,FIND({0,1,2,3,4,5,6,7,8,9},A265,ROW(INDIRECT("1:"&amp;LEN(A265)))),1))," ",REPT(" ",LEN(A265))),LEN(A265)))), ROW(INDIRECT("1:"&amp;LEN((--TRIM(RIGHT(SUBSTITUTE(LEFT(A265,_xlfn.AGGREGATE(16,6,FIND({0,1,2,3,4,5,6,7,8,9},A265,ROW(INDIRECT("1:"&amp;LEN(A265)))),1))," ",REPT(" ",LEN(A265))),LEN(A265))))))), 1)) * ROW(INDIRECT("1:"&amp;LEN((--TRIM(RIGHT(SUBSTITUTE(LEFT(A265,_xlfn.AGGREGATE(16,6,FIND({0,1,2,3,4,5,6,7,8,9},A265,ROW(INDIRECT("1:"&amp;LEN(A265)))),1))," ",REPT(" ",LEN(A265))),LEN(A265))))))), 0), ROW(INDIRECT("1:"&amp;LEN((--TRIM(RIGHT(SUBSTITUTE(LEFT(A265,_xlfn.AGGREGATE(16,6,FIND({0,1,2,3,4,5,6,7,8,9},A265,ROW(INDIRECT("1:"&amp;LEN(A265)))),1))," ",REPT(" ",LEN(A265))),LEN(A265))))))))+1, 1) * 10^ROW(INDIRECT("1:"&amp;LEN((--TRIM(RIGHT(SUBSTITUTE(LEFT(A265,_xlfn.AGGREGATE(16,6,FIND({0,1,2,3,4,5,6,7,8,9},A265,ROW(INDIRECT("1:"&amp;LEN(A265)))),1))," ",REPT(" ",LEN(A265))),LEN(A265)))))))/10))*100+1</f>
        <v>201</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86">
        <v>2</v>
      </c>
      <c r="B267" s="86"/>
      <c r="C267" s="53" t="s">
        <v>337</v>
      </c>
      <c r="D267" s="53" t="s">
        <v>345</v>
      </c>
      <c r="E267" s="74">
        <f>(88.185)*10.764</f>
        <v>949.22334000000001</v>
      </c>
      <c r="F267" s="75">
        <f>(2.623)*10.764</f>
        <v>28.233972000000001</v>
      </c>
      <c r="G267" s="75">
        <v>0</v>
      </c>
      <c r="H267" s="75">
        <f t="shared" ref="H267" si="47">E267+F267+(IF(G267&lt;101,G267,IF(G267&lt;201,G267/2,IF(G267&lt;=301,G267/3,G267/4))))</f>
        <v>977.457312</v>
      </c>
      <c r="I267" s="1"/>
      <c r="J267" s="1"/>
      <c r="K267" s="1"/>
      <c r="L267" s="1"/>
      <c r="M267" s="1"/>
      <c r="N267" s="1"/>
      <c r="O267" s="1"/>
      <c r="P267" s="1"/>
      <c r="Q267" s="1"/>
      <c r="R267" s="1"/>
      <c r="S267" s="1"/>
      <c r="T267" s="23" t="str">
        <f t="shared" ref="T267:T271" ca="1" si="48">U267&amp;""&amp;" &amp; "&amp;""&amp;V267</f>
        <v>202 &amp; 202</v>
      </c>
      <c r="U267" s="23">
        <f ca="1">U266+1</f>
        <v>202</v>
      </c>
      <c r="V267" s="23">
        <f ca="1">V266+1</f>
        <v>202</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86">
        <v>3</v>
      </c>
      <c r="B268" s="86"/>
      <c r="C268" s="53" t="s">
        <v>337</v>
      </c>
      <c r="D268" s="98" t="s">
        <v>347</v>
      </c>
      <c r="E268" s="99"/>
      <c r="F268" s="99"/>
      <c r="G268" s="99"/>
      <c r="H268" s="100"/>
      <c r="I268" s="1"/>
      <c r="J268" s="1"/>
      <c r="K268" s="1"/>
      <c r="L268" s="1"/>
      <c r="M268" s="1"/>
      <c r="N268" s="1"/>
      <c r="O268" s="1"/>
      <c r="P268" s="1"/>
      <c r="Q268" s="1"/>
      <c r="R268" s="1"/>
      <c r="S268" s="1"/>
      <c r="T268" s="23" t="str">
        <f t="shared" ca="1" si="48"/>
        <v>203 &amp; 203</v>
      </c>
      <c r="U268" s="23">
        <f t="shared" ref="U268:V268" ca="1" si="49">U267+1</f>
        <v>203</v>
      </c>
      <c r="V268" s="23">
        <f t="shared" ca="1" si="49"/>
        <v>203</v>
      </c>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25">
      <c r="A269" s="86">
        <v>4</v>
      </c>
      <c r="B269" s="86"/>
      <c r="C269" s="53" t="s">
        <v>337</v>
      </c>
      <c r="D269" s="104"/>
      <c r="E269" s="105"/>
      <c r="F269" s="105"/>
      <c r="G269" s="105"/>
      <c r="H269" s="106"/>
      <c r="I269" s="1"/>
      <c r="J269" s="1"/>
      <c r="K269" s="1"/>
      <c r="L269" s="1"/>
      <c r="M269" s="1"/>
      <c r="N269" s="1"/>
      <c r="O269" s="1"/>
      <c r="P269" s="1"/>
      <c r="Q269" s="1"/>
      <c r="R269" s="1"/>
      <c r="S269" s="1"/>
      <c r="T269" s="23" t="str">
        <f t="shared" ca="1" si="48"/>
        <v>204 &amp; 204</v>
      </c>
      <c r="U269" s="23">
        <f t="shared" ref="U269:V269" ca="1" si="50">U268+1</f>
        <v>204</v>
      </c>
      <c r="V269" s="23">
        <f t="shared" ca="1" si="50"/>
        <v>204</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86">
        <v>5</v>
      </c>
      <c r="B270" s="86"/>
      <c r="C270" s="53" t="s">
        <v>337</v>
      </c>
      <c r="D270" s="104"/>
      <c r="E270" s="105"/>
      <c r="F270" s="105"/>
      <c r="G270" s="105"/>
      <c r="H270" s="106"/>
      <c r="I270" s="1"/>
      <c r="J270" s="1"/>
      <c r="K270" s="1"/>
      <c r="L270" s="1"/>
      <c r="M270" s="1"/>
      <c r="N270" s="1"/>
      <c r="O270" s="1"/>
      <c r="P270" s="1"/>
      <c r="Q270" s="1"/>
      <c r="R270" s="1"/>
      <c r="S270" s="1"/>
      <c r="T270" s="23" t="str">
        <f t="shared" ca="1" si="48"/>
        <v>205 &amp; 205</v>
      </c>
      <c r="U270" s="23">
        <f t="shared" ref="U270:V270" ca="1" si="51">U269+1</f>
        <v>205</v>
      </c>
      <c r="V270" s="23">
        <f t="shared" ca="1" si="51"/>
        <v>205</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25">
      <c r="A271" s="86">
        <v>6</v>
      </c>
      <c r="B271" s="86"/>
      <c r="C271" s="53" t="s">
        <v>337</v>
      </c>
      <c r="D271" s="101"/>
      <c r="E271" s="102"/>
      <c r="F271" s="102"/>
      <c r="G271" s="102"/>
      <c r="H271" s="103"/>
      <c r="I271" s="1"/>
      <c r="J271" s="1"/>
      <c r="K271" s="1"/>
      <c r="L271" s="1"/>
      <c r="M271" s="1"/>
      <c r="N271" s="1"/>
      <c r="O271" s="1"/>
      <c r="P271" s="1"/>
      <c r="Q271" s="1"/>
      <c r="R271" s="1"/>
      <c r="S271" s="1"/>
      <c r="T271" s="23" t="str">
        <f t="shared" ca="1" si="48"/>
        <v>206 &amp; 206</v>
      </c>
      <c r="U271" s="23">
        <f t="shared" ref="U271:V271" ca="1" si="52">U270+1</f>
        <v>206</v>
      </c>
      <c r="V271" s="23">
        <f t="shared" ca="1" si="52"/>
        <v>206</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x14ac:dyDescent="0.25">
      <c r="A272" s="92" t="s">
        <v>360</v>
      </c>
      <c r="B272" s="93"/>
      <c r="C272" s="93"/>
      <c r="D272" s="93"/>
      <c r="E272" s="93"/>
      <c r="F272" s="93"/>
      <c r="G272" s="93"/>
      <c r="H272" s="94"/>
      <c r="I272" s="77">
        <f>1</f>
        <v>1</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x14ac:dyDescent="0.25">
      <c r="A273" s="86">
        <v>1</v>
      </c>
      <c r="B273" s="86"/>
      <c r="C273" s="53" t="s">
        <v>337</v>
      </c>
      <c r="D273" s="53" t="s">
        <v>345</v>
      </c>
      <c r="E273" s="74">
        <f>(88.185)*10.764</f>
        <v>949.22334000000001</v>
      </c>
      <c r="F273" s="75">
        <f>(2.623)*10.764</f>
        <v>28.233972000000001</v>
      </c>
      <c r="G273" s="75">
        <v>0</v>
      </c>
      <c r="H273" s="75">
        <f>E273+F273+(IF(G273&lt;101,G273,IF(G273&lt;201,G273/2,IF(G273&lt;=301,G273/3,G273/4))))</f>
        <v>977.457312</v>
      </c>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x14ac:dyDescent="0.25">
      <c r="A274" s="87">
        <f>A273+1</f>
        <v>2</v>
      </c>
      <c r="B274" s="88"/>
      <c r="C274" s="53" t="s">
        <v>337</v>
      </c>
      <c r="D274" s="53" t="s">
        <v>345</v>
      </c>
      <c r="E274" s="74">
        <f>(88.185)*10.764</f>
        <v>949.22334000000001</v>
      </c>
      <c r="F274" s="75">
        <f>(2.623)*10.764</f>
        <v>28.233972000000001</v>
      </c>
      <c r="G274" s="75">
        <v>0</v>
      </c>
      <c r="H274" s="75">
        <f t="shared" ref="H274:H282" si="53">E274+F274+(IF(G274&lt;101,G274,IF(G274&lt;201,G274/2,IF(G274&lt;=301,G274/3,G274/4))))</f>
        <v>977.457312</v>
      </c>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x14ac:dyDescent="0.25">
      <c r="A275" s="87">
        <f t="shared" ref="A275:A285" si="54">A274+1</f>
        <v>3</v>
      </c>
      <c r="B275" s="88"/>
      <c r="C275" s="53" t="s">
        <v>337</v>
      </c>
      <c r="D275" s="53" t="s">
        <v>345</v>
      </c>
      <c r="E275" s="74">
        <f>(111.163)*10.764</f>
        <v>1196.5585319999998</v>
      </c>
      <c r="F275" s="75">
        <f>(7.341)*10.764</f>
        <v>79.018523999999999</v>
      </c>
      <c r="G275" s="75">
        <v>0</v>
      </c>
      <c r="H275" s="75">
        <f t="shared" si="53"/>
        <v>1275.5770559999999</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25">
      <c r="A276" s="87">
        <f t="shared" si="54"/>
        <v>4</v>
      </c>
      <c r="B276" s="88"/>
      <c r="C276" s="53" t="s">
        <v>337</v>
      </c>
      <c r="D276" s="98" t="s">
        <v>362</v>
      </c>
      <c r="E276" s="99"/>
      <c r="F276" s="99"/>
      <c r="G276" s="99"/>
      <c r="H276" s="100"/>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25">
      <c r="A277" s="87">
        <f t="shared" si="54"/>
        <v>5</v>
      </c>
      <c r="B277" s="88"/>
      <c r="C277" s="53" t="s">
        <v>337</v>
      </c>
      <c r="D277" s="101"/>
      <c r="E277" s="102"/>
      <c r="F277" s="102"/>
      <c r="G277" s="102"/>
      <c r="H277" s="103"/>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87">
        <f t="shared" si="54"/>
        <v>6</v>
      </c>
      <c r="B278" s="88"/>
      <c r="C278" s="53" t="s">
        <v>337</v>
      </c>
      <c r="D278" s="95" t="s">
        <v>361</v>
      </c>
      <c r="E278" s="96"/>
      <c r="F278" s="96"/>
      <c r="G278" s="96"/>
      <c r="H278" s="97"/>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x14ac:dyDescent="0.25">
      <c r="A279" s="92" t="s">
        <v>339</v>
      </c>
      <c r="B279" s="93"/>
      <c r="C279" s="93"/>
      <c r="D279" s="93"/>
      <c r="E279" s="93"/>
      <c r="F279" s="93"/>
      <c r="G279" s="93"/>
      <c r="H279" s="94"/>
      <c r="I279" s="77">
        <f>1</f>
        <v>1</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25">
      <c r="A280" s="87">
        <v>1</v>
      </c>
      <c r="B280" s="88"/>
      <c r="C280" s="53" t="s">
        <v>337</v>
      </c>
      <c r="D280" s="53" t="s">
        <v>345</v>
      </c>
      <c r="E280" s="74">
        <f>(88.185)*10.764</f>
        <v>949.22334000000001</v>
      </c>
      <c r="F280" s="75">
        <f>(2.623)*10.764</f>
        <v>28.233972000000001</v>
      </c>
      <c r="G280" s="75">
        <v>0</v>
      </c>
      <c r="H280" s="75">
        <f t="shared" si="53"/>
        <v>977.457312</v>
      </c>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87">
        <f t="shared" si="54"/>
        <v>2</v>
      </c>
      <c r="B281" s="88"/>
      <c r="C281" s="53" t="s">
        <v>337</v>
      </c>
      <c r="D281" s="53" t="s">
        <v>345</v>
      </c>
      <c r="E281" s="74">
        <f>(88.185)*10.764</f>
        <v>949.22334000000001</v>
      </c>
      <c r="F281" s="75">
        <f>(2.623)*10.764</f>
        <v>28.233972000000001</v>
      </c>
      <c r="G281" s="75">
        <v>0</v>
      </c>
      <c r="H281" s="75">
        <f t="shared" si="53"/>
        <v>977.457312</v>
      </c>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87">
        <f t="shared" si="54"/>
        <v>3</v>
      </c>
      <c r="B282" s="88"/>
      <c r="C282" s="53" t="s">
        <v>337</v>
      </c>
      <c r="D282" s="53" t="s">
        <v>345</v>
      </c>
      <c r="E282" s="74">
        <f>(111.163)*10.764</f>
        <v>1196.5585319999998</v>
      </c>
      <c r="F282" s="75">
        <f>(7.341)*10.764</f>
        <v>79.018523999999999</v>
      </c>
      <c r="G282" s="75">
        <v>0</v>
      </c>
      <c r="H282" s="75">
        <f t="shared" si="53"/>
        <v>1275.5770559999999</v>
      </c>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25">
      <c r="A283" s="87">
        <f t="shared" si="54"/>
        <v>4</v>
      </c>
      <c r="B283" s="88"/>
      <c r="C283" s="53" t="s">
        <v>337</v>
      </c>
      <c r="D283" s="98" t="s">
        <v>363</v>
      </c>
      <c r="E283" s="99"/>
      <c r="F283" s="99"/>
      <c r="G283" s="99"/>
      <c r="H283" s="100"/>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25">
      <c r="A284" s="87">
        <f t="shared" si="54"/>
        <v>5</v>
      </c>
      <c r="B284" s="88"/>
      <c r="C284" s="53" t="s">
        <v>337</v>
      </c>
      <c r="D284" s="101"/>
      <c r="E284" s="102"/>
      <c r="F284" s="102"/>
      <c r="G284" s="102"/>
      <c r="H284" s="103"/>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87">
        <f t="shared" si="54"/>
        <v>6</v>
      </c>
      <c r="B285" s="88"/>
      <c r="C285" s="53" t="s">
        <v>337</v>
      </c>
      <c r="D285" s="53" t="s">
        <v>345</v>
      </c>
      <c r="E285" s="74">
        <f>(111.163)*10.764</f>
        <v>1196.5585319999998</v>
      </c>
      <c r="F285" s="75">
        <f>(7.341)*10.764</f>
        <v>79.018523999999999</v>
      </c>
      <c r="G285" s="75">
        <v>0</v>
      </c>
      <c r="H285" s="75">
        <f t="shared" ref="H285" si="55">E285+F285+(IF(G285&lt;101,G285,IF(G285&lt;201,G285/2,IF(G285&lt;=301,G285/3,G285/4))))</f>
        <v>1275.5770559999999</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x14ac:dyDescent="0.25">
      <c r="A286" s="89" t="s">
        <v>352</v>
      </c>
      <c r="B286" s="90"/>
      <c r="C286" s="90"/>
      <c r="D286" s="90"/>
      <c r="E286" s="90"/>
      <c r="F286" s="90"/>
      <c r="G286" s="90"/>
      <c r="H286" s="91"/>
      <c r="I286" s="77">
        <f>11</f>
        <v>11</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86">
        <v>1</v>
      </c>
      <c r="B287" s="86"/>
      <c r="C287" s="53" t="s">
        <v>337</v>
      </c>
      <c r="D287" s="75" t="s">
        <v>345</v>
      </c>
      <c r="E287" s="75">
        <f>(88.4)*10.764</f>
        <v>951.5376</v>
      </c>
      <c r="F287" s="75">
        <f>(2.623)*10.764</f>
        <v>28.233972000000001</v>
      </c>
      <c r="G287" s="75">
        <v>0</v>
      </c>
      <c r="H287" s="75">
        <f>E287+F287+(IF(G287&lt;101,G287,IF(G287&lt;201,G287/2,IF(G287&lt;=301,G287/3,G287/4))))</f>
        <v>979.77157199999999</v>
      </c>
      <c r="I287" s="1"/>
      <c r="J287" s="1"/>
      <c r="K287" s="1"/>
      <c r="L287" s="1"/>
      <c r="M287" s="1"/>
      <c r="N287" s="1"/>
      <c r="O287" s="1"/>
      <c r="P287" s="1"/>
      <c r="Q287" s="1"/>
      <c r="R287" s="1"/>
      <c r="S287" s="1"/>
      <c r="T287" s="23" t="str">
        <f t="shared" ref="T287:T292" ca="1" si="56">U287&amp;""&amp;",..,"&amp;""&amp;V287</f>
        <v>5701,..,1801</v>
      </c>
      <c r="U287" s="23">
        <f ca="1">(SUMPRODUCT(MID(0&amp;(LEFT(A286,SUM(LEN(A286)-LEN(SUBSTITUTE(A286,{"0","1","2","3"},""))))), LARGE(INDEX(ISNUMBER(--MID((LEFT(A286,SUM(LEN(A286)-LEN(SUBSTITUTE(A286,{"0","1","2","3"},""))))), ROW(INDIRECT("1:"&amp;LEN((LEFT(A286,SUM(LEN(A286)-LEN(SUBSTITUTE(A286,{"0","1","2","3"},"")))))))), 1)) * ROW(INDIRECT("1:"&amp;LEN((LEFT(A286,SUM(LEN(A286)-LEN(SUBSTITUTE(A286,{"0","1","2","3"},"")))))))), 0), ROW(INDIRECT("1:"&amp;LEN((LEFT(A286,SUM(LEN(A286)-LEN(SUBSTITUTE(A286,{"0","1","2","3"},"")))))))))+1, 1) * 10^ROW(INDIRECT("1:"&amp;LEN((LEFT(A286,SUM(LEN(A286)-LEN(SUBSTITUTE(A286,{"0","1","2","3"},""))))))))/10))*100+1</f>
        <v>5701</v>
      </c>
      <c r="V287" s="23">
        <f ca="1">(SUMPRODUCT(MID(0&amp;(--TRIM(RIGHT(SUBSTITUTE(LEFT(A286,_xlfn.AGGREGATE(16,6,FIND({0,1,2,3,4,5,6,7,8,9},A286,ROW(INDIRECT("1:"&amp;LEN(A286)))),1))," ",REPT(" ",LEN(A286))),LEN(A286)))), LARGE(INDEX(ISNUMBER(--MID((--TRIM(RIGHT(SUBSTITUTE(LEFT(A286,_xlfn.AGGREGATE(16,6,FIND({0,1,2,3,4,5,6,7,8,9},A286,ROW(INDIRECT("1:"&amp;LEN(A286)))),1))," ",REPT(" ",LEN(A286))),LEN(A286)))), ROW(INDIRECT("1:"&amp;LEN((--TRIM(RIGHT(SUBSTITUTE(LEFT(A286,_xlfn.AGGREGATE(16,6,FIND({0,1,2,3,4,5,6,7,8,9},A286,ROW(INDIRECT("1:"&amp;LEN(A286)))),1))," ",REPT(" ",LEN(A286))),LEN(A286))))))), 1)) * ROW(INDIRECT("1:"&amp;LEN((--TRIM(RIGHT(SUBSTITUTE(LEFT(A286,_xlfn.AGGREGATE(16,6,FIND({0,1,2,3,4,5,6,7,8,9},A286,ROW(INDIRECT("1:"&amp;LEN(A286)))),1))," ",REPT(" ",LEN(A286))),LEN(A286))))))), 0), ROW(INDIRECT("1:"&amp;LEN((--TRIM(RIGHT(SUBSTITUTE(LEFT(A286,_xlfn.AGGREGATE(16,6,FIND({0,1,2,3,4,5,6,7,8,9},A286,ROW(INDIRECT("1:"&amp;LEN(A286)))),1))," ",REPT(" ",LEN(A286))),LEN(A286))))))))+1, 1) * 10^ROW(INDIRECT("1:"&amp;LEN((--TRIM(RIGHT(SUBSTITUTE(LEFT(A286,_xlfn.AGGREGATE(16,6,FIND({0,1,2,3,4,5,6,7,8,9},A286,ROW(INDIRECT("1:"&amp;LEN(A286)))),1))," ",REPT(" ",LEN(A286))),LEN(A286)))))))/10))*100+1</f>
        <v>1801</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86">
        <v>2</v>
      </c>
      <c r="B288" s="86"/>
      <c r="C288" s="53" t="s">
        <v>337</v>
      </c>
      <c r="D288" s="75" t="s">
        <v>345</v>
      </c>
      <c r="E288" s="75">
        <f>(88.4)*10.764</f>
        <v>951.5376</v>
      </c>
      <c r="F288" s="75">
        <f>(2.623)*10.764</f>
        <v>28.233972000000001</v>
      </c>
      <c r="G288" s="75">
        <v>0</v>
      </c>
      <c r="H288" s="75">
        <f t="shared" ref="H288:H292" si="57">E288+F288+(IF(G288&lt;101,G288,IF(G288&lt;201,G288/2,IF(G288&lt;=301,G288/3,G288/4))))</f>
        <v>979.77157199999999</v>
      </c>
      <c r="I288" s="1"/>
      <c r="J288" s="1"/>
      <c r="K288" s="1"/>
      <c r="L288" s="1"/>
      <c r="M288" s="1"/>
      <c r="N288" s="1"/>
      <c r="O288" s="1"/>
      <c r="P288" s="1"/>
      <c r="Q288" s="1"/>
      <c r="R288" s="1"/>
      <c r="S288" s="1"/>
      <c r="T288" s="23" t="str">
        <f t="shared" ca="1" si="56"/>
        <v>5702,..,1802</v>
      </c>
      <c r="U288" s="23">
        <f ca="1">U287+1</f>
        <v>5702</v>
      </c>
      <c r="V288" s="23">
        <f ca="1">V287+1</f>
        <v>1802</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86">
        <v>3</v>
      </c>
      <c r="B289" s="86"/>
      <c r="C289" s="53" t="s">
        <v>337</v>
      </c>
      <c r="D289" s="75" t="s">
        <v>345</v>
      </c>
      <c r="E289" s="75">
        <f>(111.163)*10.764</f>
        <v>1196.5585319999998</v>
      </c>
      <c r="F289" s="75">
        <f>(7.341)*10.764</f>
        <v>79.018523999999999</v>
      </c>
      <c r="G289" s="75">
        <v>0</v>
      </c>
      <c r="H289" s="75">
        <f t="shared" si="57"/>
        <v>1275.5770559999999</v>
      </c>
      <c r="I289" s="1"/>
      <c r="J289" s="1"/>
      <c r="K289" s="1"/>
      <c r="L289" s="1"/>
      <c r="M289" s="1"/>
      <c r="N289" s="1"/>
      <c r="O289" s="1"/>
      <c r="P289" s="1"/>
      <c r="Q289" s="1"/>
      <c r="R289" s="1"/>
      <c r="S289" s="1"/>
      <c r="T289" s="23" t="str">
        <f t="shared" ca="1" si="56"/>
        <v>5703,..,1803</v>
      </c>
      <c r="U289" s="23">
        <f t="shared" ref="U289:V289" ca="1" si="58">U288+1</f>
        <v>5703</v>
      </c>
      <c r="V289" s="23">
        <f t="shared" ca="1" si="58"/>
        <v>1803</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86">
        <v>4</v>
      </c>
      <c r="B290" s="86"/>
      <c r="C290" s="53" t="s">
        <v>337</v>
      </c>
      <c r="D290" s="75" t="s">
        <v>345</v>
      </c>
      <c r="E290" s="75">
        <f>(94.515)*10.764</f>
        <v>1017.3594599999999</v>
      </c>
      <c r="F290" s="75">
        <f>(6.723)*10.764</f>
        <v>72.366371999999998</v>
      </c>
      <c r="G290" s="75">
        <v>0</v>
      </c>
      <c r="H290" s="75">
        <f t="shared" si="57"/>
        <v>1089.7258319999999</v>
      </c>
      <c r="I290" s="1"/>
      <c r="J290" s="1"/>
      <c r="K290" s="1"/>
      <c r="L290" s="1"/>
      <c r="M290" s="1"/>
      <c r="N290" s="1"/>
      <c r="O290" s="1"/>
      <c r="P290" s="1"/>
      <c r="Q290" s="1"/>
      <c r="R290" s="1"/>
      <c r="S290" s="1"/>
      <c r="T290" s="23" t="str">
        <f t="shared" ca="1" si="56"/>
        <v>5704,..,1804</v>
      </c>
      <c r="U290" s="23">
        <f t="shared" ref="U290:V290" ca="1" si="59">U289+1</f>
        <v>5704</v>
      </c>
      <c r="V290" s="23">
        <f t="shared" ca="1" si="59"/>
        <v>1804</v>
      </c>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86">
        <v>5</v>
      </c>
      <c r="B291" s="86"/>
      <c r="C291" s="53" t="s">
        <v>337</v>
      </c>
      <c r="D291" s="75" t="s">
        <v>345</v>
      </c>
      <c r="E291" s="75">
        <f>(94.515)*10.764</f>
        <v>1017.3594599999999</v>
      </c>
      <c r="F291" s="75">
        <f>(6.723)*10.764</f>
        <v>72.366371999999998</v>
      </c>
      <c r="G291" s="75">
        <v>0</v>
      </c>
      <c r="H291" s="75">
        <f t="shared" si="57"/>
        <v>1089.7258319999999</v>
      </c>
      <c r="I291" s="1"/>
      <c r="J291" s="1"/>
      <c r="K291" s="1"/>
      <c r="L291" s="1"/>
      <c r="M291" s="1"/>
      <c r="N291" s="1"/>
      <c r="O291" s="1"/>
      <c r="P291" s="1"/>
      <c r="Q291" s="1"/>
      <c r="R291" s="1"/>
      <c r="S291" s="1"/>
      <c r="T291" s="23" t="str">
        <f t="shared" ca="1" si="56"/>
        <v>5705,..,1805</v>
      </c>
      <c r="U291" s="23">
        <f t="shared" ref="U291:V291" ca="1" si="60">U290+1</f>
        <v>5705</v>
      </c>
      <c r="V291" s="23">
        <f t="shared" ca="1" si="60"/>
        <v>1805</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25">
      <c r="A292" s="86">
        <v>6</v>
      </c>
      <c r="B292" s="86"/>
      <c r="C292" s="53" t="s">
        <v>337</v>
      </c>
      <c r="D292" s="75" t="s">
        <v>345</v>
      </c>
      <c r="E292" s="75">
        <f>(111.163)*10.764</f>
        <v>1196.5585319999998</v>
      </c>
      <c r="F292" s="75">
        <f>(7.341)*10.764</f>
        <v>79.018523999999999</v>
      </c>
      <c r="G292" s="75">
        <v>0</v>
      </c>
      <c r="H292" s="75">
        <f t="shared" si="57"/>
        <v>1275.5770559999999</v>
      </c>
      <c r="I292" s="1"/>
      <c r="J292" s="1"/>
      <c r="K292" s="1"/>
      <c r="L292" s="1"/>
      <c r="M292" s="1"/>
      <c r="N292" s="1"/>
      <c r="O292" s="1"/>
      <c r="P292" s="1"/>
      <c r="Q292" s="1"/>
      <c r="R292" s="1"/>
      <c r="S292" s="1"/>
      <c r="T292" s="23" t="str">
        <f t="shared" ca="1" si="56"/>
        <v>5706,..,1806</v>
      </c>
      <c r="U292" s="23">
        <f t="shared" ref="U292:V292" ca="1" si="61">U291+1</f>
        <v>5706</v>
      </c>
      <c r="V292" s="23">
        <f t="shared" ca="1" si="61"/>
        <v>1806</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x14ac:dyDescent="0.25">
      <c r="A293" s="89" t="s">
        <v>353</v>
      </c>
      <c r="B293" s="90"/>
      <c r="C293" s="90"/>
      <c r="D293" s="90"/>
      <c r="E293" s="90"/>
      <c r="F293" s="90"/>
      <c r="G293" s="90"/>
      <c r="H293" s="91"/>
      <c r="I293" s="77">
        <f>4</f>
        <v>4</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86">
        <v>1</v>
      </c>
      <c r="B294" s="86"/>
      <c r="C294" s="53" t="s">
        <v>337</v>
      </c>
      <c r="D294" s="95" t="s">
        <v>355</v>
      </c>
      <c r="E294" s="96"/>
      <c r="F294" s="96"/>
      <c r="G294" s="96"/>
      <c r="H294" s="97"/>
      <c r="I294" s="1"/>
      <c r="J294" s="1"/>
      <c r="K294" s="1"/>
      <c r="L294" s="1"/>
      <c r="M294" s="1"/>
      <c r="N294" s="1"/>
      <c r="O294" s="1"/>
      <c r="P294" s="1"/>
      <c r="Q294" s="1"/>
      <c r="R294" s="1"/>
      <c r="S294" s="1"/>
      <c r="T294" s="23" t="str">
        <f t="shared" ref="T294:T299" ca="1" si="62">U294&amp;""&amp;",..,"&amp;""&amp;V294</f>
        <v>601,..,1901</v>
      </c>
      <c r="U294" s="23">
        <f ca="1">(SUMPRODUCT(MID(0&amp;(LEFT(A293,SUM(LEN(A293)-LEN(SUBSTITUTE(A293,{"0","1","2","3"},""))))), LARGE(INDEX(ISNUMBER(--MID((LEFT(A293,SUM(LEN(A293)-LEN(SUBSTITUTE(A293,{"0","1","2","3"},""))))), ROW(INDIRECT("1:"&amp;LEN((LEFT(A293,SUM(LEN(A293)-LEN(SUBSTITUTE(A293,{"0","1","2","3"},"")))))))), 1)) * ROW(INDIRECT("1:"&amp;LEN((LEFT(A293,SUM(LEN(A293)-LEN(SUBSTITUTE(A293,{"0","1","2","3"},"")))))))), 0), ROW(INDIRECT("1:"&amp;LEN((LEFT(A293,SUM(LEN(A293)-LEN(SUBSTITUTE(A293,{"0","1","2","3"},"")))))))))+1, 1) * 10^ROW(INDIRECT("1:"&amp;LEN((LEFT(A293,SUM(LEN(A293)-LEN(SUBSTITUTE(A293,{"0","1","2","3"},""))))))))/10))*100+1</f>
        <v>601</v>
      </c>
      <c r="V294" s="23">
        <f ca="1">(SUMPRODUCT(MID(0&amp;(--TRIM(RIGHT(SUBSTITUTE(LEFT(A293,_xlfn.AGGREGATE(16,6,FIND({0,1,2,3,4,5,6,7,8,9},A293,ROW(INDIRECT("1:"&amp;LEN(A293)))),1))," ",REPT(" ",LEN(A293))),LEN(A293)))), LARGE(INDEX(ISNUMBER(--MID((--TRIM(RIGHT(SUBSTITUTE(LEFT(A293,_xlfn.AGGREGATE(16,6,FIND({0,1,2,3,4,5,6,7,8,9},A293,ROW(INDIRECT("1:"&amp;LEN(A293)))),1))," ",REPT(" ",LEN(A293))),LEN(A293)))), ROW(INDIRECT("1:"&amp;LEN((--TRIM(RIGHT(SUBSTITUTE(LEFT(A293,_xlfn.AGGREGATE(16,6,FIND({0,1,2,3,4,5,6,7,8,9},A293,ROW(INDIRECT("1:"&amp;LEN(A293)))),1))," ",REPT(" ",LEN(A293))),LEN(A293))))))), 1)) * ROW(INDIRECT("1:"&amp;LEN((--TRIM(RIGHT(SUBSTITUTE(LEFT(A293,_xlfn.AGGREGATE(16,6,FIND({0,1,2,3,4,5,6,7,8,9},A293,ROW(INDIRECT("1:"&amp;LEN(A293)))),1))," ",REPT(" ",LEN(A293))),LEN(A293))))))), 0), ROW(INDIRECT("1:"&amp;LEN((--TRIM(RIGHT(SUBSTITUTE(LEFT(A293,_xlfn.AGGREGATE(16,6,FIND({0,1,2,3,4,5,6,7,8,9},A293,ROW(INDIRECT("1:"&amp;LEN(A293)))),1))," ",REPT(" ",LEN(A293))),LEN(A293))))))))+1, 1) * 10^ROW(INDIRECT("1:"&amp;LEN((--TRIM(RIGHT(SUBSTITUTE(LEFT(A293,_xlfn.AGGREGATE(16,6,FIND({0,1,2,3,4,5,6,7,8,9},A293,ROW(INDIRECT("1:"&amp;LEN(A293)))),1))," ",REPT(" ",LEN(A293))),LEN(A293)))))))/10))*100+1</f>
        <v>1901</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86">
        <v>2</v>
      </c>
      <c r="B295" s="86"/>
      <c r="C295" s="53" t="s">
        <v>337</v>
      </c>
      <c r="D295" s="53" t="s">
        <v>354</v>
      </c>
      <c r="E295" s="74">
        <f>(141.081)*10.764</f>
        <v>1518.5958839999998</v>
      </c>
      <c r="F295" s="75">
        <f>(5.245)*10.764</f>
        <v>56.457180000000001</v>
      </c>
      <c r="G295" s="75">
        <v>0</v>
      </c>
      <c r="H295" s="75">
        <f t="shared" ref="H295:H299" si="63">E295+F295+(IF(G295&lt;101,G295,IF(G295&lt;201,G295/2,IF(G295&lt;=301,G295/3,G295/4))))</f>
        <v>1575.0530639999999</v>
      </c>
      <c r="I295" s="1"/>
      <c r="J295" s="1"/>
      <c r="K295" s="1"/>
      <c r="L295" s="1"/>
      <c r="M295" s="1"/>
      <c r="N295" s="1"/>
      <c r="O295" s="1"/>
      <c r="P295" s="1"/>
      <c r="Q295" s="1"/>
      <c r="R295" s="1"/>
      <c r="S295" s="1"/>
      <c r="T295" s="23" t="str">
        <f t="shared" ca="1" si="62"/>
        <v>602,..,1902</v>
      </c>
      <c r="U295" s="23">
        <f ca="1">U294+1</f>
        <v>602</v>
      </c>
      <c r="V295" s="23">
        <f ca="1">V294+1</f>
        <v>1902</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86">
        <v>3</v>
      </c>
      <c r="B296" s="86"/>
      <c r="C296" s="53" t="s">
        <v>337</v>
      </c>
      <c r="D296" s="53" t="s">
        <v>345</v>
      </c>
      <c r="E296" s="74">
        <f>(111.163)*10.764</f>
        <v>1196.5585319999998</v>
      </c>
      <c r="F296" s="75">
        <f>(7.341)*10.764</f>
        <v>79.018523999999999</v>
      </c>
      <c r="G296" s="75">
        <v>0</v>
      </c>
      <c r="H296" s="75">
        <f t="shared" si="63"/>
        <v>1275.5770559999999</v>
      </c>
      <c r="I296" s="1"/>
      <c r="J296" s="1"/>
      <c r="K296" s="1"/>
      <c r="L296" s="1"/>
      <c r="M296" s="1"/>
      <c r="N296" s="1"/>
      <c r="O296" s="1"/>
      <c r="P296" s="1"/>
      <c r="Q296" s="1"/>
      <c r="R296" s="1"/>
      <c r="S296" s="1"/>
      <c r="T296" s="23" t="str">
        <f t="shared" ca="1" si="62"/>
        <v>603,..,1903</v>
      </c>
      <c r="U296" s="23">
        <f t="shared" ref="U296:V296" ca="1" si="64">U295+1</f>
        <v>603</v>
      </c>
      <c r="V296" s="23">
        <f t="shared" ca="1" si="64"/>
        <v>1903</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86">
        <v>4</v>
      </c>
      <c r="B297" s="86"/>
      <c r="C297" s="53" t="s">
        <v>337</v>
      </c>
      <c r="D297" s="53" t="s">
        <v>345</v>
      </c>
      <c r="E297" s="74">
        <f>(94.515)*10.764</f>
        <v>1017.3594599999999</v>
      </c>
      <c r="F297" s="75">
        <f>(6.722)*10.764</f>
        <v>72.355608000000004</v>
      </c>
      <c r="G297" s="75">
        <v>0</v>
      </c>
      <c r="H297" s="75">
        <f t="shared" si="63"/>
        <v>1089.715068</v>
      </c>
      <c r="I297" s="1"/>
      <c r="J297" s="1"/>
      <c r="K297" s="1"/>
      <c r="L297" s="1"/>
      <c r="M297" s="1"/>
      <c r="N297" s="1"/>
      <c r="O297" s="1"/>
      <c r="P297" s="1"/>
      <c r="Q297" s="1"/>
      <c r="R297" s="1"/>
      <c r="S297" s="1"/>
      <c r="T297" s="23" t="str">
        <f t="shared" ca="1" si="62"/>
        <v>604,..,1904</v>
      </c>
      <c r="U297" s="23">
        <f t="shared" ref="U297:V297" ca="1" si="65">U296+1</f>
        <v>604</v>
      </c>
      <c r="V297" s="23">
        <f t="shared" ca="1" si="65"/>
        <v>1904</v>
      </c>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customHeight="1" x14ac:dyDescent="0.25">
      <c r="A298" s="86">
        <v>5</v>
      </c>
      <c r="B298" s="86"/>
      <c r="C298" s="53" t="s">
        <v>337</v>
      </c>
      <c r="D298" s="53" t="s">
        <v>345</v>
      </c>
      <c r="E298" s="74">
        <f>(94.515)*10.764</f>
        <v>1017.3594599999999</v>
      </c>
      <c r="F298" s="75">
        <f>(6.722)*10.764</f>
        <v>72.355608000000004</v>
      </c>
      <c r="G298" s="75">
        <v>0</v>
      </c>
      <c r="H298" s="75">
        <f t="shared" si="63"/>
        <v>1089.715068</v>
      </c>
      <c r="I298" s="1"/>
      <c r="J298" s="1"/>
      <c r="K298" s="1"/>
      <c r="L298" s="1"/>
      <c r="M298" s="1"/>
      <c r="N298" s="1"/>
      <c r="O298" s="1"/>
      <c r="P298" s="1"/>
      <c r="Q298" s="1"/>
      <c r="R298" s="1"/>
      <c r="S298" s="1"/>
      <c r="T298" s="23" t="str">
        <f t="shared" ca="1" si="62"/>
        <v>605,..,1905</v>
      </c>
      <c r="U298" s="23">
        <f t="shared" ref="U298:V298" ca="1" si="66">U297+1</f>
        <v>605</v>
      </c>
      <c r="V298" s="23">
        <f t="shared" ca="1" si="66"/>
        <v>1905</v>
      </c>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customHeight="1" x14ac:dyDescent="0.25">
      <c r="A299" s="86">
        <v>6</v>
      </c>
      <c r="B299" s="86"/>
      <c r="C299" s="53" t="s">
        <v>337</v>
      </c>
      <c r="D299" s="53" t="s">
        <v>345</v>
      </c>
      <c r="E299" s="74">
        <f>(111.163)*10.764</f>
        <v>1196.5585319999998</v>
      </c>
      <c r="F299" s="75">
        <f>(7.341)*10.764</f>
        <v>79.018523999999999</v>
      </c>
      <c r="G299" s="75">
        <v>0</v>
      </c>
      <c r="H299" s="75">
        <f t="shared" si="63"/>
        <v>1275.5770559999999</v>
      </c>
      <c r="I299" s="1"/>
      <c r="J299" s="1"/>
      <c r="K299" s="1"/>
      <c r="L299" s="1"/>
      <c r="M299" s="1"/>
      <c r="N299" s="1"/>
      <c r="O299" s="1"/>
      <c r="P299" s="1"/>
      <c r="Q299" s="1"/>
      <c r="R299" s="1"/>
      <c r="S299" s="1"/>
      <c r="T299" s="23" t="str">
        <f t="shared" ca="1" si="62"/>
        <v>606,..,1906</v>
      </c>
      <c r="U299" s="23">
        <f t="shared" ref="U299:V299" ca="1" si="67">U298+1</f>
        <v>606</v>
      </c>
      <c r="V299" s="23">
        <f t="shared" ca="1" si="67"/>
        <v>1906</v>
      </c>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x14ac:dyDescent="0.25">
      <c r="A300" s="89" t="s">
        <v>356</v>
      </c>
      <c r="B300" s="90"/>
      <c r="C300" s="90"/>
      <c r="D300" s="90"/>
      <c r="E300" s="90"/>
      <c r="F300" s="90"/>
      <c r="G300" s="90"/>
      <c r="H300" s="91"/>
      <c r="I300" s="77">
        <f>9</f>
        <v>9</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customHeight="1" x14ac:dyDescent="0.25">
      <c r="A301" s="86">
        <v>1</v>
      </c>
      <c r="B301" s="86"/>
      <c r="C301" s="53" t="s">
        <v>337</v>
      </c>
      <c r="D301" s="75" t="s">
        <v>345</v>
      </c>
      <c r="E301" s="75">
        <f>(88.661)*10.764</f>
        <v>954.34700399999997</v>
      </c>
      <c r="F301" s="75">
        <f>(2.623)*10.764</f>
        <v>28.233972000000001</v>
      </c>
      <c r="G301" s="75">
        <v>0</v>
      </c>
      <c r="H301" s="75">
        <f>E301+F301+(IF(G301&lt;101,G301,IF(G301&lt;201,G301/2,IF(G301&lt;=301,G301/3,G301/4))))</f>
        <v>982.58097599999996</v>
      </c>
      <c r="I301" s="1"/>
      <c r="J301" s="1"/>
      <c r="K301" s="1"/>
      <c r="L301" s="1"/>
      <c r="M301" s="1"/>
      <c r="N301" s="1"/>
      <c r="O301" s="1"/>
      <c r="P301" s="1"/>
      <c r="Q301" s="1"/>
      <c r="R301" s="1"/>
      <c r="S301" s="1"/>
      <c r="T301" s="23" t="str">
        <f ca="1">U301&amp;""&amp;" to "&amp;""&amp;V301</f>
        <v>20201 to 3001</v>
      </c>
      <c r="U301" s="23">
        <f ca="1">(SUMPRODUCT(MID(0&amp;(LEFT(A300,SUM(LEN(A300)-LEN(SUBSTITUTE(A300,{"0","1","2","3"},""))))), LARGE(INDEX(ISNUMBER(--MID((LEFT(A300,SUM(LEN(A300)-LEN(SUBSTITUTE(A300,{"0","1","2","3"},""))))), ROW(INDIRECT("1:"&amp;LEN((LEFT(A300,SUM(LEN(A300)-LEN(SUBSTITUTE(A300,{"0","1","2","3"},"")))))))), 1)) * ROW(INDIRECT("1:"&amp;LEN((LEFT(A300,SUM(LEN(A300)-LEN(SUBSTITUTE(A300,{"0","1","2","3"},"")))))))), 0), ROW(INDIRECT("1:"&amp;LEN((LEFT(A300,SUM(LEN(A300)-LEN(SUBSTITUTE(A300,{"0","1","2","3"},"")))))))))+1, 1) * 10^ROW(INDIRECT("1:"&amp;LEN((LEFT(A300,SUM(LEN(A300)-LEN(SUBSTITUTE(A300,{"0","1","2","3"},""))))))))/10))*100+1</f>
        <v>20201</v>
      </c>
      <c r="V301" s="23">
        <f ca="1">(SUMPRODUCT(MID(0&amp;(--TRIM(RIGHT(SUBSTITUTE(LEFT(A300,_xlfn.AGGREGATE(16,6,FIND({0,1,2,3,4,5,6,7,8,9},A300,ROW(INDIRECT("1:"&amp;LEN(A300)))),1))," ",REPT(" ",LEN(A300))),LEN(A300)))), LARGE(INDEX(ISNUMBER(--MID((--TRIM(RIGHT(SUBSTITUTE(LEFT(A300,_xlfn.AGGREGATE(16,6,FIND({0,1,2,3,4,5,6,7,8,9},A300,ROW(INDIRECT("1:"&amp;LEN(A300)))),1))," ",REPT(" ",LEN(A300))),LEN(A300)))), ROW(INDIRECT("1:"&amp;LEN((--TRIM(RIGHT(SUBSTITUTE(LEFT(A300,_xlfn.AGGREGATE(16,6,FIND({0,1,2,3,4,5,6,7,8,9},A300,ROW(INDIRECT("1:"&amp;LEN(A300)))),1))," ",REPT(" ",LEN(A300))),LEN(A300))))))), 1)) * ROW(INDIRECT("1:"&amp;LEN((--TRIM(RIGHT(SUBSTITUTE(LEFT(A300,_xlfn.AGGREGATE(16,6,FIND({0,1,2,3,4,5,6,7,8,9},A300,ROW(INDIRECT("1:"&amp;LEN(A300)))),1))," ",REPT(" ",LEN(A300))),LEN(A300))))))), 0), ROW(INDIRECT("1:"&amp;LEN((--TRIM(RIGHT(SUBSTITUTE(LEFT(A300,_xlfn.AGGREGATE(16,6,FIND({0,1,2,3,4,5,6,7,8,9},A300,ROW(INDIRECT("1:"&amp;LEN(A300)))),1))," ",REPT(" ",LEN(A300))),LEN(A300))))))))+1, 1) * 10^ROW(INDIRECT("1:"&amp;LEN((--TRIM(RIGHT(SUBSTITUTE(LEFT(A300,_xlfn.AGGREGATE(16,6,FIND({0,1,2,3,4,5,6,7,8,9},A300,ROW(INDIRECT("1:"&amp;LEN(A300)))),1))," ",REPT(" ",LEN(A300))),LEN(A300)))))))/10))*100+1</f>
        <v>3001</v>
      </c>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25">
      <c r="A302" s="86">
        <v>2</v>
      </c>
      <c r="B302" s="86"/>
      <c r="C302" s="53" t="s">
        <v>337</v>
      </c>
      <c r="D302" s="75" t="s">
        <v>345</v>
      </c>
      <c r="E302" s="75">
        <f>(88.661)*10.764</f>
        <v>954.34700399999997</v>
      </c>
      <c r="F302" s="75">
        <f>(2.623)*10.764</f>
        <v>28.233972000000001</v>
      </c>
      <c r="G302" s="75">
        <v>0</v>
      </c>
      <c r="H302" s="75">
        <f t="shared" ref="H302:H306" si="68">E302+F302+(IF(G302&lt;101,G302,IF(G302&lt;201,G302/2,IF(G302&lt;=301,G302/3,G302/4))))</f>
        <v>982.58097599999996</v>
      </c>
      <c r="I302" s="1"/>
      <c r="J302" s="1"/>
      <c r="K302" s="1"/>
      <c r="L302" s="1"/>
      <c r="M302" s="1"/>
      <c r="N302" s="1"/>
      <c r="O302" s="1"/>
      <c r="P302" s="1"/>
      <c r="Q302" s="1"/>
      <c r="R302" s="1"/>
      <c r="S302" s="1"/>
      <c r="T302" s="23" t="str">
        <f t="shared" ref="T302:T306" ca="1" si="69">U302&amp;""&amp;" to "&amp;""&amp;V302</f>
        <v>20202 to 3002</v>
      </c>
      <c r="U302" s="23">
        <f ca="1">U301+1</f>
        <v>20202</v>
      </c>
      <c r="V302" s="23">
        <f ca="1">V301+1</f>
        <v>3002</v>
      </c>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25">
      <c r="A303" s="86">
        <v>3</v>
      </c>
      <c r="B303" s="86"/>
      <c r="C303" s="53" t="s">
        <v>337</v>
      </c>
      <c r="D303" s="75" t="s">
        <v>345</v>
      </c>
      <c r="E303" s="75">
        <f>(111.764)*10.764</f>
        <v>1203.0276959999999</v>
      </c>
      <c r="F303" s="75">
        <f>(7.341)*10.764</f>
        <v>79.018523999999999</v>
      </c>
      <c r="G303" s="75">
        <v>0</v>
      </c>
      <c r="H303" s="75">
        <f t="shared" si="68"/>
        <v>1282.0462199999999</v>
      </c>
      <c r="I303" s="1"/>
      <c r="J303" s="1"/>
      <c r="K303" s="1"/>
      <c r="L303" s="1"/>
      <c r="M303" s="1"/>
      <c r="N303" s="1"/>
      <c r="O303" s="1"/>
      <c r="P303" s="1"/>
      <c r="Q303" s="1"/>
      <c r="R303" s="1"/>
      <c r="S303" s="1"/>
      <c r="T303" s="23" t="str">
        <f t="shared" ca="1" si="69"/>
        <v>20203 to 3003</v>
      </c>
      <c r="U303" s="23">
        <f t="shared" ref="U303:V303" ca="1" si="70">U302+1</f>
        <v>20203</v>
      </c>
      <c r="V303" s="23">
        <f t="shared" ca="1" si="70"/>
        <v>3003</v>
      </c>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25">
      <c r="A304" s="86">
        <v>4</v>
      </c>
      <c r="B304" s="86"/>
      <c r="C304" s="53" t="s">
        <v>337</v>
      </c>
      <c r="D304" s="75" t="s">
        <v>345</v>
      </c>
      <c r="E304" s="75">
        <f>(94.985)*10.764</f>
        <v>1022.4185399999999</v>
      </c>
      <c r="F304" s="75">
        <f>(6.723)*10.764</f>
        <v>72.366371999999998</v>
      </c>
      <c r="G304" s="75">
        <v>0</v>
      </c>
      <c r="H304" s="75">
        <f t="shared" si="68"/>
        <v>1094.7849119999998</v>
      </c>
      <c r="I304" s="1"/>
      <c r="J304" s="1"/>
      <c r="K304" s="1"/>
      <c r="L304" s="1"/>
      <c r="M304" s="1"/>
      <c r="N304" s="1"/>
      <c r="O304" s="1"/>
      <c r="P304" s="1"/>
      <c r="Q304" s="1"/>
      <c r="R304" s="1"/>
      <c r="S304" s="1"/>
      <c r="T304" s="23" t="str">
        <f t="shared" ca="1" si="69"/>
        <v>20204 to 3004</v>
      </c>
      <c r="U304" s="23">
        <f t="shared" ref="U304:V304" ca="1" si="71">U303+1</f>
        <v>20204</v>
      </c>
      <c r="V304" s="23">
        <f t="shared" ca="1" si="71"/>
        <v>3004</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86">
        <v>5</v>
      </c>
      <c r="B305" s="86"/>
      <c r="C305" s="53" t="s">
        <v>337</v>
      </c>
      <c r="D305" s="75" t="s">
        <v>345</v>
      </c>
      <c r="E305" s="75">
        <f>(94.985)*10.764</f>
        <v>1022.4185399999999</v>
      </c>
      <c r="F305" s="75">
        <f>(6.723)*10.764</f>
        <v>72.366371999999998</v>
      </c>
      <c r="G305" s="75">
        <v>0</v>
      </c>
      <c r="H305" s="75">
        <f t="shared" si="68"/>
        <v>1094.7849119999998</v>
      </c>
      <c r="I305" s="1"/>
      <c r="J305" s="1"/>
      <c r="K305" s="1"/>
      <c r="L305" s="1"/>
      <c r="M305" s="1"/>
      <c r="N305" s="1"/>
      <c r="O305" s="1"/>
      <c r="P305" s="1"/>
      <c r="Q305" s="1"/>
      <c r="R305" s="1"/>
      <c r="S305" s="1"/>
      <c r="T305" s="23" t="str">
        <f t="shared" ca="1" si="69"/>
        <v>20205 to 3005</v>
      </c>
      <c r="U305" s="23">
        <f t="shared" ref="U305:V305" ca="1" si="72">U304+1</f>
        <v>20205</v>
      </c>
      <c r="V305" s="23">
        <f t="shared" ca="1" si="72"/>
        <v>3005</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86">
        <v>6</v>
      </c>
      <c r="B306" s="86"/>
      <c r="C306" s="53" t="s">
        <v>337</v>
      </c>
      <c r="D306" s="75" t="s">
        <v>345</v>
      </c>
      <c r="E306" s="75">
        <f>(111.764)*10.764</f>
        <v>1203.0276959999999</v>
      </c>
      <c r="F306" s="75">
        <f>(7.341)*10.764</f>
        <v>79.018523999999999</v>
      </c>
      <c r="G306" s="75">
        <v>0</v>
      </c>
      <c r="H306" s="75">
        <f t="shared" si="68"/>
        <v>1282.0462199999999</v>
      </c>
      <c r="I306" s="1"/>
      <c r="J306" s="1"/>
      <c r="K306" s="1"/>
      <c r="L306" s="1"/>
      <c r="M306" s="1"/>
      <c r="N306" s="1"/>
      <c r="O306" s="1"/>
      <c r="P306" s="1"/>
      <c r="Q306" s="1"/>
      <c r="R306" s="1"/>
      <c r="S306" s="1"/>
      <c r="T306" s="23" t="str">
        <f t="shared" ca="1" si="69"/>
        <v>20206 to 3006</v>
      </c>
      <c r="U306" s="23">
        <f t="shared" ref="U306:V306" ca="1" si="73">U305+1</f>
        <v>20206</v>
      </c>
      <c r="V306" s="23">
        <f t="shared" ca="1" si="73"/>
        <v>3006</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x14ac:dyDescent="0.25">
      <c r="A307" s="89" t="s">
        <v>357</v>
      </c>
      <c r="B307" s="90"/>
      <c r="C307" s="90"/>
      <c r="D307" s="90"/>
      <c r="E307" s="90"/>
      <c r="F307" s="90"/>
      <c r="G307" s="90"/>
      <c r="H307" s="91"/>
      <c r="I307" s="77">
        <f>3</f>
        <v>3</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86">
        <v>1</v>
      </c>
      <c r="B308" s="86"/>
      <c r="C308" s="53" t="s">
        <v>337</v>
      </c>
      <c r="D308" s="95" t="s">
        <v>355</v>
      </c>
      <c r="E308" s="96"/>
      <c r="F308" s="96"/>
      <c r="G308" s="96"/>
      <c r="H308" s="97"/>
      <c r="I308" s="1"/>
      <c r="J308" s="1"/>
      <c r="K308" s="1"/>
      <c r="L308" s="1"/>
      <c r="M308" s="1"/>
      <c r="N308" s="1"/>
      <c r="O308" s="1"/>
      <c r="P308" s="1"/>
      <c r="Q308" s="1"/>
      <c r="R308" s="1"/>
      <c r="S308" s="1"/>
      <c r="T308" s="23" t="str">
        <f ca="1">U308&amp;""&amp;" &amp; "&amp;""&amp;V308</f>
        <v>2301 &amp; 3101</v>
      </c>
      <c r="U308" s="23">
        <f ca="1">(SUMPRODUCT(MID(0&amp;(LEFT(A307,SUM(LEN(A307)-LEN(SUBSTITUTE(A307,{"0","1","2","3"},""))))), LARGE(INDEX(ISNUMBER(--MID((LEFT(A307,SUM(LEN(A307)-LEN(SUBSTITUTE(A307,{"0","1","2","3"},""))))), ROW(INDIRECT("1:"&amp;LEN((LEFT(A307,SUM(LEN(A307)-LEN(SUBSTITUTE(A307,{"0","1","2","3"},"")))))))), 1)) * ROW(INDIRECT("1:"&amp;LEN((LEFT(A307,SUM(LEN(A307)-LEN(SUBSTITUTE(A307,{"0","1","2","3"},"")))))))), 0), ROW(INDIRECT("1:"&amp;LEN((LEFT(A307,SUM(LEN(A307)-LEN(SUBSTITUTE(A307,{"0","1","2","3"},"")))))))))+1, 1) * 10^ROW(INDIRECT("1:"&amp;LEN((LEFT(A307,SUM(LEN(A307)-LEN(SUBSTITUTE(A307,{"0","1","2","3"},""))))))))/10))*100+1</f>
        <v>2301</v>
      </c>
      <c r="V308" s="23">
        <f ca="1">(SUMPRODUCT(MID(0&amp;(--TRIM(RIGHT(SUBSTITUTE(LEFT(A307,_xlfn.AGGREGATE(16,6,FIND({0,1,2,3,4,5,6,7,8,9},A307,ROW(INDIRECT("1:"&amp;LEN(A307)))),1))," ",REPT(" ",LEN(A307))),LEN(A307)))), LARGE(INDEX(ISNUMBER(--MID((--TRIM(RIGHT(SUBSTITUTE(LEFT(A307,_xlfn.AGGREGATE(16,6,FIND({0,1,2,3,4,5,6,7,8,9},A307,ROW(INDIRECT("1:"&amp;LEN(A307)))),1))," ",REPT(" ",LEN(A307))),LEN(A307)))), ROW(INDIRECT("1:"&amp;LEN((--TRIM(RIGHT(SUBSTITUTE(LEFT(A307,_xlfn.AGGREGATE(16,6,FIND({0,1,2,3,4,5,6,7,8,9},A307,ROW(INDIRECT("1:"&amp;LEN(A307)))),1))," ",REPT(" ",LEN(A307))),LEN(A307))))))), 1)) * ROW(INDIRECT("1:"&amp;LEN((--TRIM(RIGHT(SUBSTITUTE(LEFT(A307,_xlfn.AGGREGATE(16,6,FIND({0,1,2,3,4,5,6,7,8,9},A307,ROW(INDIRECT("1:"&amp;LEN(A307)))),1))," ",REPT(" ",LEN(A307))),LEN(A307))))))), 0), ROW(INDIRECT("1:"&amp;LEN((--TRIM(RIGHT(SUBSTITUTE(LEFT(A307,_xlfn.AGGREGATE(16,6,FIND({0,1,2,3,4,5,6,7,8,9},A307,ROW(INDIRECT("1:"&amp;LEN(A307)))),1))," ",REPT(" ",LEN(A307))),LEN(A307))))))))+1, 1) * 10^ROW(INDIRECT("1:"&amp;LEN((--TRIM(RIGHT(SUBSTITUTE(LEFT(A307,_xlfn.AGGREGATE(16,6,FIND({0,1,2,3,4,5,6,7,8,9},A307,ROW(INDIRECT("1:"&amp;LEN(A307)))),1))," ",REPT(" ",LEN(A307))),LEN(A307)))))))/10))*100+1</f>
        <v>3101</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86">
        <v>2</v>
      </c>
      <c r="B309" s="86"/>
      <c r="C309" s="53" t="s">
        <v>337</v>
      </c>
      <c r="D309" s="53" t="s">
        <v>354</v>
      </c>
      <c r="E309" s="75">
        <f>(141.675)*10.764</f>
        <v>1524.9897000000001</v>
      </c>
      <c r="F309" s="75">
        <f>(5.245)*10.764</f>
        <v>56.457180000000001</v>
      </c>
      <c r="G309" s="75">
        <v>0</v>
      </c>
      <c r="H309" s="75">
        <f t="shared" ref="H309:H313" si="74">E309+F309+(IF(G309&lt;101,G309,IF(G309&lt;201,G309/2,IF(G309&lt;=301,G309/3,G309/4))))</f>
        <v>1581.4468800000002</v>
      </c>
      <c r="I309" s="1"/>
      <c r="J309" s="1"/>
      <c r="K309" s="1"/>
      <c r="L309" s="1"/>
      <c r="M309" s="1"/>
      <c r="N309" s="1"/>
      <c r="O309" s="1"/>
      <c r="P309" s="1"/>
      <c r="Q309" s="1"/>
      <c r="R309" s="1"/>
      <c r="S309" s="1"/>
      <c r="T309" s="23" t="str">
        <f t="shared" ref="T309:T313" ca="1" si="75">U309&amp;""&amp;" &amp; "&amp;""&amp;V309</f>
        <v>2302 &amp; 3102</v>
      </c>
      <c r="U309" s="23">
        <f ca="1">U308+1</f>
        <v>2302</v>
      </c>
      <c r="V309" s="23">
        <f ca="1">V308+1</f>
        <v>3102</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86">
        <v>3</v>
      </c>
      <c r="B310" s="86"/>
      <c r="C310" s="53" t="s">
        <v>337</v>
      </c>
      <c r="D310" s="53" t="s">
        <v>345</v>
      </c>
      <c r="E310" s="75">
        <f>(111.764)*10.764</f>
        <v>1203.0276959999999</v>
      </c>
      <c r="F310" s="75">
        <f>(7.341)*10.764</f>
        <v>79.018523999999999</v>
      </c>
      <c r="G310" s="75">
        <v>0</v>
      </c>
      <c r="H310" s="75">
        <f t="shared" si="74"/>
        <v>1282.0462199999999</v>
      </c>
      <c r="I310" s="1"/>
      <c r="J310" s="1"/>
      <c r="K310" s="1"/>
      <c r="L310" s="1"/>
      <c r="M310" s="1"/>
      <c r="N310" s="1"/>
      <c r="O310" s="1"/>
      <c r="P310" s="1"/>
      <c r="Q310" s="1"/>
      <c r="R310" s="1"/>
      <c r="S310" s="1"/>
      <c r="T310" s="23" t="str">
        <f t="shared" ca="1" si="75"/>
        <v>2303 &amp; 3103</v>
      </c>
      <c r="U310" s="23">
        <f t="shared" ref="U310:V310" ca="1" si="76">U309+1</f>
        <v>2303</v>
      </c>
      <c r="V310" s="23">
        <f t="shared" ca="1" si="76"/>
        <v>3103</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customHeight="1" x14ac:dyDescent="0.25">
      <c r="A311" s="86">
        <v>4</v>
      </c>
      <c r="B311" s="86"/>
      <c r="C311" s="53" t="s">
        <v>337</v>
      </c>
      <c r="D311" s="53" t="s">
        <v>345</v>
      </c>
      <c r="E311" s="75">
        <f>(94.985)*10.764</f>
        <v>1022.4185399999999</v>
      </c>
      <c r="F311" s="75">
        <f>(6.723)*10.764</f>
        <v>72.366371999999998</v>
      </c>
      <c r="G311" s="75">
        <v>0</v>
      </c>
      <c r="H311" s="75">
        <f t="shared" si="74"/>
        <v>1094.7849119999998</v>
      </c>
      <c r="I311" s="1"/>
      <c r="J311" s="1"/>
      <c r="K311" s="1"/>
      <c r="L311" s="1"/>
      <c r="M311" s="1"/>
      <c r="N311" s="1"/>
      <c r="O311" s="1"/>
      <c r="P311" s="1"/>
      <c r="Q311" s="1"/>
      <c r="R311" s="1"/>
      <c r="S311" s="1"/>
      <c r="T311" s="23" t="str">
        <f t="shared" ca="1" si="75"/>
        <v>2304 &amp; 3104</v>
      </c>
      <c r="U311" s="23">
        <f t="shared" ref="U311:V311" ca="1" si="77">U310+1</f>
        <v>2304</v>
      </c>
      <c r="V311" s="23">
        <f t="shared" ca="1" si="77"/>
        <v>3104</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customHeight="1" x14ac:dyDescent="0.25">
      <c r="A312" s="86">
        <v>5</v>
      </c>
      <c r="B312" s="86"/>
      <c r="C312" s="53" t="s">
        <v>337</v>
      </c>
      <c r="D312" s="53" t="s">
        <v>345</v>
      </c>
      <c r="E312" s="75">
        <f>(94.985)*10.764</f>
        <v>1022.4185399999999</v>
      </c>
      <c r="F312" s="75">
        <f>(6.723)*10.764</f>
        <v>72.366371999999998</v>
      </c>
      <c r="G312" s="75">
        <v>0</v>
      </c>
      <c r="H312" s="75">
        <f t="shared" si="74"/>
        <v>1094.7849119999998</v>
      </c>
      <c r="I312" s="1"/>
      <c r="J312" s="1"/>
      <c r="K312" s="1"/>
      <c r="L312" s="1"/>
      <c r="M312" s="1"/>
      <c r="N312" s="1"/>
      <c r="O312" s="1"/>
      <c r="P312" s="1"/>
      <c r="Q312" s="1"/>
      <c r="R312" s="1"/>
      <c r="S312" s="1"/>
      <c r="T312" s="23" t="str">
        <f t="shared" ca="1" si="75"/>
        <v>2305 &amp; 3105</v>
      </c>
      <c r="U312" s="23">
        <f t="shared" ref="U312:V312" ca="1" si="78">U311+1</f>
        <v>2305</v>
      </c>
      <c r="V312" s="23">
        <f t="shared" ca="1" si="78"/>
        <v>3105</v>
      </c>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customHeight="1" x14ac:dyDescent="0.25">
      <c r="A313" s="86">
        <v>6</v>
      </c>
      <c r="B313" s="86"/>
      <c r="C313" s="53" t="s">
        <v>337</v>
      </c>
      <c r="D313" s="53" t="s">
        <v>345</v>
      </c>
      <c r="E313" s="75">
        <f>(111.764)*10.764</f>
        <v>1203.0276959999999</v>
      </c>
      <c r="F313" s="75">
        <f>(7.341)*10.764</f>
        <v>79.018523999999999</v>
      </c>
      <c r="G313" s="75">
        <v>0</v>
      </c>
      <c r="H313" s="75">
        <f t="shared" si="74"/>
        <v>1282.0462199999999</v>
      </c>
      <c r="I313" s="1"/>
      <c r="J313" s="1"/>
      <c r="K313" s="1"/>
      <c r="L313" s="1"/>
      <c r="M313" s="1"/>
      <c r="N313" s="1"/>
      <c r="O313" s="1"/>
      <c r="P313" s="1"/>
      <c r="Q313" s="1"/>
      <c r="R313" s="1"/>
      <c r="S313" s="1"/>
      <c r="T313" s="23" t="str">
        <f t="shared" ca="1" si="75"/>
        <v>2306 &amp; 3106</v>
      </c>
      <c r="U313" s="23">
        <f t="shared" ref="U313:V313" ca="1" si="79">U312+1</f>
        <v>2306</v>
      </c>
      <c r="V313" s="23">
        <f t="shared" ca="1" si="79"/>
        <v>3106</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x14ac:dyDescent="0.25">
      <c r="A314" s="92" t="s">
        <v>358</v>
      </c>
      <c r="B314" s="93"/>
      <c r="C314" s="93"/>
      <c r="D314" s="93"/>
      <c r="E314" s="93"/>
      <c r="F314" s="93"/>
      <c r="G314" s="93"/>
      <c r="H314" s="94"/>
      <c r="I314" s="77">
        <f>16</f>
        <v>16</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x14ac:dyDescent="0.25">
      <c r="A315" s="87">
        <v>1</v>
      </c>
      <c r="B315" s="88"/>
      <c r="C315" s="53" t="s">
        <v>337</v>
      </c>
      <c r="D315" s="53" t="s">
        <v>345</v>
      </c>
      <c r="E315" s="74">
        <f>(88.704)*10.764</f>
        <v>954.80985599999985</v>
      </c>
      <c r="F315" s="75">
        <f>(2.623)*10.764</f>
        <v>28.233972000000001</v>
      </c>
      <c r="G315" s="75">
        <v>0</v>
      </c>
      <c r="H315" s="75">
        <f>E315+F315+(IF(G315&lt;101,G315,IF(G315&lt;201,G315/2,IF(G315&lt;=301,G315/3,G315/4))))</f>
        <v>983.04382799999985</v>
      </c>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x14ac:dyDescent="0.25">
      <c r="A316" s="87">
        <f>A315+1</f>
        <v>2</v>
      </c>
      <c r="B316" s="88"/>
      <c r="C316" s="53" t="s">
        <v>337</v>
      </c>
      <c r="D316" s="53" t="s">
        <v>345</v>
      </c>
      <c r="E316" s="74">
        <f>(88.704)*10.764</f>
        <v>954.80985599999985</v>
      </c>
      <c r="F316" s="75">
        <f>(2.623)*10.764</f>
        <v>28.233972000000001</v>
      </c>
      <c r="G316" s="75">
        <v>0</v>
      </c>
      <c r="H316" s="75">
        <f t="shared" ref="H316:H320" si="80">E316+F316+(IF(G316&lt;101,G316,IF(G316&lt;201,G316/2,IF(G316&lt;=301,G316/3,G316/4))))</f>
        <v>983.04382799999985</v>
      </c>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x14ac:dyDescent="0.25">
      <c r="A317" s="87">
        <f t="shared" ref="A317:A320" si="81">A316+1</f>
        <v>3</v>
      </c>
      <c r="B317" s="88"/>
      <c r="C317" s="53" t="s">
        <v>337</v>
      </c>
      <c r="D317" s="53" t="s">
        <v>345</v>
      </c>
      <c r="E317" s="74">
        <f>(111.764)*10.764</f>
        <v>1203.0276959999999</v>
      </c>
      <c r="F317" s="75">
        <f>(7.341)*10.764</f>
        <v>79.018523999999999</v>
      </c>
      <c r="G317" s="75">
        <v>0</v>
      </c>
      <c r="H317" s="75">
        <f t="shared" si="80"/>
        <v>1282.0462199999999</v>
      </c>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25">
      <c r="A318" s="87">
        <f t="shared" si="81"/>
        <v>4</v>
      </c>
      <c r="B318" s="88"/>
      <c r="C318" s="53" t="s">
        <v>337</v>
      </c>
      <c r="D318" s="53" t="s">
        <v>345</v>
      </c>
      <c r="E318" s="74">
        <f>(94.985)*10.764</f>
        <v>1022.4185399999999</v>
      </c>
      <c r="F318" s="75">
        <f>(6.723)*10.764</f>
        <v>72.366371999999998</v>
      </c>
      <c r="G318" s="75">
        <v>0</v>
      </c>
      <c r="H318" s="75">
        <f t="shared" si="80"/>
        <v>1094.7849119999998</v>
      </c>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customHeight="1" x14ac:dyDescent="0.25">
      <c r="A319" s="87">
        <f t="shared" si="81"/>
        <v>5</v>
      </c>
      <c r="B319" s="88"/>
      <c r="C319" s="53" t="s">
        <v>337</v>
      </c>
      <c r="D319" s="53" t="s">
        <v>345</v>
      </c>
      <c r="E319" s="74">
        <f>(94.985)*10.764</f>
        <v>1022.4185399999999</v>
      </c>
      <c r="F319" s="75">
        <f>(6.723)*10.764</f>
        <v>72.366371999999998</v>
      </c>
      <c r="G319" s="75">
        <v>0</v>
      </c>
      <c r="H319" s="75">
        <f t="shared" si="80"/>
        <v>1094.7849119999998</v>
      </c>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customHeight="1" x14ac:dyDescent="0.25">
      <c r="A320" s="87">
        <f t="shared" si="81"/>
        <v>6</v>
      </c>
      <c r="B320" s="88"/>
      <c r="C320" s="53" t="s">
        <v>337</v>
      </c>
      <c r="D320" s="53" t="s">
        <v>345</v>
      </c>
      <c r="E320" s="74">
        <f>(111.764)*10.764</f>
        <v>1203.0276959999999</v>
      </c>
      <c r="F320" s="75">
        <f>(7.341)*10.764</f>
        <v>79.018523999999999</v>
      </c>
      <c r="G320" s="75">
        <v>0</v>
      </c>
      <c r="H320" s="75">
        <f t="shared" si="80"/>
        <v>1282.0462199999999</v>
      </c>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x14ac:dyDescent="0.25">
      <c r="A321" s="89" t="s">
        <v>359</v>
      </c>
      <c r="B321" s="90"/>
      <c r="C321" s="90"/>
      <c r="D321" s="90"/>
      <c r="E321" s="90"/>
      <c r="F321" s="90"/>
      <c r="G321" s="90"/>
      <c r="H321" s="91"/>
      <c r="I321" s="77">
        <f>4</f>
        <v>4</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customHeight="1" x14ac:dyDescent="0.25">
      <c r="A322" s="86">
        <v>1</v>
      </c>
      <c r="B322" s="86"/>
      <c r="C322" s="53" t="s">
        <v>337</v>
      </c>
      <c r="D322" s="95" t="s">
        <v>355</v>
      </c>
      <c r="E322" s="96"/>
      <c r="F322" s="96"/>
      <c r="G322" s="96"/>
      <c r="H322" s="97"/>
      <c r="I322" s="1"/>
      <c r="J322" s="1"/>
      <c r="K322" s="1"/>
      <c r="L322" s="1"/>
      <c r="M322" s="1"/>
      <c r="N322" s="1"/>
      <c r="O322" s="1"/>
      <c r="P322" s="1"/>
      <c r="Q322" s="1"/>
      <c r="R322" s="1"/>
      <c r="S322" s="1"/>
      <c r="T322" s="23" t="str">
        <f ca="1">U322&amp;""&amp;" &amp; "&amp;""&amp;V322</f>
        <v>3501 &amp; 4701</v>
      </c>
      <c r="U322" s="23">
        <f ca="1">(SUMPRODUCT(MID(0&amp;(LEFT(A321,SUM(LEN(A321)-LEN(SUBSTITUTE(A321,{"0","1","2","3"},""))))), LARGE(INDEX(ISNUMBER(--MID((LEFT(A321,SUM(LEN(A321)-LEN(SUBSTITUTE(A321,{"0","1","2","3"},""))))), ROW(INDIRECT("1:"&amp;LEN((LEFT(A321,SUM(LEN(A321)-LEN(SUBSTITUTE(A321,{"0","1","2","3"},"")))))))), 1)) * ROW(INDIRECT("1:"&amp;LEN((LEFT(A321,SUM(LEN(A321)-LEN(SUBSTITUTE(A321,{"0","1","2","3"},"")))))))), 0), ROW(INDIRECT("1:"&amp;LEN((LEFT(A321,SUM(LEN(A321)-LEN(SUBSTITUTE(A321,{"0","1","2","3"},"")))))))))+1, 1) * 10^ROW(INDIRECT("1:"&amp;LEN((LEFT(A321,SUM(LEN(A321)-LEN(SUBSTITUTE(A321,{"0","1","2","3"},""))))))))/10))*100+1</f>
        <v>3501</v>
      </c>
      <c r="V322" s="23">
        <f ca="1">(SUMPRODUCT(MID(0&amp;(--TRIM(RIGHT(SUBSTITUTE(LEFT(A321,_xlfn.AGGREGATE(16,6,FIND({0,1,2,3,4,5,6,7,8,9},A321,ROW(INDIRECT("1:"&amp;LEN(A321)))),1))," ",REPT(" ",LEN(A321))),LEN(A321)))), LARGE(INDEX(ISNUMBER(--MID((--TRIM(RIGHT(SUBSTITUTE(LEFT(A321,_xlfn.AGGREGATE(16,6,FIND({0,1,2,3,4,5,6,7,8,9},A321,ROW(INDIRECT("1:"&amp;LEN(A321)))),1))," ",REPT(" ",LEN(A321))),LEN(A321)))), ROW(INDIRECT("1:"&amp;LEN((--TRIM(RIGHT(SUBSTITUTE(LEFT(A321,_xlfn.AGGREGATE(16,6,FIND({0,1,2,3,4,5,6,7,8,9},A321,ROW(INDIRECT("1:"&amp;LEN(A321)))),1))," ",REPT(" ",LEN(A321))),LEN(A321))))))), 1)) * ROW(INDIRECT("1:"&amp;LEN((--TRIM(RIGHT(SUBSTITUTE(LEFT(A321,_xlfn.AGGREGATE(16,6,FIND({0,1,2,3,4,5,6,7,8,9},A321,ROW(INDIRECT("1:"&amp;LEN(A321)))),1))," ",REPT(" ",LEN(A321))),LEN(A321))))))), 0), ROW(INDIRECT("1:"&amp;LEN((--TRIM(RIGHT(SUBSTITUTE(LEFT(A321,_xlfn.AGGREGATE(16,6,FIND({0,1,2,3,4,5,6,7,8,9},A321,ROW(INDIRECT("1:"&amp;LEN(A321)))),1))," ",REPT(" ",LEN(A321))),LEN(A321))))))))+1, 1) * 10^ROW(INDIRECT("1:"&amp;LEN((--TRIM(RIGHT(SUBSTITUTE(LEFT(A321,_xlfn.AGGREGATE(16,6,FIND({0,1,2,3,4,5,6,7,8,9},A321,ROW(INDIRECT("1:"&amp;LEN(A321)))),1))," ",REPT(" ",LEN(A321))),LEN(A321)))))))/10))*100+1</f>
        <v>4701</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customHeight="1" x14ac:dyDescent="0.25">
      <c r="A323" s="86">
        <v>2</v>
      </c>
      <c r="B323" s="86"/>
      <c r="C323" s="53" t="s">
        <v>337</v>
      </c>
      <c r="D323" s="53" t="s">
        <v>354</v>
      </c>
      <c r="E323" s="75">
        <f>(141.762)*10.764</f>
        <v>1525.926168</v>
      </c>
      <c r="F323" s="75">
        <f>(5.245)*10.764</f>
        <v>56.457180000000001</v>
      </c>
      <c r="G323" s="75">
        <v>0</v>
      </c>
      <c r="H323" s="75">
        <f t="shared" ref="H323:H327" si="82">E323+F323+(IF(G323&lt;101,G323,IF(G323&lt;201,G323/2,IF(G323&lt;=301,G323/3,G323/4))))</f>
        <v>1582.3833480000001</v>
      </c>
      <c r="I323" s="1"/>
      <c r="J323" s="1"/>
      <c r="K323" s="1"/>
      <c r="L323" s="1"/>
      <c r="M323" s="1"/>
      <c r="N323" s="1"/>
      <c r="O323" s="1"/>
      <c r="P323" s="1"/>
      <c r="Q323" s="1"/>
      <c r="R323" s="1"/>
      <c r="S323" s="1"/>
      <c r="T323" s="23" t="str">
        <f t="shared" ref="T323:T327" ca="1" si="83">U323&amp;""&amp;" &amp; "&amp;""&amp;V323</f>
        <v>3502 &amp; 4702</v>
      </c>
      <c r="U323" s="23">
        <f ca="1">U322+1</f>
        <v>3502</v>
      </c>
      <c r="V323" s="23">
        <f ca="1">V322+1</f>
        <v>4702</v>
      </c>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customHeight="1" x14ac:dyDescent="0.25">
      <c r="A324" s="86">
        <v>3</v>
      </c>
      <c r="B324" s="86"/>
      <c r="C324" s="53" t="s">
        <v>337</v>
      </c>
      <c r="D324" s="53" t="s">
        <v>345</v>
      </c>
      <c r="E324" s="75">
        <f>(111.764)*10.764</f>
        <v>1203.0276959999999</v>
      </c>
      <c r="F324" s="75">
        <f>(7.341)*10.764</f>
        <v>79.018523999999999</v>
      </c>
      <c r="G324" s="75">
        <v>0</v>
      </c>
      <c r="H324" s="75">
        <f t="shared" si="82"/>
        <v>1282.0462199999999</v>
      </c>
      <c r="I324" s="1"/>
      <c r="J324" s="1"/>
      <c r="K324" s="1"/>
      <c r="L324" s="1"/>
      <c r="M324" s="1"/>
      <c r="N324" s="1"/>
      <c r="O324" s="1"/>
      <c r="P324" s="1"/>
      <c r="Q324" s="1"/>
      <c r="R324" s="1"/>
      <c r="S324" s="1"/>
      <c r="T324" s="23" t="str">
        <f t="shared" ca="1" si="83"/>
        <v>3503 &amp; 4703</v>
      </c>
      <c r="U324" s="23">
        <f t="shared" ref="U324:V324" ca="1" si="84">U323+1</f>
        <v>3503</v>
      </c>
      <c r="V324" s="23">
        <f t="shared" ca="1" si="84"/>
        <v>4703</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86">
        <v>4</v>
      </c>
      <c r="B325" s="86"/>
      <c r="C325" s="53" t="s">
        <v>337</v>
      </c>
      <c r="D325" s="53" t="s">
        <v>345</v>
      </c>
      <c r="E325" s="75">
        <f>(94.985)*10.764</f>
        <v>1022.4185399999999</v>
      </c>
      <c r="F325" s="75">
        <f>(6.723)*10.764</f>
        <v>72.366371999999998</v>
      </c>
      <c r="G325" s="75">
        <v>0</v>
      </c>
      <c r="H325" s="75">
        <f t="shared" si="82"/>
        <v>1094.7849119999998</v>
      </c>
      <c r="I325" s="1"/>
      <c r="J325" s="1"/>
      <c r="K325" s="1"/>
      <c r="L325" s="1"/>
      <c r="M325" s="1"/>
      <c r="N325" s="1"/>
      <c r="O325" s="1"/>
      <c r="P325" s="1"/>
      <c r="Q325" s="1"/>
      <c r="R325" s="1"/>
      <c r="S325" s="1"/>
      <c r="T325" s="23" t="str">
        <f t="shared" ca="1" si="83"/>
        <v>3504 &amp; 4704</v>
      </c>
      <c r="U325" s="23">
        <f t="shared" ref="U325:V325" ca="1" si="85">U324+1</f>
        <v>3504</v>
      </c>
      <c r="V325" s="23">
        <f t="shared" ca="1" si="85"/>
        <v>4704</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86">
        <v>5</v>
      </c>
      <c r="B326" s="86"/>
      <c r="C326" s="53" t="s">
        <v>337</v>
      </c>
      <c r="D326" s="53" t="s">
        <v>345</v>
      </c>
      <c r="E326" s="75">
        <f>(94.985)*10.764</f>
        <v>1022.4185399999999</v>
      </c>
      <c r="F326" s="75">
        <f>(6.723)*10.764</f>
        <v>72.366371999999998</v>
      </c>
      <c r="G326" s="75">
        <v>0</v>
      </c>
      <c r="H326" s="75">
        <f t="shared" si="82"/>
        <v>1094.7849119999998</v>
      </c>
      <c r="I326" s="1"/>
      <c r="J326" s="1"/>
      <c r="K326" s="1"/>
      <c r="L326" s="1"/>
      <c r="M326" s="1"/>
      <c r="N326" s="1"/>
      <c r="O326" s="1"/>
      <c r="P326" s="1"/>
      <c r="Q326" s="1"/>
      <c r="R326" s="1"/>
      <c r="S326" s="1"/>
      <c r="T326" s="23" t="str">
        <f t="shared" ca="1" si="83"/>
        <v>3505 &amp; 4705</v>
      </c>
      <c r="U326" s="23">
        <f t="shared" ref="U326:V326" ca="1" si="86">U325+1</f>
        <v>3505</v>
      </c>
      <c r="V326" s="23">
        <f t="shared" ca="1" si="86"/>
        <v>4705</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customHeight="1" x14ac:dyDescent="0.25">
      <c r="A327" s="86">
        <v>6</v>
      </c>
      <c r="B327" s="86"/>
      <c r="C327" s="53" t="s">
        <v>337</v>
      </c>
      <c r="D327" s="53" t="s">
        <v>345</v>
      </c>
      <c r="E327" s="75">
        <f>(111.764)*10.764</f>
        <v>1203.0276959999999</v>
      </c>
      <c r="F327" s="75">
        <f>(7.341)*10.764</f>
        <v>79.018523999999999</v>
      </c>
      <c r="G327" s="75">
        <v>0</v>
      </c>
      <c r="H327" s="75">
        <f t="shared" si="82"/>
        <v>1282.0462199999999</v>
      </c>
      <c r="I327" s="1"/>
      <c r="J327" s="1"/>
      <c r="K327" s="1"/>
      <c r="L327" s="1"/>
      <c r="M327" s="1"/>
      <c r="N327" s="1"/>
      <c r="O327" s="1"/>
      <c r="P327" s="1"/>
      <c r="Q327" s="1"/>
      <c r="R327" s="1"/>
      <c r="S327" s="1"/>
      <c r="T327" s="23" t="str">
        <f t="shared" ca="1" si="83"/>
        <v>3506 &amp; 4706</v>
      </c>
      <c r="U327" s="23">
        <f t="shared" ref="U327:V327" ca="1" si="87">U326+1</f>
        <v>3506</v>
      </c>
      <c r="V327" s="23">
        <f t="shared" ca="1" si="87"/>
        <v>4706</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x14ac:dyDescent="0.25">
      <c r="A328" s="89" t="s">
        <v>391</v>
      </c>
      <c r="B328" s="90"/>
      <c r="C328" s="90"/>
      <c r="D328" s="90"/>
      <c r="E328" s="90"/>
      <c r="F328" s="90"/>
      <c r="G328" s="90"/>
      <c r="H328" s="9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customHeight="1" x14ac:dyDescent="0.25">
      <c r="A329" s="89" t="s">
        <v>334</v>
      </c>
      <c r="B329" s="90"/>
      <c r="C329" s="90"/>
      <c r="D329" s="90"/>
      <c r="E329" s="90"/>
      <c r="F329" s="90"/>
      <c r="G329" s="90"/>
      <c r="H329" s="9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x14ac:dyDescent="0.25">
      <c r="A330" s="89" t="s">
        <v>394</v>
      </c>
      <c r="B330" s="90"/>
      <c r="C330" s="90"/>
      <c r="D330" s="90"/>
      <c r="E330" s="90"/>
      <c r="F330" s="90"/>
      <c r="G330" s="90"/>
      <c r="H330" s="9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x14ac:dyDescent="0.25">
      <c r="A331" s="89" t="s">
        <v>395</v>
      </c>
      <c r="B331" s="90"/>
      <c r="C331" s="90"/>
      <c r="D331" s="90"/>
      <c r="E331" s="90"/>
      <c r="F331" s="90"/>
      <c r="G331" s="90"/>
      <c r="H331" s="9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x14ac:dyDescent="0.25">
      <c r="A332" s="89" t="s">
        <v>396</v>
      </c>
      <c r="B332" s="90"/>
      <c r="C332" s="90"/>
      <c r="D332" s="90"/>
      <c r="E332" s="90"/>
      <c r="F332" s="90"/>
      <c r="G332" s="90"/>
      <c r="H332" s="91"/>
      <c r="I332" s="77">
        <v>1</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customHeight="1" x14ac:dyDescent="0.25">
      <c r="A333" s="86">
        <v>1</v>
      </c>
      <c r="B333" s="86"/>
      <c r="C333" s="53" t="s">
        <v>337</v>
      </c>
      <c r="D333" s="53" t="s">
        <v>397</v>
      </c>
      <c r="E333" s="84">
        <f>(44.9)*10.764</f>
        <v>483.30359999999996</v>
      </c>
      <c r="F333" s="82">
        <v>0</v>
      </c>
      <c r="G333" s="82">
        <f>(2.75*5)*10.764</f>
        <v>148.005</v>
      </c>
      <c r="H333" s="82">
        <f>E333+F333+(IF(G333&lt;101,G333,IF(G333&lt;201,G333/2,IF(G333&lt;=301,G333/3,G333/4))))</f>
        <v>557.30610000000001</v>
      </c>
      <c r="I333" s="1"/>
      <c r="J333" s="1"/>
      <c r="K333" s="1"/>
      <c r="L333" s="1"/>
      <c r="M333" s="1"/>
      <c r="N333" s="1"/>
      <c r="O333" s="1"/>
      <c r="P333" s="1"/>
      <c r="Q333" s="1"/>
      <c r="R333" s="1"/>
      <c r="S333" s="1"/>
      <c r="T333" s="23" t="e">
        <f t="shared" ref="T333:T340" ca="1" si="88">U333&amp;""&amp;",..,"&amp;""&amp;V333</f>
        <v>#VALUE!</v>
      </c>
      <c r="U333" s="23">
        <f ca="1">(SUMPRODUCT(MID(0&amp;(LEFT(A332,SUM(LEN(A332)-LEN(SUBSTITUTE(A332,{"0","1","2","3"},""))))), LARGE(INDEX(ISNUMBER(--MID((LEFT(A332,SUM(LEN(A332)-LEN(SUBSTITUTE(A332,{"0","1","2","3"},""))))), ROW(INDIRECT("1:"&amp;LEN((LEFT(A332,SUM(LEN(A332)-LEN(SUBSTITUTE(A332,{"0","1","2","3"},"")))))))), 1)) * ROW(INDIRECT("1:"&amp;LEN((LEFT(A332,SUM(LEN(A332)-LEN(SUBSTITUTE(A332,{"0","1","2","3"},"")))))))), 0), ROW(INDIRECT("1:"&amp;LEN((LEFT(A332,SUM(LEN(A332)-LEN(SUBSTITUTE(A332,{"0","1","2","3"},"")))))))))+1, 1) * 10^ROW(INDIRECT("1:"&amp;LEN((LEFT(A332,SUM(LEN(A332)-LEN(SUBSTITUTE(A332,{"0","1","2","3"},""))))))))/10))*100+1</f>
        <v>101</v>
      </c>
      <c r="V333" s="23" t="e">
        <f ca="1">(SUMPRODUCT(MID(0&amp;(--TRIM(RIGHT(SUBSTITUTE(LEFT(A332,_xlfn.AGGREGATE(16,6,FIND({0,1,2,3,4,5,6,7,8,9},A332,ROW(INDIRECT("1:"&amp;LEN(A332)))),1))," ",REPT(" ",LEN(A332))),LEN(A332)))), LARGE(INDEX(ISNUMBER(--MID((--TRIM(RIGHT(SUBSTITUTE(LEFT(A332,_xlfn.AGGREGATE(16,6,FIND({0,1,2,3,4,5,6,7,8,9},A332,ROW(INDIRECT("1:"&amp;LEN(A332)))),1))," ",REPT(" ",LEN(A332))),LEN(A332)))), ROW(INDIRECT("1:"&amp;LEN((--TRIM(RIGHT(SUBSTITUTE(LEFT(A332,_xlfn.AGGREGATE(16,6,FIND({0,1,2,3,4,5,6,7,8,9},A332,ROW(INDIRECT("1:"&amp;LEN(A332)))),1))," ",REPT(" ",LEN(A332))),LEN(A332))))))), 1)) * ROW(INDIRECT("1:"&amp;LEN((--TRIM(RIGHT(SUBSTITUTE(LEFT(A332,_xlfn.AGGREGATE(16,6,FIND({0,1,2,3,4,5,6,7,8,9},A332,ROW(INDIRECT("1:"&amp;LEN(A332)))),1))," ",REPT(" ",LEN(A332))),LEN(A332))))))), 0), ROW(INDIRECT("1:"&amp;LEN((--TRIM(RIGHT(SUBSTITUTE(LEFT(A332,_xlfn.AGGREGATE(16,6,FIND({0,1,2,3,4,5,6,7,8,9},A332,ROW(INDIRECT("1:"&amp;LEN(A332)))),1))," ",REPT(" ",LEN(A332))),LEN(A332))))))))+1, 1) * 10^ROW(INDIRECT("1:"&amp;LEN((--TRIM(RIGHT(SUBSTITUTE(LEFT(A332,_xlfn.AGGREGATE(16,6,FIND({0,1,2,3,4,5,6,7,8,9},A332,ROW(INDIRECT("1:"&amp;LEN(A332)))),1))," ",REPT(" ",LEN(A332))),LEN(A332)))))))/10))*100+1</f>
        <v>#VALUE!</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customHeight="1" x14ac:dyDescent="0.25">
      <c r="A334" s="86">
        <v>2</v>
      </c>
      <c r="B334" s="86"/>
      <c r="C334" s="53" t="s">
        <v>337</v>
      </c>
      <c r="D334" s="53" t="s">
        <v>397</v>
      </c>
      <c r="E334" s="84">
        <f>(44.9)*10.764</f>
        <v>483.30359999999996</v>
      </c>
      <c r="F334" s="82">
        <v>0</v>
      </c>
      <c r="G334" s="82">
        <f>(2.75*5)*10.764</f>
        <v>148.005</v>
      </c>
      <c r="H334" s="82">
        <f t="shared" ref="H334:H340" si="89">E334+F334+(IF(G334&lt;101,G334,IF(G334&lt;201,G334/2,IF(G334&lt;=301,G334/3,G334/4))))</f>
        <v>557.30610000000001</v>
      </c>
      <c r="I334" s="1"/>
      <c r="J334" s="1"/>
      <c r="K334" s="1"/>
      <c r="L334" s="1"/>
      <c r="M334" s="1"/>
      <c r="N334" s="1"/>
      <c r="O334" s="1"/>
      <c r="P334" s="1"/>
      <c r="Q334" s="1"/>
      <c r="R334" s="1"/>
      <c r="S334" s="1"/>
      <c r="T334" s="23" t="e">
        <f t="shared" ca="1" si="88"/>
        <v>#VALUE!</v>
      </c>
      <c r="U334" s="23">
        <f ca="1">U333+1</f>
        <v>102</v>
      </c>
      <c r="V334" s="23" t="e">
        <f ca="1">V333+1</f>
        <v>#VALUE!</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customHeight="1" x14ac:dyDescent="0.25">
      <c r="A335" s="86">
        <v>3</v>
      </c>
      <c r="B335" s="86"/>
      <c r="C335" s="53" t="s">
        <v>337</v>
      </c>
      <c r="D335" s="53" t="s">
        <v>397</v>
      </c>
      <c r="E335" s="84">
        <f>(60.55)*10.764</f>
        <v>651.76019999999994</v>
      </c>
      <c r="F335" s="82">
        <f>(2.32)*10.764</f>
        <v>24.972479999999997</v>
      </c>
      <c r="G335" s="82">
        <v>0</v>
      </c>
      <c r="H335" s="82">
        <f t="shared" si="89"/>
        <v>676.73267999999996</v>
      </c>
      <c r="I335" s="1"/>
      <c r="J335" s="1"/>
      <c r="K335" s="1"/>
      <c r="L335" s="1"/>
      <c r="M335" s="1"/>
      <c r="N335" s="1"/>
      <c r="O335" s="1"/>
      <c r="P335" s="1"/>
      <c r="Q335" s="1"/>
      <c r="R335" s="1"/>
      <c r="S335" s="1"/>
      <c r="T335" s="23" t="e">
        <f t="shared" ca="1" si="88"/>
        <v>#VALUE!</v>
      </c>
      <c r="U335" s="23">
        <f t="shared" ref="U335:V340" ca="1" si="90">U334+1</f>
        <v>103</v>
      </c>
      <c r="V335" s="23" t="e">
        <f t="shared" ca="1" si="90"/>
        <v>#VALUE!</v>
      </c>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customHeight="1" x14ac:dyDescent="0.25">
      <c r="A336" s="86">
        <v>4</v>
      </c>
      <c r="B336" s="86"/>
      <c r="C336" s="53" t="s">
        <v>337</v>
      </c>
      <c r="D336" s="95" t="s">
        <v>398</v>
      </c>
      <c r="E336" s="96"/>
      <c r="F336" s="96"/>
      <c r="G336" s="96"/>
      <c r="H336" s="97"/>
      <c r="I336" s="1"/>
      <c r="J336" s="1"/>
      <c r="K336" s="1"/>
      <c r="L336" s="1"/>
      <c r="M336" s="1"/>
      <c r="N336" s="1"/>
      <c r="O336" s="1"/>
      <c r="P336" s="1"/>
      <c r="Q336" s="1"/>
      <c r="R336" s="1"/>
      <c r="S336" s="1"/>
      <c r="T336" s="23" t="e">
        <f t="shared" ca="1" si="88"/>
        <v>#VALUE!</v>
      </c>
      <c r="U336" s="23">
        <f t="shared" ca="1" si="90"/>
        <v>104</v>
      </c>
      <c r="V336" s="23" t="e">
        <f t="shared" ca="1" si="90"/>
        <v>#VALUE!</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customHeight="1" x14ac:dyDescent="0.25">
      <c r="A337" s="86">
        <v>5</v>
      </c>
      <c r="B337" s="86"/>
      <c r="C337" s="53" t="s">
        <v>337</v>
      </c>
      <c r="D337" s="98" t="s">
        <v>338</v>
      </c>
      <c r="E337" s="99"/>
      <c r="F337" s="99"/>
      <c r="G337" s="99"/>
      <c r="H337" s="100"/>
      <c r="I337" s="1"/>
      <c r="J337" s="1"/>
      <c r="K337" s="1"/>
      <c r="L337" s="1"/>
      <c r="M337" s="1"/>
      <c r="N337" s="1"/>
      <c r="O337" s="1"/>
      <c r="P337" s="1"/>
      <c r="Q337" s="1"/>
      <c r="R337" s="1"/>
      <c r="S337" s="1"/>
      <c r="T337" s="23" t="e">
        <f t="shared" ca="1" si="88"/>
        <v>#VALUE!</v>
      </c>
      <c r="U337" s="23">
        <f t="shared" ca="1" si="90"/>
        <v>105</v>
      </c>
      <c r="V337" s="23" t="e">
        <f t="shared" ca="1" si="90"/>
        <v>#VALUE!</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25">
      <c r="A338" s="86">
        <v>6</v>
      </c>
      <c r="B338" s="86"/>
      <c r="C338" s="53" t="s">
        <v>337</v>
      </c>
      <c r="D338" s="101"/>
      <c r="E338" s="102"/>
      <c r="F338" s="102"/>
      <c r="G338" s="102"/>
      <c r="H338" s="103"/>
      <c r="I338" s="1"/>
      <c r="J338" s="1"/>
      <c r="K338" s="1"/>
      <c r="L338" s="1"/>
      <c r="M338" s="1"/>
      <c r="N338" s="1"/>
      <c r="O338" s="1"/>
      <c r="P338" s="1"/>
      <c r="Q338" s="1"/>
      <c r="R338" s="1"/>
      <c r="S338" s="1"/>
      <c r="T338" s="23" t="e">
        <f t="shared" ca="1" si="88"/>
        <v>#VALUE!</v>
      </c>
      <c r="U338" s="23">
        <f t="shared" ca="1" si="90"/>
        <v>106</v>
      </c>
      <c r="V338" s="23" t="e">
        <f t="shared" ca="1" si="90"/>
        <v>#VALUE!</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customHeight="1" x14ac:dyDescent="0.25">
      <c r="A339" s="86">
        <v>7</v>
      </c>
      <c r="B339" s="86"/>
      <c r="C339" s="53" t="s">
        <v>337</v>
      </c>
      <c r="D339" s="95" t="s">
        <v>399</v>
      </c>
      <c r="E339" s="96"/>
      <c r="F339" s="96"/>
      <c r="G339" s="96"/>
      <c r="H339" s="97"/>
      <c r="I339" s="1"/>
      <c r="J339" s="1"/>
      <c r="K339" s="1"/>
      <c r="L339" s="1"/>
      <c r="M339" s="1"/>
      <c r="N339" s="1"/>
      <c r="O339" s="1"/>
      <c r="P339" s="1"/>
      <c r="Q339" s="1"/>
      <c r="R339" s="1"/>
      <c r="S339" s="1"/>
      <c r="T339" s="23" t="e">
        <f t="shared" ca="1" si="88"/>
        <v>#VALUE!</v>
      </c>
      <c r="U339" s="23">
        <f t="shared" ca="1" si="90"/>
        <v>107</v>
      </c>
      <c r="V339" s="23" t="e">
        <f t="shared" ca="1" si="90"/>
        <v>#VALUE!</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customHeight="1" x14ac:dyDescent="0.25">
      <c r="A340" s="86">
        <v>8</v>
      </c>
      <c r="B340" s="86"/>
      <c r="C340" s="53" t="s">
        <v>337</v>
      </c>
      <c r="D340" s="53" t="s">
        <v>397</v>
      </c>
      <c r="E340" s="84">
        <f>(60.55)*10.764</f>
        <v>651.76019999999994</v>
      </c>
      <c r="F340" s="82">
        <f>(2.32)*10.764</f>
        <v>24.972479999999997</v>
      </c>
      <c r="G340" s="82">
        <v>0</v>
      </c>
      <c r="H340" s="82">
        <f t="shared" si="89"/>
        <v>676.73267999999996</v>
      </c>
      <c r="I340" s="1"/>
      <c r="J340" s="1"/>
      <c r="K340" s="1"/>
      <c r="L340" s="1"/>
      <c r="M340" s="1"/>
      <c r="N340" s="1"/>
      <c r="O340" s="1"/>
      <c r="P340" s="1"/>
      <c r="Q340" s="1"/>
      <c r="R340" s="1"/>
      <c r="S340" s="1"/>
      <c r="T340" s="23" t="e">
        <f t="shared" ca="1" si="88"/>
        <v>#VALUE!</v>
      </c>
      <c r="U340" s="23">
        <f t="shared" ca="1" si="90"/>
        <v>108</v>
      </c>
      <c r="V340" s="23" t="e">
        <f t="shared" ca="1" si="90"/>
        <v>#VALUE!</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x14ac:dyDescent="0.25">
      <c r="A341" s="89" t="s">
        <v>335</v>
      </c>
      <c r="B341" s="90"/>
      <c r="C341" s="90"/>
      <c r="D341" s="90"/>
      <c r="E341" s="90"/>
      <c r="F341" s="90"/>
      <c r="G341" s="90"/>
      <c r="H341" s="91"/>
      <c r="I341" s="77">
        <v>1</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customHeight="1" x14ac:dyDescent="0.25">
      <c r="A342" s="86">
        <v>1</v>
      </c>
      <c r="B342" s="86"/>
      <c r="C342" s="53" t="s">
        <v>337</v>
      </c>
      <c r="D342" s="53" t="s">
        <v>397</v>
      </c>
      <c r="E342" s="84">
        <f>(44.9)*10.764</f>
        <v>483.30359999999996</v>
      </c>
      <c r="F342" s="82">
        <v>0</v>
      </c>
      <c r="G342" s="82">
        <f>(2.75*5)*10.764</f>
        <v>148.005</v>
      </c>
      <c r="H342" s="82">
        <f>E342+F342+(IF(G342&lt;101,G342,IF(G342&lt;201,G342/2,IF(G342&lt;=301,G342/3,G342/4))))</f>
        <v>557.30610000000001</v>
      </c>
      <c r="I342" s="1"/>
      <c r="J342" s="1"/>
      <c r="K342" s="1"/>
      <c r="L342" s="1"/>
      <c r="M342" s="1"/>
      <c r="N342" s="1"/>
      <c r="O342" s="1"/>
      <c r="P342" s="1"/>
      <c r="Q342" s="1"/>
      <c r="R342" s="1"/>
      <c r="S342" s="1"/>
      <c r="T342" s="23" t="str">
        <f t="shared" ref="T342:T349" ca="1" si="91">U342&amp;""&amp;",..,"&amp;""&amp;V342</f>
        <v>201,..,201</v>
      </c>
      <c r="U342" s="23">
        <f ca="1">(SUMPRODUCT(MID(0&amp;(LEFT(A341,SUM(LEN(A341)-LEN(SUBSTITUTE(A341,{"0","1","2","3"},""))))), LARGE(INDEX(ISNUMBER(--MID((LEFT(A341,SUM(LEN(A341)-LEN(SUBSTITUTE(A341,{"0","1","2","3"},""))))), ROW(INDIRECT("1:"&amp;LEN((LEFT(A341,SUM(LEN(A341)-LEN(SUBSTITUTE(A341,{"0","1","2","3"},"")))))))), 1)) * ROW(INDIRECT("1:"&amp;LEN((LEFT(A341,SUM(LEN(A341)-LEN(SUBSTITUTE(A341,{"0","1","2","3"},"")))))))), 0), ROW(INDIRECT("1:"&amp;LEN((LEFT(A341,SUM(LEN(A341)-LEN(SUBSTITUTE(A341,{"0","1","2","3"},"")))))))))+1, 1) * 10^ROW(INDIRECT("1:"&amp;LEN((LEFT(A341,SUM(LEN(A341)-LEN(SUBSTITUTE(A341,{"0","1","2","3"},""))))))))/10))*100+1</f>
        <v>201</v>
      </c>
      <c r="V342" s="23">
        <f ca="1">(SUMPRODUCT(MID(0&amp;(--TRIM(RIGHT(SUBSTITUTE(LEFT(A341,_xlfn.AGGREGATE(16,6,FIND({0,1,2,3,4,5,6,7,8,9},A341,ROW(INDIRECT("1:"&amp;LEN(A341)))),1))," ",REPT(" ",LEN(A341))),LEN(A341)))), LARGE(INDEX(ISNUMBER(--MID((--TRIM(RIGHT(SUBSTITUTE(LEFT(A341,_xlfn.AGGREGATE(16,6,FIND({0,1,2,3,4,5,6,7,8,9},A341,ROW(INDIRECT("1:"&amp;LEN(A341)))),1))," ",REPT(" ",LEN(A341))),LEN(A341)))), ROW(INDIRECT("1:"&amp;LEN((--TRIM(RIGHT(SUBSTITUTE(LEFT(A341,_xlfn.AGGREGATE(16,6,FIND({0,1,2,3,4,5,6,7,8,9},A341,ROW(INDIRECT("1:"&amp;LEN(A341)))),1))," ",REPT(" ",LEN(A341))),LEN(A341))))))), 1)) * ROW(INDIRECT("1:"&amp;LEN((--TRIM(RIGHT(SUBSTITUTE(LEFT(A341,_xlfn.AGGREGATE(16,6,FIND({0,1,2,3,4,5,6,7,8,9},A341,ROW(INDIRECT("1:"&amp;LEN(A341)))),1))," ",REPT(" ",LEN(A341))),LEN(A341))))))), 0), ROW(INDIRECT("1:"&amp;LEN((--TRIM(RIGHT(SUBSTITUTE(LEFT(A341,_xlfn.AGGREGATE(16,6,FIND({0,1,2,3,4,5,6,7,8,9},A341,ROW(INDIRECT("1:"&amp;LEN(A341)))),1))," ",REPT(" ",LEN(A341))),LEN(A341))))))))+1, 1) * 10^ROW(INDIRECT("1:"&amp;LEN((--TRIM(RIGHT(SUBSTITUTE(LEFT(A341,_xlfn.AGGREGATE(16,6,FIND({0,1,2,3,4,5,6,7,8,9},A341,ROW(INDIRECT("1:"&amp;LEN(A341)))),1))," ",REPT(" ",LEN(A341))),LEN(A341)))))))/10))*100+1</f>
        <v>201</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customHeight="1" x14ac:dyDescent="0.25">
      <c r="A343" s="86">
        <v>2</v>
      </c>
      <c r="B343" s="86"/>
      <c r="C343" s="53" t="s">
        <v>337</v>
      </c>
      <c r="D343" s="53" t="s">
        <v>397</v>
      </c>
      <c r="E343" s="84">
        <f>(44.9)*10.764</f>
        <v>483.30359999999996</v>
      </c>
      <c r="F343" s="82">
        <v>0</v>
      </c>
      <c r="G343" s="82">
        <f>(2.75*5)*10.764</f>
        <v>148.005</v>
      </c>
      <c r="H343" s="82">
        <f t="shared" ref="H343:H344" si="92">E343+F343+(IF(G343&lt;101,G343,IF(G343&lt;201,G343/2,IF(G343&lt;=301,G343/3,G343/4))))</f>
        <v>557.30610000000001</v>
      </c>
      <c r="I343" s="1"/>
      <c r="J343" s="1"/>
      <c r="K343" s="1"/>
      <c r="L343" s="1"/>
      <c r="M343" s="1"/>
      <c r="N343" s="1"/>
      <c r="O343" s="1"/>
      <c r="P343" s="1"/>
      <c r="Q343" s="1"/>
      <c r="R343" s="1"/>
      <c r="S343" s="1"/>
      <c r="T343" s="23" t="str">
        <f t="shared" ca="1" si="91"/>
        <v>202,..,202</v>
      </c>
      <c r="U343" s="23">
        <f ca="1">U342+1</f>
        <v>202</v>
      </c>
      <c r="V343" s="23">
        <f ca="1">V342+1</f>
        <v>202</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customHeight="1" x14ac:dyDescent="0.25">
      <c r="A344" s="86">
        <v>3</v>
      </c>
      <c r="B344" s="86"/>
      <c r="C344" s="53" t="s">
        <v>337</v>
      </c>
      <c r="D344" s="53" t="s">
        <v>397</v>
      </c>
      <c r="E344" s="84">
        <f>(60.55)*10.764</f>
        <v>651.76019999999994</v>
      </c>
      <c r="F344" s="82">
        <f>(2.32)*10.764</f>
        <v>24.972479999999997</v>
      </c>
      <c r="G344" s="82">
        <v>0</v>
      </c>
      <c r="H344" s="82">
        <f t="shared" si="92"/>
        <v>676.73267999999996</v>
      </c>
      <c r="I344" s="1"/>
      <c r="J344" s="1"/>
      <c r="K344" s="1"/>
      <c r="L344" s="1"/>
      <c r="M344" s="1"/>
      <c r="N344" s="1"/>
      <c r="O344" s="1"/>
      <c r="P344" s="1"/>
      <c r="Q344" s="1"/>
      <c r="R344" s="1"/>
      <c r="S344" s="1"/>
      <c r="T344" s="23" t="str">
        <f t="shared" ca="1" si="91"/>
        <v>203,..,203</v>
      </c>
      <c r="U344" s="23">
        <f t="shared" ref="U344:V349" ca="1" si="93">U343+1</f>
        <v>203</v>
      </c>
      <c r="V344" s="23">
        <f t="shared" ca="1" si="93"/>
        <v>203</v>
      </c>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customHeight="1" x14ac:dyDescent="0.25">
      <c r="A345" s="86">
        <v>4</v>
      </c>
      <c r="B345" s="86"/>
      <c r="C345" s="53" t="s">
        <v>337</v>
      </c>
      <c r="D345" s="95" t="s">
        <v>398</v>
      </c>
      <c r="E345" s="96"/>
      <c r="F345" s="96"/>
      <c r="G345" s="96"/>
      <c r="H345" s="97"/>
      <c r="I345" s="1"/>
      <c r="J345" s="1"/>
      <c r="K345" s="1"/>
      <c r="L345" s="1"/>
      <c r="M345" s="1"/>
      <c r="N345" s="1"/>
      <c r="O345" s="1"/>
      <c r="P345" s="1"/>
      <c r="Q345" s="1"/>
      <c r="R345" s="1"/>
      <c r="S345" s="1"/>
      <c r="T345" s="23" t="str">
        <f t="shared" ca="1" si="91"/>
        <v>204,..,204</v>
      </c>
      <c r="U345" s="23">
        <f t="shared" ca="1" si="93"/>
        <v>204</v>
      </c>
      <c r="V345" s="23">
        <f t="shared" ca="1" si="93"/>
        <v>204</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customHeight="1" x14ac:dyDescent="0.25">
      <c r="A346" s="86">
        <v>5</v>
      </c>
      <c r="B346" s="86"/>
      <c r="C346" s="53" t="s">
        <v>337</v>
      </c>
      <c r="D346" s="98"/>
      <c r="E346" s="99"/>
      <c r="F346" s="99"/>
      <c r="G346" s="99"/>
      <c r="H346" s="100"/>
      <c r="I346" s="1"/>
      <c r="J346" s="1"/>
      <c r="K346" s="1"/>
      <c r="L346" s="1"/>
      <c r="M346" s="1"/>
      <c r="N346" s="1"/>
      <c r="O346" s="1"/>
      <c r="P346" s="1"/>
      <c r="Q346" s="1"/>
      <c r="R346" s="1"/>
      <c r="S346" s="1"/>
      <c r="T346" s="23" t="str">
        <f t="shared" ca="1" si="91"/>
        <v>205,..,205</v>
      </c>
      <c r="U346" s="23">
        <f t="shared" ca="1" si="93"/>
        <v>205</v>
      </c>
      <c r="V346" s="23">
        <f t="shared" ca="1" si="93"/>
        <v>205</v>
      </c>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customHeight="1" x14ac:dyDescent="0.25">
      <c r="A347" s="86">
        <v>6</v>
      </c>
      <c r="B347" s="86"/>
      <c r="C347" s="53" t="s">
        <v>337</v>
      </c>
      <c r="D347" s="101"/>
      <c r="E347" s="102"/>
      <c r="F347" s="102"/>
      <c r="G347" s="102"/>
      <c r="H347" s="103"/>
      <c r="I347" s="1"/>
      <c r="J347" s="1"/>
      <c r="K347" s="1"/>
      <c r="L347" s="1"/>
      <c r="M347" s="1"/>
      <c r="N347" s="1"/>
      <c r="O347" s="1"/>
      <c r="P347" s="1"/>
      <c r="Q347" s="1"/>
      <c r="R347" s="1"/>
      <c r="S347" s="1"/>
      <c r="T347" s="23" t="str">
        <f t="shared" ca="1" si="91"/>
        <v>206,..,206</v>
      </c>
      <c r="U347" s="23">
        <f t="shared" ca="1" si="93"/>
        <v>206</v>
      </c>
      <c r="V347" s="23">
        <f t="shared" ca="1" si="93"/>
        <v>206</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customHeight="1" x14ac:dyDescent="0.25">
      <c r="A348" s="86">
        <v>7</v>
      </c>
      <c r="B348" s="86"/>
      <c r="C348" s="53" t="s">
        <v>337</v>
      </c>
      <c r="D348" s="95" t="s">
        <v>399</v>
      </c>
      <c r="E348" s="96"/>
      <c r="F348" s="96"/>
      <c r="G348" s="96"/>
      <c r="H348" s="97"/>
      <c r="I348" s="1"/>
      <c r="J348" s="1"/>
      <c r="K348" s="1"/>
      <c r="L348" s="1"/>
      <c r="M348" s="1"/>
      <c r="N348" s="1"/>
      <c r="O348" s="1"/>
      <c r="P348" s="1"/>
      <c r="Q348" s="1"/>
      <c r="R348" s="1"/>
      <c r="S348" s="1"/>
      <c r="T348" s="23" t="str">
        <f t="shared" ca="1" si="91"/>
        <v>207,..,207</v>
      </c>
      <c r="U348" s="23">
        <f t="shared" ca="1" si="93"/>
        <v>207</v>
      </c>
      <c r="V348" s="23">
        <f t="shared" ca="1" si="93"/>
        <v>207</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86">
        <v>8</v>
      </c>
      <c r="B349" s="86"/>
      <c r="C349" s="53" t="s">
        <v>337</v>
      </c>
      <c r="D349" s="53" t="s">
        <v>397</v>
      </c>
      <c r="E349" s="84">
        <f>(60.55)*10.764</f>
        <v>651.76019999999994</v>
      </c>
      <c r="F349" s="82">
        <f>(2.32)*10.764</f>
        <v>24.972479999999997</v>
      </c>
      <c r="G349" s="82">
        <v>0</v>
      </c>
      <c r="H349" s="82">
        <f t="shared" ref="H349" si="94">E349+F349+(IF(G349&lt;101,G349,IF(G349&lt;201,G349/2,IF(G349&lt;=301,G349/3,G349/4))))</f>
        <v>676.73267999999996</v>
      </c>
      <c r="I349" s="1"/>
      <c r="J349" s="1"/>
      <c r="K349" s="1"/>
      <c r="L349" s="1"/>
      <c r="M349" s="1"/>
      <c r="N349" s="1"/>
      <c r="O349" s="1"/>
      <c r="P349" s="1"/>
      <c r="Q349" s="1"/>
      <c r="R349" s="1"/>
      <c r="S349" s="1"/>
      <c r="T349" s="23" t="str">
        <f t="shared" ca="1" si="91"/>
        <v>208,..,208</v>
      </c>
      <c r="U349" s="23">
        <f t="shared" ca="1" si="93"/>
        <v>208</v>
      </c>
      <c r="V349" s="23">
        <f t="shared" ca="1" si="93"/>
        <v>208</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x14ac:dyDescent="0.25">
      <c r="A350" s="89" t="s">
        <v>360</v>
      </c>
      <c r="B350" s="90"/>
      <c r="C350" s="90"/>
      <c r="D350" s="90"/>
      <c r="E350" s="90"/>
      <c r="F350" s="90"/>
      <c r="G350" s="90"/>
      <c r="H350" s="91"/>
      <c r="I350" s="77">
        <v>1</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customHeight="1" x14ac:dyDescent="0.25">
      <c r="A351" s="86">
        <v>1</v>
      </c>
      <c r="B351" s="86"/>
      <c r="C351" s="53" t="s">
        <v>337</v>
      </c>
      <c r="D351" s="53" t="s">
        <v>397</v>
      </c>
      <c r="E351" s="84">
        <f>(44.9)*10.764</f>
        <v>483.30359999999996</v>
      </c>
      <c r="F351" s="82">
        <v>0</v>
      </c>
      <c r="G351" s="82">
        <v>0</v>
      </c>
      <c r="H351" s="82">
        <f>E351+F351+(IF(G351&lt;101,G351,IF(G351&lt;201,G351/2,IF(G351&lt;=301,G351/3,G351/4))))</f>
        <v>483.30359999999996</v>
      </c>
      <c r="I351" s="1"/>
      <c r="J351" s="1"/>
      <c r="K351" s="1"/>
      <c r="L351" s="1"/>
      <c r="M351" s="1"/>
      <c r="N351" s="1"/>
      <c r="O351" s="1"/>
      <c r="P351" s="1"/>
      <c r="Q351" s="1"/>
      <c r="R351" s="1"/>
      <c r="S351" s="1"/>
      <c r="T351" s="23" t="str">
        <f ca="1">U351&amp;""&amp;" to "&amp;""&amp;V351</f>
        <v>301 to 301</v>
      </c>
      <c r="U351" s="23">
        <f ca="1">(SUMPRODUCT(MID(0&amp;(LEFT(A350,SUM(LEN(A350)-LEN(SUBSTITUTE(A350,{"0","1","2","3"},""))))), LARGE(INDEX(ISNUMBER(--MID((LEFT(A350,SUM(LEN(A350)-LEN(SUBSTITUTE(A350,{"0","1","2","3"},""))))), ROW(INDIRECT("1:"&amp;LEN((LEFT(A350,SUM(LEN(A350)-LEN(SUBSTITUTE(A350,{"0","1","2","3"},"")))))))), 1)) * ROW(INDIRECT("1:"&amp;LEN((LEFT(A350,SUM(LEN(A350)-LEN(SUBSTITUTE(A350,{"0","1","2","3"},"")))))))), 0), ROW(INDIRECT("1:"&amp;LEN((LEFT(A350,SUM(LEN(A350)-LEN(SUBSTITUTE(A350,{"0","1","2","3"},"")))))))))+1, 1) * 10^ROW(INDIRECT("1:"&amp;LEN((LEFT(A350,SUM(LEN(A350)-LEN(SUBSTITUTE(A350,{"0","1","2","3"},""))))))))/10))*100+1</f>
        <v>301</v>
      </c>
      <c r="V351" s="23">
        <f ca="1">(SUMPRODUCT(MID(0&amp;(--TRIM(RIGHT(SUBSTITUTE(LEFT(A350,_xlfn.AGGREGATE(16,6,FIND({0,1,2,3,4,5,6,7,8,9},A350,ROW(INDIRECT("1:"&amp;LEN(A350)))),1))," ",REPT(" ",LEN(A350))),LEN(A350)))), LARGE(INDEX(ISNUMBER(--MID((--TRIM(RIGHT(SUBSTITUTE(LEFT(A350,_xlfn.AGGREGATE(16,6,FIND({0,1,2,3,4,5,6,7,8,9},A350,ROW(INDIRECT("1:"&amp;LEN(A350)))),1))," ",REPT(" ",LEN(A350))),LEN(A350)))), ROW(INDIRECT("1:"&amp;LEN((--TRIM(RIGHT(SUBSTITUTE(LEFT(A350,_xlfn.AGGREGATE(16,6,FIND({0,1,2,3,4,5,6,7,8,9},A350,ROW(INDIRECT("1:"&amp;LEN(A350)))),1))," ",REPT(" ",LEN(A350))),LEN(A350))))))), 1)) * ROW(INDIRECT("1:"&amp;LEN((--TRIM(RIGHT(SUBSTITUTE(LEFT(A350,_xlfn.AGGREGATE(16,6,FIND({0,1,2,3,4,5,6,7,8,9},A350,ROW(INDIRECT("1:"&amp;LEN(A350)))),1))," ",REPT(" ",LEN(A350))),LEN(A350))))))), 0), ROW(INDIRECT("1:"&amp;LEN((--TRIM(RIGHT(SUBSTITUTE(LEFT(A350,_xlfn.AGGREGATE(16,6,FIND({0,1,2,3,4,5,6,7,8,9},A350,ROW(INDIRECT("1:"&amp;LEN(A350)))),1))," ",REPT(" ",LEN(A350))),LEN(A350))))))))+1, 1) * 10^ROW(INDIRECT("1:"&amp;LEN((--TRIM(RIGHT(SUBSTITUTE(LEFT(A350,_xlfn.AGGREGATE(16,6,FIND({0,1,2,3,4,5,6,7,8,9},A350,ROW(INDIRECT("1:"&amp;LEN(A350)))),1))," ",REPT(" ",LEN(A350))),LEN(A350)))))))/10))*100+1</f>
        <v>301</v>
      </c>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customHeight="1" x14ac:dyDescent="0.25">
      <c r="A352" s="86">
        <v>2</v>
      </c>
      <c r="B352" s="86"/>
      <c r="C352" s="53" t="s">
        <v>337</v>
      </c>
      <c r="D352" s="53" t="s">
        <v>397</v>
      </c>
      <c r="E352" s="84">
        <f>(44.9)*10.764</f>
        <v>483.30359999999996</v>
      </c>
      <c r="F352" s="82">
        <v>0</v>
      </c>
      <c r="G352" s="82">
        <v>0</v>
      </c>
      <c r="H352" s="82">
        <f t="shared" ref="H352:H358" si="95">E352+F352+(IF(G352&lt;101,G352,IF(G352&lt;201,G352/2,IF(G352&lt;=301,G352/3,G352/4))))</f>
        <v>483.30359999999996</v>
      </c>
      <c r="I352" s="1"/>
      <c r="J352" s="1"/>
      <c r="K352" s="1"/>
      <c r="L352" s="1"/>
      <c r="M352" s="1"/>
      <c r="N352" s="1"/>
      <c r="O352" s="1"/>
      <c r="P352" s="1"/>
      <c r="Q352" s="1"/>
      <c r="R352" s="1"/>
      <c r="S352" s="1"/>
      <c r="T352" s="23" t="str">
        <f t="shared" ref="T352:T358" ca="1" si="96">U352&amp;""&amp;" to "&amp;""&amp;V352</f>
        <v>302 to 302</v>
      </c>
      <c r="U352" s="23">
        <f ca="1">U351+1</f>
        <v>302</v>
      </c>
      <c r="V352" s="23">
        <f ca="1">V351+1</f>
        <v>302</v>
      </c>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customHeight="1" x14ac:dyDescent="0.25">
      <c r="A353" s="86">
        <v>3</v>
      </c>
      <c r="B353" s="86"/>
      <c r="C353" s="53" t="s">
        <v>337</v>
      </c>
      <c r="D353" s="53" t="s">
        <v>397</v>
      </c>
      <c r="E353" s="84">
        <f>(60.55)*10.764</f>
        <v>651.76019999999994</v>
      </c>
      <c r="F353" s="82">
        <f>(2.32)*10.764</f>
        <v>24.972479999999997</v>
      </c>
      <c r="G353" s="82">
        <v>0</v>
      </c>
      <c r="H353" s="82">
        <f t="shared" si="95"/>
        <v>676.73267999999996</v>
      </c>
      <c r="I353" s="1"/>
      <c r="J353" s="1"/>
      <c r="K353" s="1"/>
      <c r="L353" s="1"/>
      <c r="M353" s="1"/>
      <c r="N353" s="1"/>
      <c r="O353" s="1"/>
      <c r="P353" s="1"/>
      <c r="Q353" s="1"/>
      <c r="R353" s="1"/>
      <c r="S353" s="1"/>
      <c r="T353" s="23" t="str">
        <f t="shared" ca="1" si="96"/>
        <v>303 to 303</v>
      </c>
      <c r="U353" s="23">
        <f t="shared" ref="U353:V358" ca="1" si="97">U352+1</f>
        <v>303</v>
      </c>
      <c r="V353" s="23">
        <f t="shared" ca="1" si="97"/>
        <v>303</v>
      </c>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customHeight="1" x14ac:dyDescent="0.25">
      <c r="A354" s="86">
        <v>4</v>
      </c>
      <c r="B354" s="86"/>
      <c r="C354" s="53" t="s">
        <v>337</v>
      </c>
      <c r="D354" s="53" t="s">
        <v>397</v>
      </c>
      <c r="E354" s="84">
        <f>(60.55)*10.764</f>
        <v>651.76019999999994</v>
      </c>
      <c r="F354" s="82">
        <f>(2.32)*10.764</f>
        <v>24.972479999999997</v>
      </c>
      <c r="G354" s="82">
        <v>0</v>
      </c>
      <c r="H354" s="82">
        <f t="shared" si="95"/>
        <v>676.73267999999996</v>
      </c>
      <c r="I354" s="1"/>
      <c r="J354" s="1"/>
      <c r="K354" s="1"/>
      <c r="L354" s="1"/>
      <c r="M354" s="1"/>
      <c r="N354" s="1"/>
      <c r="O354" s="1"/>
      <c r="P354" s="1"/>
      <c r="Q354" s="1"/>
      <c r="R354" s="1"/>
      <c r="S354" s="1"/>
      <c r="T354" s="23" t="str">
        <f t="shared" ca="1" si="96"/>
        <v>304 to 304</v>
      </c>
      <c r="U354" s="23">
        <f t="shared" ca="1" si="97"/>
        <v>304</v>
      </c>
      <c r="V354" s="23">
        <f t="shared" ca="1" si="97"/>
        <v>304</v>
      </c>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customHeight="1" x14ac:dyDescent="0.25">
      <c r="A355" s="86">
        <v>5</v>
      </c>
      <c r="B355" s="86"/>
      <c r="C355" s="53" t="s">
        <v>337</v>
      </c>
      <c r="D355" s="98" t="s">
        <v>400</v>
      </c>
      <c r="E355" s="99"/>
      <c r="F355" s="99"/>
      <c r="G355" s="99"/>
      <c r="H355" s="100"/>
      <c r="I355" s="1"/>
      <c r="J355" s="1"/>
      <c r="K355" s="1"/>
      <c r="L355" s="1"/>
      <c r="M355" s="1"/>
      <c r="N355" s="1"/>
      <c r="O355" s="1"/>
      <c r="P355" s="1"/>
      <c r="Q355" s="1"/>
      <c r="R355" s="1"/>
      <c r="S355" s="1"/>
      <c r="T355" s="23" t="str">
        <f t="shared" ca="1" si="96"/>
        <v>305 to 305</v>
      </c>
      <c r="U355" s="23">
        <f t="shared" ca="1" si="97"/>
        <v>305</v>
      </c>
      <c r="V355" s="23">
        <f t="shared" ca="1" si="97"/>
        <v>305</v>
      </c>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25">
      <c r="A356" s="86">
        <v>6</v>
      </c>
      <c r="B356" s="86"/>
      <c r="C356" s="53" t="s">
        <v>337</v>
      </c>
      <c r="D356" s="101"/>
      <c r="E356" s="102"/>
      <c r="F356" s="102"/>
      <c r="G356" s="102"/>
      <c r="H356" s="103"/>
      <c r="I356" s="1"/>
      <c r="J356" s="1"/>
      <c r="K356" s="1"/>
      <c r="L356" s="1"/>
      <c r="M356" s="1"/>
      <c r="N356" s="1"/>
      <c r="O356" s="1"/>
      <c r="P356" s="1"/>
      <c r="Q356" s="1"/>
      <c r="R356" s="1"/>
      <c r="S356" s="1"/>
      <c r="T356" s="23" t="str">
        <f t="shared" ca="1" si="96"/>
        <v>306 to 306</v>
      </c>
      <c r="U356" s="23">
        <f t="shared" ca="1" si="97"/>
        <v>306</v>
      </c>
      <c r="V356" s="23">
        <f t="shared" ca="1" si="97"/>
        <v>306</v>
      </c>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customHeight="1" x14ac:dyDescent="0.25">
      <c r="A357" s="86">
        <v>7</v>
      </c>
      <c r="B357" s="86"/>
      <c r="C357" s="53" t="s">
        <v>337</v>
      </c>
      <c r="D357" s="53" t="s">
        <v>397</v>
      </c>
      <c r="E357" s="84">
        <f>(60.55)*10.764</f>
        <v>651.76019999999994</v>
      </c>
      <c r="F357" s="82">
        <f>(2.32)*10.764</f>
        <v>24.972479999999997</v>
      </c>
      <c r="G357" s="82">
        <v>0</v>
      </c>
      <c r="H357" s="82">
        <f t="shared" si="95"/>
        <v>676.73267999999996</v>
      </c>
      <c r="I357" s="1"/>
      <c r="J357" s="1"/>
      <c r="K357" s="1"/>
      <c r="L357" s="1"/>
      <c r="M357" s="1"/>
      <c r="N357" s="1"/>
      <c r="O357" s="1"/>
      <c r="P357" s="1"/>
      <c r="Q357" s="1"/>
      <c r="R357" s="1"/>
      <c r="S357" s="1"/>
      <c r="T357" s="23" t="str">
        <f t="shared" ca="1" si="96"/>
        <v>307 to 307</v>
      </c>
      <c r="U357" s="23">
        <f t="shared" ca="1" si="97"/>
        <v>307</v>
      </c>
      <c r="V357" s="23">
        <f t="shared" ca="1" si="97"/>
        <v>307</v>
      </c>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customHeight="1" x14ac:dyDescent="0.25">
      <c r="A358" s="86">
        <v>8</v>
      </c>
      <c r="B358" s="86"/>
      <c r="C358" s="53" t="s">
        <v>337</v>
      </c>
      <c r="D358" s="53" t="s">
        <v>397</v>
      </c>
      <c r="E358" s="84">
        <f>(60.55)*10.764</f>
        <v>651.76019999999994</v>
      </c>
      <c r="F358" s="82">
        <f>(2.32)*10.764</f>
        <v>24.972479999999997</v>
      </c>
      <c r="G358" s="82">
        <v>0</v>
      </c>
      <c r="H358" s="82">
        <f t="shared" si="95"/>
        <v>676.73267999999996</v>
      </c>
      <c r="I358" s="1"/>
      <c r="J358" s="1"/>
      <c r="K358" s="1"/>
      <c r="L358" s="1"/>
      <c r="M358" s="1"/>
      <c r="N358" s="1"/>
      <c r="O358" s="1"/>
      <c r="P358" s="1"/>
      <c r="Q358" s="1"/>
      <c r="R358" s="1"/>
      <c r="S358" s="1"/>
      <c r="T358" s="23" t="str">
        <f t="shared" ca="1" si="96"/>
        <v>308 to 308</v>
      </c>
      <c r="U358" s="23">
        <f t="shared" ca="1" si="97"/>
        <v>308</v>
      </c>
      <c r="V358" s="23">
        <f t="shared" ca="1" si="97"/>
        <v>308</v>
      </c>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x14ac:dyDescent="0.25">
      <c r="A359" s="89" t="s">
        <v>339</v>
      </c>
      <c r="B359" s="90"/>
      <c r="C359" s="90"/>
      <c r="D359" s="90"/>
      <c r="E359" s="90"/>
      <c r="F359" s="90"/>
      <c r="G359" s="90"/>
      <c r="H359" s="91"/>
      <c r="I359" s="77">
        <v>1</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customHeight="1" x14ac:dyDescent="0.25">
      <c r="A360" s="86">
        <v>1</v>
      </c>
      <c r="B360" s="86"/>
      <c r="C360" s="53" t="s">
        <v>337</v>
      </c>
      <c r="D360" s="53" t="s">
        <v>397</v>
      </c>
      <c r="E360" s="84">
        <f>(44.9)*10.764</f>
        <v>483.30359999999996</v>
      </c>
      <c r="F360" s="82">
        <v>0</v>
      </c>
      <c r="G360" s="82">
        <v>0</v>
      </c>
      <c r="H360" s="82">
        <f>E360+F360+(IF(G360&lt;101,G360,IF(G360&lt;201,G360/2,IF(G360&lt;=301,G360/3,G360/4))))</f>
        <v>483.30359999999996</v>
      </c>
      <c r="I360" s="1"/>
      <c r="J360" s="1"/>
      <c r="K360" s="1"/>
      <c r="L360" s="1"/>
      <c r="M360" s="1"/>
      <c r="N360" s="1"/>
      <c r="O360" s="1"/>
      <c r="P360" s="1"/>
      <c r="Q360" s="1"/>
      <c r="R360" s="1"/>
      <c r="S360" s="1"/>
      <c r="T360" s="23" t="e">
        <f ca="1">U360&amp;""&amp;" &amp; "&amp;""&amp;V360</f>
        <v>#REF!</v>
      </c>
      <c r="U360" s="23" t="e">
        <f ca="1">(SUMPRODUCT(MID(0&amp;(LEFT(A359,SUM(LEN(A359)-LEN(SUBSTITUTE(A359,{"0","1","2","3"},""))))), LARGE(INDEX(ISNUMBER(--MID((LEFT(A359,SUM(LEN(A359)-LEN(SUBSTITUTE(A359,{"0","1","2","3"},""))))), ROW(INDIRECT("1:"&amp;LEN((LEFT(A359,SUM(LEN(A359)-LEN(SUBSTITUTE(A359,{"0","1","2","3"},"")))))))), 1)) * ROW(INDIRECT("1:"&amp;LEN((LEFT(A359,SUM(LEN(A359)-LEN(SUBSTITUTE(A359,{"0","1","2","3"},"")))))))), 0), ROW(INDIRECT("1:"&amp;LEN((LEFT(A359,SUM(LEN(A359)-LEN(SUBSTITUTE(A359,{"0","1","2","3"},"")))))))))+1, 1) * 10^ROW(INDIRECT("1:"&amp;LEN((LEFT(A359,SUM(LEN(A359)-LEN(SUBSTITUTE(A359,{"0","1","2","3"},""))))))))/10))*100+1</f>
        <v>#REF!</v>
      </c>
      <c r="V360" s="23">
        <f ca="1">(SUMPRODUCT(MID(0&amp;(--TRIM(RIGHT(SUBSTITUTE(LEFT(A359,_xlfn.AGGREGATE(16,6,FIND({0,1,2,3,4,5,6,7,8,9},A359,ROW(INDIRECT("1:"&amp;LEN(A359)))),1))," ",REPT(" ",LEN(A359))),LEN(A359)))), LARGE(INDEX(ISNUMBER(--MID((--TRIM(RIGHT(SUBSTITUTE(LEFT(A359,_xlfn.AGGREGATE(16,6,FIND({0,1,2,3,4,5,6,7,8,9},A359,ROW(INDIRECT("1:"&amp;LEN(A359)))),1))," ",REPT(" ",LEN(A359))),LEN(A359)))), ROW(INDIRECT("1:"&amp;LEN((--TRIM(RIGHT(SUBSTITUTE(LEFT(A359,_xlfn.AGGREGATE(16,6,FIND({0,1,2,3,4,5,6,7,8,9},A359,ROW(INDIRECT("1:"&amp;LEN(A359)))),1))," ",REPT(" ",LEN(A359))),LEN(A359))))))), 1)) * ROW(INDIRECT("1:"&amp;LEN((--TRIM(RIGHT(SUBSTITUTE(LEFT(A359,_xlfn.AGGREGATE(16,6,FIND({0,1,2,3,4,5,6,7,8,9},A359,ROW(INDIRECT("1:"&amp;LEN(A359)))),1))," ",REPT(" ",LEN(A359))),LEN(A359))))))), 0), ROW(INDIRECT("1:"&amp;LEN((--TRIM(RIGHT(SUBSTITUTE(LEFT(A359,_xlfn.AGGREGATE(16,6,FIND({0,1,2,3,4,5,6,7,8,9},A359,ROW(INDIRECT("1:"&amp;LEN(A359)))),1))," ",REPT(" ",LEN(A359))),LEN(A359))))))))+1, 1) * 10^ROW(INDIRECT("1:"&amp;LEN((--TRIM(RIGHT(SUBSTITUTE(LEFT(A359,_xlfn.AGGREGATE(16,6,FIND({0,1,2,3,4,5,6,7,8,9},A359,ROW(INDIRECT("1:"&amp;LEN(A359)))),1))," ",REPT(" ",LEN(A359))),LEN(A359)))))))/10))*100+1</f>
        <v>401</v>
      </c>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customHeight="1" x14ac:dyDescent="0.25">
      <c r="A361" s="86">
        <v>2</v>
      </c>
      <c r="B361" s="86"/>
      <c r="C361" s="53" t="s">
        <v>337</v>
      </c>
      <c r="D361" s="53" t="s">
        <v>397</v>
      </c>
      <c r="E361" s="84">
        <f>(44.9)*10.764</f>
        <v>483.30359999999996</v>
      </c>
      <c r="F361" s="82">
        <v>0</v>
      </c>
      <c r="G361" s="82">
        <v>0</v>
      </c>
      <c r="H361" s="82">
        <f t="shared" ref="H361:H367" si="98">E361+F361+(IF(G361&lt;101,G361,IF(G361&lt;201,G361/2,IF(G361&lt;=301,G361/3,G361/4))))</f>
        <v>483.30359999999996</v>
      </c>
      <c r="I361" s="1"/>
      <c r="J361" s="1"/>
      <c r="K361" s="1"/>
      <c r="L361" s="1"/>
      <c r="M361" s="1"/>
      <c r="N361" s="1"/>
      <c r="O361" s="1"/>
      <c r="P361" s="1"/>
      <c r="Q361" s="1"/>
      <c r="R361" s="1"/>
      <c r="S361" s="1"/>
      <c r="T361" s="23" t="e">
        <f t="shared" ref="T361:T367" ca="1" si="99">U361&amp;""&amp;" &amp; "&amp;""&amp;V361</f>
        <v>#REF!</v>
      </c>
      <c r="U361" s="23" t="e">
        <f ca="1">U360+1</f>
        <v>#REF!</v>
      </c>
      <c r="V361" s="23">
        <f ca="1">V360+1</f>
        <v>402</v>
      </c>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25">
      <c r="A362" s="86">
        <v>3</v>
      </c>
      <c r="B362" s="86"/>
      <c r="C362" s="53" t="s">
        <v>337</v>
      </c>
      <c r="D362" s="53" t="s">
        <v>397</v>
      </c>
      <c r="E362" s="84">
        <f>(60.55)*10.764</f>
        <v>651.76019999999994</v>
      </c>
      <c r="F362" s="82">
        <f>(2.32)*10.764</f>
        <v>24.972479999999997</v>
      </c>
      <c r="G362" s="82">
        <v>0</v>
      </c>
      <c r="H362" s="82">
        <f t="shared" si="98"/>
        <v>676.73267999999996</v>
      </c>
      <c r="I362" s="1"/>
      <c r="J362" s="1"/>
      <c r="K362" s="1"/>
      <c r="L362" s="1"/>
      <c r="M362" s="1"/>
      <c r="N362" s="1"/>
      <c r="O362" s="1"/>
      <c r="P362" s="1"/>
      <c r="Q362" s="1"/>
      <c r="R362" s="1"/>
      <c r="S362" s="1"/>
      <c r="T362" s="23" t="e">
        <f t="shared" ca="1" si="99"/>
        <v>#REF!</v>
      </c>
      <c r="U362" s="23" t="e">
        <f t="shared" ref="U362:V367" ca="1" si="100">U361+1</f>
        <v>#REF!</v>
      </c>
      <c r="V362" s="23">
        <f t="shared" ca="1" si="100"/>
        <v>403</v>
      </c>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customHeight="1" x14ac:dyDescent="0.25">
      <c r="A363" s="86">
        <v>4</v>
      </c>
      <c r="B363" s="86"/>
      <c r="C363" s="53" t="s">
        <v>337</v>
      </c>
      <c r="D363" s="53" t="s">
        <v>397</v>
      </c>
      <c r="E363" s="84">
        <f>(60.55)*10.764</f>
        <v>651.76019999999994</v>
      </c>
      <c r="F363" s="82">
        <f>(2.32)*10.764</f>
        <v>24.972479999999997</v>
      </c>
      <c r="G363" s="82">
        <v>0</v>
      </c>
      <c r="H363" s="82">
        <f t="shared" si="98"/>
        <v>676.73267999999996</v>
      </c>
      <c r="I363" s="1"/>
      <c r="J363" s="1"/>
      <c r="K363" s="1"/>
      <c r="L363" s="1"/>
      <c r="M363" s="1"/>
      <c r="N363" s="1"/>
      <c r="O363" s="1"/>
      <c r="P363" s="1"/>
      <c r="Q363" s="1"/>
      <c r="R363" s="1"/>
      <c r="S363" s="1"/>
      <c r="T363" s="23" t="e">
        <f t="shared" ca="1" si="99"/>
        <v>#REF!</v>
      </c>
      <c r="U363" s="23" t="e">
        <f t="shared" ca="1" si="100"/>
        <v>#REF!</v>
      </c>
      <c r="V363" s="23">
        <f t="shared" ca="1" si="100"/>
        <v>404</v>
      </c>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customHeight="1" x14ac:dyDescent="0.25">
      <c r="A364" s="86">
        <v>5</v>
      </c>
      <c r="B364" s="86"/>
      <c r="C364" s="53" t="s">
        <v>337</v>
      </c>
      <c r="D364" s="98" t="s">
        <v>401</v>
      </c>
      <c r="E364" s="99"/>
      <c r="F364" s="99"/>
      <c r="G364" s="99"/>
      <c r="H364" s="100"/>
      <c r="I364" s="1"/>
      <c r="J364" s="1"/>
      <c r="K364" s="1"/>
      <c r="L364" s="1"/>
      <c r="M364" s="1"/>
      <c r="N364" s="1"/>
      <c r="O364" s="1"/>
      <c r="P364" s="1"/>
      <c r="Q364" s="1"/>
      <c r="R364" s="1"/>
      <c r="S364" s="1"/>
      <c r="T364" s="23" t="e">
        <f t="shared" ca="1" si="99"/>
        <v>#REF!</v>
      </c>
      <c r="U364" s="23" t="e">
        <f t="shared" ca="1" si="100"/>
        <v>#REF!</v>
      </c>
      <c r="V364" s="23">
        <f t="shared" ca="1" si="100"/>
        <v>405</v>
      </c>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25">
      <c r="A365" s="86">
        <v>6</v>
      </c>
      <c r="B365" s="86"/>
      <c r="C365" s="53" t="s">
        <v>337</v>
      </c>
      <c r="D365" s="101"/>
      <c r="E365" s="102"/>
      <c r="F365" s="102"/>
      <c r="G365" s="102"/>
      <c r="H365" s="103"/>
      <c r="I365" s="1"/>
      <c r="J365" s="1"/>
      <c r="K365" s="1"/>
      <c r="L365" s="1"/>
      <c r="M365" s="1"/>
      <c r="N365" s="1"/>
      <c r="O365" s="1"/>
      <c r="P365" s="1"/>
      <c r="Q365" s="1"/>
      <c r="R365" s="1"/>
      <c r="S365" s="1"/>
      <c r="T365" s="23" t="e">
        <f t="shared" ca="1" si="99"/>
        <v>#REF!</v>
      </c>
      <c r="U365" s="23" t="e">
        <f t="shared" ca="1" si="100"/>
        <v>#REF!</v>
      </c>
      <c r="V365" s="23">
        <f t="shared" ca="1" si="100"/>
        <v>406</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customHeight="1" x14ac:dyDescent="0.25">
      <c r="A366" s="86">
        <v>7</v>
      </c>
      <c r="B366" s="86"/>
      <c r="C366" s="53" t="s">
        <v>337</v>
      </c>
      <c r="D366" s="53" t="s">
        <v>397</v>
      </c>
      <c r="E366" s="84">
        <f>(60.55)*10.764</f>
        <v>651.76019999999994</v>
      </c>
      <c r="F366" s="82">
        <f>(2.32)*10.764</f>
        <v>24.972479999999997</v>
      </c>
      <c r="G366" s="82">
        <v>0</v>
      </c>
      <c r="H366" s="82">
        <f t="shared" si="98"/>
        <v>676.73267999999996</v>
      </c>
      <c r="I366" s="1"/>
      <c r="J366" s="1"/>
      <c r="K366" s="1"/>
      <c r="L366" s="1"/>
      <c r="M366" s="1"/>
      <c r="N366" s="1"/>
      <c r="O366" s="1"/>
      <c r="P366" s="1"/>
      <c r="Q366" s="1"/>
      <c r="R366" s="1"/>
      <c r="S366" s="1"/>
      <c r="T366" s="23" t="e">
        <f t="shared" ca="1" si="99"/>
        <v>#REF!</v>
      </c>
      <c r="U366" s="23" t="e">
        <f t="shared" ca="1" si="100"/>
        <v>#REF!</v>
      </c>
      <c r="V366" s="23">
        <f t="shared" ca="1" si="100"/>
        <v>407</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customHeight="1" x14ac:dyDescent="0.25">
      <c r="A367" s="86">
        <v>8</v>
      </c>
      <c r="B367" s="86"/>
      <c r="C367" s="53" t="s">
        <v>337</v>
      </c>
      <c r="D367" s="53" t="s">
        <v>397</v>
      </c>
      <c r="E367" s="84">
        <f>(60.55)*10.764</f>
        <v>651.76019999999994</v>
      </c>
      <c r="F367" s="82">
        <f>(2.32)*10.764</f>
        <v>24.972479999999997</v>
      </c>
      <c r="G367" s="82">
        <v>0</v>
      </c>
      <c r="H367" s="82">
        <f t="shared" si="98"/>
        <v>676.73267999999996</v>
      </c>
      <c r="I367" s="1"/>
      <c r="J367" s="1"/>
      <c r="K367" s="1"/>
      <c r="L367" s="1"/>
      <c r="M367" s="1"/>
      <c r="N367" s="1"/>
      <c r="O367" s="1"/>
      <c r="P367" s="1"/>
      <c r="Q367" s="1"/>
      <c r="R367" s="1"/>
      <c r="S367" s="1"/>
      <c r="T367" s="23" t="e">
        <f t="shared" ca="1" si="99"/>
        <v>#REF!</v>
      </c>
      <c r="U367" s="23" t="e">
        <f t="shared" ca="1" si="100"/>
        <v>#REF!</v>
      </c>
      <c r="V367" s="23">
        <f t="shared" ca="1" si="100"/>
        <v>408</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40.5" customHeight="1" x14ac:dyDescent="0.25">
      <c r="A368" s="89" t="s">
        <v>402</v>
      </c>
      <c r="B368" s="90"/>
      <c r="C368" s="90"/>
      <c r="D368" s="90"/>
      <c r="E368" s="90"/>
      <c r="F368" s="90"/>
      <c r="G368" s="90"/>
      <c r="H368" s="91"/>
      <c r="I368" s="77">
        <f>35</f>
        <v>35</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customHeight="1" x14ac:dyDescent="0.25">
      <c r="A369" s="86">
        <v>1</v>
      </c>
      <c r="B369" s="86"/>
      <c r="C369" s="53" t="s">
        <v>337</v>
      </c>
      <c r="D369" s="82" t="s">
        <v>397</v>
      </c>
      <c r="E369" s="82">
        <f>(44.9)*10.764</f>
        <v>483.30359999999996</v>
      </c>
      <c r="F369" s="82">
        <v>0</v>
      </c>
      <c r="G369" s="82">
        <v>0</v>
      </c>
      <c r="H369" s="82">
        <f>E369+F369+(IF(G369&lt;101,G369,IF(G369&lt;201,G369/2,IF(G369&lt;=301,G369/3,G369/4))))</f>
        <v>483.30359999999996</v>
      </c>
      <c r="I369" s="1"/>
      <c r="J369" s="1"/>
      <c r="K369" s="1"/>
      <c r="L369" s="1"/>
      <c r="M369" s="1"/>
      <c r="N369" s="1"/>
      <c r="O369" s="1"/>
      <c r="P369" s="1"/>
      <c r="Q369" s="1"/>
      <c r="R369" s="1"/>
      <c r="S369" s="1"/>
      <c r="T369" s="23" t="str">
        <f ca="1">U369&amp;""&amp;" &amp; "&amp;""&amp;V369</f>
        <v>5681101 &amp; 4701</v>
      </c>
      <c r="U369" s="23">
        <f ca="1">(SUMPRODUCT(MID(0&amp;(LEFT(A368,SUM(LEN(A368)-LEN(SUBSTITUTE(A368,{"0","1","2","3"},""))))), LARGE(INDEX(ISNUMBER(--MID((LEFT(A368,SUM(LEN(A368)-LEN(SUBSTITUTE(A368,{"0","1","2","3"},""))))), ROW(INDIRECT("1:"&amp;LEN((LEFT(A368,SUM(LEN(A368)-LEN(SUBSTITUTE(A368,{"0","1","2","3"},"")))))))), 1)) * ROW(INDIRECT("1:"&amp;LEN((LEFT(A368,SUM(LEN(A368)-LEN(SUBSTITUTE(A368,{"0","1","2","3"},"")))))))), 0), ROW(INDIRECT("1:"&amp;LEN((LEFT(A368,SUM(LEN(A368)-LEN(SUBSTITUTE(A368,{"0","1","2","3"},"")))))))))+1, 1) * 10^ROW(INDIRECT("1:"&amp;LEN((LEFT(A368,SUM(LEN(A368)-LEN(SUBSTITUTE(A368,{"0","1","2","3"},""))))))))/10))*100+1</f>
        <v>5681101</v>
      </c>
      <c r="V369" s="23">
        <f ca="1">(SUMPRODUCT(MID(0&amp;(--TRIM(RIGHT(SUBSTITUTE(LEFT(A368,_xlfn.AGGREGATE(16,6,FIND({0,1,2,3,4,5,6,7,8,9},A368,ROW(INDIRECT("1:"&amp;LEN(A368)))),1))," ",REPT(" ",LEN(A368))),LEN(A368)))), LARGE(INDEX(ISNUMBER(--MID((--TRIM(RIGHT(SUBSTITUTE(LEFT(A368,_xlfn.AGGREGATE(16,6,FIND({0,1,2,3,4,5,6,7,8,9},A368,ROW(INDIRECT("1:"&amp;LEN(A368)))),1))," ",REPT(" ",LEN(A368))),LEN(A368)))), ROW(INDIRECT("1:"&amp;LEN((--TRIM(RIGHT(SUBSTITUTE(LEFT(A368,_xlfn.AGGREGATE(16,6,FIND({0,1,2,3,4,5,6,7,8,9},A368,ROW(INDIRECT("1:"&amp;LEN(A368)))),1))," ",REPT(" ",LEN(A368))),LEN(A368))))))), 1)) * ROW(INDIRECT("1:"&amp;LEN((--TRIM(RIGHT(SUBSTITUTE(LEFT(A368,_xlfn.AGGREGATE(16,6,FIND({0,1,2,3,4,5,6,7,8,9},A368,ROW(INDIRECT("1:"&amp;LEN(A368)))),1))," ",REPT(" ",LEN(A368))),LEN(A368))))))), 0), ROW(INDIRECT("1:"&amp;LEN((--TRIM(RIGHT(SUBSTITUTE(LEFT(A368,_xlfn.AGGREGATE(16,6,FIND({0,1,2,3,4,5,6,7,8,9},A368,ROW(INDIRECT("1:"&amp;LEN(A368)))),1))," ",REPT(" ",LEN(A368))),LEN(A368))))))))+1, 1) * 10^ROW(INDIRECT("1:"&amp;LEN((--TRIM(RIGHT(SUBSTITUTE(LEFT(A368,_xlfn.AGGREGATE(16,6,FIND({0,1,2,3,4,5,6,7,8,9},A368,ROW(INDIRECT("1:"&amp;LEN(A368)))),1))," ",REPT(" ",LEN(A368))),LEN(A368)))))))/10))*100+1</f>
        <v>4701</v>
      </c>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customHeight="1" x14ac:dyDescent="0.25">
      <c r="A370" s="86">
        <v>2</v>
      </c>
      <c r="B370" s="86"/>
      <c r="C370" s="53" t="s">
        <v>337</v>
      </c>
      <c r="D370" s="82" t="s">
        <v>397</v>
      </c>
      <c r="E370" s="82">
        <f>(44.9)*10.764</f>
        <v>483.30359999999996</v>
      </c>
      <c r="F370" s="82">
        <v>0</v>
      </c>
      <c r="G370" s="82">
        <v>0</v>
      </c>
      <c r="H370" s="82">
        <f t="shared" ref="H370:H376" si="101">E370+F370+(IF(G370&lt;101,G370,IF(G370&lt;201,G370/2,IF(G370&lt;=301,G370/3,G370/4))))</f>
        <v>483.30359999999996</v>
      </c>
      <c r="I370" s="1"/>
      <c r="J370" s="1"/>
      <c r="K370" s="1"/>
      <c r="L370" s="1"/>
      <c r="M370" s="1"/>
      <c r="N370" s="1"/>
      <c r="O370" s="1"/>
      <c r="P370" s="1"/>
      <c r="Q370" s="1"/>
      <c r="R370" s="1"/>
      <c r="S370" s="1"/>
      <c r="T370" s="23" t="str">
        <f t="shared" ref="T370:T376" ca="1" si="102">U370&amp;""&amp;" &amp; "&amp;""&amp;V370</f>
        <v>5681102 &amp; 4702</v>
      </c>
      <c r="U370" s="23">
        <f ca="1">U369+1</f>
        <v>5681102</v>
      </c>
      <c r="V370" s="23">
        <f ca="1">V369+1</f>
        <v>4702</v>
      </c>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customHeight="1" x14ac:dyDescent="0.25">
      <c r="A371" s="86">
        <v>3</v>
      </c>
      <c r="B371" s="86"/>
      <c r="C371" s="53" t="s">
        <v>337</v>
      </c>
      <c r="D371" s="82" t="s">
        <v>397</v>
      </c>
      <c r="E371" s="82">
        <f>(60.55)*10.764</f>
        <v>651.76019999999994</v>
      </c>
      <c r="F371" s="82">
        <f>(2.32)*10.764</f>
        <v>24.972479999999997</v>
      </c>
      <c r="G371" s="82">
        <v>0</v>
      </c>
      <c r="H371" s="82">
        <f t="shared" si="101"/>
        <v>676.73267999999996</v>
      </c>
      <c r="I371" s="1"/>
      <c r="J371" s="1"/>
      <c r="K371" s="1"/>
      <c r="L371" s="1"/>
      <c r="M371" s="1"/>
      <c r="N371" s="1"/>
      <c r="O371" s="1"/>
      <c r="P371" s="1"/>
      <c r="Q371" s="1"/>
      <c r="R371" s="1"/>
      <c r="S371" s="1"/>
      <c r="T371" s="23" t="str">
        <f t="shared" ca="1" si="102"/>
        <v>5681103 &amp; 4703</v>
      </c>
      <c r="U371" s="23">
        <f t="shared" ref="U371:V376" ca="1" si="103">U370+1</f>
        <v>5681103</v>
      </c>
      <c r="V371" s="23">
        <f t="shared" ca="1" si="103"/>
        <v>4703</v>
      </c>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25" customHeight="1" x14ac:dyDescent="0.25">
      <c r="A372" s="86">
        <v>4</v>
      </c>
      <c r="B372" s="86"/>
      <c r="C372" s="53" t="s">
        <v>337</v>
      </c>
      <c r="D372" s="82" t="s">
        <v>397</v>
      </c>
      <c r="E372" s="82">
        <f>(60.55)*10.764</f>
        <v>651.76019999999994</v>
      </c>
      <c r="F372" s="82">
        <f>(2.32)*10.764</f>
        <v>24.972479999999997</v>
      </c>
      <c r="G372" s="82">
        <v>0</v>
      </c>
      <c r="H372" s="82">
        <f t="shared" si="101"/>
        <v>676.73267999999996</v>
      </c>
      <c r="I372" s="1"/>
      <c r="J372" s="1"/>
      <c r="K372" s="1"/>
      <c r="L372" s="1"/>
      <c r="M372" s="1"/>
      <c r="N372" s="1"/>
      <c r="O372" s="1"/>
      <c r="P372" s="1"/>
      <c r="Q372" s="1"/>
      <c r="R372" s="1"/>
      <c r="S372" s="1"/>
      <c r="T372" s="23" t="str">
        <f t="shared" ca="1" si="102"/>
        <v>5681104 &amp; 4704</v>
      </c>
      <c r="U372" s="23">
        <f t="shared" ca="1" si="103"/>
        <v>5681104</v>
      </c>
      <c r="V372" s="23">
        <f t="shared" ca="1" si="103"/>
        <v>4704</v>
      </c>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25" customHeight="1" x14ac:dyDescent="0.25">
      <c r="A373" s="86">
        <v>5</v>
      </c>
      <c r="B373" s="86"/>
      <c r="C373" s="53" t="s">
        <v>337</v>
      </c>
      <c r="D373" s="82" t="s">
        <v>397</v>
      </c>
      <c r="E373" s="82">
        <f>(67.62)*10.764</f>
        <v>727.86167999999998</v>
      </c>
      <c r="F373" s="82">
        <f>(2.62)*10.764</f>
        <v>28.20168</v>
      </c>
      <c r="G373" s="82">
        <v>0</v>
      </c>
      <c r="H373" s="82">
        <f t="shared" si="101"/>
        <v>756.06335999999999</v>
      </c>
      <c r="I373" s="1"/>
      <c r="J373" s="1"/>
      <c r="K373" s="1"/>
      <c r="L373" s="1"/>
      <c r="M373" s="1"/>
      <c r="N373" s="1"/>
      <c r="O373" s="1"/>
      <c r="P373" s="1"/>
      <c r="Q373" s="1"/>
      <c r="R373" s="1"/>
      <c r="S373" s="1"/>
      <c r="T373" s="23" t="str">
        <f t="shared" ca="1" si="102"/>
        <v>5681105 &amp; 4705</v>
      </c>
      <c r="U373" s="23">
        <f t="shared" ca="1" si="103"/>
        <v>5681105</v>
      </c>
      <c r="V373" s="23">
        <f t="shared" ca="1" si="103"/>
        <v>4705</v>
      </c>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25" customHeight="1" x14ac:dyDescent="0.25">
      <c r="A374" s="86">
        <v>6</v>
      </c>
      <c r="B374" s="86"/>
      <c r="C374" s="53" t="s">
        <v>337</v>
      </c>
      <c r="D374" s="82" t="s">
        <v>397</v>
      </c>
      <c r="E374" s="82">
        <f>(67.62)*10.764</f>
        <v>727.86167999999998</v>
      </c>
      <c r="F374" s="82">
        <f>(2.62)*10.764</f>
        <v>28.20168</v>
      </c>
      <c r="G374" s="82">
        <v>0</v>
      </c>
      <c r="H374" s="82">
        <f t="shared" si="101"/>
        <v>756.06335999999999</v>
      </c>
      <c r="I374" s="1"/>
      <c r="J374" s="1"/>
      <c r="K374" s="1"/>
      <c r="L374" s="1"/>
      <c r="M374" s="1"/>
      <c r="N374" s="1"/>
      <c r="O374" s="1"/>
      <c r="P374" s="1"/>
      <c r="Q374" s="1"/>
      <c r="R374" s="1"/>
      <c r="S374" s="1"/>
      <c r="T374" s="23" t="str">
        <f t="shared" ca="1" si="102"/>
        <v>5681106 &amp; 4706</v>
      </c>
      <c r="U374" s="23">
        <f t="shared" ca="1" si="103"/>
        <v>5681106</v>
      </c>
      <c r="V374" s="23">
        <f t="shared" ca="1" si="103"/>
        <v>4706</v>
      </c>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customHeight="1" x14ac:dyDescent="0.25">
      <c r="A375" s="86">
        <v>7</v>
      </c>
      <c r="B375" s="86"/>
      <c r="C375" s="53" t="s">
        <v>337</v>
      </c>
      <c r="D375" s="82" t="s">
        <v>397</v>
      </c>
      <c r="E375" s="82">
        <f>(60.55)*10.764</f>
        <v>651.76019999999994</v>
      </c>
      <c r="F375" s="82">
        <f>(2.32)*10.764</f>
        <v>24.972479999999997</v>
      </c>
      <c r="G375" s="82">
        <v>0</v>
      </c>
      <c r="H375" s="82">
        <f t="shared" si="101"/>
        <v>676.73267999999996</v>
      </c>
      <c r="I375" s="1"/>
      <c r="J375" s="1"/>
      <c r="K375" s="1"/>
      <c r="L375" s="1"/>
      <c r="M375" s="1"/>
      <c r="N375" s="1"/>
      <c r="O375" s="1"/>
      <c r="P375" s="1"/>
      <c r="Q375" s="1"/>
      <c r="R375" s="1"/>
      <c r="S375" s="1"/>
      <c r="T375" s="23" t="str">
        <f t="shared" ca="1" si="102"/>
        <v>5681107 &amp; 4707</v>
      </c>
      <c r="U375" s="23">
        <f t="shared" ca="1" si="103"/>
        <v>5681107</v>
      </c>
      <c r="V375" s="23">
        <f t="shared" ca="1" si="103"/>
        <v>4707</v>
      </c>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customHeight="1" x14ac:dyDescent="0.25">
      <c r="A376" s="86">
        <v>8</v>
      </c>
      <c r="B376" s="86"/>
      <c r="C376" s="53" t="s">
        <v>337</v>
      </c>
      <c r="D376" s="82" t="s">
        <v>397</v>
      </c>
      <c r="E376" s="82">
        <f>(60.55)*10.764</f>
        <v>651.76019999999994</v>
      </c>
      <c r="F376" s="82">
        <f>(2.32)*10.764</f>
        <v>24.972479999999997</v>
      </c>
      <c r="G376" s="82">
        <v>0</v>
      </c>
      <c r="H376" s="82">
        <f t="shared" si="101"/>
        <v>676.73267999999996</v>
      </c>
      <c r="I376" s="1"/>
      <c r="J376" s="1"/>
      <c r="K376" s="1"/>
      <c r="L376" s="1"/>
      <c r="M376" s="1"/>
      <c r="N376" s="1"/>
      <c r="O376" s="1"/>
      <c r="P376" s="1"/>
      <c r="Q376" s="1"/>
      <c r="R376" s="1"/>
      <c r="S376" s="1"/>
      <c r="T376" s="23" t="str">
        <f t="shared" ca="1" si="102"/>
        <v>5681108 &amp; 4708</v>
      </c>
      <c r="U376" s="23">
        <f t="shared" ca="1" si="103"/>
        <v>5681108</v>
      </c>
      <c r="V376" s="23">
        <f t="shared" ca="1" si="103"/>
        <v>4708</v>
      </c>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0.25" x14ac:dyDescent="0.25">
      <c r="A377" s="89" t="s">
        <v>403</v>
      </c>
      <c r="B377" s="90"/>
      <c r="C377" s="90"/>
      <c r="D377" s="90"/>
      <c r="E377" s="90"/>
      <c r="F377" s="90"/>
      <c r="G377" s="90"/>
      <c r="H377" s="91"/>
      <c r="I377" s="77">
        <f>2</f>
        <v>2</v>
      </c>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customHeight="1" x14ac:dyDescent="0.25">
      <c r="A378" s="86">
        <v>1</v>
      </c>
      <c r="B378" s="86"/>
      <c r="C378" s="53" t="s">
        <v>337</v>
      </c>
      <c r="D378" s="95" t="s">
        <v>355</v>
      </c>
      <c r="E378" s="96"/>
      <c r="F378" s="96"/>
      <c r="G378" s="96"/>
      <c r="H378" s="97"/>
      <c r="I378" s="1"/>
      <c r="J378" s="1"/>
      <c r="K378" s="1"/>
      <c r="L378" s="1"/>
      <c r="M378" s="1"/>
      <c r="N378" s="1"/>
      <c r="O378" s="1"/>
      <c r="P378" s="1"/>
      <c r="Q378" s="1"/>
      <c r="R378" s="1"/>
      <c r="S378" s="1"/>
      <c r="T378" s="23" t="str">
        <f ca="1">U378&amp;""&amp;" &amp; "&amp;""&amp;V378</f>
        <v>701 &amp; 1201</v>
      </c>
      <c r="U378" s="23">
        <f ca="1">(SUMPRODUCT(MID(0&amp;(LEFT(A377,SUM(LEN(A377)-LEN(SUBSTITUTE(A377,{"0","1","2","3"},""))))), LARGE(INDEX(ISNUMBER(--MID((LEFT(A377,SUM(LEN(A377)-LEN(SUBSTITUTE(A377,{"0","1","2","3"},""))))), ROW(INDIRECT("1:"&amp;LEN((LEFT(A377,SUM(LEN(A377)-LEN(SUBSTITUTE(A377,{"0","1","2","3"},"")))))))), 1)) * ROW(INDIRECT("1:"&amp;LEN((LEFT(A377,SUM(LEN(A377)-LEN(SUBSTITUTE(A377,{"0","1","2","3"},"")))))))), 0), ROW(INDIRECT("1:"&amp;LEN((LEFT(A377,SUM(LEN(A377)-LEN(SUBSTITUTE(A377,{"0","1","2","3"},"")))))))))+1, 1) * 10^ROW(INDIRECT("1:"&amp;LEN((LEFT(A377,SUM(LEN(A377)-LEN(SUBSTITUTE(A377,{"0","1","2","3"},""))))))))/10))*100+1</f>
        <v>701</v>
      </c>
      <c r="V378" s="23">
        <f ca="1">(SUMPRODUCT(MID(0&amp;(--TRIM(RIGHT(SUBSTITUTE(LEFT(A377,_xlfn.AGGREGATE(16,6,FIND({0,1,2,3,4,5,6,7,8,9},A377,ROW(INDIRECT("1:"&amp;LEN(A377)))),1))," ",REPT(" ",LEN(A377))),LEN(A377)))), LARGE(INDEX(ISNUMBER(--MID((--TRIM(RIGHT(SUBSTITUTE(LEFT(A377,_xlfn.AGGREGATE(16,6,FIND({0,1,2,3,4,5,6,7,8,9},A377,ROW(INDIRECT("1:"&amp;LEN(A377)))),1))," ",REPT(" ",LEN(A377))),LEN(A377)))), ROW(INDIRECT("1:"&amp;LEN((--TRIM(RIGHT(SUBSTITUTE(LEFT(A377,_xlfn.AGGREGATE(16,6,FIND({0,1,2,3,4,5,6,7,8,9},A377,ROW(INDIRECT("1:"&amp;LEN(A377)))),1))," ",REPT(" ",LEN(A377))),LEN(A377))))))), 1)) * ROW(INDIRECT("1:"&amp;LEN((--TRIM(RIGHT(SUBSTITUTE(LEFT(A377,_xlfn.AGGREGATE(16,6,FIND({0,1,2,3,4,5,6,7,8,9},A377,ROW(INDIRECT("1:"&amp;LEN(A377)))),1))," ",REPT(" ",LEN(A377))),LEN(A377))))))), 0), ROW(INDIRECT("1:"&amp;LEN((--TRIM(RIGHT(SUBSTITUTE(LEFT(A377,_xlfn.AGGREGATE(16,6,FIND({0,1,2,3,4,5,6,7,8,9},A377,ROW(INDIRECT("1:"&amp;LEN(A377)))),1))," ",REPT(" ",LEN(A377))),LEN(A377))))))))+1, 1) * 10^ROW(INDIRECT("1:"&amp;LEN((--TRIM(RIGHT(SUBSTITUTE(LEFT(A377,_xlfn.AGGREGATE(16,6,FIND({0,1,2,3,4,5,6,7,8,9},A377,ROW(INDIRECT("1:"&amp;LEN(A377)))),1))," ",REPT(" ",LEN(A377))),LEN(A377)))))))/10))*100+1</f>
        <v>1201</v>
      </c>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customHeight="1" x14ac:dyDescent="0.25">
      <c r="A379" s="86">
        <v>2</v>
      </c>
      <c r="B379" s="86"/>
      <c r="C379" s="53" t="s">
        <v>337</v>
      </c>
      <c r="D379" s="53" t="s">
        <v>397</v>
      </c>
      <c r="E379" s="84">
        <f>(44.9)*10.764</f>
        <v>483.30359999999996</v>
      </c>
      <c r="F379" s="82">
        <v>0</v>
      </c>
      <c r="G379" s="82">
        <v>0</v>
      </c>
      <c r="H379" s="82">
        <f t="shared" ref="H379:H385" si="104">E379+F379+(IF(G379&lt;101,G379,IF(G379&lt;201,G379/2,IF(G379&lt;=301,G379/3,G379/4))))</f>
        <v>483.30359999999996</v>
      </c>
      <c r="I379" s="1"/>
      <c r="J379" s="1"/>
      <c r="K379" s="1"/>
      <c r="L379" s="1"/>
      <c r="M379" s="1"/>
      <c r="N379" s="1"/>
      <c r="O379" s="1"/>
      <c r="P379" s="1"/>
      <c r="Q379" s="1"/>
      <c r="R379" s="1"/>
      <c r="S379" s="1"/>
      <c r="T379" s="23" t="str">
        <f t="shared" ref="T379:T385" ca="1" si="105">U379&amp;""&amp;" &amp; "&amp;""&amp;V379</f>
        <v>702 &amp; 1202</v>
      </c>
      <c r="U379" s="23">
        <f ca="1">U378+1</f>
        <v>702</v>
      </c>
      <c r="V379" s="23">
        <f ca="1">V378+1</f>
        <v>1202</v>
      </c>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customHeight="1" x14ac:dyDescent="0.25">
      <c r="A380" s="86">
        <v>3</v>
      </c>
      <c r="B380" s="86"/>
      <c r="C380" s="53" t="s">
        <v>337</v>
      </c>
      <c r="D380" s="53" t="s">
        <v>397</v>
      </c>
      <c r="E380" s="84">
        <f>(60.55)*10.764</f>
        <v>651.76019999999994</v>
      </c>
      <c r="F380" s="82">
        <f>(2.32)*10.764</f>
        <v>24.972479999999997</v>
      </c>
      <c r="G380" s="82">
        <v>0</v>
      </c>
      <c r="H380" s="82">
        <f t="shared" si="104"/>
        <v>676.73267999999996</v>
      </c>
      <c r="I380" s="1"/>
      <c r="J380" s="1"/>
      <c r="K380" s="1"/>
      <c r="L380" s="1"/>
      <c r="M380" s="1"/>
      <c r="N380" s="1"/>
      <c r="O380" s="1"/>
      <c r="P380" s="1"/>
      <c r="Q380" s="1"/>
      <c r="R380" s="1"/>
      <c r="S380" s="1"/>
      <c r="T380" s="23" t="str">
        <f t="shared" ca="1" si="105"/>
        <v>703 &amp; 1203</v>
      </c>
      <c r="U380" s="23">
        <f t="shared" ref="U380:V385" ca="1" si="106">U379+1</f>
        <v>703</v>
      </c>
      <c r="V380" s="23">
        <f t="shared" ca="1" si="106"/>
        <v>1203</v>
      </c>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customHeight="1" x14ac:dyDescent="0.25">
      <c r="A381" s="86">
        <v>4</v>
      </c>
      <c r="B381" s="86"/>
      <c r="C381" s="53" t="s">
        <v>337</v>
      </c>
      <c r="D381" s="53" t="s">
        <v>397</v>
      </c>
      <c r="E381" s="84">
        <f>(60.55)*10.764</f>
        <v>651.76019999999994</v>
      </c>
      <c r="F381" s="82">
        <f>(2.32)*10.764</f>
        <v>24.972479999999997</v>
      </c>
      <c r="G381" s="82">
        <v>0</v>
      </c>
      <c r="H381" s="82">
        <f t="shared" si="104"/>
        <v>676.73267999999996</v>
      </c>
      <c r="I381" s="1"/>
      <c r="J381" s="1"/>
      <c r="K381" s="1"/>
      <c r="L381" s="1"/>
      <c r="M381" s="1"/>
      <c r="N381" s="1"/>
      <c r="O381" s="1"/>
      <c r="P381" s="1"/>
      <c r="Q381" s="1"/>
      <c r="R381" s="1"/>
      <c r="S381" s="1"/>
      <c r="T381" s="23" t="str">
        <f t="shared" ca="1" si="105"/>
        <v>704 &amp; 1204</v>
      </c>
      <c r="U381" s="23">
        <f t="shared" ca="1" si="106"/>
        <v>704</v>
      </c>
      <c r="V381" s="23">
        <f t="shared" ca="1" si="106"/>
        <v>1204</v>
      </c>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25" customHeight="1" x14ac:dyDescent="0.25">
      <c r="A382" s="86">
        <v>5</v>
      </c>
      <c r="B382" s="86"/>
      <c r="C382" s="53" t="s">
        <v>337</v>
      </c>
      <c r="D382" s="53" t="s">
        <v>397</v>
      </c>
      <c r="E382" s="84">
        <f>(67.62)*10.764</f>
        <v>727.86167999999998</v>
      </c>
      <c r="F382" s="82">
        <f>(2.62)*10.764</f>
        <v>28.20168</v>
      </c>
      <c r="G382" s="82">
        <v>0</v>
      </c>
      <c r="H382" s="82">
        <f t="shared" si="104"/>
        <v>756.06335999999999</v>
      </c>
      <c r="I382" s="1"/>
      <c r="J382" s="1"/>
      <c r="K382" s="1"/>
      <c r="L382" s="1"/>
      <c r="M382" s="1"/>
      <c r="N382" s="1"/>
      <c r="O382" s="1"/>
      <c r="P382" s="1"/>
      <c r="Q382" s="1"/>
      <c r="R382" s="1"/>
      <c r="S382" s="1"/>
      <c r="T382" s="23" t="str">
        <f t="shared" ca="1" si="105"/>
        <v>705 &amp; 1205</v>
      </c>
      <c r="U382" s="23">
        <f t="shared" ca="1" si="106"/>
        <v>705</v>
      </c>
      <c r="V382" s="23">
        <f t="shared" ca="1" si="106"/>
        <v>1205</v>
      </c>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customHeight="1" x14ac:dyDescent="0.25">
      <c r="A383" s="86">
        <v>6</v>
      </c>
      <c r="B383" s="86"/>
      <c r="C383" s="53" t="s">
        <v>337</v>
      </c>
      <c r="D383" s="53" t="s">
        <v>397</v>
      </c>
      <c r="E383" s="84">
        <f>(67.62)*10.764</f>
        <v>727.86167999999998</v>
      </c>
      <c r="F383" s="82">
        <f>(2.62)*10.764</f>
        <v>28.20168</v>
      </c>
      <c r="G383" s="82">
        <v>0</v>
      </c>
      <c r="H383" s="82">
        <f t="shared" si="104"/>
        <v>756.06335999999999</v>
      </c>
      <c r="I383" s="1"/>
      <c r="J383" s="1"/>
      <c r="K383" s="1"/>
      <c r="L383" s="1"/>
      <c r="M383" s="1"/>
      <c r="N383" s="1"/>
      <c r="O383" s="1"/>
      <c r="P383" s="1"/>
      <c r="Q383" s="1"/>
      <c r="R383" s="1"/>
      <c r="S383" s="1"/>
      <c r="T383" s="23" t="str">
        <f t="shared" ca="1" si="105"/>
        <v>706 &amp; 1206</v>
      </c>
      <c r="U383" s="23">
        <f t="shared" ca="1" si="106"/>
        <v>706</v>
      </c>
      <c r="V383" s="23">
        <f t="shared" ca="1" si="106"/>
        <v>1206</v>
      </c>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customHeight="1" x14ac:dyDescent="0.25">
      <c r="A384" s="86">
        <v>7</v>
      </c>
      <c r="B384" s="86"/>
      <c r="C384" s="53" t="s">
        <v>337</v>
      </c>
      <c r="D384" s="53" t="s">
        <v>397</v>
      </c>
      <c r="E384" s="84">
        <f>(60.55)*10.764</f>
        <v>651.76019999999994</v>
      </c>
      <c r="F384" s="82">
        <f>(2.32)*10.764</f>
        <v>24.972479999999997</v>
      </c>
      <c r="G384" s="82">
        <v>0</v>
      </c>
      <c r="H384" s="82">
        <f t="shared" si="104"/>
        <v>676.73267999999996</v>
      </c>
      <c r="I384" s="1"/>
      <c r="J384" s="1"/>
      <c r="K384" s="1"/>
      <c r="L384" s="1"/>
      <c r="M384" s="1"/>
      <c r="N384" s="1"/>
      <c r="O384" s="1"/>
      <c r="P384" s="1"/>
      <c r="Q384" s="1"/>
      <c r="R384" s="1"/>
      <c r="S384" s="1"/>
      <c r="T384" s="23" t="str">
        <f t="shared" ca="1" si="105"/>
        <v>707 &amp; 1207</v>
      </c>
      <c r="U384" s="23">
        <f t="shared" ca="1" si="106"/>
        <v>707</v>
      </c>
      <c r="V384" s="23">
        <f t="shared" ca="1" si="106"/>
        <v>1207</v>
      </c>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customHeight="1" x14ac:dyDescent="0.25">
      <c r="A385" s="86">
        <v>8</v>
      </c>
      <c r="B385" s="86"/>
      <c r="C385" s="53" t="s">
        <v>337</v>
      </c>
      <c r="D385" s="53" t="s">
        <v>397</v>
      </c>
      <c r="E385" s="84">
        <f>(60.55)*10.764</f>
        <v>651.76019999999994</v>
      </c>
      <c r="F385" s="82">
        <f>(2.32)*10.764</f>
        <v>24.972479999999997</v>
      </c>
      <c r="G385" s="82">
        <v>0</v>
      </c>
      <c r="H385" s="82">
        <f t="shared" si="104"/>
        <v>676.73267999999996</v>
      </c>
      <c r="I385" s="1"/>
      <c r="J385" s="1"/>
      <c r="K385" s="1"/>
      <c r="L385" s="1"/>
      <c r="M385" s="1"/>
      <c r="N385" s="1"/>
      <c r="O385" s="1"/>
      <c r="P385" s="1"/>
      <c r="Q385" s="1"/>
      <c r="R385" s="1"/>
      <c r="S385" s="1"/>
      <c r="T385" s="23" t="str">
        <f t="shared" ca="1" si="105"/>
        <v>708 &amp; 1208</v>
      </c>
      <c r="U385" s="23">
        <f t="shared" ca="1" si="106"/>
        <v>708</v>
      </c>
      <c r="V385" s="23">
        <f t="shared" ca="1" si="106"/>
        <v>1208</v>
      </c>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x14ac:dyDescent="0.25">
      <c r="A386" s="89" t="s">
        <v>404</v>
      </c>
      <c r="B386" s="90"/>
      <c r="C386" s="90"/>
      <c r="D386" s="90"/>
      <c r="E386" s="90"/>
      <c r="F386" s="90"/>
      <c r="G386" s="90"/>
      <c r="H386" s="91"/>
      <c r="I386" s="77">
        <f>6</f>
        <v>6</v>
      </c>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customHeight="1" x14ac:dyDescent="0.25">
      <c r="A387" s="86">
        <v>1</v>
      </c>
      <c r="B387" s="86"/>
      <c r="C387" s="53" t="s">
        <v>337</v>
      </c>
      <c r="D387" s="95" t="s">
        <v>355</v>
      </c>
      <c r="E387" s="96"/>
      <c r="F387" s="96"/>
      <c r="G387" s="96"/>
      <c r="H387" s="97"/>
      <c r="I387" s="1"/>
      <c r="J387" s="1"/>
      <c r="K387" s="1"/>
      <c r="L387" s="1"/>
      <c r="M387" s="1"/>
      <c r="N387" s="1"/>
      <c r="O387" s="1"/>
      <c r="P387" s="1"/>
      <c r="Q387" s="1"/>
      <c r="R387" s="1"/>
      <c r="S387" s="1"/>
      <c r="T387" s="23" t="str">
        <f ca="1">U387&amp;""&amp;" &amp; "&amp;""&amp;V387</f>
        <v>172201 &amp; 4201</v>
      </c>
      <c r="U387" s="23">
        <f ca="1">(SUMPRODUCT(MID(0&amp;(LEFT(A386,SUM(LEN(A386)-LEN(SUBSTITUTE(A386,{"0","1","2","3"},""))))), LARGE(INDEX(ISNUMBER(--MID((LEFT(A386,SUM(LEN(A386)-LEN(SUBSTITUTE(A386,{"0","1","2","3"},""))))), ROW(INDIRECT("1:"&amp;LEN((LEFT(A386,SUM(LEN(A386)-LEN(SUBSTITUTE(A386,{"0","1","2","3"},"")))))))), 1)) * ROW(INDIRECT("1:"&amp;LEN((LEFT(A386,SUM(LEN(A386)-LEN(SUBSTITUTE(A386,{"0","1","2","3"},"")))))))), 0), ROW(INDIRECT("1:"&amp;LEN((LEFT(A386,SUM(LEN(A386)-LEN(SUBSTITUTE(A386,{"0","1","2","3"},"")))))))))+1, 1) * 10^ROW(INDIRECT("1:"&amp;LEN((LEFT(A386,SUM(LEN(A386)-LEN(SUBSTITUTE(A386,{"0","1","2","3"},""))))))))/10))*100+1</f>
        <v>172201</v>
      </c>
      <c r="V387" s="23">
        <f ca="1">(SUMPRODUCT(MID(0&amp;(--TRIM(RIGHT(SUBSTITUTE(LEFT(A386,_xlfn.AGGREGATE(16,6,FIND({0,1,2,3,4,5,6,7,8,9},A386,ROW(INDIRECT("1:"&amp;LEN(A386)))),1))," ",REPT(" ",LEN(A386))),LEN(A386)))), LARGE(INDEX(ISNUMBER(--MID((--TRIM(RIGHT(SUBSTITUTE(LEFT(A386,_xlfn.AGGREGATE(16,6,FIND({0,1,2,3,4,5,6,7,8,9},A386,ROW(INDIRECT("1:"&amp;LEN(A386)))),1))," ",REPT(" ",LEN(A386))),LEN(A386)))), ROW(INDIRECT("1:"&amp;LEN((--TRIM(RIGHT(SUBSTITUTE(LEFT(A386,_xlfn.AGGREGATE(16,6,FIND({0,1,2,3,4,5,6,7,8,9},A386,ROW(INDIRECT("1:"&amp;LEN(A386)))),1))," ",REPT(" ",LEN(A386))),LEN(A386))))))), 1)) * ROW(INDIRECT("1:"&amp;LEN((--TRIM(RIGHT(SUBSTITUTE(LEFT(A386,_xlfn.AGGREGATE(16,6,FIND({0,1,2,3,4,5,6,7,8,9},A386,ROW(INDIRECT("1:"&amp;LEN(A386)))),1))," ",REPT(" ",LEN(A386))),LEN(A386))))))), 0), ROW(INDIRECT("1:"&amp;LEN((--TRIM(RIGHT(SUBSTITUTE(LEFT(A386,_xlfn.AGGREGATE(16,6,FIND({0,1,2,3,4,5,6,7,8,9},A386,ROW(INDIRECT("1:"&amp;LEN(A386)))),1))," ",REPT(" ",LEN(A386))),LEN(A386))))))))+1, 1) * 10^ROW(INDIRECT("1:"&amp;LEN((--TRIM(RIGHT(SUBSTITUTE(LEFT(A386,_xlfn.AGGREGATE(16,6,FIND({0,1,2,3,4,5,6,7,8,9},A386,ROW(INDIRECT("1:"&amp;LEN(A386)))),1))," ",REPT(" ",LEN(A386))),LEN(A386)))))))/10))*100+1</f>
        <v>4201</v>
      </c>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customHeight="1" x14ac:dyDescent="0.25">
      <c r="A388" s="86">
        <v>2</v>
      </c>
      <c r="B388" s="86"/>
      <c r="C388" s="53" t="s">
        <v>337</v>
      </c>
      <c r="D388" s="53" t="s">
        <v>345</v>
      </c>
      <c r="E388" s="84">
        <f>66.26*10.764</f>
        <v>713.22263999999996</v>
      </c>
      <c r="F388" s="82">
        <v>0</v>
      </c>
      <c r="G388" s="82">
        <v>0</v>
      </c>
      <c r="H388" s="82">
        <f t="shared" ref="H388:H394" si="107">E388+F388+(IF(G388&lt;101,G388,IF(G388&lt;201,G388/2,IF(G388&lt;=301,G388/3,G388/4))))</f>
        <v>713.22263999999996</v>
      </c>
      <c r="I388" s="1"/>
      <c r="J388" s="1"/>
      <c r="K388" s="1"/>
      <c r="L388" s="1"/>
      <c r="M388" s="1"/>
      <c r="N388" s="1"/>
      <c r="O388" s="1"/>
      <c r="P388" s="1"/>
      <c r="Q388" s="1"/>
      <c r="R388" s="1"/>
      <c r="S388" s="1"/>
      <c r="T388" s="23" t="str">
        <f t="shared" ref="T388:T394" ca="1" si="108">U388&amp;""&amp;" &amp; "&amp;""&amp;V388</f>
        <v>172202 &amp; 4202</v>
      </c>
      <c r="U388" s="23">
        <f ca="1">U387+1</f>
        <v>172202</v>
      </c>
      <c r="V388" s="23">
        <f ca="1">V387+1</f>
        <v>4202</v>
      </c>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customHeight="1" x14ac:dyDescent="0.25">
      <c r="A389" s="86">
        <v>3</v>
      </c>
      <c r="B389" s="86"/>
      <c r="C389" s="53" t="s">
        <v>337</v>
      </c>
      <c r="D389" s="53" t="s">
        <v>397</v>
      </c>
      <c r="E389" s="84">
        <f>(60.55)*10.764</f>
        <v>651.76019999999994</v>
      </c>
      <c r="F389" s="82">
        <f>(2.32)*10.764</f>
        <v>24.972479999999997</v>
      </c>
      <c r="G389" s="82">
        <v>0</v>
      </c>
      <c r="H389" s="82">
        <f t="shared" si="107"/>
        <v>676.73267999999996</v>
      </c>
      <c r="I389" s="1"/>
      <c r="J389" s="1"/>
      <c r="K389" s="1"/>
      <c r="L389" s="1"/>
      <c r="M389" s="1"/>
      <c r="N389" s="1"/>
      <c r="O389" s="1"/>
      <c r="P389" s="1"/>
      <c r="Q389" s="1"/>
      <c r="R389" s="1"/>
      <c r="S389" s="1"/>
      <c r="T389" s="23" t="str">
        <f t="shared" ca="1" si="108"/>
        <v>172203 &amp; 4203</v>
      </c>
      <c r="U389" s="23">
        <f t="shared" ref="U389:V394" ca="1" si="109">U388+1</f>
        <v>172203</v>
      </c>
      <c r="V389" s="23">
        <f t="shared" ca="1" si="109"/>
        <v>4203</v>
      </c>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customHeight="1" x14ac:dyDescent="0.25">
      <c r="A390" s="86">
        <v>4</v>
      </c>
      <c r="B390" s="86"/>
      <c r="C390" s="53" t="s">
        <v>337</v>
      </c>
      <c r="D390" s="53" t="s">
        <v>397</v>
      </c>
      <c r="E390" s="84">
        <f>(60.55)*10.764</f>
        <v>651.76019999999994</v>
      </c>
      <c r="F390" s="82">
        <f>(2.32)*10.764</f>
        <v>24.972479999999997</v>
      </c>
      <c r="G390" s="82">
        <v>0</v>
      </c>
      <c r="H390" s="82">
        <f t="shared" si="107"/>
        <v>676.73267999999996</v>
      </c>
      <c r="I390" s="1"/>
      <c r="J390" s="1"/>
      <c r="K390" s="1"/>
      <c r="L390" s="1"/>
      <c r="M390" s="1"/>
      <c r="N390" s="1"/>
      <c r="O390" s="1"/>
      <c r="P390" s="1"/>
      <c r="Q390" s="1"/>
      <c r="R390" s="1"/>
      <c r="S390" s="1"/>
      <c r="T390" s="23" t="str">
        <f t="shared" ca="1" si="108"/>
        <v>172204 &amp; 4204</v>
      </c>
      <c r="U390" s="23">
        <f t="shared" ca="1" si="109"/>
        <v>172204</v>
      </c>
      <c r="V390" s="23">
        <f t="shared" ca="1" si="109"/>
        <v>4204</v>
      </c>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customHeight="1" x14ac:dyDescent="0.25">
      <c r="A391" s="86">
        <v>5</v>
      </c>
      <c r="B391" s="86"/>
      <c r="C391" s="53" t="s">
        <v>337</v>
      </c>
      <c r="D391" s="53" t="s">
        <v>397</v>
      </c>
      <c r="E391" s="84">
        <f>(67.62)*10.764</f>
        <v>727.86167999999998</v>
      </c>
      <c r="F391" s="82">
        <f>(2.62)*10.764</f>
        <v>28.20168</v>
      </c>
      <c r="G391" s="82">
        <v>0</v>
      </c>
      <c r="H391" s="82">
        <f t="shared" si="107"/>
        <v>756.06335999999999</v>
      </c>
      <c r="I391" s="1"/>
      <c r="J391" s="1"/>
      <c r="K391" s="1"/>
      <c r="L391" s="1"/>
      <c r="M391" s="1"/>
      <c r="N391" s="1"/>
      <c r="O391" s="1"/>
      <c r="P391" s="1"/>
      <c r="Q391" s="1"/>
      <c r="R391" s="1"/>
      <c r="S391" s="1"/>
      <c r="T391" s="23" t="str">
        <f t="shared" ca="1" si="108"/>
        <v>172205 &amp; 4205</v>
      </c>
      <c r="U391" s="23">
        <f t="shared" ca="1" si="109"/>
        <v>172205</v>
      </c>
      <c r="V391" s="23">
        <f t="shared" ca="1" si="109"/>
        <v>4205</v>
      </c>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customHeight="1" x14ac:dyDescent="0.25">
      <c r="A392" s="86">
        <v>6</v>
      </c>
      <c r="B392" s="86"/>
      <c r="C392" s="53" t="s">
        <v>337</v>
      </c>
      <c r="D392" s="53" t="s">
        <v>397</v>
      </c>
      <c r="E392" s="84">
        <f>(67.62)*10.764</f>
        <v>727.86167999999998</v>
      </c>
      <c r="F392" s="82">
        <f>(2.62)*10.764</f>
        <v>28.20168</v>
      </c>
      <c r="G392" s="82">
        <v>0</v>
      </c>
      <c r="H392" s="82">
        <f t="shared" si="107"/>
        <v>756.06335999999999</v>
      </c>
      <c r="I392" s="1"/>
      <c r="J392" s="1"/>
      <c r="K392" s="1"/>
      <c r="L392" s="1"/>
      <c r="M392" s="1"/>
      <c r="N392" s="1"/>
      <c r="O392" s="1"/>
      <c r="P392" s="1"/>
      <c r="Q392" s="1"/>
      <c r="R392" s="1"/>
      <c r="S392" s="1"/>
      <c r="T392" s="23" t="str">
        <f t="shared" ca="1" si="108"/>
        <v>172206 &amp; 4206</v>
      </c>
      <c r="U392" s="23">
        <f t="shared" ca="1" si="109"/>
        <v>172206</v>
      </c>
      <c r="V392" s="23">
        <f t="shared" ca="1" si="109"/>
        <v>4206</v>
      </c>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20.25" customHeight="1" x14ac:dyDescent="0.25">
      <c r="A393" s="86">
        <v>7</v>
      </c>
      <c r="B393" s="86"/>
      <c r="C393" s="53" t="s">
        <v>337</v>
      </c>
      <c r="D393" s="53" t="s">
        <v>397</v>
      </c>
      <c r="E393" s="84">
        <f>(60.55)*10.764</f>
        <v>651.76019999999994</v>
      </c>
      <c r="F393" s="82">
        <f>(2.32)*10.764</f>
        <v>24.972479999999997</v>
      </c>
      <c r="G393" s="82">
        <v>0</v>
      </c>
      <c r="H393" s="82">
        <f t="shared" si="107"/>
        <v>676.73267999999996</v>
      </c>
      <c r="I393" s="1"/>
      <c r="J393" s="1"/>
      <c r="K393" s="1"/>
      <c r="L393" s="1"/>
      <c r="M393" s="1"/>
      <c r="N393" s="1"/>
      <c r="O393" s="1"/>
      <c r="P393" s="1"/>
      <c r="Q393" s="1"/>
      <c r="R393" s="1"/>
      <c r="S393" s="1"/>
      <c r="T393" s="23" t="str">
        <f t="shared" ca="1" si="108"/>
        <v>172207 &amp; 4207</v>
      </c>
      <c r="U393" s="23">
        <f t="shared" ca="1" si="109"/>
        <v>172207</v>
      </c>
      <c r="V393" s="23">
        <f t="shared" ca="1" si="109"/>
        <v>4207</v>
      </c>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customHeight="1" x14ac:dyDescent="0.25">
      <c r="A394" s="86">
        <v>8</v>
      </c>
      <c r="B394" s="86"/>
      <c r="C394" s="53" t="s">
        <v>337</v>
      </c>
      <c r="D394" s="53" t="s">
        <v>397</v>
      </c>
      <c r="E394" s="84">
        <f>(60.55)*10.764</f>
        <v>651.76019999999994</v>
      </c>
      <c r="F394" s="82">
        <f>(2.32)*10.764</f>
        <v>24.972479999999997</v>
      </c>
      <c r="G394" s="82">
        <v>0</v>
      </c>
      <c r="H394" s="82">
        <f t="shared" si="107"/>
        <v>676.73267999999996</v>
      </c>
      <c r="I394" s="1"/>
      <c r="J394" s="1"/>
      <c r="K394" s="1"/>
      <c r="L394" s="1"/>
      <c r="M394" s="1"/>
      <c r="N394" s="1"/>
      <c r="O394" s="1"/>
      <c r="P394" s="1"/>
      <c r="Q394" s="1"/>
      <c r="R394" s="1"/>
      <c r="S394" s="1"/>
      <c r="T394" s="23" t="str">
        <f t="shared" ca="1" si="108"/>
        <v>172208 &amp; 4208</v>
      </c>
      <c r="U394" s="23">
        <f t="shared" ca="1" si="109"/>
        <v>172208</v>
      </c>
      <c r="V394" s="23">
        <f t="shared" ca="1" si="109"/>
        <v>4208</v>
      </c>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x14ac:dyDescent="0.25">
      <c r="A395" s="89" t="s">
        <v>392</v>
      </c>
      <c r="B395" s="90"/>
      <c r="C395" s="90"/>
      <c r="D395" s="90"/>
      <c r="E395" s="90"/>
      <c r="F395" s="90"/>
      <c r="G395" s="90"/>
      <c r="H395" s="9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x14ac:dyDescent="0.25">
      <c r="A396" s="89" t="s">
        <v>334</v>
      </c>
      <c r="B396" s="90"/>
      <c r="C396" s="90"/>
      <c r="D396" s="90"/>
      <c r="E396" s="90"/>
      <c r="F396" s="90"/>
      <c r="G396" s="90"/>
      <c r="H396" s="9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x14ac:dyDescent="0.25">
      <c r="A397" s="89" t="s">
        <v>394</v>
      </c>
      <c r="B397" s="90"/>
      <c r="C397" s="90"/>
      <c r="D397" s="90"/>
      <c r="E397" s="90"/>
      <c r="F397" s="90"/>
      <c r="G397" s="90"/>
      <c r="H397" s="9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x14ac:dyDescent="0.25">
      <c r="A398" s="89" t="s">
        <v>395</v>
      </c>
      <c r="B398" s="90"/>
      <c r="C398" s="90"/>
      <c r="D398" s="90"/>
      <c r="E398" s="90"/>
      <c r="F398" s="90"/>
      <c r="G398" s="90"/>
      <c r="H398" s="9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x14ac:dyDescent="0.25">
      <c r="A399" s="89" t="s">
        <v>405</v>
      </c>
      <c r="B399" s="90"/>
      <c r="C399" s="90"/>
      <c r="D399" s="90"/>
      <c r="E399" s="90"/>
      <c r="F399" s="90"/>
      <c r="G399" s="90"/>
      <c r="H399" s="91"/>
      <c r="I399" s="77">
        <v>1</v>
      </c>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0.25" customHeight="1" x14ac:dyDescent="0.25">
      <c r="A400" s="86">
        <v>1</v>
      </c>
      <c r="B400" s="86"/>
      <c r="C400" s="53" t="s">
        <v>337</v>
      </c>
      <c r="D400" s="53" t="s">
        <v>397</v>
      </c>
      <c r="E400" s="82">
        <f>(44.9)*10.764</f>
        <v>483.30359999999996</v>
      </c>
      <c r="F400" s="82">
        <v>0</v>
      </c>
      <c r="G400" s="82">
        <f>(2.75*5)*10.764</f>
        <v>148.005</v>
      </c>
      <c r="H400" s="82">
        <f>E400+F400+(IF(G400&lt;101,G400,IF(G400&lt;201,G400/2,IF(G400&lt;=301,G400/3,G400/4))))</f>
        <v>557.30610000000001</v>
      </c>
      <c r="I400" s="1"/>
      <c r="J400" s="1"/>
      <c r="K400" s="1"/>
      <c r="L400" s="1"/>
      <c r="M400" s="1"/>
      <c r="N400" s="1"/>
      <c r="O400" s="1"/>
      <c r="P400" s="1"/>
      <c r="Q400" s="1"/>
      <c r="R400" s="1"/>
      <c r="S400" s="1"/>
      <c r="T400" s="23" t="e">
        <f ca="1">U400&amp;""&amp;" &amp; "&amp;""&amp;V400</f>
        <v>#REF!</v>
      </c>
      <c r="U400"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400"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customHeight="1" x14ac:dyDescent="0.25">
      <c r="A401" s="86">
        <v>2</v>
      </c>
      <c r="B401" s="86"/>
      <c r="C401" s="53" t="s">
        <v>337</v>
      </c>
      <c r="D401" s="53" t="s">
        <v>397</v>
      </c>
      <c r="E401" s="82">
        <f>(44.9)*10.764</f>
        <v>483.30359999999996</v>
      </c>
      <c r="F401" s="82">
        <v>0</v>
      </c>
      <c r="G401" s="82">
        <f>(2.75*5)*10.764</f>
        <v>148.005</v>
      </c>
      <c r="H401" s="82">
        <f t="shared" ref="H401:H407" si="110">E401+F401+(IF(G401&lt;101,G401,IF(G401&lt;201,G401/2,IF(G401&lt;=301,G401/3,G401/4))))</f>
        <v>557.30610000000001</v>
      </c>
      <c r="I401" s="1"/>
      <c r="J401" s="1"/>
      <c r="K401" s="1"/>
      <c r="L401" s="1"/>
      <c r="M401" s="1"/>
      <c r="N401" s="1"/>
      <c r="O401" s="1"/>
      <c r="P401" s="1"/>
      <c r="Q401" s="1"/>
      <c r="R401" s="1"/>
      <c r="S401" s="1"/>
      <c r="T401" s="23" t="e">
        <f t="shared" ref="T401:T407" ca="1" si="111">U401&amp;""&amp;" &amp; "&amp;""&amp;V401</f>
        <v>#REF!</v>
      </c>
      <c r="U401" s="23" t="e">
        <f ca="1">U400+1</f>
        <v>#REF!</v>
      </c>
      <c r="V401" s="23" t="e">
        <f ca="1">V400+1</f>
        <v>#REF!</v>
      </c>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customHeight="1" x14ac:dyDescent="0.25">
      <c r="A402" s="86">
        <v>3</v>
      </c>
      <c r="B402" s="86"/>
      <c r="C402" s="53" t="s">
        <v>337</v>
      </c>
      <c r="D402" s="53" t="s">
        <v>397</v>
      </c>
      <c r="E402" s="82">
        <f>(60.55)*10.764</f>
        <v>651.76019999999994</v>
      </c>
      <c r="F402" s="82">
        <f>(2.32)*10.764</f>
        <v>24.972479999999997</v>
      </c>
      <c r="G402" s="82">
        <v>0</v>
      </c>
      <c r="H402" s="82">
        <f t="shared" si="110"/>
        <v>676.73267999999996</v>
      </c>
      <c r="I402" s="1"/>
      <c r="J402" s="1"/>
      <c r="K402" s="1"/>
      <c r="L402" s="1"/>
      <c r="M402" s="1"/>
      <c r="N402" s="1"/>
      <c r="O402" s="1"/>
      <c r="P402" s="1"/>
      <c r="Q402" s="1"/>
      <c r="R402" s="1"/>
      <c r="S402" s="1"/>
      <c r="T402" s="23" t="e">
        <f t="shared" ca="1" si="111"/>
        <v>#REF!</v>
      </c>
      <c r="U402" s="23" t="e">
        <f t="shared" ref="U402:V407" ca="1" si="112">U401+1</f>
        <v>#REF!</v>
      </c>
      <c r="V402" s="23" t="e">
        <f t="shared" ca="1" si="112"/>
        <v>#REF!</v>
      </c>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customHeight="1" x14ac:dyDescent="0.25">
      <c r="A403" s="86">
        <v>4</v>
      </c>
      <c r="B403" s="86"/>
      <c r="C403" s="53" t="s">
        <v>337</v>
      </c>
      <c r="D403" s="95" t="s">
        <v>346</v>
      </c>
      <c r="E403" s="96"/>
      <c r="F403" s="96"/>
      <c r="G403" s="96"/>
      <c r="H403" s="97"/>
      <c r="I403" s="1"/>
      <c r="J403" s="1"/>
      <c r="K403" s="1"/>
      <c r="L403" s="1"/>
      <c r="M403" s="1"/>
      <c r="N403" s="1"/>
      <c r="O403" s="1"/>
      <c r="P403" s="1"/>
      <c r="Q403" s="1"/>
      <c r="R403" s="1"/>
      <c r="S403" s="1"/>
      <c r="T403" s="23" t="e">
        <f t="shared" ca="1" si="111"/>
        <v>#REF!</v>
      </c>
      <c r="U403" s="23" t="e">
        <f t="shared" ca="1" si="112"/>
        <v>#REF!</v>
      </c>
      <c r="V403" s="23" t="e">
        <f t="shared" ca="1" si="112"/>
        <v>#REF!</v>
      </c>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25" customHeight="1" x14ac:dyDescent="0.25">
      <c r="A404" s="86">
        <v>5</v>
      </c>
      <c r="B404" s="86"/>
      <c r="C404" s="53" t="s">
        <v>337</v>
      </c>
      <c r="D404" s="98" t="s">
        <v>338</v>
      </c>
      <c r="E404" s="99"/>
      <c r="F404" s="99"/>
      <c r="G404" s="99"/>
      <c r="H404" s="100"/>
      <c r="I404" s="1"/>
      <c r="J404" s="1"/>
      <c r="K404" s="1"/>
      <c r="L404" s="1"/>
      <c r="M404" s="1"/>
      <c r="N404" s="1"/>
      <c r="O404" s="1"/>
      <c r="P404" s="1"/>
      <c r="Q404" s="1"/>
      <c r="R404" s="1"/>
      <c r="S404" s="1"/>
      <c r="T404" s="23" t="e">
        <f t="shared" ca="1" si="111"/>
        <v>#REF!</v>
      </c>
      <c r="U404" s="23" t="e">
        <f t="shared" ca="1" si="112"/>
        <v>#REF!</v>
      </c>
      <c r="V404" s="23" t="e">
        <f t="shared" ca="1" si="112"/>
        <v>#REF!</v>
      </c>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20.25" customHeight="1" x14ac:dyDescent="0.25">
      <c r="A405" s="86">
        <v>6</v>
      </c>
      <c r="B405" s="86"/>
      <c r="C405" s="53" t="s">
        <v>337</v>
      </c>
      <c r="D405" s="101"/>
      <c r="E405" s="102"/>
      <c r="F405" s="102"/>
      <c r="G405" s="102"/>
      <c r="H405" s="103"/>
      <c r="I405" s="1"/>
      <c r="J405" s="1"/>
      <c r="K405" s="1"/>
      <c r="L405" s="1"/>
      <c r="M405" s="1"/>
      <c r="N405" s="1"/>
      <c r="O405" s="1"/>
      <c r="P405" s="1"/>
      <c r="Q405" s="1"/>
      <c r="R405" s="1"/>
      <c r="S405" s="1"/>
      <c r="T405" s="23" t="e">
        <f t="shared" ca="1" si="111"/>
        <v>#REF!</v>
      </c>
      <c r="U405" s="23" t="e">
        <f t="shared" ca="1" si="112"/>
        <v>#REF!</v>
      </c>
      <c r="V405" s="23" t="e">
        <f t="shared" ca="1" si="112"/>
        <v>#REF!</v>
      </c>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customHeight="1" x14ac:dyDescent="0.25">
      <c r="A406" s="86">
        <v>7</v>
      </c>
      <c r="B406" s="86"/>
      <c r="C406" s="53" t="s">
        <v>337</v>
      </c>
      <c r="D406" s="95" t="s">
        <v>399</v>
      </c>
      <c r="E406" s="96"/>
      <c r="F406" s="96"/>
      <c r="G406" s="96"/>
      <c r="H406" s="97"/>
      <c r="I406" s="1"/>
      <c r="J406" s="1"/>
      <c r="K406" s="1"/>
      <c r="L406" s="1"/>
      <c r="M406" s="1"/>
      <c r="N406" s="1"/>
      <c r="O406" s="1"/>
      <c r="P406" s="1"/>
      <c r="Q406" s="1"/>
      <c r="R406" s="1"/>
      <c r="S406" s="1"/>
      <c r="T406" s="23" t="e">
        <f t="shared" ca="1" si="111"/>
        <v>#REF!</v>
      </c>
      <c r="U406" s="23" t="e">
        <f t="shared" ca="1" si="112"/>
        <v>#REF!</v>
      </c>
      <c r="V406" s="23" t="e">
        <f t="shared" ca="1" si="112"/>
        <v>#REF!</v>
      </c>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20.25" customHeight="1" x14ac:dyDescent="0.25">
      <c r="A407" s="86">
        <v>8</v>
      </c>
      <c r="B407" s="86"/>
      <c r="C407" s="53" t="s">
        <v>337</v>
      </c>
      <c r="D407" s="53" t="s">
        <v>397</v>
      </c>
      <c r="E407" s="84">
        <f>(60.55)*10.764</f>
        <v>651.76019999999994</v>
      </c>
      <c r="F407" s="82">
        <f>(2.32)*10.764</f>
        <v>24.972479999999997</v>
      </c>
      <c r="G407" s="82">
        <v>0</v>
      </c>
      <c r="H407" s="82">
        <f t="shared" si="110"/>
        <v>676.73267999999996</v>
      </c>
      <c r="I407" s="1"/>
      <c r="J407" s="1"/>
      <c r="K407" s="1"/>
      <c r="L407" s="1"/>
      <c r="M407" s="1"/>
      <c r="N407" s="1"/>
      <c r="O407" s="1"/>
      <c r="P407" s="1"/>
      <c r="Q407" s="1"/>
      <c r="R407" s="1"/>
      <c r="S407" s="1"/>
      <c r="T407" s="23" t="e">
        <f t="shared" ca="1" si="111"/>
        <v>#REF!</v>
      </c>
      <c r="U407" s="23" t="e">
        <f t="shared" ca="1" si="112"/>
        <v>#REF!</v>
      </c>
      <c r="V407" s="23" t="e">
        <f t="shared" ca="1" si="112"/>
        <v>#REF!</v>
      </c>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x14ac:dyDescent="0.25">
      <c r="A408" s="89" t="s">
        <v>335</v>
      </c>
      <c r="B408" s="90"/>
      <c r="C408" s="90"/>
      <c r="D408" s="90"/>
      <c r="E408" s="90"/>
      <c r="F408" s="90"/>
      <c r="G408" s="90"/>
      <c r="H408" s="91"/>
      <c r="I408" s="77">
        <v>1</v>
      </c>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customHeight="1" x14ac:dyDescent="0.25">
      <c r="A409" s="86">
        <v>1</v>
      </c>
      <c r="B409" s="86"/>
      <c r="C409" s="53" t="s">
        <v>337</v>
      </c>
      <c r="D409" s="53" t="s">
        <v>397</v>
      </c>
      <c r="E409" s="82">
        <f>(44.9)*10.764</f>
        <v>483.30359999999996</v>
      </c>
      <c r="F409" s="82">
        <v>0</v>
      </c>
      <c r="G409" s="82">
        <v>0</v>
      </c>
      <c r="H409" s="82">
        <f>E409+F409+(IF(G409&lt;101,G409,IF(G409&lt;201,G409/2,IF(G409&lt;=301,G409/3,G409/4))))</f>
        <v>483.30359999999996</v>
      </c>
      <c r="I409" s="1"/>
      <c r="J409" s="1"/>
      <c r="K409" s="1"/>
      <c r="L409" s="1"/>
      <c r="M409" s="1"/>
      <c r="N409" s="1"/>
      <c r="O409" s="1"/>
      <c r="P409" s="1"/>
      <c r="Q409" s="1"/>
      <c r="R409" s="1"/>
      <c r="S409" s="1"/>
      <c r="T409" s="23" t="e">
        <f ca="1">U409&amp;""&amp;" &amp; "&amp;""&amp;V409</f>
        <v>#REF!</v>
      </c>
      <c r="U409"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409"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customHeight="1" x14ac:dyDescent="0.25">
      <c r="A410" s="86">
        <v>2</v>
      </c>
      <c r="B410" s="86"/>
      <c r="C410" s="53" t="s">
        <v>337</v>
      </c>
      <c r="D410" s="53" t="s">
        <v>397</v>
      </c>
      <c r="E410" s="82">
        <f>(44.9)*10.764</f>
        <v>483.30359999999996</v>
      </c>
      <c r="F410" s="82">
        <v>0</v>
      </c>
      <c r="G410" s="82">
        <v>0</v>
      </c>
      <c r="H410" s="82">
        <f t="shared" ref="H410:H411" si="113">E410+F410+(IF(G410&lt;101,G410,IF(G410&lt;201,G410/2,IF(G410&lt;=301,G410/3,G410/4))))</f>
        <v>483.30359999999996</v>
      </c>
      <c r="I410" s="1"/>
      <c r="J410" s="1"/>
      <c r="K410" s="1"/>
      <c r="L410" s="1"/>
      <c r="M410" s="1"/>
      <c r="N410" s="1"/>
      <c r="O410" s="1"/>
      <c r="P410" s="1"/>
      <c r="Q410" s="1"/>
      <c r="R410" s="1"/>
      <c r="S410" s="1"/>
      <c r="T410" s="23" t="e">
        <f t="shared" ref="T410:T416" ca="1" si="114">U410&amp;""&amp;" &amp; "&amp;""&amp;V410</f>
        <v>#REF!</v>
      </c>
      <c r="U410" s="23" t="e">
        <f ca="1">U409+1</f>
        <v>#REF!</v>
      </c>
      <c r="V410" s="23" t="e">
        <f ca="1">V409+1</f>
        <v>#REF!</v>
      </c>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customHeight="1" x14ac:dyDescent="0.25">
      <c r="A411" s="86">
        <v>3</v>
      </c>
      <c r="B411" s="86"/>
      <c r="C411" s="53" t="s">
        <v>337</v>
      </c>
      <c r="D411" s="53" t="s">
        <v>397</v>
      </c>
      <c r="E411" s="82">
        <f>(60.55)*10.764</f>
        <v>651.76019999999994</v>
      </c>
      <c r="F411" s="82">
        <f>(2.32)*10.764</f>
        <v>24.972479999999997</v>
      </c>
      <c r="G411" s="82">
        <v>0</v>
      </c>
      <c r="H411" s="82">
        <f t="shared" si="113"/>
        <v>676.73267999999996</v>
      </c>
      <c r="I411" s="1"/>
      <c r="J411" s="1"/>
      <c r="K411" s="1"/>
      <c r="L411" s="1"/>
      <c r="M411" s="1"/>
      <c r="N411" s="1"/>
      <c r="O411" s="1"/>
      <c r="P411" s="1"/>
      <c r="Q411" s="1"/>
      <c r="R411" s="1"/>
      <c r="S411" s="1"/>
      <c r="T411" s="23" t="e">
        <f t="shared" ca="1" si="114"/>
        <v>#REF!</v>
      </c>
      <c r="U411" s="23" t="e">
        <f t="shared" ref="U411:V416" ca="1" si="115">U410+1</f>
        <v>#REF!</v>
      </c>
      <c r="V411" s="23" t="e">
        <f t="shared" ca="1" si="115"/>
        <v>#REF!</v>
      </c>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customHeight="1" x14ac:dyDescent="0.25">
      <c r="A412" s="86">
        <v>4</v>
      </c>
      <c r="B412" s="86"/>
      <c r="C412" s="53" t="s">
        <v>337</v>
      </c>
      <c r="D412" s="95" t="s">
        <v>406</v>
      </c>
      <c r="E412" s="96"/>
      <c r="F412" s="96"/>
      <c r="G412" s="96"/>
      <c r="H412" s="97"/>
      <c r="I412" s="1"/>
      <c r="J412" s="1"/>
      <c r="K412" s="1"/>
      <c r="L412" s="1"/>
      <c r="M412" s="1"/>
      <c r="N412" s="1"/>
      <c r="O412" s="1"/>
      <c r="P412" s="1"/>
      <c r="Q412" s="1"/>
      <c r="R412" s="1"/>
      <c r="S412" s="1"/>
      <c r="T412" s="23" t="e">
        <f t="shared" ca="1" si="114"/>
        <v>#REF!</v>
      </c>
      <c r="U412" s="23" t="e">
        <f t="shared" ca="1" si="115"/>
        <v>#REF!</v>
      </c>
      <c r="V412" s="23" t="e">
        <f t="shared" ca="1" si="115"/>
        <v>#REF!</v>
      </c>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customHeight="1" x14ac:dyDescent="0.25">
      <c r="A413" s="86">
        <v>5</v>
      </c>
      <c r="B413" s="86"/>
      <c r="C413" s="53" t="s">
        <v>337</v>
      </c>
      <c r="D413" s="98" t="s">
        <v>338</v>
      </c>
      <c r="E413" s="99"/>
      <c r="F413" s="99"/>
      <c r="G413" s="99"/>
      <c r="H413" s="100"/>
      <c r="I413" s="1"/>
      <c r="J413" s="1"/>
      <c r="K413" s="1"/>
      <c r="L413" s="1"/>
      <c r="M413" s="1"/>
      <c r="N413" s="1"/>
      <c r="O413" s="1"/>
      <c r="P413" s="1"/>
      <c r="Q413" s="1"/>
      <c r="R413" s="1"/>
      <c r="S413" s="1"/>
      <c r="T413" s="23" t="e">
        <f t="shared" ca="1" si="114"/>
        <v>#REF!</v>
      </c>
      <c r="U413" s="23" t="e">
        <f t="shared" ca="1" si="115"/>
        <v>#REF!</v>
      </c>
      <c r="V413" s="23" t="e">
        <f t="shared" ca="1" si="115"/>
        <v>#REF!</v>
      </c>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s="3" customFormat="1" ht="20.25" customHeight="1" x14ac:dyDescent="0.25">
      <c r="A414" s="86">
        <v>6</v>
      </c>
      <c r="B414" s="86"/>
      <c r="C414" s="53" t="s">
        <v>337</v>
      </c>
      <c r="D414" s="101"/>
      <c r="E414" s="102"/>
      <c r="F414" s="102"/>
      <c r="G414" s="102"/>
      <c r="H414" s="103"/>
      <c r="I414" s="1"/>
      <c r="J414" s="1"/>
      <c r="K414" s="1"/>
      <c r="L414" s="1"/>
      <c r="M414" s="1"/>
      <c r="N414" s="1"/>
      <c r="O414" s="1"/>
      <c r="P414" s="1"/>
      <c r="Q414" s="1"/>
      <c r="R414" s="1"/>
      <c r="S414" s="1"/>
      <c r="T414" s="23" t="e">
        <f t="shared" ca="1" si="114"/>
        <v>#REF!</v>
      </c>
      <c r="U414" s="23" t="e">
        <f t="shared" ca="1" si="115"/>
        <v>#REF!</v>
      </c>
      <c r="V414" s="23" t="e">
        <f t="shared" ca="1" si="115"/>
        <v>#REF!</v>
      </c>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row>
    <row r="415" spans="1:150 16226:16383" s="3" customFormat="1" ht="20.25" customHeight="1" x14ac:dyDescent="0.25">
      <c r="A415" s="86">
        <v>7</v>
      </c>
      <c r="B415" s="86"/>
      <c r="C415" s="53" t="s">
        <v>337</v>
      </c>
      <c r="D415" s="95" t="s">
        <v>406</v>
      </c>
      <c r="E415" s="96"/>
      <c r="F415" s="96"/>
      <c r="G415" s="96"/>
      <c r="H415" s="97"/>
      <c r="I415" s="1"/>
      <c r="J415" s="1"/>
      <c r="K415" s="1"/>
      <c r="L415" s="1"/>
      <c r="M415" s="1"/>
      <c r="N415" s="1"/>
      <c r="O415" s="1"/>
      <c r="P415" s="1"/>
      <c r="Q415" s="1"/>
      <c r="R415" s="1"/>
      <c r="S415" s="1"/>
      <c r="T415" s="23" t="e">
        <f t="shared" ca="1" si="114"/>
        <v>#REF!</v>
      </c>
      <c r="U415" s="23" t="e">
        <f t="shared" ca="1" si="115"/>
        <v>#REF!</v>
      </c>
      <c r="V415" s="23" t="e">
        <f t="shared" ca="1" si="115"/>
        <v>#REF!</v>
      </c>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row>
    <row r="416" spans="1:150 16226:16383" s="3" customFormat="1" ht="20.25" customHeight="1" x14ac:dyDescent="0.25">
      <c r="A416" s="86">
        <v>8</v>
      </c>
      <c r="B416" s="86"/>
      <c r="C416" s="53" t="s">
        <v>337</v>
      </c>
      <c r="D416" s="53" t="s">
        <v>397</v>
      </c>
      <c r="E416" s="84">
        <f>(60.55)*10.764</f>
        <v>651.76019999999994</v>
      </c>
      <c r="F416" s="82">
        <f>(2.32)*10.764</f>
        <v>24.972479999999997</v>
      </c>
      <c r="G416" s="82">
        <v>0</v>
      </c>
      <c r="H416" s="82">
        <f t="shared" ref="H416" si="116">E416+F416+(IF(G416&lt;101,G416,IF(G416&lt;201,G416/2,IF(G416&lt;=301,G416/3,G416/4))))</f>
        <v>676.73267999999996</v>
      </c>
      <c r="I416" s="1"/>
      <c r="J416" s="1"/>
      <c r="K416" s="1"/>
      <c r="L416" s="1"/>
      <c r="M416" s="1"/>
      <c r="N416" s="1"/>
      <c r="O416" s="1"/>
      <c r="P416" s="1"/>
      <c r="Q416" s="1"/>
      <c r="R416" s="1"/>
      <c r="S416" s="1"/>
      <c r="T416" s="23" t="e">
        <f t="shared" ca="1" si="114"/>
        <v>#REF!</v>
      </c>
      <c r="U416" s="23" t="e">
        <f t="shared" ca="1" si="115"/>
        <v>#REF!</v>
      </c>
      <c r="V416" s="23" t="e">
        <f t="shared" ca="1" si="115"/>
        <v>#REF!</v>
      </c>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row>
    <row r="417" spans="1:150 16226:16383" s="3" customFormat="1" ht="20.25" x14ac:dyDescent="0.25">
      <c r="A417" s="89" t="s">
        <v>407</v>
      </c>
      <c r="B417" s="90"/>
      <c r="C417" s="90"/>
      <c r="D417" s="90"/>
      <c r="E417" s="90"/>
      <c r="F417" s="90"/>
      <c r="G417" s="90"/>
      <c r="H417" s="91"/>
      <c r="I417" s="77">
        <v>1</v>
      </c>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row>
    <row r="418" spans="1:150 16226:16383" s="3" customFormat="1" ht="20.25" customHeight="1" x14ac:dyDescent="0.25">
      <c r="A418" s="86">
        <v>1</v>
      </c>
      <c r="B418" s="86"/>
      <c r="C418" s="53" t="s">
        <v>337</v>
      </c>
      <c r="D418" s="53" t="s">
        <v>397</v>
      </c>
      <c r="E418" s="84">
        <f>(44.9)*10.764</f>
        <v>483.30359999999996</v>
      </c>
      <c r="F418" s="82">
        <v>0</v>
      </c>
      <c r="G418" s="82">
        <v>0</v>
      </c>
      <c r="H418" s="82">
        <f>E418+F418+(IF(G418&lt;101,G418,IF(G418&lt;201,G418/2,IF(G418&lt;=301,G418/3,G418/4))))</f>
        <v>483.30359999999996</v>
      </c>
      <c r="I418" s="1"/>
      <c r="J418" s="1"/>
      <c r="K418" s="1"/>
      <c r="L418" s="1"/>
      <c r="M418" s="1"/>
      <c r="N418" s="1"/>
      <c r="O418" s="1"/>
      <c r="P418" s="1"/>
      <c r="Q418" s="1"/>
      <c r="R418" s="1"/>
      <c r="S418" s="1"/>
      <c r="T418" s="23" t="str">
        <f ca="1">U418&amp;""&amp;" &amp; "&amp;""&amp;V418</f>
        <v>301 &amp; 301</v>
      </c>
      <c r="U418" s="23">
        <f ca="1">(SUMPRODUCT(MID(0&amp;(LEFT(A417,SUM(LEN(A417)-LEN(SUBSTITUTE(A417,{"0","1","2","3"},""))))), LARGE(INDEX(ISNUMBER(--MID((LEFT(A417,SUM(LEN(A417)-LEN(SUBSTITUTE(A417,{"0","1","2","3"},""))))), ROW(INDIRECT("1:"&amp;LEN((LEFT(A417,SUM(LEN(A417)-LEN(SUBSTITUTE(A417,{"0","1","2","3"},"")))))))), 1)) * ROW(INDIRECT("1:"&amp;LEN((LEFT(A417,SUM(LEN(A417)-LEN(SUBSTITUTE(A417,{"0","1","2","3"},"")))))))), 0), ROW(INDIRECT("1:"&amp;LEN((LEFT(A417,SUM(LEN(A417)-LEN(SUBSTITUTE(A417,{"0","1","2","3"},"")))))))))+1, 1) * 10^ROW(INDIRECT("1:"&amp;LEN((LEFT(A417,SUM(LEN(A417)-LEN(SUBSTITUTE(A417,{"0","1","2","3"},""))))))))/10))*100+1</f>
        <v>301</v>
      </c>
      <c r="V418" s="23">
        <f ca="1">(SUMPRODUCT(MID(0&amp;(--TRIM(RIGHT(SUBSTITUTE(LEFT(A417,_xlfn.AGGREGATE(16,6,FIND({0,1,2,3,4,5,6,7,8,9},A417,ROW(INDIRECT("1:"&amp;LEN(A417)))),1))," ",REPT(" ",LEN(A417))),LEN(A417)))), LARGE(INDEX(ISNUMBER(--MID((--TRIM(RIGHT(SUBSTITUTE(LEFT(A417,_xlfn.AGGREGATE(16,6,FIND({0,1,2,3,4,5,6,7,8,9},A417,ROW(INDIRECT("1:"&amp;LEN(A417)))),1))," ",REPT(" ",LEN(A417))),LEN(A417)))), ROW(INDIRECT("1:"&amp;LEN((--TRIM(RIGHT(SUBSTITUTE(LEFT(A417,_xlfn.AGGREGATE(16,6,FIND({0,1,2,3,4,5,6,7,8,9},A417,ROW(INDIRECT("1:"&amp;LEN(A417)))),1))," ",REPT(" ",LEN(A417))),LEN(A417))))))), 1)) * ROW(INDIRECT("1:"&amp;LEN((--TRIM(RIGHT(SUBSTITUTE(LEFT(A417,_xlfn.AGGREGATE(16,6,FIND({0,1,2,3,4,5,6,7,8,9},A417,ROW(INDIRECT("1:"&amp;LEN(A417)))),1))," ",REPT(" ",LEN(A417))),LEN(A417))))))), 0), ROW(INDIRECT("1:"&amp;LEN((--TRIM(RIGHT(SUBSTITUTE(LEFT(A417,_xlfn.AGGREGATE(16,6,FIND({0,1,2,3,4,5,6,7,8,9},A417,ROW(INDIRECT("1:"&amp;LEN(A417)))),1))," ",REPT(" ",LEN(A417))),LEN(A417))))))))+1, 1) * 10^ROW(INDIRECT("1:"&amp;LEN((--TRIM(RIGHT(SUBSTITUTE(LEFT(A417,_xlfn.AGGREGATE(16,6,FIND({0,1,2,3,4,5,6,7,8,9},A417,ROW(INDIRECT("1:"&amp;LEN(A417)))),1))," ",REPT(" ",LEN(A417))),LEN(A417)))))))/10))*100+1</f>
        <v>301</v>
      </c>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row>
    <row r="419" spans="1:150 16226:16383" s="3" customFormat="1" ht="20.25" customHeight="1" x14ac:dyDescent="0.25">
      <c r="A419" s="86">
        <v>2</v>
      </c>
      <c r="B419" s="86"/>
      <c r="C419" s="53" t="s">
        <v>337</v>
      </c>
      <c r="D419" s="53" t="s">
        <v>397</v>
      </c>
      <c r="E419" s="84">
        <f>(44.9)*10.764</f>
        <v>483.30359999999996</v>
      </c>
      <c r="F419" s="82">
        <v>0</v>
      </c>
      <c r="G419" s="82">
        <v>0</v>
      </c>
      <c r="H419" s="82">
        <f>E419+F419+(IF(G419&lt;101,G419,IF(G419&lt;201,G419/2,IF(G419&lt;=301,G419/3,G419/4))))</f>
        <v>483.30359999999996</v>
      </c>
      <c r="I419" s="1"/>
      <c r="J419" s="1"/>
      <c r="K419" s="1"/>
      <c r="L419" s="1"/>
      <c r="M419" s="1"/>
      <c r="N419" s="1"/>
      <c r="O419" s="1"/>
      <c r="P419" s="1"/>
      <c r="Q419" s="1"/>
      <c r="R419" s="1"/>
      <c r="S419" s="1"/>
      <c r="T419" s="23" t="str">
        <f t="shared" ref="T419:T425" ca="1" si="117">U419&amp;""&amp;" &amp; "&amp;""&amp;V419</f>
        <v>302 &amp; 302</v>
      </c>
      <c r="U419" s="23">
        <f ca="1">U418+1</f>
        <v>302</v>
      </c>
      <c r="V419" s="23">
        <f ca="1">V418+1</f>
        <v>302</v>
      </c>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row>
    <row r="420" spans="1:150 16226:16383" s="3" customFormat="1" ht="20.25" customHeight="1" x14ac:dyDescent="0.25">
      <c r="A420" s="86">
        <v>3</v>
      </c>
      <c r="B420" s="86"/>
      <c r="C420" s="53" t="s">
        <v>337</v>
      </c>
      <c r="D420" s="53" t="s">
        <v>397</v>
      </c>
      <c r="E420" s="84">
        <f>(60.55)*10.764</f>
        <v>651.76019999999994</v>
      </c>
      <c r="F420" s="82">
        <f>(2.32)*10.764</f>
        <v>24.972479999999997</v>
      </c>
      <c r="G420" s="82">
        <v>0</v>
      </c>
      <c r="H420" s="82">
        <f>E420+F420+(IF(G420&lt;101,G420,IF(G420&lt;201,G420/2,IF(G420&lt;=301,G420/3,G420/4))))</f>
        <v>676.73267999999996</v>
      </c>
      <c r="I420" s="1"/>
      <c r="J420" s="1"/>
      <c r="K420" s="1"/>
      <c r="L420" s="1"/>
      <c r="M420" s="1"/>
      <c r="N420" s="1"/>
      <c r="O420" s="1"/>
      <c r="P420" s="1"/>
      <c r="Q420" s="1"/>
      <c r="R420" s="1"/>
      <c r="S420" s="1"/>
      <c r="T420" s="23" t="str">
        <f t="shared" ca="1" si="117"/>
        <v>303 &amp; 303</v>
      </c>
      <c r="U420" s="23">
        <f t="shared" ref="U420:V425" ca="1" si="118">U419+1</f>
        <v>303</v>
      </c>
      <c r="V420" s="23">
        <f t="shared" ca="1" si="118"/>
        <v>303</v>
      </c>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row>
    <row r="421" spans="1:150 16226:16383" s="3" customFormat="1" ht="20.25" customHeight="1" x14ac:dyDescent="0.25">
      <c r="A421" s="86">
        <v>4</v>
      </c>
      <c r="B421" s="86"/>
      <c r="C421" s="53" t="s">
        <v>337</v>
      </c>
      <c r="D421" s="53" t="s">
        <v>397</v>
      </c>
      <c r="E421" s="84">
        <f>(60.55)*10.764</f>
        <v>651.76019999999994</v>
      </c>
      <c r="F421" s="82">
        <f>(2.32)*10.764</f>
        <v>24.972479999999997</v>
      </c>
      <c r="G421" s="82">
        <v>0</v>
      </c>
      <c r="H421" s="82">
        <f>E421+F421+(IF(G421&lt;101,G421,IF(G421&lt;201,G421/2,IF(G421&lt;=301,G421/3,G421/4))))</f>
        <v>676.73267999999996</v>
      </c>
      <c r="I421" s="1"/>
      <c r="J421" s="1"/>
      <c r="K421" s="1"/>
      <c r="L421" s="1"/>
      <c r="M421" s="1"/>
      <c r="N421" s="1"/>
      <c r="O421" s="1"/>
      <c r="P421" s="1"/>
      <c r="Q421" s="1"/>
      <c r="R421" s="1"/>
      <c r="S421" s="1"/>
      <c r="T421" s="23" t="str">
        <f t="shared" ca="1" si="117"/>
        <v>304 &amp; 304</v>
      </c>
      <c r="U421" s="23">
        <f t="shared" ca="1" si="118"/>
        <v>304</v>
      </c>
      <c r="V421" s="23">
        <f t="shared" ca="1" si="118"/>
        <v>304</v>
      </c>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row>
    <row r="422" spans="1:150 16226:16383" s="3" customFormat="1" ht="20.25" customHeight="1" x14ac:dyDescent="0.25">
      <c r="A422" s="86">
        <v>5</v>
      </c>
      <c r="B422" s="86"/>
      <c r="C422" s="53" t="s">
        <v>337</v>
      </c>
      <c r="D422" s="98" t="s">
        <v>408</v>
      </c>
      <c r="E422" s="99"/>
      <c r="F422" s="99"/>
      <c r="G422" s="99"/>
      <c r="H422" s="100"/>
      <c r="I422" s="1"/>
      <c r="J422" s="1"/>
      <c r="K422" s="1"/>
      <c r="L422" s="1"/>
      <c r="M422" s="1"/>
      <c r="N422" s="1"/>
      <c r="O422" s="1"/>
      <c r="P422" s="1"/>
      <c r="Q422" s="1"/>
      <c r="R422" s="1"/>
      <c r="S422" s="1"/>
      <c r="T422" s="23" t="str">
        <f t="shared" ca="1" si="117"/>
        <v>305 &amp; 305</v>
      </c>
      <c r="U422" s="23">
        <f t="shared" ca="1" si="118"/>
        <v>305</v>
      </c>
      <c r="V422" s="23">
        <f t="shared" ca="1" si="118"/>
        <v>305</v>
      </c>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row>
    <row r="423" spans="1:150 16226:16383" s="3" customFormat="1" ht="20.25" customHeight="1" x14ac:dyDescent="0.25">
      <c r="A423" s="86">
        <v>6</v>
      </c>
      <c r="B423" s="86"/>
      <c r="C423" s="53" t="s">
        <v>337</v>
      </c>
      <c r="D423" s="101"/>
      <c r="E423" s="102"/>
      <c r="F423" s="102"/>
      <c r="G423" s="102"/>
      <c r="H423" s="103"/>
      <c r="I423" s="1"/>
      <c r="J423" s="1"/>
      <c r="K423" s="1"/>
      <c r="L423" s="1"/>
      <c r="M423" s="1"/>
      <c r="N423" s="1"/>
      <c r="O423" s="1"/>
      <c r="P423" s="1"/>
      <c r="Q423" s="1"/>
      <c r="R423" s="1"/>
      <c r="S423" s="1"/>
      <c r="T423" s="23" t="str">
        <f t="shared" ca="1" si="117"/>
        <v>306 &amp; 306</v>
      </c>
      <c r="U423" s="23">
        <f t="shared" ca="1" si="118"/>
        <v>306</v>
      </c>
      <c r="V423" s="23">
        <f t="shared" ca="1" si="118"/>
        <v>306</v>
      </c>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row>
    <row r="424" spans="1:150 16226:16383" s="3" customFormat="1" ht="20.25" customHeight="1" x14ac:dyDescent="0.25">
      <c r="A424" s="86">
        <v>7</v>
      </c>
      <c r="B424" s="86"/>
      <c r="C424" s="53" t="s">
        <v>337</v>
      </c>
      <c r="D424" s="53" t="s">
        <v>397</v>
      </c>
      <c r="E424" s="84">
        <f>(60.55)*10.764</f>
        <v>651.76019999999994</v>
      </c>
      <c r="F424" s="82">
        <f>(2.32)*10.764</f>
        <v>24.972479999999997</v>
      </c>
      <c r="G424" s="82">
        <v>0</v>
      </c>
      <c r="H424" s="82">
        <f t="shared" ref="H424:H425" si="119">E424+F424+(IF(G424&lt;101,G424,IF(G424&lt;201,G424/2,IF(G424&lt;=301,G424/3,G424/4))))</f>
        <v>676.73267999999996</v>
      </c>
      <c r="I424" s="1"/>
      <c r="J424" s="1"/>
      <c r="K424" s="1"/>
      <c r="L424" s="1"/>
      <c r="M424" s="1"/>
      <c r="N424" s="1"/>
      <c r="O424" s="1"/>
      <c r="P424" s="1"/>
      <c r="Q424" s="1"/>
      <c r="R424" s="1"/>
      <c r="S424" s="1"/>
      <c r="T424" s="23" t="str">
        <f t="shared" ca="1" si="117"/>
        <v>307 &amp; 307</v>
      </c>
      <c r="U424" s="23">
        <f t="shared" ca="1" si="118"/>
        <v>307</v>
      </c>
      <c r="V424" s="23">
        <f t="shared" ca="1" si="118"/>
        <v>307</v>
      </c>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row>
    <row r="425" spans="1:150 16226:16383" s="3" customFormat="1" ht="20.25" customHeight="1" x14ac:dyDescent="0.25">
      <c r="A425" s="86">
        <v>8</v>
      </c>
      <c r="B425" s="86"/>
      <c r="C425" s="53" t="s">
        <v>337</v>
      </c>
      <c r="D425" s="53" t="s">
        <v>397</v>
      </c>
      <c r="E425" s="84">
        <f>(60.55)*10.764</f>
        <v>651.76019999999994</v>
      </c>
      <c r="F425" s="82">
        <f>(2.32)*10.764</f>
        <v>24.972479999999997</v>
      </c>
      <c r="G425" s="82">
        <v>0</v>
      </c>
      <c r="H425" s="82">
        <f t="shared" si="119"/>
        <v>676.73267999999996</v>
      </c>
      <c r="I425" s="1"/>
      <c r="J425" s="1"/>
      <c r="K425" s="1"/>
      <c r="L425" s="1"/>
      <c r="M425" s="1"/>
      <c r="N425" s="1"/>
      <c r="O425" s="1"/>
      <c r="P425" s="1"/>
      <c r="Q425" s="1"/>
      <c r="R425" s="1"/>
      <c r="S425" s="1"/>
      <c r="T425" s="23" t="str">
        <f t="shared" ca="1" si="117"/>
        <v>308 &amp; 308</v>
      </c>
      <c r="U425" s="23">
        <f t="shared" ca="1" si="118"/>
        <v>308</v>
      </c>
      <c r="V425" s="23">
        <f t="shared" ca="1" si="118"/>
        <v>308</v>
      </c>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row>
    <row r="426" spans="1:150 16226:16383" s="3" customFormat="1" ht="20.25" x14ac:dyDescent="0.25">
      <c r="A426" s="89" t="s">
        <v>339</v>
      </c>
      <c r="B426" s="90"/>
      <c r="C426" s="90"/>
      <c r="D426" s="90"/>
      <c r="E426" s="90"/>
      <c r="F426" s="90"/>
      <c r="G426" s="90"/>
      <c r="H426" s="91"/>
      <c r="I426" s="77">
        <v>1</v>
      </c>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row>
    <row r="427" spans="1:150 16226:16383" s="3" customFormat="1" ht="20.25" customHeight="1" x14ac:dyDescent="0.25">
      <c r="A427" s="86">
        <v>1</v>
      </c>
      <c r="B427" s="86"/>
      <c r="C427" s="53" t="s">
        <v>337</v>
      </c>
      <c r="D427" s="53" t="s">
        <v>397</v>
      </c>
      <c r="E427" s="84">
        <f>(44.9)*10.764</f>
        <v>483.30359999999996</v>
      </c>
      <c r="F427" s="82">
        <v>0</v>
      </c>
      <c r="G427" s="82">
        <v>0</v>
      </c>
      <c r="H427" s="82">
        <f>E427+F427+(IF(G427&lt;101,G427,IF(G427&lt;201,G427/2,IF(G427&lt;=301,G427/3,G427/4))))</f>
        <v>483.30359999999996</v>
      </c>
      <c r="I427" s="1"/>
      <c r="J427" s="1"/>
      <c r="K427" s="1"/>
      <c r="L427" s="1"/>
      <c r="M427" s="1"/>
      <c r="N427" s="1"/>
      <c r="O427" s="1"/>
      <c r="P427" s="1"/>
      <c r="Q427" s="1"/>
      <c r="R427" s="1"/>
      <c r="S427" s="1"/>
      <c r="T427" s="23" t="e">
        <f ca="1">U427&amp;""&amp;" &amp; "&amp;""&amp;V427</f>
        <v>#REF!</v>
      </c>
      <c r="U427" s="23" t="e">
        <f ca="1">(SUMPRODUCT(MID(0&amp;(LEFT(A426,SUM(LEN(A426)-LEN(SUBSTITUTE(A426,{"0","1","2","3"},""))))), LARGE(INDEX(ISNUMBER(--MID((LEFT(A426,SUM(LEN(A426)-LEN(SUBSTITUTE(A426,{"0","1","2","3"},""))))), ROW(INDIRECT("1:"&amp;LEN((LEFT(A426,SUM(LEN(A426)-LEN(SUBSTITUTE(A426,{"0","1","2","3"},"")))))))), 1)) * ROW(INDIRECT("1:"&amp;LEN((LEFT(A426,SUM(LEN(A426)-LEN(SUBSTITUTE(A426,{"0","1","2","3"},"")))))))), 0), ROW(INDIRECT("1:"&amp;LEN((LEFT(A426,SUM(LEN(A426)-LEN(SUBSTITUTE(A426,{"0","1","2","3"},"")))))))))+1, 1) * 10^ROW(INDIRECT("1:"&amp;LEN((LEFT(A426,SUM(LEN(A426)-LEN(SUBSTITUTE(A426,{"0","1","2","3"},""))))))))/10))*100+1</f>
        <v>#REF!</v>
      </c>
      <c r="V427" s="23">
        <f ca="1">(SUMPRODUCT(MID(0&amp;(--TRIM(RIGHT(SUBSTITUTE(LEFT(A426,_xlfn.AGGREGATE(16,6,FIND({0,1,2,3,4,5,6,7,8,9},A426,ROW(INDIRECT("1:"&amp;LEN(A426)))),1))," ",REPT(" ",LEN(A426))),LEN(A426)))), LARGE(INDEX(ISNUMBER(--MID((--TRIM(RIGHT(SUBSTITUTE(LEFT(A426,_xlfn.AGGREGATE(16,6,FIND({0,1,2,3,4,5,6,7,8,9},A426,ROW(INDIRECT("1:"&amp;LEN(A426)))),1))," ",REPT(" ",LEN(A426))),LEN(A426)))), ROW(INDIRECT("1:"&amp;LEN((--TRIM(RIGHT(SUBSTITUTE(LEFT(A426,_xlfn.AGGREGATE(16,6,FIND({0,1,2,3,4,5,6,7,8,9},A426,ROW(INDIRECT("1:"&amp;LEN(A426)))),1))," ",REPT(" ",LEN(A426))),LEN(A426))))))), 1)) * ROW(INDIRECT("1:"&amp;LEN((--TRIM(RIGHT(SUBSTITUTE(LEFT(A426,_xlfn.AGGREGATE(16,6,FIND({0,1,2,3,4,5,6,7,8,9},A426,ROW(INDIRECT("1:"&amp;LEN(A426)))),1))," ",REPT(" ",LEN(A426))),LEN(A426))))))), 0), ROW(INDIRECT("1:"&amp;LEN((--TRIM(RIGHT(SUBSTITUTE(LEFT(A426,_xlfn.AGGREGATE(16,6,FIND({0,1,2,3,4,5,6,7,8,9},A426,ROW(INDIRECT("1:"&amp;LEN(A426)))),1))," ",REPT(" ",LEN(A426))),LEN(A426))))))))+1, 1) * 10^ROW(INDIRECT("1:"&amp;LEN((--TRIM(RIGHT(SUBSTITUTE(LEFT(A426,_xlfn.AGGREGATE(16,6,FIND({0,1,2,3,4,5,6,7,8,9},A426,ROW(INDIRECT("1:"&amp;LEN(A426)))),1))," ",REPT(" ",LEN(A426))),LEN(A426)))))))/10))*100+1</f>
        <v>401</v>
      </c>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row>
    <row r="428" spans="1:150 16226:16383" s="3" customFormat="1" ht="20.25" customHeight="1" x14ac:dyDescent="0.25">
      <c r="A428" s="86">
        <v>2</v>
      </c>
      <c r="B428" s="86"/>
      <c r="C428" s="53" t="s">
        <v>337</v>
      </c>
      <c r="D428" s="53" t="s">
        <v>397</v>
      </c>
      <c r="E428" s="84">
        <f>(44.9)*10.764</f>
        <v>483.30359999999996</v>
      </c>
      <c r="F428" s="82">
        <v>0</v>
      </c>
      <c r="G428" s="82">
        <v>0</v>
      </c>
      <c r="H428" s="82">
        <f t="shared" ref="H428:H434" si="120">E428+F428+(IF(G428&lt;101,G428,IF(G428&lt;201,G428/2,IF(G428&lt;=301,G428/3,G428/4))))</f>
        <v>483.30359999999996</v>
      </c>
      <c r="I428" s="1"/>
      <c r="J428" s="1"/>
      <c r="K428" s="1"/>
      <c r="L428" s="1"/>
      <c r="M428" s="1"/>
      <c r="N428" s="1"/>
      <c r="O428" s="1"/>
      <c r="P428" s="1"/>
      <c r="Q428" s="1"/>
      <c r="R428" s="1"/>
      <c r="S428" s="1"/>
      <c r="T428" s="23" t="e">
        <f t="shared" ref="T428:T434" ca="1" si="121">U428&amp;""&amp;" &amp; "&amp;""&amp;V428</f>
        <v>#REF!</v>
      </c>
      <c r="U428" s="23" t="e">
        <f ca="1">U427+1</f>
        <v>#REF!</v>
      </c>
      <c r="V428" s="23">
        <f ca="1">V427+1</f>
        <v>402</v>
      </c>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row>
    <row r="429" spans="1:150 16226:16383" s="3" customFormat="1" ht="20.25" customHeight="1" x14ac:dyDescent="0.25">
      <c r="A429" s="86">
        <v>3</v>
      </c>
      <c r="B429" s="86"/>
      <c r="C429" s="53" t="s">
        <v>337</v>
      </c>
      <c r="D429" s="53" t="s">
        <v>397</v>
      </c>
      <c r="E429" s="84">
        <f>(60.55)*10.764</f>
        <v>651.76019999999994</v>
      </c>
      <c r="F429" s="82">
        <f>(2.32)*10.764</f>
        <v>24.972479999999997</v>
      </c>
      <c r="G429" s="82">
        <v>0</v>
      </c>
      <c r="H429" s="82">
        <f t="shared" si="120"/>
        <v>676.73267999999996</v>
      </c>
      <c r="I429" s="1"/>
      <c r="J429" s="1"/>
      <c r="K429" s="1"/>
      <c r="L429" s="1"/>
      <c r="M429" s="1"/>
      <c r="N429" s="1"/>
      <c r="O429" s="1"/>
      <c r="P429" s="1"/>
      <c r="Q429" s="1"/>
      <c r="R429" s="1"/>
      <c r="S429" s="1"/>
      <c r="T429" s="23" t="e">
        <f t="shared" ca="1" si="121"/>
        <v>#REF!</v>
      </c>
      <c r="U429" s="23" t="e">
        <f t="shared" ref="U429:V434" ca="1" si="122">U428+1</f>
        <v>#REF!</v>
      </c>
      <c r="V429" s="23">
        <f t="shared" ca="1" si="122"/>
        <v>403</v>
      </c>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row>
    <row r="430" spans="1:150 16226:16383" s="3" customFormat="1" ht="20.25" customHeight="1" x14ac:dyDescent="0.25">
      <c r="A430" s="86">
        <v>4</v>
      </c>
      <c r="B430" s="86"/>
      <c r="C430" s="53" t="s">
        <v>337</v>
      </c>
      <c r="D430" s="53" t="s">
        <v>397</v>
      </c>
      <c r="E430" s="84">
        <f>(60.55)*10.764</f>
        <v>651.76019999999994</v>
      </c>
      <c r="F430" s="82">
        <f>(2.32)*10.764</f>
        <v>24.972479999999997</v>
      </c>
      <c r="G430" s="82">
        <v>0</v>
      </c>
      <c r="H430" s="82">
        <f t="shared" si="120"/>
        <v>676.73267999999996</v>
      </c>
      <c r="I430" s="1"/>
      <c r="J430" s="1"/>
      <c r="K430" s="1"/>
      <c r="L430" s="1"/>
      <c r="M430" s="1"/>
      <c r="N430" s="1"/>
      <c r="O430" s="1"/>
      <c r="P430" s="1"/>
      <c r="Q430" s="1"/>
      <c r="R430" s="1"/>
      <c r="S430" s="1"/>
      <c r="T430" s="23" t="e">
        <f t="shared" ca="1" si="121"/>
        <v>#REF!</v>
      </c>
      <c r="U430" s="23" t="e">
        <f t="shared" ca="1" si="122"/>
        <v>#REF!</v>
      </c>
      <c r="V430" s="23">
        <f t="shared" ca="1" si="122"/>
        <v>404</v>
      </c>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row>
    <row r="431" spans="1:150 16226:16383" s="3" customFormat="1" ht="20.25" customHeight="1" x14ac:dyDescent="0.25">
      <c r="A431" s="86">
        <v>5</v>
      </c>
      <c r="B431" s="86"/>
      <c r="C431" s="53" t="s">
        <v>337</v>
      </c>
      <c r="D431" s="98" t="s">
        <v>409</v>
      </c>
      <c r="E431" s="99"/>
      <c r="F431" s="99"/>
      <c r="G431" s="99"/>
      <c r="H431" s="100"/>
      <c r="I431" s="1"/>
      <c r="J431" s="1"/>
      <c r="K431" s="1"/>
      <c r="L431" s="1"/>
      <c r="M431" s="1"/>
      <c r="N431" s="1"/>
      <c r="O431" s="1"/>
      <c r="P431" s="1"/>
      <c r="Q431" s="1"/>
      <c r="R431" s="1"/>
      <c r="S431" s="1"/>
      <c r="T431" s="23" t="e">
        <f t="shared" ca="1" si="121"/>
        <v>#REF!</v>
      </c>
      <c r="U431" s="23" t="e">
        <f t="shared" ca="1" si="122"/>
        <v>#REF!</v>
      </c>
      <c r="V431" s="23">
        <f t="shared" ca="1" si="122"/>
        <v>405</v>
      </c>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row>
    <row r="432" spans="1:150 16226:16383" s="3" customFormat="1" ht="20.25" customHeight="1" x14ac:dyDescent="0.25">
      <c r="A432" s="86">
        <v>6</v>
      </c>
      <c r="B432" s="86"/>
      <c r="C432" s="53" t="s">
        <v>337</v>
      </c>
      <c r="D432" s="101"/>
      <c r="E432" s="102"/>
      <c r="F432" s="102"/>
      <c r="G432" s="102"/>
      <c r="H432" s="103"/>
      <c r="I432" s="1"/>
      <c r="J432" s="1"/>
      <c r="K432" s="1"/>
      <c r="L432" s="1"/>
      <c r="M432" s="1"/>
      <c r="N432" s="1"/>
      <c r="O432" s="1"/>
      <c r="P432" s="1"/>
      <c r="Q432" s="1"/>
      <c r="R432" s="1"/>
      <c r="S432" s="1"/>
      <c r="T432" s="23" t="e">
        <f t="shared" ca="1" si="121"/>
        <v>#REF!</v>
      </c>
      <c r="U432" s="23" t="e">
        <f t="shared" ca="1" si="122"/>
        <v>#REF!</v>
      </c>
      <c r="V432" s="23">
        <f t="shared" ca="1" si="122"/>
        <v>406</v>
      </c>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row>
    <row r="433" spans="1:150 16226:16383" s="3" customFormat="1" ht="20.25" customHeight="1" x14ac:dyDescent="0.25">
      <c r="A433" s="86">
        <v>7</v>
      </c>
      <c r="B433" s="86"/>
      <c r="C433" s="53" t="s">
        <v>337</v>
      </c>
      <c r="D433" s="53" t="s">
        <v>397</v>
      </c>
      <c r="E433" s="84">
        <f>(60.55)*10.764</f>
        <v>651.76019999999994</v>
      </c>
      <c r="F433" s="82">
        <f>(2.32)*10.764</f>
        <v>24.972479999999997</v>
      </c>
      <c r="G433" s="82">
        <v>0</v>
      </c>
      <c r="H433" s="82">
        <f t="shared" si="120"/>
        <v>676.73267999999996</v>
      </c>
      <c r="I433" s="1"/>
      <c r="J433" s="1"/>
      <c r="K433" s="1"/>
      <c r="L433" s="1"/>
      <c r="M433" s="1"/>
      <c r="N433" s="1"/>
      <c r="O433" s="1"/>
      <c r="P433" s="1"/>
      <c r="Q433" s="1"/>
      <c r="R433" s="1"/>
      <c r="S433" s="1"/>
      <c r="T433" s="23" t="e">
        <f t="shared" ca="1" si="121"/>
        <v>#REF!</v>
      </c>
      <c r="U433" s="23" t="e">
        <f t="shared" ca="1" si="122"/>
        <v>#REF!</v>
      </c>
      <c r="V433" s="23">
        <f t="shared" ca="1" si="122"/>
        <v>407</v>
      </c>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row>
    <row r="434" spans="1:150 16226:16383" s="3" customFormat="1" ht="20.25" customHeight="1" x14ac:dyDescent="0.25">
      <c r="A434" s="86">
        <v>8</v>
      </c>
      <c r="B434" s="86"/>
      <c r="C434" s="53" t="s">
        <v>337</v>
      </c>
      <c r="D434" s="53" t="s">
        <v>397</v>
      </c>
      <c r="E434" s="84">
        <f>(60.55)*10.764</f>
        <v>651.76019999999994</v>
      </c>
      <c r="F434" s="82">
        <f>(2.32)*10.764</f>
        <v>24.972479999999997</v>
      </c>
      <c r="G434" s="82">
        <v>0</v>
      </c>
      <c r="H434" s="82">
        <f t="shared" si="120"/>
        <v>676.73267999999996</v>
      </c>
      <c r="I434" s="1"/>
      <c r="J434" s="1"/>
      <c r="K434" s="1"/>
      <c r="L434" s="1"/>
      <c r="M434" s="1"/>
      <c r="N434" s="1"/>
      <c r="O434" s="1"/>
      <c r="P434" s="1"/>
      <c r="Q434" s="1"/>
      <c r="R434" s="1"/>
      <c r="S434" s="1"/>
      <c r="T434" s="23" t="e">
        <f t="shared" ca="1" si="121"/>
        <v>#REF!</v>
      </c>
      <c r="U434" s="23" t="e">
        <f t="shared" ca="1" si="122"/>
        <v>#REF!</v>
      </c>
      <c r="V434" s="23">
        <f t="shared" ca="1" si="122"/>
        <v>408</v>
      </c>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row>
    <row r="435" spans="1:150 16226:16383" s="3" customFormat="1" ht="42.75" customHeight="1" x14ac:dyDescent="0.25">
      <c r="A435" s="89" t="s">
        <v>402</v>
      </c>
      <c r="B435" s="90"/>
      <c r="C435" s="90"/>
      <c r="D435" s="90"/>
      <c r="E435" s="90"/>
      <c r="F435" s="90"/>
      <c r="G435" s="90"/>
      <c r="H435" s="91"/>
      <c r="I435" s="77">
        <f>35</f>
        <v>35</v>
      </c>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row>
    <row r="436" spans="1:150 16226:16383" s="3" customFormat="1" ht="20.25" customHeight="1" x14ac:dyDescent="0.25">
      <c r="A436" s="86">
        <v>1</v>
      </c>
      <c r="B436" s="86"/>
      <c r="C436" s="53" t="s">
        <v>337</v>
      </c>
      <c r="D436" s="82" t="s">
        <v>397</v>
      </c>
      <c r="E436" s="82">
        <f>(44.9)*10.764</f>
        <v>483.30359999999996</v>
      </c>
      <c r="F436" s="82">
        <v>0</v>
      </c>
      <c r="G436" s="82">
        <v>0</v>
      </c>
      <c r="H436" s="82">
        <f t="shared" ref="H436:H443" si="123">E436+F436+(IF(G436&lt;101,G436,IF(G436&lt;201,G436/2,IF(G436&lt;=301,G436/3,G436/4))))</f>
        <v>483.30359999999996</v>
      </c>
      <c r="I436" s="1"/>
      <c r="J436" s="1"/>
      <c r="K436" s="1"/>
      <c r="L436" s="1"/>
      <c r="M436" s="1"/>
      <c r="N436" s="1"/>
      <c r="O436" s="1"/>
      <c r="P436" s="1"/>
      <c r="Q436" s="1"/>
      <c r="R436" s="1"/>
      <c r="S436" s="1"/>
      <c r="T436" s="23" t="str">
        <f ca="1">U436&amp;""&amp;" &amp; "&amp;""&amp;V436</f>
        <v>5681101 &amp; 4701</v>
      </c>
      <c r="U436" s="23">
        <f ca="1">(SUMPRODUCT(MID(0&amp;(LEFT(A435,SUM(LEN(A435)-LEN(SUBSTITUTE(A435,{"0","1","2","3"},""))))), LARGE(INDEX(ISNUMBER(--MID((LEFT(A435,SUM(LEN(A435)-LEN(SUBSTITUTE(A435,{"0","1","2","3"},""))))), ROW(INDIRECT("1:"&amp;LEN((LEFT(A435,SUM(LEN(A435)-LEN(SUBSTITUTE(A435,{"0","1","2","3"},"")))))))), 1)) * ROW(INDIRECT("1:"&amp;LEN((LEFT(A435,SUM(LEN(A435)-LEN(SUBSTITUTE(A435,{"0","1","2","3"},"")))))))), 0), ROW(INDIRECT("1:"&amp;LEN((LEFT(A435,SUM(LEN(A435)-LEN(SUBSTITUTE(A435,{"0","1","2","3"},"")))))))))+1, 1) * 10^ROW(INDIRECT("1:"&amp;LEN((LEFT(A435,SUM(LEN(A435)-LEN(SUBSTITUTE(A435,{"0","1","2","3"},""))))))))/10))*100+1</f>
        <v>5681101</v>
      </c>
      <c r="V436" s="23">
        <f ca="1">(SUMPRODUCT(MID(0&amp;(--TRIM(RIGHT(SUBSTITUTE(LEFT(A435,_xlfn.AGGREGATE(16,6,FIND({0,1,2,3,4,5,6,7,8,9},A435,ROW(INDIRECT("1:"&amp;LEN(A435)))),1))," ",REPT(" ",LEN(A435))),LEN(A435)))), LARGE(INDEX(ISNUMBER(--MID((--TRIM(RIGHT(SUBSTITUTE(LEFT(A435,_xlfn.AGGREGATE(16,6,FIND({0,1,2,3,4,5,6,7,8,9},A435,ROW(INDIRECT("1:"&amp;LEN(A435)))),1))," ",REPT(" ",LEN(A435))),LEN(A435)))), ROW(INDIRECT("1:"&amp;LEN((--TRIM(RIGHT(SUBSTITUTE(LEFT(A435,_xlfn.AGGREGATE(16,6,FIND({0,1,2,3,4,5,6,7,8,9},A435,ROW(INDIRECT("1:"&amp;LEN(A435)))),1))," ",REPT(" ",LEN(A435))),LEN(A435))))))), 1)) * ROW(INDIRECT("1:"&amp;LEN((--TRIM(RIGHT(SUBSTITUTE(LEFT(A435,_xlfn.AGGREGATE(16,6,FIND({0,1,2,3,4,5,6,7,8,9},A435,ROW(INDIRECT("1:"&amp;LEN(A435)))),1))," ",REPT(" ",LEN(A435))),LEN(A435))))))), 0), ROW(INDIRECT("1:"&amp;LEN((--TRIM(RIGHT(SUBSTITUTE(LEFT(A435,_xlfn.AGGREGATE(16,6,FIND({0,1,2,3,4,5,6,7,8,9},A435,ROW(INDIRECT("1:"&amp;LEN(A435)))),1))," ",REPT(" ",LEN(A435))),LEN(A435))))))))+1, 1) * 10^ROW(INDIRECT("1:"&amp;LEN((--TRIM(RIGHT(SUBSTITUTE(LEFT(A435,_xlfn.AGGREGATE(16,6,FIND({0,1,2,3,4,5,6,7,8,9},A435,ROW(INDIRECT("1:"&amp;LEN(A435)))),1))," ",REPT(" ",LEN(A435))),LEN(A435)))))))/10))*100+1</f>
        <v>4701</v>
      </c>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row>
    <row r="437" spans="1:150 16226:16383" s="3" customFormat="1" ht="20.25" customHeight="1" x14ac:dyDescent="0.25">
      <c r="A437" s="86">
        <v>2</v>
      </c>
      <c r="B437" s="86"/>
      <c r="C437" s="53" t="s">
        <v>337</v>
      </c>
      <c r="D437" s="82" t="s">
        <v>397</v>
      </c>
      <c r="E437" s="82">
        <f>(44.9)*10.764</f>
        <v>483.30359999999996</v>
      </c>
      <c r="F437" s="82">
        <v>0</v>
      </c>
      <c r="G437" s="82">
        <v>0</v>
      </c>
      <c r="H437" s="82">
        <f t="shared" si="123"/>
        <v>483.30359999999996</v>
      </c>
      <c r="I437" s="1"/>
      <c r="J437" s="1"/>
      <c r="K437" s="1"/>
      <c r="L437" s="1"/>
      <c r="M437" s="1"/>
      <c r="N437" s="1"/>
      <c r="O437" s="1"/>
      <c r="P437" s="1"/>
      <c r="Q437" s="1"/>
      <c r="R437" s="1"/>
      <c r="S437" s="1"/>
      <c r="T437" s="23" t="str">
        <f t="shared" ref="T437:T443" ca="1" si="124">U437&amp;""&amp;" &amp; "&amp;""&amp;V437</f>
        <v>5681102 &amp; 4702</v>
      </c>
      <c r="U437" s="23">
        <f ca="1">U436+1</f>
        <v>5681102</v>
      </c>
      <c r="V437" s="23">
        <f ca="1">V436+1</f>
        <v>4702</v>
      </c>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row>
    <row r="438" spans="1:150 16226:16383" s="3" customFormat="1" ht="20.25" customHeight="1" x14ac:dyDescent="0.25">
      <c r="A438" s="86">
        <v>3</v>
      </c>
      <c r="B438" s="86"/>
      <c r="C438" s="53" t="s">
        <v>337</v>
      </c>
      <c r="D438" s="82" t="s">
        <v>397</v>
      </c>
      <c r="E438" s="82">
        <f>(60.55)*10.764</f>
        <v>651.76019999999994</v>
      </c>
      <c r="F438" s="82">
        <f>(2.32)*10.764</f>
        <v>24.972479999999997</v>
      </c>
      <c r="G438" s="82">
        <v>0</v>
      </c>
      <c r="H438" s="82">
        <f t="shared" si="123"/>
        <v>676.73267999999996</v>
      </c>
      <c r="I438" s="1"/>
      <c r="J438" s="1"/>
      <c r="K438" s="1"/>
      <c r="L438" s="1"/>
      <c r="M438" s="1"/>
      <c r="N438" s="1"/>
      <c r="O438" s="1"/>
      <c r="P438" s="1"/>
      <c r="Q438" s="1"/>
      <c r="R438" s="1"/>
      <c r="S438" s="1"/>
      <c r="T438" s="23" t="str">
        <f t="shared" ca="1" si="124"/>
        <v>5681103 &amp; 4703</v>
      </c>
      <c r="U438" s="23">
        <f t="shared" ref="U438:V443" ca="1" si="125">U437+1</f>
        <v>5681103</v>
      </c>
      <c r="V438" s="23">
        <f t="shared" ca="1" si="125"/>
        <v>4703</v>
      </c>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row>
    <row r="439" spans="1:150 16226:16383" s="3" customFormat="1" ht="20.25" customHeight="1" x14ac:dyDescent="0.25">
      <c r="A439" s="86">
        <v>4</v>
      </c>
      <c r="B439" s="86"/>
      <c r="C439" s="53" t="s">
        <v>337</v>
      </c>
      <c r="D439" s="82" t="s">
        <v>397</v>
      </c>
      <c r="E439" s="82">
        <f>(60.55)*10.764</f>
        <v>651.76019999999994</v>
      </c>
      <c r="F439" s="82">
        <f>(2.32)*10.764</f>
        <v>24.972479999999997</v>
      </c>
      <c r="G439" s="82">
        <v>0</v>
      </c>
      <c r="H439" s="82">
        <f t="shared" si="123"/>
        <v>676.73267999999996</v>
      </c>
      <c r="I439" s="1"/>
      <c r="J439" s="1"/>
      <c r="K439" s="1"/>
      <c r="L439" s="1"/>
      <c r="M439" s="1"/>
      <c r="N439" s="1"/>
      <c r="O439" s="1"/>
      <c r="P439" s="1"/>
      <c r="Q439" s="1"/>
      <c r="R439" s="1"/>
      <c r="S439" s="1"/>
      <c r="T439" s="23" t="str">
        <f t="shared" ca="1" si="124"/>
        <v>5681104 &amp; 4704</v>
      </c>
      <c r="U439" s="23">
        <f t="shared" ca="1" si="125"/>
        <v>5681104</v>
      </c>
      <c r="V439" s="23">
        <f t="shared" ca="1" si="125"/>
        <v>4704</v>
      </c>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row>
    <row r="440" spans="1:150 16226:16383" s="3" customFormat="1" ht="20.25" customHeight="1" x14ac:dyDescent="0.25">
      <c r="A440" s="86">
        <v>5</v>
      </c>
      <c r="B440" s="86"/>
      <c r="C440" s="53" t="s">
        <v>337</v>
      </c>
      <c r="D440" s="82" t="s">
        <v>397</v>
      </c>
      <c r="E440" s="82">
        <f>(67.62)*10.764</f>
        <v>727.86167999999998</v>
      </c>
      <c r="F440" s="82">
        <f>(2.62)*10.764</f>
        <v>28.20168</v>
      </c>
      <c r="G440" s="82">
        <v>0</v>
      </c>
      <c r="H440" s="82">
        <f t="shared" si="123"/>
        <v>756.06335999999999</v>
      </c>
      <c r="I440" s="1"/>
      <c r="J440" s="1"/>
      <c r="K440" s="1"/>
      <c r="L440" s="1"/>
      <c r="M440" s="1"/>
      <c r="N440" s="1"/>
      <c r="O440" s="1"/>
      <c r="P440" s="1"/>
      <c r="Q440" s="1"/>
      <c r="R440" s="1"/>
      <c r="S440" s="1"/>
      <c r="T440" s="23" t="str">
        <f t="shared" ca="1" si="124"/>
        <v>5681105 &amp; 4705</v>
      </c>
      <c r="U440" s="23">
        <f t="shared" ca="1" si="125"/>
        <v>5681105</v>
      </c>
      <c r="V440" s="23">
        <f t="shared" ca="1" si="125"/>
        <v>4705</v>
      </c>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row>
    <row r="441" spans="1:150 16226:16383" s="3" customFormat="1" ht="20.25" customHeight="1" x14ac:dyDescent="0.25">
      <c r="A441" s="86">
        <v>6</v>
      </c>
      <c r="B441" s="86"/>
      <c r="C441" s="53" t="s">
        <v>337</v>
      </c>
      <c r="D441" s="82" t="s">
        <v>397</v>
      </c>
      <c r="E441" s="82">
        <f>(67.62)*10.764</f>
        <v>727.86167999999998</v>
      </c>
      <c r="F441" s="82">
        <f>(2.62)*10.764</f>
        <v>28.20168</v>
      </c>
      <c r="G441" s="82">
        <v>0</v>
      </c>
      <c r="H441" s="82">
        <f t="shared" si="123"/>
        <v>756.06335999999999</v>
      </c>
      <c r="I441" s="1"/>
      <c r="J441" s="1"/>
      <c r="K441" s="1"/>
      <c r="L441" s="1"/>
      <c r="M441" s="1"/>
      <c r="N441" s="1"/>
      <c r="O441" s="1"/>
      <c r="P441" s="1"/>
      <c r="Q441" s="1"/>
      <c r="R441" s="1"/>
      <c r="S441" s="1"/>
      <c r="T441" s="23" t="str">
        <f t="shared" ca="1" si="124"/>
        <v>5681106 &amp; 4706</v>
      </c>
      <c r="U441" s="23">
        <f t="shared" ca="1" si="125"/>
        <v>5681106</v>
      </c>
      <c r="V441" s="23">
        <f t="shared" ca="1" si="125"/>
        <v>4706</v>
      </c>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row>
    <row r="442" spans="1:150 16226:16383" s="3" customFormat="1" ht="20.25" customHeight="1" x14ac:dyDescent="0.25">
      <c r="A442" s="86">
        <v>7</v>
      </c>
      <c r="B442" s="86"/>
      <c r="C442" s="53" t="s">
        <v>337</v>
      </c>
      <c r="D442" s="82" t="s">
        <v>397</v>
      </c>
      <c r="E442" s="82">
        <f>(60.55)*10.764</f>
        <v>651.76019999999994</v>
      </c>
      <c r="F442" s="82">
        <f>(2.32)*10.764</f>
        <v>24.972479999999997</v>
      </c>
      <c r="G442" s="82">
        <v>0</v>
      </c>
      <c r="H442" s="82">
        <f t="shared" si="123"/>
        <v>676.73267999999996</v>
      </c>
      <c r="I442" s="1"/>
      <c r="J442" s="1"/>
      <c r="K442" s="1"/>
      <c r="L442" s="1"/>
      <c r="M442" s="1"/>
      <c r="N442" s="1"/>
      <c r="O442" s="1"/>
      <c r="P442" s="1"/>
      <c r="Q442" s="1"/>
      <c r="R442" s="1"/>
      <c r="S442" s="1"/>
      <c r="T442" s="23" t="str">
        <f t="shared" ca="1" si="124"/>
        <v>5681107 &amp; 4707</v>
      </c>
      <c r="U442" s="23">
        <f t="shared" ca="1" si="125"/>
        <v>5681107</v>
      </c>
      <c r="V442" s="23">
        <f t="shared" ca="1" si="125"/>
        <v>4707</v>
      </c>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row>
    <row r="443" spans="1:150 16226:16383" s="3" customFormat="1" ht="20.25" customHeight="1" x14ac:dyDescent="0.25">
      <c r="A443" s="86">
        <v>8</v>
      </c>
      <c r="B443" s="86"/>
      <c r="C443" s="53" t="s">
        <v>337</v>
      </c>
      <c r="D443" s="82" t="s">
        <v>397</v>
      </c>
      <c r="E443" s="82">
        <f>(60.55)*10.764</f>
        <v>651.76019999999994</v>
      </c>
      <c r="F443" s="82">
        <f>(2.32)*10.764</f>
        <v>24.972479999999997</v>
      </c>
      <c r="G443" s="82">
        <v>0</v>
      </c>
      <c r="H443" s="82">
        <f t="shared" si="123"/>
        <v>676.73267999999996</v>
      </c>
      <c r="I443" s="1"/>
      <c r="J443" s="1"/>
      <c r="K443" s="1"/>
      <c r="L443" s="1"/>
      <c r="M443" s="1"/>
      <c r="N443" s="1"/>
      <c r="O443" s="1"/>
      <c r="P443" s="1"/>
      <c r="Q443" s="1"/>
      <c r="R443" s="1"/>
      <c r="S443" s="1"/>
      <c r="T443" s="23" t="str">
        <f t="shared" ca="1" si="124"/>
        <v>5681108 &amp; 4708</v>
      </c>
      <c r="U443" s="23">
        <f t="shared" ca="1" si="125"/>
        <v>5681108</v>
      </c>
      <c r="V443" s="23">
        <f t="shared" ca="1" si="125"/>
        <v>4708</v>
      </c>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row>
    <row r="444" spans="1:150 16226:16383" s="3" customFormat="1" ht="20.25" x14ac:dyDescent="0.25">
      <c r="A444" s="89" t="s">
        <v>410</v>
      </c>
      <c r="B444" s="90"/>
      <c r="C444" s="90"/>
      <c r="D444" s="90"/>
      <c r="E444" s="90"/>
      <c r="F444" s="90"/>
      <c r="G444" s="90"/>
      <c r="H444" s="91"/>
      <c r="I444" s="77">
        <f>8</f>
        <v>8</v>
      </c>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row>
    <row r="445" spans="1:150 16226:16383" s="3" customFormat="1" ht="20.25" customHeight="1" x14ac:dyDescent="0.25">
      <c r="A445" s="86">
        <v>1</v>
      </c>
      <c r="B445" s="86"/>
      <c r="C445" s="53" t="s">
        <v>337</v>
      </c>
      <c r="D445" s="95" t="s">
        <v>355</v>
      </c>
      <c r="E445" s="96"/>
      <c r="F445" s="96"/>
      <c r="G445" s="96"/>
      <c r="H445" s="97"/>
      <c r="I445" s="1"/>
      <c r="J445" s="1"/>
      <c r="K445" s="1"/>
      <c r="L445" s="1"/>
      <c r="M445" s="1"/>
      <c r="N445" s="1"/>
      <c r="O445" s="1"/>
      <c r="P445" s="1"/>
      <c r="Q445" s="1"/>
      <c r="R445" s="1"/>
      <c r="S445" s="1"/>
      <c r="T445" s="23" t="str">
        <f ca="1">U445&amp;""&amp;" &amp; "&amp;""&amp;V445</f>
        <v>71201 &amp; 4201</v>
      </c>
      <c r="U445" s="23">
        <f ca="1">(SUMPRODUCT(MID(0&amp;(LEFT(A444,SUM(LEN(A444)-LEN(SUBSTITUTE(A444,{"0","1","2","3"},""))))), LARGE(INDEX(ISNUMBER(--MID((LEFT(A444,SUM(LEN(A444)-LEN(SUBSTITUTE(A444,{"0","1","2","3"},""))))), ROW(INDIRECT("1:"&amp;LEN((LEFT(A444,SUM(LEN(A444)-LEN(SUBSTITUTE(A444,{"0","1","2","3"},"")))))))), 1)) * ROW(INDIRECT("1:"&amp;LEN((LEFT(A444,SUM(LEN(A444)-LEN(SUBSTITUTE(A444,{"0","1","2","3"},"")))))))), 0), ROW(INDIRECT("1:"&amp;LEN((LEFT(A444,SUM(LEN(A444)-LEN(SUBSTITUTE(A444,{"0","1","2","3"},"")))))))))+1, 1) * 10^ROW(INDIRECT("1:"&amp;LEN((LEFT(A444,SUM(LEN(A444)-LEN(SUBSTITUTE(A444,{"0","1","2","3"},""))))))))/10))*100+1</f>
        <v>71201</v>
      </c>
      <c r="V445" s="23">
        <f ca="1">(SUMPRODUCT(MID(0&amp;(--TRIM(RIGHT(SUBSTITUTE(LEFT(A444,_xlfn.AGGREGATE(16,6,FIND({0,1,2,3,4,5,6,7,8,9},A444,ROW(INDIRECT("1:"&amp;LEN(A444)))),1))," ",REPT(" ",LEN(A444))),LEN(A444)))), LARGE(INDEX(ISNUMBER(--MID((--TRIM(RIGHT(SUBSTITUTE(LEFT(A444,_xlfn.AGGREGATE(16,6,FIND({0,1,2,3,4,5,6,7,8,9},A444,ROW(INDIRECT("1:"&amp;LEN(A444)))),1))," ",REPT(" ",LEN(A444))),LEN(A444)))), ROW(INDIRECT("1:"&amp;LEN((--TRIM(RIGHT(SUBSTITUTE(LEFT(A444,_xlfn.AGGREGATE(16,6,FIND({0,1,2,3,4,5,6,7,8,9},A444,ROW(INDIRECT("1:"&amp;LEN(A444)))),1))," ",REPT(" ",LEN(A444))),LEN(A444))))))), 1)) * ROW(INDIRECT("1:"&amp;LEN((--TRIM(RIGHT(SUBSTITUTE(LEFT(A444,_xlfn.AGGREGATE(16,6,FIND({0,1,2,3,4,5,6,7,8,9},A444,ROW(INDIRECT("1:"&amp;LEN(A444)))),1))," ",REPT(" ",LEN(A444))),LEN(A444))))))), 0), ROW(INDIRECT("1:"&amp;LEN((--TRIM(RIGHT(SUBSTITUTE(LEFT(A444,_xlfn.AGGREGATE(16,6,FIND({0,1,2,3,4,5,6,7,8,9},A444,ROW(INDIRECT("1:"&amp;LEN(A444)))),1))," ",REPT(" ",LEN(A444))),LEN(A444))))))))+1, 1) * 10^ROW(INDIRECT("1:"&amp;LEN((--TRIM(RIGHT(SUBSTITUTE(LEFT(A444,_xlfn.AGGREGATE(16,6,FIND({0,1,2,3,4,5,6,7,8,9},A444,ROW(INDIRECT("1:"&amp;LEN(A444)))),1))," ",REPT(" ",LEN(A444))),LEN(A444)))))))/10))*100+1</f>
        <v>4201</v>
      </c>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row>
    <row r="446" spans="1:150 16226:16383" s="3" customFormat="1" ht="20.25" customHeight="1" x14ac:dyDescent="0.25">
      <c r="A446" s="86">
        <v>2</v>
      </c>
      <c r="B446" s="86"/>
      <c r="C446" s="53" t="s">
        <v>337</v>
      </c>
      <c r="D446" s="53" t="s">
        <v>345</v>
      </c>
      <c r="E446" s="84">
        <f>(66.26)*10.764</f>
        <v>713.22263999999996</v>
      </c>
      <c r="F446" s="82">
        <v>0</v>
      </c>
      <c r="G446" s="82">
        <v>0</v>
      </c>
      <c r="H446" s="82">
        <f t="shared" ref="H446:H452" si="126">E446+F446+(IF(G446&lt;101,G446,IF(G446&lt;201,G446/2,IF(G446&lt;=301,G446/3,G446/4))))</f>
        <v>713.22263999999996</v>
      </c>
      <c r="I446" s="1"/>
      <c r="J446" s="1"/>
      <c r="K446" s="1"/>
      <c r="L446" s="1"/>
      <c r="M446" s="1"/>
      <c r="N446" s="1"/>
      <c r="O446" s="1"/>
      <c r="P446" s="1"/>
      <c r="Q446" s="1"/>
      <c r="R446" s="1"/>
      <c r="S446" s="1"/>
      <c r="T446" s="23" t="str">
        <f t="shared" ref="T446:T452" ca="1" si="127">U446&amp;""&amp;" &amp; "&amp;""&amp;V446</f>
        <v>71202 &amp; 4202</v>
      </c>
      <c r="U446" s="23">
        <f ca="1">U445+1</f>
        <v>71202</v>
      </c>
      <c r="V446" s="23">
        <f ca="1">V445+1</f>
        <v>4202</v>
      </c>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row>
    <row r="447" spans="1:150 16226:16383" s="3" customFormat="1" ht="20.25" customHeight="1" x14ac:dyDescent="0.25">
      <c r="A447" s="86">
        <v>3</v>
      </c>
      <c r="B447" s="86"/>
      <c r="C447" s="53" t="s">
        <v>337</v>
      </c>
      <c r="D447" s="53" t="s">
        <v>397</v>
      </c>
      <c r="E447" s="84">
        <f>(60.55)*10.764</f>
        <v>651.76019999999994</v>
      </c>
      <c r="F447" s="82">
        <f>(2.32)*10.764</f>
        <v>24.972479999999997</v>
      </c>
      <c r="G447" s="82">
        <v>0</v>
      </c>
      <c r="H447" s="82">
        <f t="shared" si="126"/>
        <v>676.73267999999996</v>
      </c>
      <c r="I447" s="1"/>
      <c r="J447" s="1"/>
      <c r="K447" s="1"/>
      <c r="L447" s="1"/>
      <c r="M447" s="1"/>
      <c r="N447" s="1"/>
      <c r="O447" s="1"/>
      <c r="P447" s="1"/>
      <c r="Q447" s="1"/>
      <c r="R447" s="1"/>
      <c r="S447" s="1"/>
      <c r="T447" s="23" t="str">
        <f t="shared" ca="1" si="127"/>
        <v>71203 &amp; 4203</v>
      </c>
      <c r="U447" s="23">
        <f t="shared" ref="U447:V452" ca="1" si="128">U446+1</f>
        <v>71203</v>
      </c>
      <c r="V447" s="23">
        <f t="shared" ca="1" si="128"/>
        <v>4203</v>
      </c>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row>
    <row r="448" spans="1:150 16226:16383" s="3" customFormat="1" ht="20.25" customHeight="1" x14ac:dyDescent="0.25">
      <c r="A448" s="86">
        <v>4</v>
      </c>
      <c r="B448" s="86"/>
      <c r="C448" s="53" t="s">
        <v>337</v>
      </c>
      <c r="D448" s="53" t="s">
        <v>397</v>
      </c>
      <c r="E448" s="84">
        <f>(60.55)*10.764</f>
        <v>651.76019999999994</v>
      </c>
      <c r="F448" s="82">
        <f>(2.32)*10.764</f>
        <v>24.972479999999997</v>
      </c>
      <c r="G448" s="82">
        <v>0</v>
      </c>
      <c r="H448" s="82">
        <f t="shared" si="126"/>
        <v>676.73267999999996</v>
      </c>
      <c r="I448" s="1"/>
      <c r="J448" s="1"/>
      <c r="K448" s="1"/>
      <c r="L448" s="1"/>
      <c r="M448" s="1"/>
      <c r="N448" s="1"/>
      <c r="O448" s="1"/>
      <c r="P448" s="1"/>
      <c r="Q448" s="1"/>
      <c r="R448" s="1"/>
      <c r="S448" s="1"/>
      <c r="T448" s="23" t="str">
        <f t="shared" ca="1" si="127"/>
        <v>71204 &amp; 4204</v>
      </c>
      <c r="U448" s="23">
        <f t="shared" ca="1" si="128"/>
        <v>71204</v>
      </c>
      <c r="V448" s="23">
        <f t="shared" ca="1" si="128"/>
        <v>4204</v>
      </c>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row>
    <row r="449" spans="1:150 16226:16383" s="3" customFormat="1" ht="20.25" customHeight="1" x14ac:dyDescent="0.25">
      <c r="A449" s="86">
        <v>5</v>
      </c>
      <c r="B449" s="86"/>
      <c r="C449" s="53" t="s">
        <v>337</v>
      </c>
      <c r="D449" s="53" t="s">
        <v>397</v>
      </c>
      <c r="E449" s="84">
        <f>(67.62)*10.764</f>
        <v>727.86167999999998</v>
      </c>
      <c r="F449" s="82">
        <f>(2.62)*10.764</f>
        <v>28.20168</v>
      </c>
      <c r="G449" s="82">
        <v>0</v>
      </c>
      <c r="H449" s="82">
        <f t="shared" si="126"/>
        <v>756.06335999999999</v>
      </c>
      <c r="I449" s="1"/>
      <c r="J449" s="1"/>
      <c r="K449" s="1"/>
      <c r="L449" s="1"/>
      <c r="M449" s="1"/>
      <c r="N449" s="1"/>
      <c r="O449" s="1"/>
      <c r="P449" s="1"/>
      <c r="Q449" s="1"/>
      <c r="R449" s="1"/>
      <c r="S449" s="1"/>
      <c r="T449" s="23" t="str">
        <f t="shared" ca="1" si="127"/>
        <v>71205 &amp; 4205</v>
      </c>
      <c r="U449" s="23">
        <f t="shared" ca="1" si="128"/>
        <v>71205</v>
      </c>
      <c r="V449" s="23">
        <f t="shared" ca="1" si="128"/>
        <v>4205</v>
      </c>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row>
    <row r="450" spans="1:150 16226:16383" s="3" customFormat="1" ht="20.25" customHeight="1" x14ac:dyDescent="0.25">
      <c r="A450" s="86">
        <v>6</v>
      </c>
      <c r="B450" s="86"/>
      <c r="C450" s="53" t="s">
        <v>337</v>
      </c>
      <c r="D450" s="53" t="s">
        <v>397</v>
      </c>
      <c r="E450" s="84">
        <f>(67.62)*10.764</f>
        <v>727.86167999999998</v>
      </c>
      <c r="F450" s="82">
        <f>(2.62)*10.764</f>
        <v>28.20168</v>
      </c>
      <c r="G450" s="82">
        <v>0</v>
      </c>
      <c r="H450" s="82">
        <f t="shared" si="126"/>
        <v>756.06335999999999</v>
      </c>
      <c r="I450" s="1"/>
      <c r="J450" s="1"/>
      <c r="K450" s="1"/>
      <c r="L450" s="1"/>
      <c r="M450" s="1"/>
      <c r="N450" s="1"/>
      <c r="O450" s="1"/>
      <c r="P450" s="1"/>
      <c r="Q450" s="1"/>
      <c r="R450" s="1"/>
      <c r="S450" s="1"/>
      <c r="T450" s="23" t="str">
        <f t="shared" ca="1" si="127"/>
        <v>71206 &amp; 4206</v>
      </c>
      <c r="U450" s="23">
        <f t="shared" ca="1" si="128"/>
        <v>71206</v>
      </c>
      <c r="V450" s="23">
        <f t="shared" ca="1" si="128"/>
        <v>4206</v>
      </c>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row>
    <row r="451" spans="1:150 16226:16383" s="3" customFormat="1" ht="20.25" customHeight="1" x14ac:dyDescent="0.25">
      <c r="A451" s="86">
        <v>7</v>
      </c>
      <c r="B451" s="86"/>
      <c r="C451" s="53" t="s">
        <v>337</v>
      </c>
      <c r="D451" s="53" t="s">
        <v>397</v>
      </c>
      <c r="E451" s="84">
        <f>(60.55)*10.764</f>
        <v>651.76019999999994</v>
      </c>
      <c r="F451" s="82">
        <f>(2.32)*10.764</f>
        <v>24.972479999999997</v>
      </c>
      <c r="G451" s="82">
        <v>0</v>
      </c>
      <c r="H451" s="82">
        <f t="shared" si="126"/>
        <v>676.73267999999996</v>
      </c>
      <c r="I451" s="1"/>
      <c r="J451" s="1"/>
      <c r="K451" s="1"/>
      <c r="L451" s="1"/>
      <c r="M451" s="1"/>
      <c r="N451" s="1"/>
      <c r="O451" s="1"/>
      <c r="P451" s="1"/>
      <c r="Q451" s="1"/>
      <c r="R451" s="1"/>
      <c r="S451" s="1"/>
      <c r="T451" s="23" t="str">
        <f t="shared" ca="1" si="127"/>
        <v>71207 &amp; 4207</v>
      </c>
      <c r="U451" s="23">
        <f t="shared" ca="1" si="128"/>
        <v>71207</v>
      </c>
      <c r="V451" s="23">
        <f t="shared" ca="1" si="128"/>
        <v>4207</v>
      </c>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row>
    <row r="452" spans="1:150 16226:16383" s="3" customFormat="1" ht="20.25" customHeight="1" x14ac:dyDescent="0.25">
      <c r="A452" s="86">
        <v>8</v>
      </c>
      <c r="B452" s="86"/>
      <c r="C452" s="53" t="s">
        <v>337</v>
      </c>
      <c r="D452" s="53" t="s">
        <v>397</v>
      </c>
      <c r="E452" s="84">
        <f>(60.55)*10.764</f>
        <v>651.76019999999994</v>
      </c>
      <c r="F452" s="82">
        <f>(2.32)*10.764</f>
        <v>24.972479999999997</v>
      </c>
      <c r="G452" s="82">
        <v>0</v>
      </c>
      <c r="H452" s="82">
        <f t="shared" si="126"/>
        <v>676.73267999999996</v>
      </c>
      <c r="I452" s="1"/>
      <c r="J452" s="1"/>
      <c r="K452" s="1"/>
      <c r="L452" s="1"/>
      <c r="M452" s="1"/>
      <c r="N452" s="1"/>
      <c r="O452" s="1"/>
      <c r="P452" s="1"/>
      <c r="Q452" s="1"/>
      <c r="R452" s="1"/>
      <c r="S452" s="1"/>
      <c r="T452" s="23" t="str">
        <f t="shared" ca="1" si="127"/>
        <v>71208 &amp; 4208</v>
      </c>
      <c r="U452" s="23">
        <f t="shared" ca="1" si="128"/>
        <v>71208</v>
      </c>
      <c r="V452" s="23">
        <f t="shared" ca="1" si="128"/>
        <v>4208</v>
      </c>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row>
    <row r="453" spans="1:150 16226:16383" s="3" customFormat="1" ht="20.25" x14ac:dyDescent="0.25">
      <c r="A453" s="89" t="s">
        <v>411</v>
      </c>
      <c r="B453" s="90"/>
      <c r="C453" s="90"/>
      <c r="D453" s="90"/>
      <c r="E453" s="90"/>
      <c r="F453" s="90"/>
      <c r="G453" s="90"/>
      <c r="H453" s="9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row>
    <row r="454" spans="1:150 16226:16383" s="3" customFormat="1" ht="20.25" x14ac:dyDescent="0.25">
      <c r="A454" s="89" t="s">
        <v>334</v>
      </c>
      <c r="B454" s="90"/>
      <c r="C454" s="90"/>
      <c r="D454" s="90"/>
      <c r="E454" s="90"/>
      <c r="F454" s="90"/>
      <c r="G454" s="90"/>
      <c r="H454" s="9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row>
    <row r="455" spans="1:150 16226:16383" s="3" customFormat="1" ht="40.5" customHeight="1" x14ac:dyDescent="0.25">
      <c r="A455" s="89" t="s">
        <v>412</v>
      </c>
      <c r="B455" s="90"/>
      <c r="C455" s="90"/>
      <c r="D455" s="90"/>
      <c r="E455" s="90"/>
      <c r="F455" s="90"/>
      <c r="G455" s="90"/>
      <c r="H455" s="9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row>
    <row r="456" spans="1:150 16226:16383" s="3" customFormat="1" ht="20.25" x14ac:dyDescent="0.25">
      <c r="A456" s="89" t="s">
        <v>395</v>
      </c>
      <c r="B456" s="90"/>
      <c r="C456" s="90"/>
      <c r="D456" s="90"/>
      <c r="E456" s="90"/>
      <c r="F456" s="90"/>
      <c r="G456" s="90"/>
      <c r="H456" s="9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row>
    <row r="457" spans="1:150 16226:16383" s="3" customFormat="1" ht="20.25" x14ac:dyDescent="0.25">
      <c r="A457" s="89" t="s">
        <v>413</v>
      </c>
      <c r="B457" s="90"/>
      <c r="C457" s="90"/>
      <c r="D457" s="90"/>
      <c r="E457" s="90"/>
      <c r="F457" s="90"/>
      <c r="G457" s="90"/>
      <c r="H457" s="91"/>
      <c r="I457" s="77">
        <v>1</v>
      </c>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row>
    <row r="458" spans="1:150 16226:16383" s="3" customFormat="1" ht="20.25" customHeight="1" x14ac:dyDescent="0.25">
      <c r="A458" s="86">
        <v>1</v>
      </c>
      <c r="B458" s="86"/>
      <c r="C458" s="53" t="s">
        <v>337</v>
      </c>
      <c r="D458" s="53" t="s">
        <v>397</v>
      </c>
      <c r="E458" s="84">
        <f>(59.6)*10.764</f>
        <v>641.53440000000001</v>
      </c>
      <c r="F458" s="82">
        <f>(2.328)*10.764</f>
        <v>25.058591999999997</v>
      </c>
      <c r="G458" s="82">
        <f>(3.05*5)*10.764</f>
        <v>164.15099999999998</v>
      </c>
      <c r="H458" s="82">
        <f>E458+F458+(IF(G458&lt;101,G458,IF(G458&lt;201,G458/2,IF(G458&lt;=301,G458/3,G458/4))))</f>
        <v>748.66849200000001</v>
      </c>
      <c r="I458" s="1"/>
      <c r="J458" s="1"/>
      <c r="K458" s="1"/>
      <c r="L458" s="1"/>
      <c r="M458" s="1"/>
      <c r="N458" s="1"/>
      <c r="O458" s="1"/>
      <c r="P458" s="1"/>
      <c r="Q458" s="1"/>
      <c r="R458" s="1"/>
      <c r="S458" s="1"/>
      <c r="T458" s="23" t="e">
        <f ca="1">U458&amp;""&amp;" &amp; "&amp;""&amp;V458</f>
        <v>#REF!</v>
      </c>
      <c r="U458"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458"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row>
    <row r="459" spans="1:150 16226:16383" s="3" customFormat="1" ht="20.25" customHeight="1" x14ac:dyDescent="0.25">
      <c r="A459" s="86">
        <v>2</v>
      </c>
      <c r="B459" s="86"/>
      <c r="C459" s="53" t="s">
        <v>337</v>
      </c>
      <c r="D459" s="53" t="s">
        <v>397</v>
      </c>
      <c r="E459" s="84">
        <f>(59.6)*10.764</f>
        <v>641.53440000000001</v>
      </c>
      <c r="F459" s="82">
        <f>(2.328)*10.764</f>
        <v>25.058591999999997</v>
      </c>
      <c r="G459" s="82">
        <f>(3.05*5)*10.764</f>
        <v>164.15099999999998</v>
      </c>
      <c r="H459" s="82">
        <f t="shared" ref="H459:H465" si="129">E459+F459+(IF(G459&lt;101,G459,IF(G459&lt;201,G459/2,IF(G459&lt;=301,G459/3,G459/4))))</f>
        <v>748.66849200000001</v>
      </c>
      <c r="I459" s="1"/>
      <c r="J459" s="1"/>
      <c r="K459" s="1"/>
      <c r="L459" s="1"/>
      <c r="M459" s="1"/>
      <c r="N459" s="1"/>
      <c r="O459" s="1"/>
      <c r="P459" s="1"/>
      <c r="Q459" s="1"/>
      <c r="R459" s="1"/>
      <c r="S459" s="1"/>
      <c r="T459" s="23" t="e">
        <f t="shared" ref="T459:T465" ca="1" si="130">U459&amp;""&amp;" &amp; "&amp;""&amp;V459</f>
        <v>#REF!</v>
      </c>
      <c r="U459" s="23" t="e">
        <f ca="1">U458+1</f>
        <v>#REF!</v>
      </c>
      <c r="V459" s="23" t="e">
        <f ca="1">V458+1</f>
        <v>#REF!</v>
      </c>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row>
    <row r="460" spans="1:150 16226:16383" s="3" customFormat="1" ht="20.25" customHeight="1" x14ac:dyDescent="0.25">
      <c r="A460" s="86">
        <v>3</v>
      </c>
      <c r="B460" s="86"/>
      <c r="C460" s="53" t="s">
        <v>337</v>
      </c>
      <c r="D460" s="53" t="s">
        <v>397</v>
      </c>
      <c r="E460" s="84">
        <f>(60.553)*10.764</f>
        <v>651.79249199999992</v>
      </c>
      <c r="F460" s="82">
        <f>(2.317)*10.764</f>
        <v>24.940187999999999</v>
      </c>
      <c r="G460" s="82">
        <v>0</v>
      </c>
      <c r="H460" s="82">
        <f t="shared" si="129"/>
        <v>676.73267999999996</v>
      </c>
      <c r="I460" s="1"/>
      <c r="J460" s="1"/>
      <c r="K460" s="1"/>
      <c r="L460" s="1"/>
      <c r="M460" s="1"/>
      <c r="N460" s="1"/>
      <c r="O460" s="1"/>
      <c r="P460" s="1"/>
      <c r="Q460" s="1"/>
      <c r="R460" s="1"/>
      <c r="S460" s="1"/>
      <c r="T460" s="23" t="e">
        <f t="shared" ca="1" si="130"/>
        <v>#REF!</v>
      </c>
      <c r="U460" s="23" t="e">
        <f t="shared" ref="U460:V465" ca="1" si="131">U459+1</f>
        <v>#REF!</v>
      </c>
      <c r="V460" s="23" t="e">
        <f t="shared" ca="1" si="131"/>
        <v>#REF!</v>
      </c>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row>
    <row r="461" spans="1:150 16226:16383" s="3" customFormat="1" ht="20.25" customHeight="1" x14ac:dyDescent="0.25">
      <c r="A461" s="86">
        <v>4</v>
      </c>
      <c r="B461" s="86"/>
      <c r="C461" s="53" t="s">
        <v>337</v>
      </c>
      <c r="D461" s="95" t="s">
        <v>398</v>
      </c>
      <c r="E461" s="96"/>
      <c r="F461" s="96"/>
      <c r="G461" s="96"/>
      <c r="H461" s="97"/>
      <c r="I461" s="1"/>
      <c r="J461" s="1"/>
      <c r="K461" s="1"/>
      <c r="L461" s="1"/>
      <c r="M461" s="1"/>
      <c r="N461" s="1"/>
      <c r="O461" s="1"/>
      <c r="P461" s="1"/>
      <c r="Q461" s="1"/>
      <c r="R461" s="1"/>
      <c r="S461" s="1"/>
      <c r="T461" s="23" t="e">
        <f t="shared" ca="1" si="130"/>
        <v>#REF!</v>
      </c>
      <c r="U461" s="23" t="e">
        <f t="shared" ca="1" si="131"/>
        <v>#REF!</v>
      </c>
      <c r="V461" s="23" t="e">
        <f t="shared" ca="1" si="131"/>
        <v>#REF!</v>
      </c>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row>
    <row r="462" spans="1:150 16226:16383" s="3" customFormat="1" ht="20.25" customHeight="1" x14ac:dyDescent="0.25">
      <c r="A462" s="86">
        <v>5</v>
      </c>
      <c r="B462" s="86"/>
      <c r="C462" s="53" t="s">
        <v>337</v>
      </c>
      <c r="D462" s="98" t="s">
        <v>338</v>
      </c>
      <c r="E462" s="99"/>
      <c r="F462" s="99"/>
      <c r="G462" s="99"/>
      <c r="H462" s="100"/>
      <c r="I462" s="1"/>
      <c r="J462" s="1"/>
      <c r="K462" s="1"/>
      <c r="L462" s="1"/>
      <c r="M462" s="1"/>
      <c r="N462" s="1"/>
      <c r="O462" s="1"/>
      <c r="P462" s="1"/>
      <c r="Q462" s="1"/>
      <c r="R462" s="1"/>
      <c r="S462" s="1"/>
      <c r="T462" s="23" t="e">
        <f t="shared" ca="1" si="130"/>
        <v>#REF!</v>
      </c>
      <c r="U462" s="23" t="e">
        <f t="shared" ca="1" si="131"/>
        <v>#REF!</v>
      </c>
      <c r="V462" s="23" t="e">
        <f t="shared" ca="1" si="131"/>
        <v>#REF!</v>
      </c>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row>
    <row r="463" spans="1:150 16226:16383" s="3" customFormat="1" ht="20.25" customHeight="1" x14ac:dyDescent="0.25">
      <c r="A463" s="86">
        <v>6</v>
      </c>
      <c r="B463" s="86"/>
      <c r="C463" s="53" t="s">
        <v>337</v>
      </c>
      <c r="D463" s="101"/>
      <c r="E463" s="102"/>
      <c r="F463" s="102"/>
      <c r="G463" s="102"/>
      <c r="H463" s="103"/>
      <c r="I463" s="1"/>
      <c r="J463" s="1"/>
      <c r="K463" s="1"/>
      <c r="L463" s="1"/>
      <c r="M463" s="1"/>
      <c r="N463" s="1"/>
      <c r="O463" s="1"/>
      <c r="P463" s="1"/>
      <c r="Q463" s="1"/>
      <c r="R463" s="1"/>
      <c r="S463" s="1"/>
      <c r="T463" s="23" t="e">
        <f t="shared" ca="1" si="130"/>
        <v>#REF!</v>
      </c>
      <c r="U463" s="23" t="e">
        <f t="shared" ca="1" si="131"/>
        <v>#REF!</v>
      </c>
      <c r="V463" s="23" t="e">
        <f t="shared" ca="1" si="131"/>
        <v>#REF!</v>
      </c>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row>
    <row r="464" spans="1:150 16226:16383" s="3" customFormat="1" ht="20.25" customHeight="1" x14ac:dyDescent="0.25">
      <c r="A464" s="86">
        <v>7</v>
      </c>
      <c r="B464" s="86"/>
      <c r="C464" s="53" t="s">
        <v>337</v>
      </c>
      <c r="D464" s="95" t="s">
        <v>346</v>
      </c>
      <c r="E464" s="96"/>
      <c r="F464" s="96"/>
      <c r="G464" s="96"/>
      <c r="H464" s="97"/>
      <c r="I464" s="1"/>
      <c r="J464" s="1"/>
      <c r="K464" s="1"/>
      <c r="L464" s="1"/>
      <c r="M464" s="1"/>
      <c r="N464" s="1"/>
      <c r="O464" s="1"/>
      <c r="P464" s="1"/>
      <c r="Q464" s="1"/>
      <c r="R464" s="1"/>
      <c r="S464" s="1"/>
      <c r="T464" s="23" t="e">
        <f t="shared" ca="1" si="130"/>
        <v>#REF!</v>
      </c>
      <c r="U464" s="23" t="e">
        <f t="shared" ca="1" si="131"/>
        <v>#REF!</v>
      </c>
      <c r="V464" s="23" t="e">
        <f t="shared" ca="1" si="131"/>
        <v>#REF!</v>
      </c>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row>
    <row r="465" spans="1:150 16226:16383" s="3" customFormat="1" ht="20.25" customHeight="1" x14ac:dyDescent="0.25">
      <c r="A465" s="86">
        <v>8</v>
      </c>
      <c r="B465" s="86"/>
      <c r="C465" s="53" t="s">
        <v>337</v>
      </c>
      <c r="D465" s="53" t="s">
        <v>397</v>
      </c>
      <c r="E465" s="84">
        <f>(60.553)*10.764</f>
        <v>651.79249199999992</v>
      </c>
      <c r="F465" s="82">
        <f>(2.317)*10.764</f>
        <v>24.940187999999999</v>
      </c>
      <c r="G465" s="82">
        <v>0</v>
      </c>
      <c r="H465" s="82">
        <f t="shared" si="129"/>
        <v>676.73267999999996</v>
      </c>
      <c r="I465" s="1"/>
      <c r="J465" s="1"/>
      <c r="K465" s="1"/>
      <c r="L465" s="1"/>
      <c r="M465" s="1"/>
      <c r="N465" s="1"/>
      <c r="O465" s="1"/>
      <c r="P465" s="1"/>
      <c r="Q465" s="1"/>
      <c r="R465" s="1"/>
      <c r="S465" s="1"/>
      <c r="T465" s="23" t="e">
        <f t="shared" ca="1" si="130"/>
        <v>#REF!</v>
      </c>
      <c r="U465" s="23" t="e">
        <f t="shared" ca="1" si="131"/>
        <v>#REF!</v>
      </c>
      <c r="V465" s="23" t="e">
        <f t="shared" ca="1" si="131"/>
        <v>#REF!</v>
      </c>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row>
    <row r="466" spans="1:150 16226:16383" s="3" customFormat="1" ht="20.25" x14ac:dyDescent="0.25">
      <c r="A466" s="89" t="s">
        <v>335</v>
      </c>
      <c r="B466" s="90"/>
      <c r="C466" s="90"/>
      <c r="D466" s="90"/>
      <c r="E466" s="90"/>
      <c r="F466" s="90"/>
      <c r="G466" s="90"/>
      <c r="H466" s="91"/>
      <c r="I466" s="77">
        <v>1</v>
      </c>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row>
    <row r="467" spans="1:150 16226:16383" s="3" customFormat="1" ht="20.25" customHeight="1" x14ac:dyDescent="0.25">
      <c r="A467" s="86">
        <v>1</v>
      </c>
      <c r="B467" s="86"/>
      <c r="C467" s="53" t="s">
        <v>337</v>
      </c>
      <c r="D467" s="53" t="s">
        <v>397</v>
      </c>
      <c r="E467" s="84">
        <f>(59.6)*10.764</f>
        <v>641.53440000000001</v>
      </c>
      <c r="F467" s="82">
        <f>(2.328)*10.764</f>
        <v>25.058591999999997</v>
      </c>
      <c r="G467" s="82">
        <v>0</v>
      </c>
      <c r="H467" s="82">
        <f>E467+F467+(IF(G467&lt;101,G467,IF(G467&lt;201,G467/2,IF(G467&lt;=301,G467/3,G467/4))))</f>
        <v>666.59299199999998</v>
      </c>
      <c r="I467" s="1"/>
      <c r="J467" s="1"/>
      <c r="K467" s="1"/>
      <c r="L467" s="1"/>
      <c r="M467" s="1"/>
      <c r="N467" s="1"/>
      <c r="O467" s="1"/>
      <c r="P467" s="1"/>
      <c r="Q467" s="1"/>
      <c r="R467" s="1"/>
      <c r="S467" s="1"/>
      <c r="T467" s="23" t="str">
        <f ca="1">U467&amp;""&amp;" &amp; "&amp;""&amp;V467</f>
        <v>201 &amp; 201</v>
      </c>
      <c r="U467" s="23">
        <f ca="1">(SUMPRODUCT(MID(0&amp;(LEFT(A466,SUM(LEN(A466)-LEN(SUBSTITUTE(A466,{"0","1","2","3"},""))))), LARGE(INDEX(ISNUMBER(--MID((LEFT(A466,SUM(LEN(A466)-LEN(SUBSTITUTE(A466,{"0","1","2","3"},""))))), ROW(INDIRECT("1:"&amp;LEN((LEFT(A466,SUM(LEN(A466)-LEN(SUBSTITUTE(A466,{"0","1","2","3"},"")))))))), 1)) * ROW(INDIRECT("1:"&amp;LEN((LEFT(A466,SUM(LEN(A466)-LEN(SUBSTITUTE(A466,{"0","1","2","3"},"")))))))), 0), ROW(INDIRECT("1:"&amp;LEN((LEFT(A466,SUM(LEN(A466)-LEN(SUBSTITUTE(A466,{"0","1","2","3"},"")))))))))+1, 1) * 10^ROW(INDIRECT("1:"&amp;LEN((LEFT(A466,SUM(LEN(A466)-LEN(SUBSTITUTE(A466,{"0","1","2","3"},""))))))))/10))*100+1</f>
        <v>201</v>
      </c>
      <c r="V467" s="23">
        <f ca="1">(SUMPRODUCT(MID(0&amp;(--TRIM(RIGHT(SUBSTITUTE(LEFT(A466,_xlfn.AGGREGATE(16,6,FIND({0,1,2,3,4,5,6,7,8,9},A466,ROW(INDIRECT("1:"&amp;LEN(A466)))),1))," ",REPT(" ",LEN(A466))),LEN(A466)))), LARGE(INDEX(ISNUMBER(--MID((--TRIM(RIGHT(SUBSTITUTE(LEFT(A466,_xlfn.AGGREGATE(16,6,FIND({0,1,2,3,4,5,6,7,8,9},A466,ROW(INDIRECT("1:"&amp;LEN(A466)))),1))," ",REPT(" ",LEN(A466))),LEN(A466)))), ROW(INDIRECT("1:"&amp;LEN((--TRIM(RIGHT(SUBSTITUTE(LEFT(A466,_xlfn.AGGREGATE(16,6,FIND({0,1,2,3,4,5,6,7,8,9},A466,ROW(INDIRECT("1:"&amp;LEN(A466)))),1))," ",REPT(" ",LEN(A466))),LEN(A466))))))), 1)) * ROW(INDIRECT("1:"&amp;LEN((--TRIM(RIGHT(SUBSTITUTE(LEFT(A466,_xlfn.AGGREGATE(16,6,FIND({0,1,2,3,4,5,6,7,8,9},A466,ROW(INDIRECT("1:"&amp;LEN(A466)))),1))," ",REPT(" ",LEN(A466))),LEN(A466))))))), 0), ROW(INDIRECT("1:"&amp;LEN((--TRIM(RIGHT(SUBSTITUTE(LEFT(A466,_xlfn.AGGREGATE(16,6,FIND({0,1,2,3,4,5,6,7,8,9},A466,ROW(INDIRECT("1:"&amp;LEN(A466)))),1))," ",REPT(" ",LEN(A466))),LEN(A466))))))))+1, 1) * 10^ROW(INDIRECT("1:"&amp;LEN((--TRIM(RIGHT(SUBSTITUTE(LEFT(A466,_xlfn.AGGREGATE(16,6,FIND({0,1,2,3,4,5,6,7,8,9},A466,ROW(INDIRECT("1:"&amp;LEN(A466)))),1))," ",REPT(" ",LEN(A466))),LEN(A466)))))))/10))*100+1</f>
        <v>201</v>
      </c>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row>
    <row r="468" spans="1:150 16226:16383" s="3" customFormat="1" ht="20.25" customHeight="1" x14ac:dyDescent="0.25">
      <c r="A468" s="86">
        <v>2</v>
      </c>
      <c r="B468" s="86"/>
      <c r="C468" s="53" t="s">
        <v>337</v>
      </c>
      <c r="D468" s="53" t="s">
        <v>397</v>
      </c>
      <c r="E468" s="84">
        <f>(59.6)*10.764</f>
        <v>641.53440000000001</v>
      </c>
      <c r="F468" s="82">
        <f>(2.328)*10.764</f>
        <v>25.058591999999997</v>
      </c>
      <c r="G468" s="82">
        <v>0</v>
      </c>
      <c r="H468" s="82">
        <f t="shared" ref="H468:H474" si="132">E468+F468+(IF(G468&lt;101,G468,IF(G468&lt;201,G468/2,IF(G468&lt;=301,G468/3,G468/4))))</f>
        <v>666.59299199999998</v>
      </c>
      <c r="I468" s="1"/>
      <c r="J468" s="1"/>
      <c r="K468" s="1"/>
      <c r="L468" s="1"/>
      <c r="M468" s="1"/>
      <c r="N468" s="1"/>
      <c r="O468" s="1"/>
      <c r="P468" s="1"/>
      <c r="Q468" s="1"/>
      <c r="R468" s="1"/>
      <c r="S468" s="1"/>
      <c r="T468" s="23" t="str">
        <f t="shared" ref="T468:T474" ca="1" si="133">U468&amp;""&amp;" &amp; "&amp;""&amp;V468</f>
        <v>202 &amp; 202</v>
      </c>
      <c r="U468" s="23">
        <f ca="1">U467+1</f>
        <v>202</v>
      </c>
      <c r="V468" s="23">
        <f ca="1">V467+1</f>
        <v>202</v>
      </c>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row>
    <row r="469" spans="1:150 16226:16383" s="3" customFormat="1" ht="20.25" customHeight="1" x14ac:dyDescent="0.25">
      <c r="A469" s="86">
        <v>3</v>
      </c>
      <c r="B469" s="86"/>
      <c r="C469" s="53" t="s">
        <v>337</v>
      </c>
      <c r="D469" s="53" t="s">
        <v>397</v>
      </c>
      <c r="E469" s="84">
        <f>(60.553)*10.764</f>
        <v>651.79249199999992</v>
      </c>
      <c r="F469" s="82">
        <f>(2.317)*10.764</f>
        <v>24.940187999999999</v>
      </c>
      <c r="G469" s="82">
        <v>0</v>
      </c>
      <c r="H469" s="82">
        <f t="shared" si="132"/>
        <v>676.73267999999996</v>
      </c>
      <c r="I469" s="1"/>
      <c r="J469" s="1"/>
      <c r="K469" s="1"/>
      <c r="L469" s="1"/>
      <c r="M469" s="1"/>
      <c r="N469" s="1"/>
      <c r="O469" s="1"/>
      <c r="P469" s="1"/>
      <c r="Q469" s="1"/>
      <c r="R469" s="1"/>
      <c r="S469" s="1"/>
      <c r="T469" s="23" t="str">
        <f t="shared" ca="1" si="133"/>
        <v>203 &amp; 203</v>
      </c>
      <c r="U469" s="23">
        <f t="shared" ref="U469:V474" ca="1" si="134">U468+1</f>
        <v>203</v>
      </c>
      <c r="V469" s="23">
        <f t="shared" ca="1" si="134"/>
        <v>203</v>
      </c>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row>
    <row r="470" spans="1:150 16226:16383" s="3" customFormat="1" ht="20.25" customHeight="1" x14ac:dyDescent="0.25">
      <c r="A470" s="86">
        <v>4</v>
      </c>
      <c r="B470" s="86"/>
      <c r="C470" s="53" t="s">
        <v>337</v>
      </c>
      <c r="D470" s="98" t="s">
        <v>338</v>
      </c>
      <c r="E470" s="99"/>
      <c r="F470" s="99"/>
      <c r="G470" s="99"/>
      <c r="H470" s="100"/>
      <c r="I470" s="1"/>
      <c r="J470" s="1"/>
      <c r="K470" s="1"/>
      <c r="L470" s="1"/>
      <c r="M470" s="1"/>
      <c r="N470" s="1"/>
      <c r="O470" s="1"/>
      <c r="P470" s="1"/>
      <c r="Q470" s="1"/>
      <c r="R470" s="1"/>
      <c r="S470" s="1"/>
      <c r="T470" s="23" t="str">
        <f t="shared" ca="1" si="133"/>
        <v>204 &amp; 204</v>
      </c>
      <c r="U470" s="23">
        <f t="shared" ca="1" si="134"/>
        <v>204</v>
      </c>
      <c r="V470" s="23">
        <f t="shared" ca="1" si="134"/>
        <v>204</v>
      </c>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row>
    <row r="471" spans="1:150 16226:16383" s="3" customFormat="1" ht="20.25" customHeight="1" x14ac:dyDescent="0.25">
      <c r="A471" s="86">
        <v>5</v>
      </c>
      <c r="B471" s="86"/>
      <c r="C471" s="53" t="s">
        <v>337</v>
      </c>
      <c r="D471" s="104"/>
      <c r="E471" s="105"/>
      <c r="F471" s="105"/>
      <c r="G471" s="105"/>
      <c r="H471" s="106"/>
      <c r="I471" s="1"/>
      <c r="J471" s="1"/>
      <c r="K471" s="1"/>
      <c r="L471" s="1"/>
      <c r="M471" s="1"/>
      <c r="N471" s="1"/>
      <c r="O471" s="1"/>
      <c r="P471" s="1"/>
      <c r="Q471" s="1"/>
      <c r="R471" s="1"/>
      <c r="S471" s="1"/>
      <c r="T471" s="23" t="str">
        <f t="shared" ca="1" si="133"/>
        <v>205 &amp; 205</v>
      </c>
      <c r="U471" s="23">
        <f t="shared" ca="1" si="134"/>
        <v>205</v>
      </c>
      <c r="V471" s="23">
        <f t="shared" ca="1" si="134"/>
        <v>205</v>
      </c>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row>
    <row r="472" spans="1:150 16226:16383" s="3" customFormat="1" ht="20.25" customHeight="1" x14ac:dyDescent="0.25">
      <c r="A472" s="86">
        <v>6</v>
      </c>
      <c r="B472" s="86"/>
      <c r="C472" s="53" t="s">
        <v>337</v>
      </c>
      <c r="D472" s="104"/>
      <c r="E472" s="105"/>
      <c r="F472" s="105"/>
      <c r="G472" s="105"/>
      <c r="H472" s="106"/>
      <c r="I472" s="1"/>
      <c r="J472" s="1"/>
      <c r="K472" s="1"/>
      <c r="L472" s="1"/>
      <c r="M472" s="1"/>
      <c r="N472" s="1"/>
      <c r="O472" s="1"/>
      <c r="P472" s="1"/>
      <c r="Q472" s="1"/>
      <c r="R472" s="1"/>
      <c r="S472" s="1"/>
      <c r="T472" s="23" t="str">
        <f t="shared" ca="1" si="133"/>
        <v>206 &amp; 206</v>
      </c>
      <c r="U472" s="23">
        <f t="shared" ca="1" si="134"/>
        <v>206</v>
      </c>
      <c r="V472" s="23">
        <f t="shared" ca="1" si="134"/>
        <v>206</v>
      </c>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row>
    <row r="473" spans="1:150 16226:16383" s="3" customFormat="1" ht="20.25" customHeight="1" x14ac:dyDescent="0.25">
      <c r="A473" s="86">
        <v>7</v>
      </c>
      <c r="B473" s="86"/>
      <c r="C473" s="53" t="s">
        <v>337</v>
      </c>
      <c r="D473" s="101"/>
      <c r="E473" s="102"/>
      <c r="F473" s="102"/>
      <c r="G473" s="102"/>
      <c r="H473" s="103"/>
      <c r="I473" s="1"/>
      <c r="J473" s="1"/>
      <c r="K473" s="1"/>
      <c r="L473" s="1"/>
      <c r="M473" s="1"/>
      <c r="N473" s="1"/>
      <c r="O473" s="1"/>
      <c r="P473" s="1"/>
      <c r="Q473" s="1"/>
      <c r="R473" s="1"/>
      <c r="S473" s="1"/>
      <c r="T473" s="23" t="str">
        <f t="shared" ca="1" si="133"/>
        <v>207 &amp; 207</v>
      </c>
      <c r="U473" s="23">
        <f t="shared" ca="1" si="134"/>
        <v>207</v>
      </c>
      <c r="V473" s="23">
        <f t="shared" ca="1" si="134"/>
        <v>207</v>
      </c>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row>
    <row r="474" spans="1:150 16226:16383" s="3" customFormat="1" ht="20.25" customHeight="1" x14ac:dyDescent="0.25">
      <c r="A474" s="87">
        <v>8</v>
      </c>
      <c r="B474" s="88"/>
      <c r="C474" s="53" t="s">
        <v>337</v>
      </c>
      <c r="D474" s="53" t="s">
        <v>397</v>
      </c>
      <c r="E474" s="84">
        <f>(60.553)*10.764</f>
        <v>651.79249199999992</v>
      </c>
      <c r="F474" s="82">
        <f>(2.317)*10.764</f>
        <v>24.940187999999999</v>
      </c>
      <c r="G474" s="82">
        <v>0</v>
      </c>
      <c r="H474" s="82">
        <f t="shared" si="132"/>
        <v>676.73267999999996</v>
      </c>
      <c r="I474" s="1"/>
      <c r="J474" s="1"/>
      <c r="K474" s="1"/>
      <c r="L474" s="1"/>
      <c r="M474" s="1"/>
      <c r="N474" s="1"/>
      <c r="O474" s="1"/>
      <c r="P474" s="1"/>
      <c r="Q474" s="1"/>
      <c r="R474" s="1"/>
      <c r="S474" s="1"/>
      <c r="T474" s="23" t="str">
        <f t="shared" ca="1" si="133"/>
        <v>208 &amp; 208</v>
      </c>
      <c r="U474" s="23">
        <f t="shared" ca="1" si="134"/>
        <v>208</v>
      </c>
      <c r="V474" s="23">
        <f t="shared" ca="1" si="134"/>
        <v>208</v>
      </c>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row>
    <row r="475" spans="1:150 16226:16383" s="3" customFormat="1" ht="20.25" x14ac:dyDescent="0.25">
      <c r="A475" s="89" t="s">
        <v>414</v>
      </c>
      <c r="B475" s="90"/>
      <c r="C475" s="90"/>
      <c r="D475" s="90"/>
      <c r="E475" s="90"/>
      <c r="F475" s="90"/>
      <c r="G475" s="90"/>
      <c r="H475" s="91"/>
      <c r="I475" s="77">
        <v>1</v>
      </c>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row>
    <row r="476" spans="1:150 16226:16383" s="3" customFormat="1" ht="20.25" customHeight="1" x14ac:dyDescent="0.25">
      <c r="A476" s="86">
        <v>1</v>
      </c>
      <c r="B476" s="86"/>
      <c r="C476" s="53" t="s">
        <v>337</v>
      </c>
      <c r="D476" s="53" t="s">
        <v>397</v>
      </c>
      <c r="E476" s="84">
        <f>(59.6)*10.764</f>
        <v>641.53440000000001</v>
      </c>
      <c r="F476" s="82">
        <f>(2.328)*10.764</f>
        <v>25.058591999999997</v>
      </c>
      <c r="G476" s="82">
        <v>0</v>
      </c>
      <c r="H476" s="82">
        <f>E476+F476+(IF(G476&lt;101,G476,IF(G476&lt;201,G476/2,IF(G476&lt;=301,G476/3,G476/4))))</f>
        <v>666.59299199999998</v>
      </c>
      <c r="I476" s="1"/>
      <c r="J476" s="1"/>
      <c r="K476" s="1"/>
      <c r="L476" s="1"/>
      <c r="M476" s="1"/>
      <c r="N476" s="1"/>
      <c r="O476" s="1"/>
      <c r="P476" s="1"/>
      <c r="Q476" s="1"/>
      <c r="R476" s="1"/>
      <c r="S476" s="1"/>
      <c r="T476" s="23" t="str">
        <f ca="1">U476&amp;""&amp;" &amp; "&amp;""&amp;V476</f>
        <v>301 &amp; 301</v>
      </c>
      <c r="U476" s="23">
        <f ca="1">(SUMPRODUCT(MID(0&amp;(LEFT(A475,SUM(LEN(A475)-LEN(SUBSTITUTE(A475,{"0","1","2","3"},""))))), LARGE(INDEX(ISNUMBER(--MID((LEFT(A475,SUM(LEN(A475)-LEN(SUBSTITUTE(A475,{"0","1","2","3"},""))))), ROW(INDIRECT("1:"&amp;LEN((LEFT(A475,SUM(LEN(A475)-LEN(SUBSTITUTE(A475,{"0","1","2","3"},"")))))))), 1)) * ROW(INDIRECT("1:"&amp;LEN((LEFT(A475,SUM(LEN(A475)-LEN(SUBSTITUTE(A475,{"0","1","2","3"},"")))))))), 0), ROW(INDIRECT("1:"&amp;LEN((LEFT(A475,SUM(LEN(A475)-LEN(SUBSTITUTE(A475,{"0","1","2","3"},"")))))))))+1, 1) * 10^ROW(INDIRECT("1:"&amp;LEN((LEFT(A475,SUM(LEN(A475)-LEN(SUBSTITUTE(A475,{"0","1","2","3"},""))))))))/10))*100+1</f>
        <v>301</v>
      </c>
      <c r="V476" s="23">
        <f ca="1">(SUMPRODUCT(MID(0&amp;(--TRIM(RIGHT(SUBSTITUTE(LEFT(A475,_xlfn.AGGREGATE(16,6,FIND({0,1,2,3,4,5,6,7,8,9},A475,ROW(INDIRECT("1:"&amp;LEN(A475)))),1))," ",REPT(" ",LEN(A475))),LEN(A475)))), LARGE(INDEX(ISNUMBER(--MID((--TRIM(RIGHT(SUBSTITUTE(LEFT(A475,_xlfn.AGGREGATE(16,6,FIND({0,1,2,3,4,5,6,7,8,9},A475,ROW(INDIRECT("1:"&amp;LEN(A475)))),1))," ",REPT(" ",LEN(A475))),LEN(A475)))), ROW(INDIRECT("1:"&amp;LEN((--TRIM(RIGHT(SUBSTITUTE(LEFT(A475,_xlfn.AGGREGATE(16,6,FIND({0,1,2,3,4,5,6,7,8,9},A475,ROW(INDIRECT("1:"&amp;LEN(A475)))),1))," ",REPT(" ",LEN(A475))),LEN(A475))))))), 1)) * ROW(INDIRECT("1:"&amp;LEN((--TRIM(RIGHT(SUBSTITUTE(LEFT(A475,_xlfn.AGGREGATE(16,6,FIND({0,1,2,3,4,5,6,7,8,9},A475,ROW(INDIRECT("1:"&amp;LEN(A475)))),1))," ",REPT(" ",LEN(A475))),LEN(A475))))))), 0), ROW(INDIRECT("1:"&amp;LEN((--TRIM(RIGHT(SUBSTITUTE(LEFT(A475,_xlfn.AGGREGATE(16,6,FIND({0,1,2,3,4,5,6,7,8,9},A475,ROW(INDIRECT("1:"&amp;LEN(A475)))),1))," ",REPT(" ",LEN(A475))),LEN(A475))))))))+1, 1) * 10^ROW(INDIRECT("1:"&amp;LEN((--TRIM(RIGHT(SUBSTITUTE(LEFT(A475,_xlfn.AGGREGATE(16,6,FIND({0,1,2,3,4,5,6,7,8,9},A475,ROW(INDIRECT("1:"&amp;LEN(A475)))),1))," ",REPT(" ",LEN(A475))),LEN(A475)))))))/10))*100+1</f>
        <v>301</v>
      </c>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row>
    <row r="477" spans="1:150 16226:16383" s="3" customFormat="1" ht="20.25" customHeight="1" x14ac:dyDescent="0.25">
      <c r="A477" s="86">
        <v>2</v>
      </c>
      <c r="B477" s="86"/>
      <c r="C477" s="53" t="s">
        <v>337</v>
      </c>
      <c r="D477" s="53" t="s">
        <v>397</v>
      </c>
      <c r="E477" s="84">
        <f>(59.6)*10.764</f>
        <v>641.53440000000001</v>
      </c>
      <c r="F477" s="82">
        <f>(2.328)*10.764</f>
        <v>25.058591999999997</v>
      </c>
      <c r="G477" s="82">
        <v>0</v>
      </c>
      <c r="H477" s="82">
        <f>E477+F477+(IF(G477&lt;101,G477,IF(G477&lt;201,G477/2,IF(G477&lt;=301,G477/3,G477/4))))</f>
        <v>666.59299199999998</v>
      </c>
      <c r="I477" s="1"/>
      <c r="J477" s="1"/>
      <c r="K477" s="1"/>
      <c r="L477" s="1"/>
      <c r="M477" s="1"/>
      <c r="N477" s="1"/>
      <c r="O477" s="1"/>
      <c r="P477" s="1"/>
      <c r="Q477" s="1"/>
      <c r="R477" s="1"/>
      <c r="S477" s="1"/>
      <c r="T477" s="23" t="str">
        <f t="shared" ref="T477:T483" ca="1" si="135">U477&amp;""&amp;" &amp; "&amp;""&amp;V477</f>
        <v>302 &amp; 302</v>
      </c>
      <c r="U477" s="23">
        <f ca="1">U476+1</f>
        <v>302</v>
      </c>
      <c r="V477" s="23">
        <f ca="1">V476+1</f>
        <v>302</v>
      </c>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row>
    <row r="478" spans="1:150 16226:16383" s="3" customFormat="1" ht="20.25" customHeight="1" x14ac:dyDescent="0.25">
      <c r="A478" s="86">
        <v>3</v>
      </c>
      <c r="B478" s="86"/>
      <c r="C478" s="53" t="s">
        <v>337</v>
      </c>
      <c r="D478" s="53" t="s">
        <v>397</v>
      </c>
      <c r="E478" s="84">
        <f>(60.553)*10.764</f>
        <v>651.79249199999992</v>
      </c>
      <c r="F478" s="82">
        <f>(2.317)*10.764</f>
        <v>24.940187999999999</v>
      </c>
      <c r="G478" s="82">
        <v>0</v>
      </c>
      <c r="H478" s="82">
        <f>E478+F478+(IF(G478&lt;101,G478,IF(G478&lt;201,G478/2,IF(G478&lt;=301,G478/3,G478/4))))</f>
        <v>676.73267999999996</v>
      </c>
      <c r="I478" s="1"/>
      <c r="J478" s="1"/>
      <c r="K478" s="1"/>
      <c r="L478" s="1"/>
      <c r="M478" s="1"/>
      <c r="N478" s="1"/>
      <c r="O478" s="1"/>
      <c r="P478" s="1"/>
      <c r="Q478" s="1"/>
      <c r="R478" s="1"/>
      <c r="S478" s="1"/>
      <c r="T478" s="23" t="str">
        <f t="shared" ca="1" si="135"/>
        <v>303 &amp; 303</v>
      </c>
      <c r="U478" s="23">
        <f t="shared" ref="U478:V483" ca="1" si="136">U477+1</f>
        <v>303</v>
      </c>
      <c r="V478" s="23">
        <f t="shared" ca="1" si="136"/>
        <v>303</v>
      </c>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row>
    <row r="479" spans="1:150 16226:16383" s="3" customFormat="1" ht="20.25" customHeight="1" x14ac:dyDescent="0.25">
      <c r="A479" s="86">
        <v>4</v>
      </c>
      <c r="B479" s="86"/>
      <c r="C479" s="53" t="s">
        <v>337</v>
      </c>
      <c r="D479" s="53" t="s">
        <v>397</v>
      </c>
      <c r="E479" s="84">
        <f>(60.553)*10.764</f>
        <v>651.79249199999992</v>
      </c>
      <c r="F479" s="82">
        <f>(2.317)*10.764</f>
        <v>24.940187999999999</v>
      </c>
      <c r="G479" s="82">
        <v>0</v>
      </c>
      <c r="H479" s="82">
        <f>E479+F479+(IF(G479&lt;101,G479,IF(G479&lt;201,G479/2,IF(G479&lt;=301,G479/3,G479/4))))</f>
        <v>676.73267999999996</v>
      </c>
      <c r="I479" s="1"/>
      <c r="J479" s="1"/>
      <c r="K479" s="1"/>
      <c r="L479" s="1"/>
      <c r="M479" s="1"/>
      <c r="N479" s="1"/>
      <c r="O479" s="1"/>
      <c r="P479" s="1"/>
      <c r="Q479" s="1"/>
      <c r="R479" s="1"/>
      <c r="S479" s="1"/>
      <c r="T479" s="23" t="str">
        <f t="shared" ca="1" si="135"/>
        <v>304 &amp; 304</v>
      </c>
      <c r="U479" s="23">
        <f t="shared" ca="1" si="136"/>
        <v>304</v>
      </c>
      <c r="V479" s="23">
        <f t="shared" ca="1" si="136"/>
        <v>304</v>
      </c>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50 16226:16383" s="3" customFormat="1" ht="20.25" customHeight="1" x14ac:dyDescent="0.25">
      <c r="A480" s="86">
        <v>5</v>
      </c>
      <c r="B480" s="86"/>
      <c r="C480" s="53" t="s">
        <v>337</v>
      </c>
      <c r="D480" s="98" t="s">
        <v>415</v>
      </c>
      <c r="E480" s="99"/>
      <c r="F480" s="99"/>
      <c r="G480" s="99"/>
      <c r="H480" s="100"/>
      <c r="I480" s="1"/>
      <c r="J480" s="1"/>
      <c r="K480" s="1"/>
      <c r="L480" s="1"/>
      <c r="M480" s="1"/>
      <c r="N480" s="1"/>
      <c r="O480" s="1"/>
      <c r="P480" s="1"/>
      <c r="Q480" s="1"/>
      <c r="R480" s="1"/>
      <c r="S480" s="1"/>
      <c r="T480" s="23" t="str">
        <f t="shared" ca="1" si="135"/>
        <v>305 &amp; 305</v>
      </c>
      <c r="U480" s="23">
        <f t="shared" ca="1" si="136"/>
        <v>305</v>
      </c>
      <c r="V480" s="23">
        <f t="shared" ca="1" si="136"/>
        <v>305</v>
      </c>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row>
    <row r="481" spans="1:150 16226:16383" s="3" customFormat="1" ht="20.25" customHeight="1" x14ac:dyDescent="0.25">
      <c r="A481" s="86">
        <v>6</v>
      </c>
      <c r="B481" s="86"/>
      <c r="C481" s="53" t="s">
        <v>337</v>
      </c>
      <c r="D481" s="101"/>
      <c r="E481" s="102"/>
      <c r="F481" s="102"/>
      <c r="G481" s="102"/>
      <c r="H481" s="103"/>
      <c r="I481" s="1"/>
      <c r="J481" s="1"/>
      <c r="K481" s="1"/>
      <c r="L481" s="1"/>
      <c r="M481" s="1"/>
      <c r="N481" s="1"/>
      <c r="O481" s="1"/>
      <c r="P481" s="1"/>
      <c r="Q481" s="1"/>
      <c r="R481" s="1"/>
      <c r="S481" s="1"/>
      <c r="T481" s="23" t="str">
        <f t="shared" ca="1" si="135"/>
        <v>306 &amp; 306</v>
      </c>
      <c r="U481" s="23">
        <f t="shared" ca="1" si="136"/>
        <v>306</v>
      </c>
      <c r="V481" s="23">
        <f t="shared" ca="1" si="136"/>
        <v>306</v>
      </c>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row>
    <row r="482" spans="1:150 16226:16383" s="3" customFormat="1" ht="20.25" customHeight="1" x14ac:dyDescent="0.25">
      <c r="A482" s="86">
        <v>7</v>
      </c>
      <c r="B482" s="86"/>
      <c r="C482" s="53" t="s">
        <v>337</v>
      </c>
      <c r="D482" s="53" t="s">
        <v>397</v>
      </c>
      <c r="E482" s="84">
        <f>(60.553)*10.764</f>
        <v>651.79249199999992</v>
      </c>
      <c r="F482" s="82">
        <f>(2.317)*10.764</f>
        <v>24.940187999999999</v>
      </c>
      <c r="G482" s="82">
        <v>0</v>
      </c>
      <c r="H482" s="82">
        <f t="shared" ref="H482:H483" si="137">E482+F482+(IF(G482&lt;101,G482,IF(G482&lt;201,G482/2,IF(G482&lt;=301,G482/3,G482/4))))</f>
        <v>676.73267999999996</v>
      </c>
      <c r="I482" s="1"/>
      <c r="J482" s="1"/>
      <c r="K482" s="1"/>
      <c r="L482" s="1"/>
      <c r="M482" s="1"/>
      <c r="N482" s="1"/>
      <c r="O482" s="1"/>
      <c r="P482" s="1"/>
      <c r="Q482" s="1"/>
      <c r="R482" s="1"/>
      <c r="S482" s="1"/>
      <c r="T482" s="23" t="str">
        <f t="shared" ca="1" si="135"/>
        <v>307 &amp; 307</v>
      </c>
      <c r="U482" s="23">
        <f t="shared" ca="1" si="136"/>
        <v>307</v>
      </c>
      <c r="V482" s="23">
        <f t="shared" ca="1" si="136"/>
        <v>307</v>
      </c>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row>
    <row r="483" spans="1:150 16226:16383" s="3" customFormat="1" ht="20.25" customHeight="1" x14ac:dyDescent="0.25">
      <c r="A483" s="86">
        <v>8</v>
      </c>
      <c r="B483" s="86"/>
      <c r="C483" s="53" t="s">
        <v>337</v>
      </c>
      <c r="D483" s="53" t="s">
        <v>397</v>
      </c>
      <c r="E483" s="84">
        <f>(60.553)*10.764</f>
        <v>651.79249199999992</v>
      </c>
      <c r="F483" s="82">
        <f>(2.317)*10.764</f>
        <v>24.940187999999999</v>
      </c>
      <c r="G483" s="82">
        <v>0</v>
      </c>
      <c r="H483" s="82">
        <f t="shared" si="137"/>
        <v>676.73267999999996</v>
      </c>
      <c r="I483" s="1"/>
      <c r="J483" s="1"/>
      <c r="K483" s="1"/>
      <c r="L483" s="1"/>
      <c r="M483" s="1"/>
      <c r="N483" s="1"/>
      <c r="O483" s="1"/>
      <c r="P483" s="1"/>
      <c r="Q483" s="1"/>
      <c r="R483" s="1"/>
      <c r="S483" s="1"/>
      <c r="T483" s="23" t="str">
        <f t="shared" ca="1" si="135"/>
        <v>308 &amp; 308</v>
      </c>
      <c r="U483" s="23">
        <f t="shared" ca="1" si="136"/>
        <v>308</v>
      </c>
      <c r="V483" s="23">
        <f t="shared" ca="1" si="136"/>
        <v>308</v>
      </c>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row>
    <row r="484" spans="1:150 16226:16383" s="3" customFormat="1" ht="20.25" x14ac:dyDescent="0.25">
      <c r="A484" s="89" t="s">
        <v>339</v>
      </c>
      <c r="B484" s="90"/>
      <c r="C484" s="90"/>
      <c r="D484" s="90"/>
      <c r="E484" s="90"/>
      <c r="F484" s="90"/>
      <c r="G484" s="90"/>
      <c r="H484" s="91"/>
      <c r="I484" s="77">
        <v>1</v>
      </c>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row>
    <row r="485" spans="1:150 16226:16383" s="3" customFormat="1" ht="20.25" customHeight="1" x14ac:dyDescent="0.25">
      <c r="A485" s="86">
        <v>1</v>
      </c>
      <c r="B485" s="86"/>
      <c r="C485" s="53" t="s">
        <v>337</v>
      </c>
      <c r="D485" s="53" t="s">
        <v>397</v>
      </c>
      <c r="E485" s="84">
        <f>(59.6)*10.764</f>
        <v>641.53440000000001</v>
      </c>
      <c r="F485" s="82">
        <f>(2.328)*10.764</f>
        <v>25.058591999999997</v>
      </c>
      <c r="G485" s="82">
        <v>0</v>
      </c>
      <c r="H485" s="82">
        <f>E485+F485+(IF(G485&lt;101,G485,IF(G485&lt;201,G485/2,IF(G485&lt;=301,G485/3,G485/4))))</f>
        <v>666.59299199999998</v>
      </c>
      <c r="I485" s="1"/>
      <c r="J485" s="1"/>
      <c r="K485" s="1"/>
      <c r="L485" s="1"/>
      <c r="M485" s="1"/>
      <c r="N485" s="1"/>
      <c r="O485" s="1"/>
      <c r="P485" s="1"/>
      <c r="Q485" s="1"/>
      <c r="R485" s="1"/>
      <c r="S485" s="1"/>
      <c r="T485" s="23" t="e">
        <f ca="1">U485&amp;""&amp;" &amp; "&amp;""&amp;V485</f>
        <v>#REF!</v>
      </c>
      <c r="U485" s="23" t="e">
        <f ca="1">(SUMPRODUCT(MID(0&amp;(LEFT(A484,SUM(LEN(A484)-LEN(SUBSTITUTE(A484,{"0","1","2","3"},""))))), LARGE(INDEX(ISNUMBER(--MID((LEFT(A484,SUM(LEN(A484)-LEN(SUBSTITUTE(A484,{"0","1","2","3"},""))))), ROW(INDIRECT("1:"&amp;LEN((LEFT(A484,SUM(LEN(A484)-LEN(SUBSTITUTE(A484,{"0","1","2","3"},"")))))))), 1)) * ROW(INDIRECT("1:"&amp;LEN((LEFT(A484,SUM(LEN(A484)-LEN(SUBSTITUTE(A484,{"0","1","2","3"},"")))))))), 0), ROW(INDIRECT("1:"&amp;LEN((LEFT(A484,SUM(LEN(A484)-LEN(SUBSTITUTE(A484,{"0","1","2","3"},"")))))))))+1, 1) * 10^ROW(INDIRECT("1:"&amp;LEN((LEFT(A484,SUM(LEN(A484)-LEN(SUBSTITUTE(A484,{"0","1","2","3"},""))))))))/10))*100+1</f>
        <v>#REF!</v>
      </c>
      <c r="V485" s="23">
        <f ca="1">(SUMPRODUCT(MID(0&amp;(--TRIM(RIGHT(SUBSTITUTE(LEFT(A484,_xlfn.AGGREGATE(16,6,FIND({0,1,2,3,4,5,6,7,8,9},A484,ROW(INDIRECT("1:"&amp;LEN(A484)))),1))," ",REPT(" ",LEN(A484))),LEN(A484)))), LARGE(INDEX(ISNUMBER(--MID((--TRIM(RIGHT(SUBSTITUTE(LEFT(A484,_xlfn.AGGREGATE(16,6,FIND({0,1,2,3,4,5,6,7,8,9},A484,ROW(INDIRECT("1:"&amp;LEN(A484)))),1))," ",REPT(" ",LEN(A484))),LEN(A484)))), ROW(INDIRECT("1:"&amp;LEN((--TRIM(RIGHT(SUBSTITUTE(LEFT(A484,_xlfn.AGGREGATE(16,6,FIND({0,1,2,3,4,5,6,7,8,9},A484,ROW(INDIRECT("1:"&amp;LEN(A484)))),1))," ",REPT(" ",LEN(A484))),LEN(A484))))))), 1)) * ROW(INDIRECT("1:"&amp;LEN((--TRIM(RIGHT(SUBSTITUTE(LEFT(A484,_xlfn.AGGREGATE(16,6,FIND({0,1,2,3,4,5,6,7,8,9},A484,ROW(INDIRECT("1:"&amp;LEN(A484)))),1))," ",REPT(" ",LEN(A484))),LEN(A484))))))), 0), ROW(INDIRECT("1:"&amp;LEN((--TRIM(RIGHT(SUBSTITUTE(LEFT(A484,_xlfn.AGGREGATE(16,6,FIND({0,1,2,3,4,5,6,7,8,9},A484,ROW(INDIRECT("1:"&amp;LEN(A484)))),1))," ",REPT(" ",LEN(A484))),LEN(A484))))))))+1, 1) * 10^ROW(INDIRECT("1:"&amp;LEN((--TRIM(RIGHT(SUBSTITUTE(LEFT(A484,_xlfn.AGGREGATE(16,6,FIND({0,1,2,3,4,5,6,7,8,9},A484,ROW(INDIRECT("1:"&amp;LEN(A484)))),1))," ",REPT(" ",LEN(A484))),LEN(A484)))))))/10))*100+1</f>
        <v>401</v>
      </c>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row>
    <row r="486" spans="1:150 16226:16383" s="3" customFormat="1" ht="20.25" customHeight="1" x14ac:dyDescent="0.25">
      <c r="A486" s="86">
        <v>2</v>
      </c>
      <c r="B486" s="86"/>
      <c r="C486" s="53" t="s">
        <v>337</v>
      </c>
      <c r="D486" s="53" t="s">
        <v>397</v>
      </c>
      <c r="E486" s="84">
        <f>(59.6)*10.764</f>
        <v>641.53440000000001</v>
      </c>
      <c r="F486" s="82">
        <f>(2.328)*10.764</f>
        <v>25.058591999999997</v>
      </c>
      <c r="G486" s="82">
        <v>0</v>
      </c>
      <c r="H486" s="82">
        <f t="shared" ref="H486" si="138">E486+F486+(IF(G486&lt;101,G486,IF(G486&lt;201,G486/2,IF(G486&lt;=301,G486/3,G486/4))))</f>
        <v>666.59299199999998</v>
      </c>
      <c r="I486" s="1"/>
      <c r="J486" s="1"/>
      <c r="K486" s="1"/>
      <c r="L486" s="1"/>
      <c r="M486" s="1"/>
      <c r="N486" s="1"/>
      <c r="O486" s="1"/>
      <c r="P486" s="1"/>
      <c r="Q486" s="1"/>
      <c r="R486" s="1"/>
      <c r="S486" s="1"/>
      <c r="T486" s="23" t="e">
        <f t="shared" ref="T486" ca="1" si="139">U486&amp;""&amp;" &amp; "&amp;""&amp;V486</f>
        <v>#REF!</v>
      </c>
      <c r="U486" s="23" t="e">
        <f ca="1">U485+1</f>
        <v>#REF!</v>
      </c>
      <c r="V486" s="23">
        <f ca="1">V485+1</f>
        <v>402</v>
      </c>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row>
    <row r="487" spans="1:150 16226:16383" s="3" customFormat="1" ht="20.25" customHeight="1" x14ac:dyDescent="0.25">
      <c r="A487" s="86">
        <v>3</v>
      </c>
      <c r="B487" s="86"/>
      <c r="C487" s="53" t="s">
        <v>337</v>
      </c>
      <c r="D487" s="53" t="s">
        <v>397</v>
      </c>
      <c r="E487" s="84">
        <f>(60.553)*10.764</f>
        <v>651.79249199999992</v>
      </c>
      <c r="F487" s="82">
        <f>(2.317)*10.764</f>
        <v>24.940187999999999</v>
      </c>
      <c r="G487" s="82">
        <v>0</v>
      </c>
      <c r="H487" s="82">
        <f>E487+F487+(IF(G487&lt;101,G487,IF(G487&lt;201,G487/2,IF(G487&lt;=301,G487/3,G487/4))))</f>
        <v>676.73267999999996</v>
      </c>
      <c r="I487" s="1"/>
      <c r="J487" s="1"/>
      <c r="K487" s="1"/>
      <c r="L487" s="1"/>
      <c r="M487" s="1"/>
      <c r="N487" s="1"/>
      <c r="O487" s="1"/>
      <c r="P487" s="1"/>
      <c r="Q487" s="1"/>
      <c r="R487" s="1"/>
      <c r="S487" s="1"/>
      <c r="T487" s="23"/>
      <c r="U487" s="23"/>
      <c r="V487" s="23"/>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row>
    <row r="488" spans="1:150 16226:16383" s="3" customFormat="1" ht="20.25" customHeight="1" x14ac:dyDescent="0.25">
      <c r="A488" s="86">
        <v>4</v>
      </c>
      <c r="B488" s="86"/>
      <c r="C488" s="53" t="s">
        <v>337</v>
      </c>
      <c r="D488" s="53" t="s">
        <v>397</v>
      </c>
      <c r="E488" s="84">
        <f>(60.553)*10.764</f>
        <v>651.79249199999992</v>
      </c>
      <c r="F488" s="82">
        <f>(2.317)*10.764</f>
        <v>24.940187999999999</v>
      </c>
      <c r="G488" s="82">
        <v>0</v>
      </c>
      <c r="H488" s="82">
        <f t="shared" ref="H488" si="140">E488+F488+(IF(G488&lt;101,G488,IF(G488&lt;201,G488/2,IF(G488&lt;=301,G488/3,G488/4))))</f>
        <v>676.73267999999996</v>
      </c>
      <c r="I488" s="1"/>
      <c r="J488" s="1"/>
      <c r="K488" s="1"/>
      <c r="L488" s="1"/>
      <c r="M488" s="1"/>
      <c r="N488" s="1"/>
      <c r="O488" s="1"/>
      <c r="P488" s="1"/>
      <c r="Q488" s="1"/>
      <c r="R488" s="1"/>
      <c r="S488" s="1"/>
      <c r="T488" s="23"/>
      <c r="U488" s="23"/>
      <c r="V488" s="23"/>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row>
    <row r="489" spans="1:150 16226:16383" s="3" customFormat="1" ht="20.25" customHeight="1" x14ac:dyDescent="0.25">
      <c r="A489" s="86">
        <v>5</v>
      </c>
      <c r="B489" s="86"/>
      <c r="C489" s="53" t="s">
        <v>337</v>
      </c>
      <c r="D489" s="98" t="s">
        <v>401</v>
      </c>
      <c r="E489" s="99"/>
      <c r="F489" s="99"/>
      <c r="G489" s="99"/>
      <c r="H489" s="100"/>
      <c r="I489" s="1"/>
      <c r="J489" s="1"/>
      <c r="K489" s="1"/>
      <c r="L489" s="1"/>
      <c r="M489" s="1"/>
      <c r="N489" s="1"/>
      <c r="O489" s="1"/>
      <c r="P489" s="1"/>
      <c r="Q489" s="1"/>
      <c r="R489" s="1"/>
      <c r="S489" s="1"/>
      <c r="T489" s="23"/>
      <c r="U489" s="23"/>
      <c r="V489" s="23"/>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row>
    <row r="490" spans="1:150 16226:16383" s="3" customFormat="1" ht="20.25" customHeight="1" x14ac:dyDescent="0.25">
      <c r="A490" s="86">
        <v>6</v>
      </c>
      <c r="B490" s="86"/>
      <c r="C490" s="53" t="s">
        <v>337</v>
      </c>
      <c r="D490" s="101"/>
      <c r="E490" s="102"/>
      <c r="F490" s="102"/>
      <c r="G490" s="102"/>
      <c r="H490" s="103"/>
      <c r="I490" s="1"/>
      <c r="J490" s="1"/>
      <c r="K490" s="1"/>
      <c r="L490" s="1"/>
      <c r="M490" s="1"/>
      <c r="N490" s="1"/>
      <c r="O490" s="1"/>
      <c r="P490" s="1"/>
      <c r="Q490" s="1"/>
      <c r="R490" s="1"/>
      <c r="S490" s="1"/>
      <c r="T490" s="23"/>
      <c r="U490" s="23"/>
      <c r="V490" s="23"/>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row>
    <row r="491" spans="1:150 16226:16383" s="3" customFormat="1" ht="20.25" customHeight="1" x14ac:dyDescent="0.25">
      <c r="A491" s="86">
        <v>7</v>
      </c>
      <c r="B491" s="86"/>
      <c r="C491" s="53" t="s">
        <v>337</v>
      </c>
      <c r="D491" s="53" t="s">
        <v>397</v>
      </c>
      <c r="E491" s="84">
        <f>(60.553)*10.764</f>
        <v>651.79249199999992</v>
      </c>
      <c r="F491" s="82">
        <f>(2.317)*10.764</f>
        <v>24.940187999999999</v>
      </c>
      <c r="G491" s="82">
        <v>0</v>
      </c>
      <c r="H491" s="82">
        <f>E491+F491+(IF(G491&lt;101,G491,IF(G491&lt;201,G491/2,IF(G491&lt;=301,G491/3,G491/4))))</f>
        <v>676.73267999999996</v>
      </c>
      <c r="I491" s="1"/>
      <c r="J491" s="1"/>
      <c r="K491" s="1"/>
      <c r="L491" s="1"/>
      <c r="M491" s="1"/>
      <c r="N491" s="1"/>
      <c r="O491" s="1"/>
      <c r="P491" s="1"/>
      <c r="Q491" s="1"/>
      <c r="R491" s="1"/>
      <c r="S491" s="1"/>
      <c r="T491" s="23"/>
      <c r="U491" s="23"/>
      <c r="V491" s="23"/>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row>
    <row r="492" spans="1:150 16226:16383" s="3" customFormat="1" ht="20.25" customHeight="1" x14ac:dyDescent="0.25">
      <c r="A492" s="86">
        <v>8</v>
      </c>
      <c r="B492" s="86"/>
      <c r="C492" s="53" t="s">
        <v>337</v>
      </c>
      <c r="D492" s="53" t="s">
        <v>397</v>
      </c>
      <c r="E492" s="84">
        <f>(60.553)*10.764</f>
        <v>651.79249199999992</v>
      </c>
      <c r="F492" s="82">
        <f>(2.317)*10.764</f>
        <v>24.940187999999999</v>
      </c>
      <c r="G492" s="82">
        <v>0</v>
      </c>
      <c r="H492" s="82">
        <f t="shared" ref="H492" si="141">E492+F492+(IF(G492&lt;101,G492,IF(G492&lt;201,G492/2,IF(G492&lt;=301,G492/3,G492/4))))</f>
        <v>676.73267999999996</v>
      </c>
      <c r="I492" s="1"/>
      <c r="J492" s="1"/>
      <c r="K492" s="1"/>
      <c r="L492" s="1"/>
      <c r="M492" s="1"/>
      <c r="N492" s="1"/>
      <c r="O492" s="1"/>
      <c r="P492" s="1"/>
      <c r="Q492" s="1"/>
      <c r="R492" s="1"/>
      <c r="S492" s="1"/>
      <c r="T492" s="23"/>
      <c r="U492" s="23"/>
      <c r="V492" s="23"/>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row>
    <row r="493" spans="1:150 16226:16383" s="3" customFormat="1" ht="40.5" customHeight="1" x14ac:dyDescent="0.25">
      <c r="A493" s="89" t="s">
        <v>416</v>
      </c>
      <c r="B493" s="90"/>
      <c r="C493" s="90"/>
      <c r="D493" s="90"/>
      <c r="E493" s="90"/>
      <c r="F493" s="90"/>
      <c r="G493" s="90"/>
      <c r="H493" s="91"/>
      <c r="I493" s="77">
        <f>35</f>
        <v>35</v>
      </c>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row>
    <row r="494" spans="1:150 16226:16383" s="3" customFormat="1" ht="20.25" customHeight="1" x14ac:dyDescent="0.25">
      <c r="A494" s="86">
        <v>1</v>
      </c>
      <c r="B494" s="86"/>
      <c r="C494" s="53" t="s">
        <v>337</v>
      </c>
      <c r="D494" s="53" t="s">
        <v>397</v>
      </c>
      <c r="E494" s="84">
        <f>(59.6)*10.764</f>
        <v>641.53440000000001</v>
      </c>
      <c r="F494" s="82">
        <f>(2.328)*10.764</f>
        <v>25.058591999999997</v>
      </c>
      <c r="G494" s="82">
        <v>0</v>
      </c>
      <c r="H494" s="82">
        <f>E494+F494+(IF(G494&lt;101,G494,IF(G494&lt;201,G494/2,IF(G494&lt;=301,G494/3,G494/4))))</f>
        <v>666.59299199999998</v>
      </c>
      <c r="I494" s="1"/>
      <c r="J494" s="1"/>
      <c r="K494" s="1"/>
      <c r="L494" s="1"/>
      <c r="M494" s="1"/>
      <c r="N494" s="1"/>
      <c r="O494" s="1"/>
      <c r="P494" s="1"/>
      <c r="Q494" s="1"/>
      <c r="R494" s="1"/>
      <c r="S494" s="1"/>
      <c r="T494" s="23"/>
      <c r="U494" s="23"/>
      <c r="V494" s="23"/>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row>
    <row r="495" spans="1:150 16226:16383" s="3" customFormat="1" ht="20.25" customHeight="1" x14ac:dyDescent="0.25">
      <c r="A495" s="86">
        <v>2</v>
      </c>
      <c r="B495" s="86"/>
      <c r="C495" s="53" t="s">
        <v>337</v>
      </c>
      <c r="D495" s="53" t="s">
        <v>397</v>
      </c>
      <c r="E495" s="84">
        <f>(59.6)*10.764</f>
        <v>641.53440000000001</v>
      </c>
      <c r="F495" s="82">
        <f>(2.328)*10.764</f>
        <v>25.058591999999997</v>
      </c>
      <c r="G495" s="82">
        <v>0</v>
      </c>
      <c r="H495" s="82">
        <f t="shared" ref="H495" si="142">E495+F495+(IF(G495&lt;101,G495,IF(G495&lt;201,G495/2,IF(G495&lt;=301,G495/3,G495/4))))</f>
        <v>666.59299199999998</v>
      </c>
      <c r="I495" s="1"/>
      <c r="J495" s="1"/>
      <c r="K495" s="1"/>
      <c r="L495" s="1"/>
      <c r="M495" s="1"/>
      <c r="N495" s="1"/>
      <c r="O495" s="1"/>
      <c r="P495" s="1"/>
      <c r="Q495" s="1"/>
      <c r="R495" s="1"/>
      <c r="S495" s="1"/>
      <c r="T495" s="23"/>
      <c r="U495" s="23"/>
      <c r="V495" s="23"/>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row>
    <row r="496" spans="1:150 16226:16383" s="3" customFormat="1" ht="20.25" customHeight="1" x14ac:dyDescent="0.25">
      <c r="A496" s="86">
        <v>3</v>
      </c>
      <c r="B496" s="86"/>
      <c r="C496" s="53" t="s">
        <v>337</v>
      </c>
      <c r="D496" s="53" t="s">
        <v>397</v>
      </c>
      <c r="E496" s="84">
        <f>(60.553)*10.764</f>
        <v>651.79249199999992</v>
      </c>
      <c r="F496" s="82">
        <f>(2.317)*10.764</f>
        <v>24.940187999999999</v>
      </c>
      <c r="G496" s="82">
        <v>0</v>
      </c>
      <c r="H496" s="82">
        <f>E496+F496+(IF(G496&lt;101,G496,IF(G496&lt;201,G496/2,IF(G496&lt;=301,G496/3,G496/4))))</f>
        <v>676.73267999999996</v>
      </c>
      <c r="I496" s="1"/>
      <c r="J496" s="1"/>
      <c r="K496" s="1"/>
      <c r="L496" s="1"/>
      <c r="M496" s="1"/>
      <c r="N496" s="1"/>
      <c r="O496" s="1"/>
      <c r="P496" s="1"/>
      <c r="Q496" s="1"/>
      <c r="R496" s="1"/>
      <c r="S496" s="1"/>
      <c r="T496" s="23"/>
      <c r="U496" s="23"/>
      <c r="V496" s="23"/>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row>
    <row r="497" spans="1:150 16226:16383" s="3" customFormat="1" ht="20.25" customHeight="1" x14ac:dyDescent="0.25">
      <c r="A497" s="86">
        <v>4</v>
      </c>
      <c r="B497" s="86"/>
      <c r="C497" s="53" t="s">
        <v>337</v>
      </c>
      <c r="D497" s="53" t="s">
        <v>397</v>
      </c>
      <c r="E497" s="84">
        <f>(60.553)*10.764</f>
        <v>651.79249199999992</v>
      </c>
      <c r="F497" s="82">
        <f>(2.317)*10.764</f>
        <v>24.940187999999999</v>
      </c>
      <c r="G497" s="82">
        <v>0</v>
      </c>
      <c r="H497" s="82">
        <f t="shared" ref="H497" si="143">E497+F497+(IF(G497&lt;101,G497,IF(G497&lt;201,G497/2,IF(G497&lt;=301,G497/3,G497/4))))</f>
        <v>676.73267999999996</v>
      </c>
      <c r="I497" s="1"/>
      <c r="J497" s="1"/>
      <c r="K497" s="1"/>
      <c r="L497" s="1"/>
      <c r="M497" s="1"/>
      <c r="N497" s="1"/>
      <c r="O497" s="1"/>
      <c r="P497" s="1"/>
      <c r="Q497" s="1"/>
      <c r="R497" s="1"/>
      <c r="S497" s="1"/>
      <c r="T497" s="23"/>
      <c r="U497" s="23"/>
      <c r="V497" s="23"/>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row>
    <row r="498" spans="1:150 16226:16383" s="3" customFormat="1" ht="20.25" customHeight="1" x14ac:dyDescent="0.25">
      <c r="A498" s="86">
        <v>5</v>
      </c>
      <c r="B498" s="86"/>
      <c r="C498" s="53" t="s">
        <v>337</v>
      </c>
      <c r="D498" s="53" t="s">
        <v>397</v>
      </c>
      <c r="E498" s="84">
        <f>(67.684)*10.764</f>
        <v>728.55057599999998</v>
      </c>
      <c r="F498" s="82">
        <f>(2.621)*10.764</f>
        <v>28.212443999999998</v>
      </c>
      <c r="G498" s="82">
        <v>0</v>
      </c>
      <c r="H498" s="82">
        <f>E498+F498+(IF(G498&lt;101,G498,IF(G498&lt;201,G498/2,IF(G498&lt;=301,G498/3,G498/4))))</f>
        <v>756.76301999999998</v>
      </c>
      <c r="I498" s="1"/>
      <c r="J498" s="1"/>
      <c r="K498" s="1"/>
      <c r="L498" s="1"/>
      <c r="M498" s="1"/>
      <c r="N498" s="1"/>
      <c r="O498" s="1"/>
      <c r="P498" s="1"/>
      <c r="Q498" s="1"/>
      <c r="R498" s="1"/>
      <c r="S498" s="1"/>
      <c r="T498" s="23"/>
      <c r="U498" s="23"/>
      <c r="V498" s="23"/>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row>
    <row r="499" spans="1:150 16226:16383" s="3" customFormat="1" ht="20.25" customHeight="1" x14ac:dyDescent="0.25">
      <c r="A499" s="86">
        <v>6</v>
      </c>
      <c r="B499" s="86"/>
      <c r="C499" s="53" t="s">
        <v>337</v>
      </c>
      <c r="D499" s="53" t="s">
        <v>397</v>
      </c>
      <c r="E499" s="84">
        <f>(67.684)*10.764</f>
        <v>728.55057599999998</v>
      </c>
      <c r="F499" s="82">
        <f>(2.621)*10.764</f>
        <v>28.212443999999998</v>
      </c>
      <c r="G499" s="82">
        <v>0</v>
      </c>
      <c r="H499" s="82">
        <f t="shared" ref="H499" si="144">E499+F499+(IF(G499&lt;101,G499,IF(G499&lt;201,G499/2,IF(G499&lt;=301,G499/3,G499/4))))</f>
        <v>756.76301999999998</v>
      </c>
      <c r="I499" s="1"/>
      <c r="J499" s="1"/>
      <c r="K499" s="1"/>
      <c r="L499" s="1"/>
      <c r="M499" s="1"/>
      <c r="N499" s="1"/>
      <c r="O499" s="1"/>
      <c r="P499" s="1"/>
      <c r="Q499" s="1"/>
      <c r="R499" s="1"/>
      <c r="S499" s="1"/>
      <c r="T499" s="23"/>
      <c r="U499" s="23"/>
      <c r="V499" s="23"/>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WZB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row>
    <row r="500" spans="1:150 16226:16383" s="3" customFormat="1" ht="20.25" customHeight="1" x14ac:dyDescent="0.25">
      <c r="A500" s="86">
        <v>7</v>
      </c>
      <c r="B500" s="86"/>
      <c r="C500" s="53" t="s">
        <v>337</v>
      </c>
      <c r="D500" s="53" t="s">
        <v>397</v>
      </c>
      <c r="E500" s="84">
        <f>(60.553)*10.764</f>
        <v>651.79249199999992</v>
      </c>
      <c r="F500" s="82">
        <f>(2.317)*10.764</f>
        <v>24.940187999999999</v>
      </c>
      <c r="G500" s="82">
        <v>0</v>
      </c>
      <c r="H500" s="82">
        <f>E500+F500+(IF(G500&lt;101,G500,IF(G500&lt;201,G500/2,IF(G500&lt;=301,G500/3,G500/4))))</f>
        <v>676.73267999999996</v>
      </c>
      <c r="I500" s="1"/>
      <c r="J500" s="1"/>
      <c r="K500" s="1"/>
      <c r="L500" s="1"/>
      <c r="M500" s="1"/>
      <c r="N500" s="1"/>
      <c r="O500" s="1"/>
      <c r="P500" s="1"/>
      <c r="Q500" s="1"/>
      <c r="R500" s="1"/>
      <c r="S500" s="1"/>
      <c r="T500" s="23"/>
      <c r="U500" s="23"/>
      <c r="V500" s="23"/>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row>
    <row r="501" spans="1:150 16226:16383" s="3" customFormat="1" ht="20.25" customHeight="1" x14ac:dyDescent="0.25">
      <c r="A501" s="86">
        <v>8</v>
      </c>
      <c r="B501" s="86"/>
      <c r="C501" s="53" t="s">
        <v>337</v>
      </c>
      <c r="D501" s="53" t="s">
        <v>397</v>
      </c>
      <c r="E501" s="84">
        <f>(60.553)*10.764</f>
        <v>651.79249199999992</v>
      </c>
      <c r="F501" s="82">
        <f>(2.317)*10.764</f>
        <v>24.940187999999999</v>
      </c>
      <c r="G501" s="82">
        <v>0</v>
      </c>
      <c r="H501" s="82">
        <f t="shared" ref="H501" si="145">E501+F501+(IF(G501&lt;101,G501,IF(G501&lt;201,G501/2,IF(G501&lt;=301,G501/3,G501/4))))</f>
        <v>676.73267999999996</v>
      </c>
      <c r="I501" s="1"/>
      <c r="J501" s="1"/>
      <c r="K501" s="1"/>
      <c r="L501" s="1"/>
      <c r="M501" s="1"/>
      <c r="N501" s="1"/>
      <c r="O501" s="1"/>
      <c r="P501" s="1"/>
      <c r="Q501" s="1"/>
      <c r="R501" s="1"/>
      <c r="S501" s="1"/>
      <c r="T501" s="23"/>
      <c r="U501" s="23"/>
      <c r="V501" s="23"/>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row>
    <row r="502" spans="1:150 16226:16383" s="3" customFormat="1" ht="20.25" x14ac:dyDescent="0.25">
      <c r="A502" s="89" t="s">
        <v>410</v>
      </c>
      <c r="B502" s="90"/>
      <c r="C502" s="90"/>
      <c r="D502" s="90"/>
      <c r="E502" s="90"/>
      <c r="F502" s="90"/>
      <c r="G502" s="90"/>
      <c r="H502" s="91"/>
      <c r="I502" s="77">
        <f>8</f>
        <v>8</v>
      </c>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row>
    <row r="503" spans="1:150 16226:16383" s="3" customFormat="1" ht="20.25" customHeight="1" x14ac:dyDescent="0.25">
      <c r="A503" s="86">
        <v>1</v>
      </c>
      <c r="B503" s="86"/>
      <c r="C503" s="53" t="s">
        <v>337</v>
      </c>
      <c r="D503" s="95" t="s">
        <v>355</v>
      </c>
      <c r="E503" s="96"/>
      <c r="F503" s="96"/>
      <c r="G503" s="96"/>
      <c r="H503" s="97"/>
      <c r="I503" s="1"/>
      <c r="J503" s="1"/>
      <c r="K503" s="1"/>
      <c r="L503" s="1"/>
      <c r="M503" s="1"/>
      <c r="N503" s="1"/>
      <c r="O503" s="1"/>
      <c r="P503" s="1"/>
      <c r="Q503" s="1"/>
      <c r="R503" s="1"/>
      <c r="S503" s="1"/>
      <c r="T503" s="23"/>
      <c r="U503" s="23"/>
      <c r="V503" s="23"/>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row>
    <row r="504" spans="1:150 16226:16383" s="3" customFormat="1" ht="20.25" customHeight="1" x14ac:dyDescent="0.25">
      <c r="A504" s="86">
        <v>2</v>
      </c>
      <c r="B504" s="86"/>
      <c r="C504" s="53" t="s">
        <v>337</v>
      </c>
      <c r="D504" s="53" t="s">
        <v>345</v>
      </c>
      <c r="E504" s="84">
        <f>(91.1)*10.764</f>
        <v>980.60039999999992</v>
      </c>
      <c r="F504" s="82">
        <f>(4.656)*10.764</f>
        <v>50.117183999999995</v>
      </c>
      <c r="G504" s="82">
        <v>0</v>
      </c>
      <c r="H504" s="82">
        <f t="shared" ref="H504" si="146">E504+F504+(IF(G504&lt;101,G504,IF(G504&lt;201,G504/2,IF(G504&lt;=301,G504/3,G504/4))))</f>
        <v>1030.717584</v>
      </c>
      <c r="I504" s="1"/>
      <c r="J504" s="1"/>
      <c r="K504" s="1"/>
      <c r="L504" s="1"/>
      <c r="M504" s="1"/>
      <c r="N504" s="1"/>
      <c r="O504" s="1"/>
      <c r="P504" s="1"/>
      <c r="Q504" s="1"/>
      <c r="R504" s="1"/>
      <c r="S504" s="1"/>
      <c r="T504" s="23"/>
      <c r="U504" s="23"/>
      <c r="V504" s="23"/>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row>
    <row r="505" spans="1:150 16226:16383" s="3" customFormat="1" ht="20.25" customHeight="1" x14ac:dyDescent="0.25">
      <c r="A505" s="86">
        <v>3</v>
      </c>
      <c r="B505" s="86"/>
      <c r="C505" s="53" t="s">
        <v>337</v>
      </c>
      <c r="D505" s="53" t="s">
        <v>397</v>
      </c>
      <c r="E505" s="84">
        <f>(60.553)*10.764</f>
        <v>651.79249199999992</v>
      </c>
      <c r="F505" s="82">
        <f>(2.317)*10.764</f>
        <v>24.940187999999999</v>
      </c>
      <c r="G505" s="82">
        <v>0</v>
      </c>
      <c r="H505" s="82">
        <f>E505+F505+(IF(G505&lt;101,G505,IF(G505&lt;201,G505/2,IF(G505&lt;=301,G505/3,G505/4))))</f>
        <v>676.73267999999996</v>
      </c>
      <c r="I505" s="1"/>
      <c r="J505" s="1"/>
      <c r="K505" s="1"/>
      <c r="L505" s="1"/>
      <c r="M505" s="1"/>
      <c r="N505" s="1"/>
      <c r="O505" s="1"/>
      <c r="P505" s="1"/>
      <c r="Q505" s="1"/>
      <c r="R505" s="1"/>
      <c r="S505" s="1"/>
      <c r="T505" s="23"/>
      <c r="U505" s="23"/>
      <c r="V505" s="23"/>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row>
    <row r="506" spans="1:150 16226:16383" s="3" customFormat="1" ht="20.25" customHeight="1" x14ac:dyDescent="0.25">
      <c r="A506" s="86">
        <v>4</v>
      </c>
      <c r="B506" s="86"/>
      <c r="C506" s="53" t="s">
        <v>337</v>
      </c>
      <c r="D506" s="53" t="s">
        <v>397</v>
      </c>
      <c r="E506" s="84">
        <f>(60.553)*10.764</f>
        <v>651.79249199999992</v>
      </c>
      <c r="F506" s="82">
        <f>(2.317)*10.764</f>
        <v>24.940187999999999</v>
      </c>
      <c r="G506" s="82">
        <v>0</v>
      </c>
      <c r="H506" s="82">
        <f t="shared" ref="H506" si="147">E506+F506+(IF(G506&lt;101,G506,IF(G506&lt;201,G506/2,IF(G506&lt;=301,G506/3,G506/4))))</f>
        <v>676.73267999999996</v>
      </c>
      <c r="I506" s="1"/>
      <c r="J506" s="1"/>
      <c r="K506" s="1"/>
      <c r="L506" s="1"/>
      <c r="M506" s="1"/>
      <c r="N506" s="1"/>
      <c r="O506" s="1"/>
      <c r="P506" s="1"/>
      <c r="Q506" s="1"/>
      <c r="R506" s="1"/>
      <c r="S506" s="1"/>
      <c r="T506" s="23"/>
      <c r="U506" s="23"/>
      <c r="V506" s="23"/>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row>
    <row r="507" spans="1:150 16226:16383" s="3" customFormat="1" ht="20.25" customHeight="1" x14ac:dyDescent="0.25">
      <c r="A507" s="86">
        <v>5</v>
      </c>
      <c r="B507" s="86"/>
      <c r="C507" s="53" t="s">
        <v>337</v>
      </c>
      <c r="D507" s="53" t="s">
        <v>397</v>
      </c>
      <c r="E507" s="84">
        <f>(67.684)*10.764</f>
        <v>728.55057599999998</v>
      </c>
      <c r="F507" s="82">
        <f>(2.621)*10.764</f>
        <v>28.212443999999998</v>
      </c>
      <c r="G507" s="82">
        <v>0</v>
      </c>
      <c r="H507" s="82">
        <f>E507+F507+(IF(G507&lt;101,G507,IF(G507&lt;201,G507/2,IF(G507&lt;=301,G507/3,G507/4))))</f>
        <v>756.76301999999998</v>
      </c>
      <c r="I507" s="1"/>
      <c r="J507" s="1"/>
      <c r="K507" s="1"/>
      <c r="L507" s="1"/>
      <c r="M507" s="1"/>
      <c r="N507" s="1"/>
      <c r="O507" s="1"/>
      <c r="P507" s="1"/>
      <c r="Q507" s="1"/>
      <c r="R507" s="1"/>
      <c r="S507" s="1"/>
      <c r="T507" s="23"/>
      <c r="U507" s="23"/>
      <c r="V507" s="23"/>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row>
    <row r="508" spans="1:150 16226:16383" s="3" customFormat="1" ht="20.25" customHeight="1" x14ac:dyDescent="0.25">
      <c r="A508" s="86">
        <v>6</v>
      </c>
      <c r="B508" s="86"/>
      <c r="C508" s="53" t="s">
        <v>337</v>
      </c>
      <c r="D508" s="53" t="s">
        <v>397</v>
      </c>
      <c r="E508" s="84">
        <f>(67.684)*10.764</f>
        <v>728.55057599999998</v>
      </c>
      <c r="F508" s="82">
        <f>(2.621)*10.764</f>
        <v>28.212443999999998</v>
      </c>
      <c r="G508" s="82">
        <v>0</v>
      </c>
      <c r="H508" s="82">
        <f t="shared" ref="H508" si="148">E508+F508+(IF(G508&lt;101,G508,IF(G508&lt;201,G508/2,IF(G508&lt;=301,G508/3,G508/4))))</f>
        <v>756.76301999999998</v>
      </c>
      <c r="I508" s="1"/>
      <c r="J508" s="1"/>
      <c r="K508" s="1"/>
      <c r="L508" s="1"/>
      <c r="M508" s="1"/>
      <c r="N508" s="1"/>
      <c r="O508" s="1"/>
      <c r="P508" s="1"/>
      <c r="Q508" s="1"/>
      <c r="R508" s="1"/>
      <c r="S508" s="1"/>
      <c r="T508" s="23"/>
      <c r="U508" s="23"/>
      <c r="V508" s="23"/>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row>
    <row r="509" spans="1:150 16226:16383" s="3" customFormat="1" ht="20.25" customHeight="1" x14ac:dyDescent="0.25">
      <c r="A509" s="86">
        <v>7</v>
      </c>
      <c r="B509" s="86"/>
      <c r="C509" s="53" t="s">
        <v>337</v>
      </c>
      <c r="D509" s="53" t="s">
        <v>397</v>
      </c>
      <c r="E509" s="84">
        <f>(60.553)*10.764</f>
        <v>651.79249199999992</v>
      </c>
      <c r="F509" s="82">
        <f>(2.317)*10.764</f>
        <v>24.940187999999999</v>
      </c>
      <c r="G509" s="82">
        <v>0</v>
      </c>
      <c r="H509" s="82">
        <f>E509+F509+(IF(G509&lt;101,G509,IF(G509&lt;201,G509/2,IF(G509&lt;=301,G509/3,G509/4))))</f>
        <v>676.73267999999996</v>
      </c>
      <c r="I509" s="1"/>
      <c r="J509" s="1"/>
      <c r="K509" s="1"/>
      <c r="L509" s="1"/>
      <c r="M509" s="1"/>
      <c r="N509" s="1"/>
      <c r="O509" s="1"/>
      <c r="P509" s="1"/>
      <c r="Q509" s="1"/>
      <c r="R509" s="1"/>
      <c r="S509" s="1"/>
      <c r="T509" s="23"/>
      <c r="U509" s="23"/>
      <c r="V509" s="23"/>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WZB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row>
    <row r="510" spans="1:150 16226:16383" s="3" customFormat="1" ht="20.25" customHeight="1" x14ac:dyDescent="0.25">
      <c r="A510" s="86">
        <v>8</v>
      </c>
      <c r="B510" s="86"/>
      <c r="C510" s="53" t="s">
        <v>337</v>
      </c>
      <c r="D510" s="53" t="s">
        <v>397</v>
      </c>
      <c r="E510" s="84">
        <f>(60.553)*10.764</f>
        <v>651.79249199999992</v>
      </c>
      <c r="F510" s="82">
        <f>(2.317)*10.764</f>
        <v>24.940187999999999</v>
      </c>
      <c r="G510" s="82">
        <v>0</v>
      </c>
      <c r="H510" s="82">
        <f t="shared" ref="H510" si="149">E510+F510+(IF(G510&lt;101,G510,IF(G510&lt;201,G510/2,IF(G510&lt;=301,G510/3,G510/4))))</f>
        <v>676.73267999999996</v>
      </c>
      <c r="I510" s="1"/>
      <c r="J510" s="1"/>
      <c r="K510" s="1"/>
      <c r="L510" s="1"/>
      <c r="M510" s="1"/>
      <c r="N510" s="1"/>
      <c r="O510" s="1"/>
      <c r="P510" s="1"/>
      <c r="Q510" s="1"/>
      <c r="R510" s="1"/>
      <c r="S510" s="1"/>
      <c r="T510" s="23"/>
      <c r="U510" s="23"/>
      <c r="V510" s="23"/>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row>
    <row r="511" spans="1:150 16226:16383" ht="20.25" x14ac:dyDescent="0.25">
      <c r="A511" s="150" t="s">
        <v>70</v>
      </c>
      <c r="B511" s="151"/>
      <c r="C511" s="151"/>
      <c r="D511" s="151"/>
      <c r="E511" s="151"/>
      <c r="F511" s="151"/>
      <c r="G511" s="151"/>
      <c r="H511" s="152"/>
    </row>
    <row r="512" spans="1:150 16226:16383" ht="20.25" x14ac:dyDescent="0.25">
      <c r="A512" s="2" t="s">
        <v>235</v>
      </c>
      <c r="B512" s="112" t="s">
        <v>370</v>
      </c>
      <c r="C512" s="113"/>
      <c r="D512" s="113"/>
      <c r="E512" s="113"/>
      <c r="F512" s="113"/>
      <c r="G512" s="113"/>
      <c r="H512" s="114"/>
    </row>
    <row r="513" spans="1:8" ht="20.25" x14ac:dyDescent="0.25">
      <c r="A513" s="2" t="s">
        <v>235</v>
      </c>
      <c r="B513" s="112" t="s">
        <v>236</v>
      </c>
      <c r="C513" s="113"/>
      <c r="D513" s="113"/>
      <c r="E513" s="113"/>
      <c r="F513" s="113"/>
      <c r="G513" s="113"/>
      <c r="H513" s="114"/>
    </row>
    <row r="514" spans="1:8" ht="20.25" x14ac:dyDescent="0.25">
      <c r="A514" s="2" t="s">
        <v>235</v>
      </c>
      <c r="B514" s="112" t="s">
        <v>364</v>
      </c>
      <c r="C514" s="113"/>
      <c r="D514" s="113"/>
      <c r="E514" s="113"/>
      <c r="F514" s="113"/>
      <c r="G514" s="113"/>
      <c r="H514" s="114"/>
    </row>
    <row r="515" spans="1:8" ht="20.25" x14ac:dyDescent="0.25">
      <c r="A515" s="2" t="s">
        <v>235</v>
      </c>
      <c r="B515" s="112" t="s">
        <v>237</v>
      </c>
      <c r="C515" s="113"/>
      <c r="D515" s="113"/>
      <c r="E515" s="113"/>
      <c r="F515" s="113"/>
      <c r="G515" s="113"/>
      <c r="H515" s="114"/>
    </row>
    <row r="516" spans="1:8" ht="20.25" x14ac:dyDescent="0.25">
      <c r="A516" s="2" t="s">
        <v>235</v>
      </c>
      <c r="B516" s="112" t="s">
        <v>238</v>
      </c>
      <c r="C516" s="113"/>
      <c r="D516" s="113"/>
      <c r="E516" s="113"/>
      <c r="F516" s="113"/>
      <c r="G516" s="113"/>
      <c r="H516" s="114"/>
    </row>
    <row r="517" spans="1:8" ht="20.25" x14ac:dyDescent="0.25">
      <c r="A517" s="2" t="s">
        <v>235</v>
      </c>
      <c r="B517" s="112" t="s">
        <v>365</v>
      </c>
      <c r="C517" s="113"/>
      <c r="D517" s="113"/>
      <c r="E517" s="113"/>
      <c r="F517" s="113"/>
      <c r="G517" s="113"/>
      <c r="H517" s="114"/>
    </row>
    <row r="518" spans="1:8" ht="41.25" customHeight="1" x14ac:dyDescent="0.25">
      <c r="A518" s="2" t="s">
        <v>235</v>
      </c>
      <c r="B518" s="112" t="s">
        <v>366</v>
      </c>
      <c r="C518" s="113"/>
      <c r="D518" s="113"/>
      <c r="E518" s="113"/>
      <c r="F518" s="113"/>
      <c r="G518" s="113"/>
      <c r="H518" s="114"/>
    </row>
    <row r="519" spans="1:8" ht="46.5" hidden="1" customHeight="1" x14ac:dyDescent="0.25">
      <c r="A519" s="2" t="s">
        <v>235</v>
      </c>
      <c r="B519" s="165" t="s">
        <v>239</v>
      </c>
      <c r="C519" s="113"/>
      <c r="D519" s="113"/>
      <c r="E519" s="113"/>
      <c r="F519" s="113"/>
      <c r="G519" s="113"/>
      <c r="H519" s="114"/>
    </row>
    <row r="520" spans="1:8" ht="20.25" x14ac:dyDescent="0.25">
      <c r="A520" s="157" t="s">
        <v>76</v>
      </c>
      <c r="B520" s="157"/>
      <c r="C520" s="157"/>
      <c r="D520" s="157"/>
      <c r="E520" s="157"/>
      <c r="F520" s="157"/>
      <c r="G520" s="157"/>
      <c r="H520" s="157"/>
    </row>
    <row r="521" spans="1:8" ht="20.25" x14ac:dyDescent="0.25">
      <c r="A521" s="135" t="s">
        <v>71</v>
      </c>
      <c r="B521" s="135"/>
      <c r="C521" s="135"/>
      <c r="D521" s="112" t="str">
        <f>C3</f>
        <v>Hiranandani Westgate Phase 1</v>
      </c>
      <c r="E521" s="113"/>
      <c r="F521" s="113"/>
      <c r="G521" s="113"/>
      <c r="H521" s="114"/>
    </row>
    <row r="522" spans="1:8" ht="40.5" customHeight="1" x14ac:dyDescent="0.25">
      <c r="A522" s="135" t="s">
        <v>106</v>
      </c>
      <c r="B522" s="135"/>
      <c r="C522" s="135"/>
      <c r="D522" s="112" t="str">
        <f>C9</f>
        <v>S. No. 138/2/15, 214/6, 214/8, 214/9A, 214/9B, 215/1, 215/2, 215/3A, 215/3B, 216/1, 216/2, 218/1, 218/2, 218/3, 218/4, 218/5, 218/6, 218/7, 219/1, 219/2, 219/3A, 219/3B, 219/4, 219/5, 219/6, 219/7, 220/1/A, 220/1/B, 220/2, 220/3, 220/4A, 220/4B, 220/5, 220/6, 221/1, 221/2, 222/1/A, 222/2/B, 222/2/C, 222/3, 222/4, 222/5, 222/6, 222/7, 222/8, 231/2/2/A, 231/2/2/B, 231/2/2/C, 231/2/2/D, 231/3/A, 231/3/B, 231/4, 231/6A, 231/6B, 232/1, 232/2, 232/3, 232/4, 232/5A, 232/5B, 285, 286, 288 at Thane (M Corp.), Thane, Thane, 400607</v>
      </c>
      <c r="E522" s="113"/>
      <c r="F522" s="113"/>
      <c r="G522" s="113"/>
      <c r="H522" s="114"/>
    </row>
    <row r="523" spans="1:8" ht="20.25" customHeight="1" x14ac:dyDescent="0.25">
      <c r="A523" s="163" t="s">
        <v>112</v>
      </c>
      <c r="B523" s="163"/>
      <c r="C523" s="163"/>
      <c r="D523" s="112" t="str">
        <f>G3</f>
        <v>11/08/2025 @ 12:13 PM</v>
      </c>
      <c r="E523" s="113"/>
      <c r="F523" s="113"/>
      <c r="G523" s="113"/>
      <c r="H523" s="114"/>
    </row>
    <row r="524" spans="1:8" ht="20.25" x14ac:dyDescent="0.25">
      <c r="A524" s="10"/>
      <c r="B524" s="11"/>
      <c r="C524" s="11"/>
      <c r="D524" s="11"/>
      <c r="E524" s="11"/>
      <c r="F524" s="11"/>
      <c r="G524" s="11"/>
      <c r="H524" s="7"/>
    </row>
    <row r="525" spans="1:8" ht="20.25" x14ac:dyDescent="0.25">
      <c r="A525" s="12"/>
      <c r="B525" s="13"/>
      <c r="C525" s="13"/>
      <c r="D525" s="13"/>
      <c r="E525" s="13"/>
      <c r="F525" s="13"/>
      <c r="G525" s="13"/>
      <c r="H525" s="8"/>
    </row>
    <row r="526" spans="1:8" ht="20.25" x14ac:dyDescent="0.25">
      <c r="A526" s="12"/>
      <c r="B526" s="13"/>
      <c r="C526" s="13"/>
      <c r="D526" s="13"/>
      <c r="E526" s="13"/>
      <c r="F526" s="13"/>
      <c r="G526" s="13"/>
      <c r="H526" s="8"/>
    </row>
    <row r="527" spans="1:8" ht="20.25" x14ac:dyDescent="0.25">
      <c r="A527" s="12"/>
      <c r="B527" s="13"/>
      <c r="C527" s="13"/>
      <c r="D527" s="13"/>
      <c r="E527" s="13"/>
      <c r="F527" s="13"/>
      <c r="G527" s="13"/>
      <c r="H527" s="8"/>
    </row>
    <row r="528" spans="1:8" ht="20.25" x14ac:dyDescent="0.25">
      <c r="A528" s="12"/>
      <c r="B528" s="13"/>
      <c r="C528" s="13"/>
      <c r="D528" s="13"/>
      <c r="E528" s="13"/>
      <c r="F528" s="13"/>
      <c r="G528" s="13"/>
      <c r="H528" s="8"/>
    </row>
    <row r="529" spans="1:8" ht="20.25" x14ac:dyDescent="0.25">
      <c r="A529" s="12"/>
      <c r="B529" s="13"/>
      <c r="C529" s="13"/>
      <c r="D529" s="13"/>
      <c r="E529" s="13"/>
      <c r="F529" s="13"/>
      <c r="G529" s="13"/>
      <c r="H529" s="8"/>
    </row>
    <row r="530" spans="1:8" ht="20.25" x14ac:dyDescent="0.25">
      <c r="A530" s="12"/>
      <c r="B530" s="13"/>
      <c r="C530" s="13"/>
      <c r="D530" s="13"/>
      <c r="E530" s="13"/>
      <c r="F530" s="13"/>
      <c r="G530" s="13"/>
      <c r="H530" s="8"/>
    </row>
    <row r="531" spans="1:8" ht="20.25" x14ac:dyDescent="0.25">
      <c r="A531" s="12"/>
      <c r="B531" s="13"/>
      <c r="C531" s="13"/>
      <c r="D531" s="13"/>
      <c r="E531" s="13"/>
      <c r="F531" s="13"/>
      <c r="G531" s="13"/>
      <c r="H531" s="8"/>
    </row>
    <row r="532" spans="1:8" ht="20.25" x14ac:dyDescent="0.25">
      <c r="A532" s="12"/>
      <c r="B532" s="13"/>
      <c r="C532" s="13"/>
      <c r="D532" s="13"/>
      <c r="E532" s="13"/>
      <c r="F532" s="13"/>
      <c r="G532" s="13"/>
      <c r="H532" s="8"/>
    </row>
    <row r="533" spans="1:8" ht="20.25" x14ac:dyDescent="0.25">
      <c r="A533" s="12"/>
      <c r="B533" s="13"/>
      <c r="C533" s="13"/>
      <c r="D533" s="13"/>
      <c r="E533" s="13"/>
      <c r="F533" s="13"/>
      <c r="G533" s="13"/>
      <c r="H533" s="8"/>
    </row>
    <row r="534" spans="1:8" ht="20.25" x14ac:dyDescent="0.25">
      <c r="A534" s="12"/>
      <c r="B534" s="13"/>
      <c r="C534" s="13"/>
      <c r="D534" s="13"/>
      <c r="E534" s="13"/>
      <c r="F534" s="13"/>
      <c r="G534" s="13"/>
      <c r="H534" s="8"/>
    </row>
    <row r="535" spans="1:8" ht="20.25" x14ac:dyDescent="0.25">
      <c r="A535" s="12"/>
      <c r="B535" s="13"/>
      <c r="C535" s="13"/>
      <c r="D535" s="13"/>
      <c r="E535" s="13"/>
      <c r="F535" s="13"/>
      <c r="G535" s="13"/>
      <c r="H535" s="8"/>
    </row>
    <row r="536" spans="1:8" ht="20.25" x14ac:dyDescent="0.25">
      <c r="A536" s="12"/>
      <c r="B536" s="13"/>
      <c r="C536" s="13"/>
      <c r="D536" s="13"/>
      <c r="E536" s="13"/>
      <c r="F536" s="13"/>
      <c r="G536" s="13"/>
      <c r="H536" s="8"/>
    </row>
    <row r="537" spans="1:8" ht="20.25" x14ac:dyDescent="0.25">
      <c r="A537" s="12"/>
      <c r="B537" s="13"/>
      <c r="C537" s="13"/>
      <c r="D537" s="13"/>
      <c r="E537" s="13"/>
      <c r="F537" s="13"/>
      <c r="G537" s="13"/>
      <c r="H537" s="8"/>
    </row>
    <row r="538" spans="1:8" ht="20.25" x14ac:dyDescent="0.25">
      <c r="A538" s="12"/>
      <c r="B538" s="13"/>
      <c r="C538" s="13"/>
      <c r="D538" s="13"/>
      <c r="E538" s="13"/>
      <c r="F538" s="13"/>
      <c r="G538" s="13"/>
      <c r="H538" s="8"/>
    </row>
    <row r="539" spans="1:8" ht="20.25" x14ac:dyDescent="0.25">
      <c r="A539" s="12"/>
      <c r="B539" s="13"/>
      <c r="C539" s="13"/>
      <c r="D539" s="13"/>
      <c r="E539" s="13"/>
      <c r="F539" s="13"/>
      <c r="G539" s="13"/>
      <c r="H539" s="8"/>
    </row>
    <row r="540" spans="1:8" ht="20.25" x14ac:dyDescent="0.25">
      <c r="A540" s="12"/>
      <c r="B540" s="13"/>
      <c r="C540" s="13"/>
      <c r="D540" s="13"/>
      <c r="E540" s="13"/>
      <c r="F540" s="13"/>
      <c r="G540" s="13"/>
      <c r="H540" s="8"/>
    </row>
    <row r="541" spans="1:8" ht="20.25" x14ac:dyDescent="0.25">
      <c r="A541" s="12"/>
      <c r="B541" s="13"/>
      <c r="C541" s="13"/>
      <c r="D541" s="13"/>
      <c r="E541" s="13"/>
      <c r="F541" s="13"/>
      <c r="G541" s="13"/>
      <c r="H541" s="8"/>
    </row>
    <row r="542" spans="1:8" ht="20.25" x14ac:dyDescent="0.25">
      <c r="A542" s="12"/>
      <c r="B542" s="13"/>
      <c r="C542" s="13"/>
      <c r="D542" s="13"/>
      <c r="E542" s="13"/>
      <c r="F542" s="13"/>
      <c r="G542" s="13"/>
      <c r="H542" s="8"/>
    </row>
    <row r="543" spans="1:8" ht="20.25" x14ac:dyDescent="0.25">
      <c r="A543" s="12"/>
      <c r="B543" s="13"/>
      <c r="C543" s="13"/>
      <c r="D543" s="13"/>
      <c r="E543" s="13"/>
      <c r="F543" s="13"/>
      <c r="G543" s="13"/>
      <c r="H543" s="8"/>
    </row>
    <row r="544" spans="1:8" ht="20.25" x14ac:dyDescent="0.25">
      <c r="A544" s="12"/>
      <c r="B544" s="13"/>
      <c r="C544" s="13"/>
      <c r="D544" s="13"/>
      <c r="E544" s="13"/>
      <c r="F544" s="13"/>
      <c r="G544" s="13"/>
      <c r="H544" s="8"/>
    </row>
    <row r="545" spans="1:8" ht="20.25" x14ac:dyDescent="0.25">
      <c r="A545" s="12"/>
      <c r="B545" s="13"/>
      <c r="C545" s="13"/>
      <c r="D545" s="13"/>
      <c r="E545" s="13"/>
      <c r="F545" s="13"/>
      <c r="G545" s="13"/>
      <c r="H545" s="8"/>
    </row>
    <row r="546" spans="1:8" ht="20.25" x14ac:dyDescent="0.25">
      <c r="A546" s="12"/>
      <c r="B546" s="13"/>
      <c r="C546" s="13"/>
      <c r="D546" s="13"/>
      <c r="E546" s="13"/>
      <c r="F546" s="13"/>
      <c r="G546" s="13"/>
      <c r="H546" s="8"/>
    </row>
    <row r="547" spans="1:8" ht="20.25" x14ac:dyDescent="0.25">
      <c r="A547" s="12"/>
      <c r="B547" s="13"/>
      <c r="C547" s="13"/>
      <c r="D547" s="13"/>
      <c r="E547" s="13"/>
      <c r="F547" s="13"/>
      <c r="G547" s="13"/>
      <c r="H547" s="8"/>
    </row>
    <row r="548" spans="1:8" ht="20.25" x14ac:dyDescent="0.25">
      <c r="A548" s="12"/>
      <c r="B548" s="13"/>
      <c r="C548" s="13"/>
      <c r="D548" s="13"/>
      <c r="E548" s="13"/>
      <c r="F548" s="13"/>
      <c r="G548" s="13"/>
      <c r="H548" s="8"/>
    </row>
    <row r="549" spans="1:8" ht="20.25" x14ac:dyDescent="0.25">
      <c r="A549" s="12"/>
      <c r="B549" s="13"/>
      <c r="C549" s="13"/>
      <c r="D549" s="13"/>
      <c r="E549" s="13"/>
      <c r="F549" s="13"/>
      <c r="G549" s="13"/>
      <c r="H549" s="8"/>
    </row>
    <row r="550" spans="1:8" ht="20.25" x14ac:dyDescent="0.25">
      <c r="A550" s="12"/>
      <c r="B550" s="13"/>
      <c r="C550" s="13"/>
      <c r="D550" s="13"/>
      <c r="E550" s="13"/>
      <c r="F550" s="13"/>
      <c r="G550" s="13"/>
      <c r="H550" s="8"/>
    </row>
    <row r="551" spans="1:8" ht="20.25" x14ac:dyDescent="0.25">
      <c r="A551" s="12"/>
      <c r="B551" s="13"/>
      <c r="C551" s="13"/>
      <c r="D551" s="13"/>
      <c r="E551" s="13"/>
      <c r="F551" s="13"/>
      <c r="G551" s="13"/>
      <c r="H551" s="8"/>
    </row>
    <row r="552" spans="1:8" ht="20.25" x14ac:dyDescent="0.25">
      <c r="A552" s="12"/>
      <c r="B552" s="13"/>
      <c r="C552" s="13"/>
      <c r="D552" s="13"/>
      <c r="E552" s="13"/>
      <c r="F552" s="13"/>
      <c r="G552" s="13"/>
      <c r="H552" s="8"/>
    </row>
    <row r="553" spans="1:8" ht="20.25" x14ac:dyDescent="0.25">
      <c r="A553" s="12"/>
      <c r="B553" s="13"/>
      <c r="C553" s="13"/>
      <c r="D553" s="13"/>
      <c r="E553" s="13"/>
      <c r="F553" s="13"/>
      <c r="G553" s="13"/>
      <c r="H553" s="8"/>
    </row>
    <row r="554" spans="1:8" ht="20.25" x14ac:dyDescent="0.25">
      <c r="A554" s="12"/>
      <c r="B554" s="13"/>
      <c r="C554" s="13"/>
      <c r="D554" s="13"/>
      <c r="E554" s="13"/>
      <c r="F554" s="13"/>
      <c r="G554" s="13"/>
      <c r="H554" s="8"/>
    </row>
    <row r="555" spans="1:8" ht="20.25" x14ac:dyDescent="0.25">
      <c r="A555" s="12"/>
      <c r="B555" s="13"/>
      <c r="C555" s="13"/>
      <c r="D555" s="13"/>
      <c r="E555" s="13"/>
      <c r="F555" s="13"/>
      <c r="G555" s="13"/>
      <c r="H555" s="8"/>
    </row>
    <row r="556" spans="1:8" ht="20.25" x14ac:dyDescent="0.25">
      <c r="A556" s="12"/>
      <c r="B556" s="13"/>
      <c r="C556" s="13"/>
      <c r="D556" s="13"/>
      <c r="E556" s="13"/>
      <c r="F556" s="13"/>
      <c r="G556" s="13"/>
      <c r="H556" s="8"/>
    </row>
    <row r="557" spans="1:8" ht="20.25" x14ac:dyDescent="0.25">
      <c r="A557" s="12"/>
      <c r="B557" s="13"/>
      <c r="C557" s="13"/>
      <c r="D557" s="13"/>
      <c r="E557" s="13"/>
      <c r="F557" s="13"/>
      <c r="G557" s="13"/>
      <c r="H557" s="8"/>
    </row>
    <row r="558" spans="1:8" ht="20.25" x14ac:dyDescent="0.25">
      <c r="A558" s="12"/>
      <c r="B558" s="13"/>
      <c r="C558" s="13"/>
      <c r="D558" s="13"/>
      <c r="E558" s="13"/>
      <c r="F558" s="13"/>
      <c r="G558" s="13"/>
      <c r="H558" s="8"/>
    </row>
    <row r="559" spans="1:8" ht="20.25" x14ac:dyDescent="0.25">
      <c r="A559" s="12"/>
      <c r="B559" s="13"/>
      <c r="C559" s="13"/>
      <c r="D559" s="13"/>
      <c r="E559" s="13"/>
      <c r="F559" s="13"/>
      <c r="G559" s="13"/>
      <c r="H559" s="8"/>
    </row>
    <row r="560" spans="1:8" ht="20.25" x14ac:dyDescent="0.25">
      <c r="A560" s="12"/>
      <c r="B560" s="13"/>
      <c r="C560" s="13"/>
      <c r="D560" s="13"/>
      <c r="E560" s="13"/>
      <c r="F560" s="13"/>
      <c r="G560" s="13"/>
      <c r="H560" s="8"/>
    </row>
    <row r="561" spans="1:8" ht="20.25" x14ac:dyDescent="0.25">
      <c r="A561" s="12"/>
      <c r="B561" s="13"/>
      <c r="C561" s="13"/>
      <c r="D561" s="13"/>
      <c r="E561" s="13"/>
      <c r="F561" s="13"/>
      <c r="G561" s="13"/>
      <c r="H561" s="8"/>
    </row>
    <row r="562" spans="1:8" ht="20.25" x14ac:dyDescent="0.25">
      <c r="A562" s="12"/>
      <c r="B562" s="13"/>
      <c r="C562" s="13"/>
      <c r="D562" s="13"/>
      <c r="E562" s="13"/>
      <c r="F562" s="13"/>
      <c r="G562" s="13"/>
      <c r="H562" s="8"/>
    </row>
    <row r="563" spans="1:8" ht="20.25" x14ac:dyDescent="0.25">
      <c r="A563" s="12"/>
      <c r="B563" s="13"/>
      <c r="C563" s="13"/>
      <c r="D563" s="13"/>
      <c r="E563" s="13"/>
      <c r="F563" s="13"/>
      <c r="G563" s="13"/>
      <c r="H563" s="8"/>
    </row>
    <row r="564" spans="1:8" ht="20.25" x14ac:dyDescent="0.25">
      <c r="A564" s="12"/>
      <c r="B564" s="13"/>
      <c r="C564" s="13"/>
      <c r="D564" s="13"/>
      <c r="E564" s="13"/>
      <c r="F564" s="13"/>
      <c r="G564" s="13"/>
      <c r="H564" s="8"/>
    </row>
    <row r="565" spans="1:8" ht="20.25" x14ac:dyDescent="0.25">
      <c r="A565" s="12"/>
      <c r="B565" s="13"/>
      <c r="C565" s="13"/>
      <c r="D565" s="13"/>
      <c r="E565" s="13"/>
      <c r="F565" s="13"/>
      <c r="G565" s="13"/>
      <c r="H565" s="8"/>
    </row>
    <row r="566" spans="1:8" ht="20.25" x14ac:dyDescent="0.25">
      <c r="A566" s="12"/>
      <c r="B566" s="13"/>
      <c r="C566" s="13"/>
      <c r="D566" s="13"/>
      <c r="E566" s="13"/>
      <c r="F566" s="13"/>
      <c r="G566" s="13"/>
      <c r="H566" s="8"/>
    </row>
    <row r="567" spans="1:8" ht="20.25" x14ac:dyDescent="0.25">
      <c r="A567" s="14"/>
      <c r="B567" s="15"/>
      <c r="C567" s="15"/>
      <c r="D567" s="15"/>
      <c r="E567" s="15"/>
      <c r="F567" s="15"/>
      <c r="G567" s="15"/>
      <c r="H567" s="9"/>
    </row>
    <row r="568" spans="1:8" ht="20.25" x14ac:dyDescent="0.25">
      <c r="A568" s="124" t="s">
        <v>160</v>
      </c>
      <c r="B568" s="124"/>
      <c r="C568" s="124"/>
      <c r="D568" s="124"/>
      <c r="E568" s="124"/>
      <c r="F568" s="124"/>
      <c r="G568" s="124"/>
      <c r="H568" s="124"/>
    </row>
    <row r="569" spans="1:8" ht="20.25" x14ac:dyDescent="0.25">
      <c r="A569" s="10"/>
      <c r="B569" s="11"/>
      <c r="C569" s="11"/>
      <c r="D569" s="11"/>
      <c r="E569" s="11"/>
      <c r="F569" s="11"/>
      <c r="G569" s="11"/>
      <c r="H569" s="7"/>
    </row>
    <row r="570" spans="1:8" ht="20.25" x14ac:dyDescent="0.25">
      <c r="A570" s="12"/>
      <c r="B570" s="13"/>
      <c r="C570" s="13"/>
      <c r="D570" s="13"/>
      <c r="E570" s="13"/>
      <c r="F570" s="13"/>
      <c r="G570" s="13"/>
      <c r="H570" s="8"/>
    </row>
    <row r="571" spans="1:8" ht="20.25" x14ac:dyDescent="0.25">
      <c r="A571" s="12"/>
      <c r="B571" s="13"/>
      <c r="C571" s="13"/>
      <c r="D571" s="13"/>
      <c r="E571" s="13"/>
      <c r="F571" s="13"/>
      <c r="G571" s="13"/>
      <c r="H571" s="8"/>
    </row>
    <row r="572" spans="1:8" ht="20.25" x14ac:dyDescent="0.25">
      <c r="A572" s="12"/>
      <c r="B572" s="13"/>
      <c r="C572" s="13"/>
      <c r="D572" s="13"/>
      <c r="E572" s="13"/>
      <c r="F572" s="13"/>
      <c r="G572" s="13"/>
      <c r="H572" s="8"/>
    </row>
    <row r="573" spans="1:8" ht="20.25" x14ac:dyDescent="0.25">
      <c r="A573" s="12"/>
      <c r="B573" s="13"/>
      <c r="C573" s="13"/>
      <c r="D573" s="13"/>
      <c r="E573" s="13"/>
      <c r="F573" s="13"/>
      <c r="G573" s="13"/>
      <c r="H573" s="8"/>
    </row>
    <row r="574" spans="1:8" ht="20.25" x14ac:dyDescent="0.25">
      <c r="A574" s="12"/>
      <c r="B574" s="13"/>
      <c r="C574" s="13"/>
      <c r="D574" s="13"/>
      <c r="E574" s="13"/>
      <c r="F574" s="13"/>
      <c r="G574" s="13"/>
      <c r="H574" s="8"/>
    </row>
    <row r="575" spans="1:8" ht="20.25" x14ac:dyDescent="0.25">
      <c r="A575" s="12"/>
      <c r="B575" s="13"/>
      <c r="C575" s="13"/>
      <c r="D575" s="13"/>
      <c r="E575" s="13"/>
      <c r="F575" s="13"/>
      <c r="G575" s="13"/>
      <c r="H575" s="8"/>
    </row>
    <row r="576" spans="1:8" ht="20.25" x14ac:dyDescent="0.25">
      <c r="A576" s="12"/>
      <c r="B576" s="13"/>
      <c r="C576" s="13"/>
      <c r="D576" s="13"/>
      <c r="E576" s="13"/>
      <c r="F576" s="13"/>
      <c r="G576" s="13"/>
      <c r="H576" s="8"/>
    </row>
    <row r="577" spans="1:8" ht="20.25" x14ac:dyDescent="0.25">
      <c r="A577" s="12"/>
      <c r="B577" s="13"/>
      <c r="C577" s="13"/>
      <c r="D577" s="13"/>
      <c r="E577" s="13"/>
      <c r="F577" s="13"/>
      <c r="G577" s="13"/>
      <c r="H577" s="8"/>
    </row>
    <row r="578" spans="1:8" ht="20.25" x14ac:dyDescent="0.25">
      <c r="A578" s="12"/>
      <c r="B578" s="13"/>
      <c r="C578" s="13"/>
      <c r="D578" s="13"/>
      <c r="E578" s="13"/>
      <c r="F578" s="13"/>
      <c r="G578" s="13"/>
      <c r="H578" s="8"/>
    </row>
    <row r="579" spans="1:8" ht="20.25" x14ac:dyDescent="0.25">
      <c r="A579" s="12"/>
      <c r="B579" s="13"/>
      <c r="C579" s="13"/>
      <c r="D579" s="13"/>
      <c r="E579" s="13"/>
      <c r="F579" s="13"/>
      <c r="G579" s="13"/>
      <c r="H579" s="8"/>
    </row>
    <row r="580" spans="1:8" ht="20.25" x14ac:dyDescent="0.25">
      <c r="A580" s="12"/>
      <c r="B580" s="13"/>
      <c r="C580" s="13"/>
      <c r="D580" s="13"/>
      <c r="E580" s="13"/>
      <c r="F580" s="13"/>
      <c r="G580" s="13"/>
      <c r="H580" s="8"/>
    </row>
    <row r="581" spans="1:8" ht="20.25" x14ac:dyDescent="0.25">
      <c r="A581" s="12"/>
      <c r="B581" s="13"/>
      <c r="C581" s="13"/>
      <c r="D581" s="13"/>
      <c r="E581" s="13"/>
      <c r="F581" s="13"/>
      <c r="G581" s="13"/>
      <c r="H581" s="8"/>
    </row>
    <row r="582" spans="1:8" ht="20.25" x14ac:dyDescent="0.25">
      <c r="A582" s="12"/>
      <c r="B582" s="13"/>
      <c r="C582" s="13"/>
      <c r="D582" s="13"/>
      <c r="E582" s="13"/>
      <c r="F582" s="13"/>
      <c r="G582" s="13"/>
      <c r="H582" s="8"/>
    </row>
    <row r="583" spans="1:8" ht="20.25" x14ac:dyDescent="0.25">
      <c r="A583" s="12"/>
      <c r="B583" s="13"/>
      <c r="C583" s="13"/>
      <c r="D583" s="13"/>
      <c r="E583" s="13"/>
      <c r="F583" s="13"/>
      <c r="G583" s="13"/>
      <c r="H583" s="8"/>
    </row>
    <row r="584" spans="1:8" ht="20.25" x14ac:dyDescent="0.25">
      <c r="A584" s="12"/>
      <c r="B584" s="13"/>
      <c r="C584" s="13"/>
      <c r="D584" s="13"/>
      <c r="E584" s="13"/>
      <c r="F584" s="13"/>
      <c r="G584" s="13"/>
      <c r="H584" s="8"/>
    </row>
    <row r="585" spans="1:8" ht="20.25" x14ac:dyDescent="0.25">
      <c r="A585" s="12"/>
      <c r="B585" s="13"/>
      <c r="C585" s="13"/>
      <c r="D585" s="13"/>
      <c r="E585" s="13"/>
      <c r="F585" s="13"/>
      <c r="G585" s="13"/>
      <c r="H585" s="8"/>
    </row>
    <row r="586" spans="1:8" ht="20.25" x14ac:dyDescent="0.25">
      <c r="A586" s="12"/>
      <c r="B586" s="13"/>
      <c r="C586" s="13"/>
      <c r="D586" s="13"/>
      <c r="E586" s="13"/>
      <c r="F586" s="13"/>
      <c r="G586" s="13"/>
      <c r="H586" s="8"/>
    </row>
    <row r="587" spans="1:8" ht="20.25" x14ac:dyDescent="0.25">
      <c r="A587" s="12"/>
      <c r="B587" s="13"/>
      <c r="C587" s="13"/>
      <c r="D587" s="13"/>
      <c r="E587" s="13"/>
      <c r="F587" s="13"/>
      <c r="G587" s="13"/>
      <c r="H587" s="8"/>
    </row>
    <row r="588" spans="1:8" ht="20.25" x14ac:dyDescent="0.25">
      <c r="A588" s="12"/>
      <c r="B588" s="13"/>
      <c r="C588" s="13"/>
      <c r="D588" s="13"/>
      <c r="E588" s="13"/>
      <c r="F588" s="13"/>
      <c r="G588" s="13"/>
      <c r="H588" s="8"/>
    </row>
    <row r="589" spans="1:8" ht="20.25" x14ac:dyDescent="0.25">
      <c r="A589" s="12"/>
      <c r="B589" s="13"/>
      <c r="C589" s="13"/>
      <c r="D589" s="13"/>
      <c r="E589" s="13"/>
      <c r="F589" s="13"/>
      <c r="G589" s="13"/>
      <c r="H589" s="8"/>
    </row>
    <row r="590" spans="1:8" ht="20.25" x14ac:dyDescent="0.25">
      <c r="A590" s="12"/>
      <c r="B590" s="13"/>
      <c r="C590" s="13"/>
      <c r="D590" s="13"/>
      <c r="E590" s="13"/>
      <c r="F590" s="13"/>
      <c r="G590" s="13"/>
      <c r="H590" s="8"/>
    </row>
    <row r="591" spans="1:8" ht="20.25" x14ac:dyDescent="0.25">
      <c r="A591" s="12"/>
      <c r="B591" s="13"/>
      <c r="C591" s="13"/>
      <c r="D591" s="13"/>
      <c r="E591" s="13"/>
      <c r="F591" s="13"/>
      <c r="G591" s="13"/>
      <c r="H591" s="8"/>
    </row>
    <row r="592" spans="1:8" ht="20.25" x14ac:dyDescent="0.25">
      <c r="A592" s="12"/>
      <c r="B592" s="13"/>
      <c r="C592" s="13"/>
      <c r="D592" s="13"/>
      <c r="E592" s="13"/>
      <c r="F592" s="13"/>
      <c r="G592" s="13"/>
      <c r="H592" s="8"/>
    </row>
    <row r="593" spans="1:8" ht="20.25" x14ac:dyDescent="0.25">
      <c r="A593" s="12"/>
      <c r="B593" s="13"/>
      <c r="C593" s="13"/>
      <c r="D593" s="13"/>
      <c r="E593" s="13"/>
      <c r="F593" s="13"/>
      <c r="G593" s="13"/>
      <c r="H593" s="8"/>
    </row>
    <row r="594" spans="1:8" ht="20.25" x14ac:dyDescent="0.25">
      <c r="A594" s="12"/>
      <c r="B594" s="13"/>
      <c r="C594" s="13"/>
      <c r="D594" s="13"/>
      <c r="E594" s="13"/>
      <c r="F594" s="13"/>
      <c r="G594" s="13"/>
      <c r="H594" s="8"/>
    </row>
    <row r="595" spans="1:8" ht="20.25" x14ac:dyDescent="0.25">
      <c r="A595" s="12"/>
      <c r="B595" s="13"/>
      <c r="C595" s="13"/>
      <c r="D595" s="13"/>
      <c r="E595" s="13"/>
      <c r="F595" s="13"/>
      <c r="G595" s="13"/>
      <c r="H595" s="8"/>
    </row>
    <row r="596" spans="1:8" ht="20.25" x14ac:dyDescent="0.25">
      <c r="A596" s="12"/>
      <c r="B596" s="13"/>
      <c r="C596" s="13"/>
      <c r="D596" s="13"/>
      <c r="E596" s="13"/>
      <c r="F596" s="13"/>
      <c r="G596" s="13"/>
      <c r="H596" s="8"/>
    </row>
    <row r="597" spans="1:8" ht="20.25" x14ac:dyDescent="0.25">
      <c r="A597" s="12"/>
      <c r="B597" s="13"/>
      <c r="C597" s="13"/>
      <c r="D597" s="13"/>
      <c r="E597" s="13"/>
      <c r="F597" s="13"/>
      <c r="G597" s="13"/>
      <c r="H597" s="8"/>
    </row>
    <row r="598" spans="1:8" ht="20.25" x14ac:dyDescent="0.25">
      <c r="A598" s="12"/>
      <c r="B598" s="13"/>
      <c r="C598" s="13"/>
      <c r="D598" s="13"/>
      <c r="E598" s="13"/>
      <c r="F598" s="13"/>
      <c r="G598" s="13"/>
      <c r="H598" s="8"/>
    </row>
    <row r="599" spans="1:8" ht="20.25" x14ac:dyDescent="0.25">
      <c r="A599" s="12"/>
      <c r="B599" s="13"/>
      <c r="C599" s="13"/>
      <c r="D599" s="13"/>
      <c r="E599" s="13"/>
      <c r="F599" s="13"/>
      <c r="G599" s="13"/>
      <c r="H599" s="8"/>
    </row>
    <row r="600" spans="1:8" ht="20.25" x14ac:dyDescent="0.25">
      <c r="A600" s="12"/>
      <c r="B600" s="13"/>
      <c r="C600" s="13"/>
      <c r="D600" s="13"/>
      <c r="E600" s="13"/>
      <c r="F600" s="13"/>
      <c r="G600" s="13"/>
      <c r="H600" s="8"/>
    </row>
    <row r="601" spans="1:8" ht="20.25" x14ac:dyDescent="0.25">
      <c r="A601" s="12"/>
      <c r="B601" s="13"/>
      <c r="C601" s="13"/>
      <c r="D601" s="13"/>
      <c r="E601" s="13"/>
      <c r="F601" s="13"/>
      <c r="G601" s="13"/>
      <c r="H601" s="8"/>
    </row>
    <row r="602" spans="1:8" ht="20.25" x14ac:dyDescent="0.25">
      <c r="A602" s="12"/>
      <c r="B602" s="13"/>
      <c r="C602" s="13"/>
      <c r="D602" s="13"/>
      <c r="E602" s="13"/>
      <c r="F602" s="13"/>
      <c r="G602" s="13"/>
      <c r="H602" s="8"/>
    </row>
    <row r="603" spans="1:8" ht="20.25" x14ac:dyDescent="0.25">
      <c r="A603" s="12"/>
      <c r="B603" s="13"/>
      <c r="C603" s="13"/>
      <c r="D603" s="13"/>
      <c r="E603" s="13"/>
      <c r="F603" s="13"/>
      <c r="G603" s="13"/>
      <c r="H603" s="8"/>
    </row>
    <row r="604" spans="1:8" ht="20.25" x14ac:dyDescent="0.25">
      <c r="A604" s="12"/>
      <c r="B604" s="13"/>
      <c r="C604" s="13"/>
      <c r="D604" s="13"/>
      <c r="E604" s="13"/>
      <c r="F604" s="13"/>
      <c r="G604" s="13"/>
      <c r="H604" s="8"/>
    </row>
    <row r="605" spans="1:8" ht="20.25" x14ac:dyDescent="0.25">
      <c r="A605" s="12"/>
      <c r="B605" s="13"/>
      <c r="C605" s="13"/>
      <c r="D605" s="13"/>
      <c r="E605" s="13"/>
      <c r="F605" s="13"/>
      <c r="G605" s="13"/>
      <c r="H605" s="8"/>
    </row>
    <row r="606" spans="1:8" ht="20.25" x14ac:dyDescent="0.25">
      <c r="A606" s="12"/>
      <c r="B606" s="13"/>
      <c r="C606" s="13"/>
      <c r="D606" s="13"/>
      <c r="E606" s="13"/>
      <c r="F606" s="13"/>
      <c r="G606" s="13"/>
      <c r="H606" s="8"/>
    </row>
    <row r="607" spans="1:8" ht="20.25" x14ac:dyDescent="0.25">
      <c r="A607" s="12"/>
      <c r="B607" s="13"/>
      <c r="C607" s="13"/>
      <c r="D607" s="13"/>
      <c r="E607" s="13"/>
      <c r="F607" s="13"/>
      <c r="G607" s="13"/>
      <c r="H607" s="8"/>
    </row>
    <row r="608" spans="1:8" ht="20.25" x14ac:dyDescent="0.25">
      <c r="A608" s="12"/>
      <c r="B608" s="13"/>
      <c r="C608" s="13"/>
      <c r="D608" s="13"/>
      <c r="E608" s="13"/>
      <c r="F608" s="13"/>
      <c r="G608" s="13"/>
      <c r="H608" s="8"/>
    </row>
    <row r="609" spans="1:8" ht="20.25" x14ac:dyDescent="0.25">
      <c r="A609" s="12"/>
      <c r="B609" s="13"/>
      <c r="C609" s="13"/>
      <c r="D609" s="13"/>
      <c r="E609" s="13"/>
      <c r="F609" s="13"/>
      <c r="G609" s="13"/>
      <c r="H609" s="8"/>
    </row>
    <row r="610" spans="1:8" ht="20.25" x14ac:dyDescent="0.25">
      <c r="A610" s="12"/>
      <c r="B610" s="13"/>
      <c r="C610" s="13"/>
      <c r="D610" s="13"/>
      <c r="E610" s="13"/>
      <c r="F610" s="13"/>
      <c r="G610" s="13"/>
      <c r="H610" s="8"/>
    </row>
    <row r="611" spans="1:8" ht="20.25" x14ac:dyDescent="0.25">
      <c r="A611" s="12"/>
      <c r="B611" s="13"/>
      <c r="C611" s="13"/>
      <c r="D611" s="13"/>
      <c r="E611" s="13"/>
      <c r="F611" s="13"/>
      <c r="G611" s="13"/>
      <c r="H611" s="8"/>
    </row>
    <row r="612" spans="1:8" ht="20.25" x14ac:dyDescent="0.25">
      <c r="A612" s="12"/>
      <c r="B612" s="13"/>
      <c r="C612" s="13"/>
      <c r="D612" s="13"/>
      <c r="E612" s="13"/>
      <c r="F612" s="13"/>
      <c r="G612" s="13"/>
      <c r="H612" s="8"/>
    </row>
    <row r="613" spans="1:8" ht="20.25" x14ac:dyDescent="0.25">
      <c r="A613" s="12"/>
      <c r="B613" s="13"/>
      <c r="C613" s="13"/>
      <c r="D613" s="13"/>
      <c r="E613" s="13"/>
      <c r="F613" s="13"/>
      <c r="G613" s="13"/>
      <c r="H613" s="8"/>
    </row>
    <row r="614" spans="1:8" ht="20.25" x14ac:dyDescent="0.25">
      <c r="A614" s="12"/>
      <c r="B614" s="13"/>
      <c r="C614" s="13"/>
      <c r="D614" s="13"/>
      <c r="E614" s="13"/>
      <c r="F614" s="13"/>
      <c r="G614" s="13"/>
      <c r="H614" s="8"/>
    </row>
    <row r="615" spans="1:8" ht="20.25" x14ac:dyDescent="0.25">
      <c r="A615" s="12"/>
      <c r="B615" s="13"/>
      <c r="C615" s="13"/>
      <c r="D615" s="13"/>
      <c r="E615" s="13"/>
      <c r="F615" s="13"/>
      <c r="G615" s="13"/>
      <c r="H615" s="8"/>
    </row>
    <row r="616" spans="1:8" ht="20.25" x14ac:dyDescent="0.25">
      <c r="A616" s="12"/>
      <c r="B616" s="13"/>
      <c r="C616" s="13"/>
      <c r="D616" s="13"/>
      <c r="E616" s="13"/>
      <c r="F616" s="13"/>
      <c r="G616" s="13"/>
      <c r="H616" s="8"/>
    </row>
    <row r="617" spans="1:8" ht="20.25" x14ac:dyDescent="0.25">
      <c r="A617" s="14"/>
      <c r="B617" s="15"/>
      <c r="C617" s="15"/>
      <c r="D617" s="15"/>
      <c r="E617" s="15"/>
      <c r="F617" s="15"/>
      <c r="G617" s="15"/>
      <c r="H617" s="9"/>
    </row>
    <row r="618" spans="1:8" ht="20.25" x14ac:dyDescent="0.25">
      <c r="A618" s="150" t="s">
        <v>77</v>
      </c>
      <c r="B618" s="151"/>
      <c r="C618" s="151"/>
      <c r="D618" s="151"/>
      <c r="E618" s="151"/>
      <c r="F618" s="151"/>
      <c r="G618" s="151"/>
      <c r="H618" s="152"/>
    </row>
    <row r="619" spans="1:8" ht="20.25" x14ac:dyDescent="0.25">
      <c r="A619" s="10"/>
      <c r="B619" s="11"/>
      <c r="C619" s="11"/>
      <c r="D619" s="11"/>
      <c r="E619" s="11"/>
      <c r="F619" s="11"/>
      <c r="G619" s="11"/>
      <c r="H619" s="7"/>
    </row>
    <row r="620" spans="1:8" ht="20.25" x14ac:dyDescent="0.25">
      <c r="A620" s="12"/>
      <c r="B620" s="13"/>
      <c r="C620" s="13"/>
      <c r="D620" s="13"/>
      <c r="E620" s="13"/>
      <c r="F620" s="13"/>
      <c r="G620" s="13"/>
      <c r="H620" s="8"/>
    </row>
    <row r="621" spans="1:8" ht="20.25" x14ac:dyDescent="0.25">
      <c r="A621" s="12"/>
      <c r="B621" s="13"/>
      <c r="C621" s="13"/>
      <c r="D621" s="13"/>
      <c r="E621" s="13"/>
      <c r="F621" s="13"/>
      <c r="G621" s="13"/>
      <c r="H621" s="8"/>
    </row>
    <row r="622" spans="1:8" ht="20.25" x14ac:dyDescent="0.25">
      <c r="A622" s="12"/>
      <c r="B622" s="13"/>
      <c r="C622" s="13"/>
      <c r="D622" s="13"/>
      <c r="E622" s="13"/>
      <c r="F622" s="13"/>
      <c r="G622" s="13"/>
      <c r="H622" s="8"/>
    </row>
    <row r="623" spans="1:8" ht="20.25" x14ac:dyDescent="0.25">
      <c r="A623" s="12"/>
      <c r="B623" s="13"/>
      <c r="C623" s="13"/>
      <c r="D623" s="13"/>
      <c r="E623" s="13"/>
      <c r="F623" s="13"/>
      <c r="G623" s="13"/>
      <c r="H623" s="8"/>
    </row>
    <row r="624" spans="1:8" ht="20.25" x14ac:dyDescent="0.25">
      <c r="A624" s="12"/>
      <c r="B624" s="13"/>
      <c r="C624" s="13"/>
      <c r="D624" s="13"/>
      <c r="E624" s="13"/>
      <c r="F624" s="13"/>
      <c r="G624" s="13"/>
      <c r="H624" s="8"/>
    </row>
    <row r="625" spans="1:8" ht="20.25" x14ac:dyDescent="0.25">
      <c r="A625" s="12"/>
      <c r="B625" s="13"/>
      <c r="C625" s="13"/>
      <c r="D625" s="13"/>
      <c r="E625" s="13"/>
      <c r="F625" s="13"/>
      <c r="G625" s="13"/>
      <c r="H625" s="8"/>
    </row>
    <row r="626" spans="1:8" ht="20.25" x14ac:dyDescent="0.25">
      <c r="A626" s="12"/>
      <c r="B626" s="13"/>
      <c r="C626" s="13"/>
      <c r="D626" s="13"/>
      <c r="E626" s="13"/>
      <c r="F626" s="13"/>
      <c r="G626" s="13"/>
      <c r="H626" s="8"/>
    </row>
    <row r="627" spans="1:8" ht="20.25" x14ac:dyDescent="0.25">
      <c r="A627" s="12"/>
      <c r="B627" s="13"/>
      <c r="C627" s="13"/>
      <c r="D627" s="13"/>
      <c r="E627" s="13"/>
      <c r="F627" s="13"/>
      <c r="G627" s="13"/>
      <c r="H627" s="8"/>
    </row>
    <row r="628" spans="1:8" ht="20.25" x14ac:dyDescent="0.25">
      <c r="A628" s="12"/>
      <c r="B628" s="13"/>
      <c r="C628" s="13"/>
      <c r="D628" s="13"/>
      <c r="E628" s="13"/>
      <c r="F628" s="13"/>
      <c r="G628" s="13"/>
      <c r="H628" s="8"/>
    </row>
    <row r="629" spans="1:8" ht="20.25" x14ac:dyDescent="0.25">
      <c r="A629" s="12"/>
      <c r="B629" s="13"/>
      <c r="C629" s="13"/>
      <c r="D629" s="13"/>
      <c r="E629" s="13"/>
      <c r="F629" s="13"/>
      <c r="G629" s="13"/>
      <c r="H629" s="8"/>
    </row>
    <row r="630" spans="1:8" ht="20.25" x14ac:dyDescent="0.25">
      <c r="A630" s="12"/>
      <c r="B630" s="13"/>
      <c r="C630" s="13"/>
      <c r="D630" s="13"/>
      <c r="E630" s="13"/>
      <c r="F630" s="13"/>
      <c r="G630" s="13"/>
      <c r="H630" s="8"/>
    </row>
    <row r="631" spans="1:8" ht="20.25" x14ac:dyDescent="0.25">
      <c r="A631" s="12"/>
      <c r="B631" s="13"/>
      <c r="C631" s="13"/>
      <c r="D631" s="13"/>
      <c r="E631" s="13"/>
      <c r="F631" s="13"/>
      <c r="G631" s="13"/>
      <c r="H631" s="8"/>
    </row>
    <row r="632" spans="1:8" ht="20.25" x14ac:dyDescent="0.25">
      <c r="A632" s="12"/>
      <c r="B632" s="13"/>
      <c r="C632" s="13"/>
      <c r="D632" s="13"/>
      <c r="E632" s="13"/>
      <c r="F632" s="13"/>
      <c r="G632" s="13"/>
      <c r="H632" s="8"/>
    </row>
    <row r="633" spans="1:8" ht="20.25" x14ac:dyDescent="0.25">
      <c r="A633" s="12"/>
      <c r="B633" s="13"/>
      <c r="C633" s="13"/>
      <c r="D633" s="13"/>
      <c r="E633" s="13"/>
      <c r="F633" s="13"/>
      <c r="G633" s="13"/>
      <c r="H633" s="8"/>
    </row>
    <row r="634" spans="1:8" ht="20.25" x14ac:dyDescent="0.25">
      <c r="A634" s="12"/>
      <c r="B634" s="13"/>
      <c r="C634" s="13"/>
      <c r="D634" s="13"/>
      <c r="E634" s="13"/>
      <c r="F634" s="13"/>
      <c r="G634" s="13"/>
      <c r="H634" s="8"/>
    </row>
    <row r="635" spans="1:8" ht="20.25" x14ac:dyDescent="0.25">
      <c r="A635" s="12"/>
      <c r="B635" s="13"/>
      <c r="C635" s="13"/>
      <c r="D635" s="13"/>
      <c r="E635" s="13"/>
      <c r="F635" s="13"/>
      <c r="G635" s="13"/>
      <c r="H635" s="8"/>
    </row>
    <row r="636" spans="1:8" ht="20.25" x14ac:dyDescent="0.25">
      <c r="A636" s="12"/>
      <c r="B636" s="13"/>
      <c r="C636" s="13"/>
      <c r="D636" s="13"/>
      <c r="E636" s="13"/>
      <c r="F636" s="13"/>
      <c r="G636" s="13"/>
      <c r="H636" s="8"/>
    </row>
    <row r="637" spans="1:8" ht="20.25" x14ac:dyDescent="0.25">
      <c r="A637" s="12"/>
      <c r="B637" s="13"/>
      <c r="C637" s="13"/>
      <c r="D637" s="13"/>
      <c r="E637" s="13"/>
      <c r="F637" s="13"/>
      <c r="G637" s="13"/>
      <c r="H637" s="8"/>
    </row>
    <row r="638" spans="1:8" ht="20.25" x14ac:dyDescent="0.25">
      <c r="A638" s="12"/>
      <c r="B638" s="13"/>
      <c r="C638" s="13"/>
      <c r="D638" s="13"/>
      <c r="E638" s="13"/>
      <c r="F638" s="13"/>
      <c r="G638" s="13"/>
      <c r="H638" s="8"/>
    </row>
    <row r="639" spans="1:8" ht="20.25" x14ac:dyDescent="0.25">
      <c r="A639" s="12"/>
      <c r="B639" s="13"/>
      <c r="C639" s="13"/>
      <c r="D639" s="13"/>
      <c r="E639" s="13"/>
      <c r="F639" s="13"/>
      <c r="G639" s="13"/>
      <c r="H639" s="8"/>
    </row>
    <row r="640" spans="1:8" ht="20.25" x14ac:dyDescent="0.25">
      <c r="A640" s="12"/>
      <c r="B640" s="13"/>
      <c r="C640" s="13"/>
      <c r="D640" s="13"/>
      <c r="E640" s="13"/>
      <c r="F640" s="13"/>
      <c r="G640" s="13"/>
      <c r="H640" s="8"/>
    </row>
    <row r="641" spans="1:8" ht="20.25" x14ac:dyDescent="0.25">
      <c r="A641" s="12"/>
      <c r="B641" s="13"/>
      <c r="C641" s="13"/>
      <c r="D641" s="13"/>
      <c r="E641" s="13"/>
      <c r="F641" s="13"/>
      <c r="G641" s="13"/>
      <c r="H641" s="8"/>
    </row>
    <row r="642" spans="1:8" ht="20.25" x14ac:dyDescent="0.25">
      <c r="A642" s="12"/>
      <c r="B642" s="13"/>
      <c r="C642" s="13"/>
      <c r="D642" s="13"/>
      <c r="E642" s="13"/>
      <c r="F642" s="13"/>
      <c r="G642" s="13"/>
      <c r="H642" s="8"/>
    </row>
    <row r="643" spans="1:8" ht="20.25" x14ac:dyDescent="0.25">
      <c r="A643" s="12"/>
      <c r="B643" s="13"/>
      <c r="C643" s="13"/>
      <c r="D643" s="13"/>
      <c r="E643" s="13"/>
      <c r="F643" s="13"/>
      <c r="G643" s="13"/>
      <c r="H643" s="8"/>
    </row>
    <row r="644" spans="1:8" ht="20.25" x14ac:dyDescent="0.25">
      <c r="A644" s="12"/>
      <c r="B644" s="13"/>
      <c r="C644" s="13"/>
      <c r="D644" s="13"/>
      <c r="E644" s="13"/>
      <c r="F644" s="13"/>
      <c r="G644" s="13"/>
      <c r="H644" s="8"/>
    </row>
    <row r="645" spans="1:8" ht="20.25" x14ac:dyDescent="0.25">
      <c r="A645" s="12"/>
      <c r="B645" s="13"/>
      <c r="C645" s="13"/>
      <c r="D645" s="13"/>
      <c r="E645" s="13"/>
      <c r="F645" s="13"/>
      <c r="G645" s="13"/>
      <c r="H645" s="8"/>
    </row>
    <row r="646" spans="1:8" ht="20.25" x14ac:dyDescent="0.25">
      <c r="A646" s="12"/>
      <c r="B646" s="13"/>
      <c r="C646" s="13"/>
      <c r="D646" s="13"/>
      <c r="E646" s="13"/>
      <c r="F646" s="13"/>
      <c r="G646" s="13"/>
      <c r="H646" s="8"/>
    </row>
    <row r="647" spans="1:8" ht="20.25" x14ac:dyDescent="0.25">
      <c r="A647" s="12"/>
      <c r="B647" s="13"/>
      <c r="C647" s="13"/>
      <c r="D647" s="13"/>
      <c r="E647" s="13"/>
      <c r="F647" s="13"/>
      <c r="G647" s="13"/>
      <c r="H647" s="8"/>
    </row>
    <row r="648" spans="1:8" ht="20.25" x14ac:dyDescent="0.25">
      <c r="A648" s="12"/>
      <c r="B648" s="13"/>
      <c r="C648" s="13"/>
      <c r="D648" s="13"/>
      <c r="E648" s="13"/>
      <c r="F648" s="13"/>
      <c r="G648" s="13"/>
      <c r="H648" s="8"/>
    </row>
    <row r="649" spans="1:8" ht="20.25" x14ac:dyDescent="0.25">
      <c r="A649" s="124" t="s">
        <v>24</v>
      </c>
      <c r="B649" s="124"/>
      <c r="C649" s="124"/>
      <c r="D649" s="124"/>
      <c r="E649" s="124"/>
      <c r="F649" s="124"/>
      <c r="G649" s="124"/>
      <c r="H649" s="124"/>
    </row>
    <row r="650" spans="1:8" ht="20.25" x14ac:dyDescent="0.25">
      <c r="A650" s="108" t="s">
        <v>78</v>
      </c>
      <c r="B650" s="158"/>
      <c r="C650" s="158"/>
      <c r="D650" s="158"/>
      <c r="E650" s="158"/>
      <c r="F650" s="158"/>
      <c r="G650" s="158"/>
      <c r="H650" s="109"/>
    </row>
    <row r="651" spans="1:8" ht="20.25" x14ac:dyDescent="0.25">
      <c r="A651" s="159" t="s">
        <v>79</v>
      </c>
      <c r="B651" s="160"/>
      <c r="C651" s="160"/>
      <c r="D651" s="160"/>
      <c r="E651" s="160"/>
      <c r="F651" s="160"/>
      <c r="G651" s="160"/>
      <c r="H651" s="161"/>
    </row>
    <row r="652" spans="1:8" ht="45" customHeight="1" x14ac:dyDescent="0.25">
      <c r="A652" s="159" t="s">
        <v>80</v>
      </c>
      <c r="B652" s="160"/>
      <c r="C652" s="160"/>
      <c r="D652" s="160"/>
      <c r="E652" s="160"/>
      <c r="F652" s="160"/>
      <c r="G652" s="160"/>
      <c r="H652" s="161"/>
    </row>
    <row r="653" spans="1:8" ht="42.75" customHeight="1" x14ac:dyDescent="0.25">
      <c r="A653" s="159" t="s">
        <v>81</v>
      </c>
      <c r="B653" s="160"/>
      <c r="C653" s="160"/>
      <c r="D653" s="160"/>
      <c r="E653" s="160"/>
      <c r="F653" s="160"/>
      <c r="G653" s="160"/>
      <c r="H653" s="161"/>
    </row>
    <row r="654" spans="1:8" ht="20.25" x14ac:dyDescent="0.25">
      <c r="A654" s="159" t="s">
        <v>82</v>
      </c>
      <c r="B654" s="160"/>
      <c r="C654" s="160"/>
      <c r="D654" s="160"/>
      <c r="E654" s="160"/>
      <c r="F654" s="160"/>
      <c r="G654" s="160"/>
      <c r="H654" s="161"/>
    </row>
    <row r="655" spans="1:8" ht="20.25" x14ac:dyDescent="0.25">
      <c r="A655" s="159" t="s">
        <v>83</v>
      </c>
      <c r="B655" s="160"/>
      <c r="C655" s="160"/>
      <c r="D655" s="160"/>
      <c r="E655" s="160"/>
      <c r="F655" s="160"/>
      <c r="G655" s="160"/>
      <c r="H655" s="161"/>
    </row>
    <row r="656" spans="1:8" ht="45" customHeight="1" x14ac:dyDescent="0.25">
      <c r="A656" s="159" t="s">
        <v>84</v>
      </c>
      <c r="B656" s="160"/>
      <c r="C656" s="160"/>
      <c r="D656" s="160"/>
      <c r="E656" s="160"/>
      <c r="F656" s="160"/>
      <c r="G656" s="160"/>
      <c r="H656" s="161"/>
    </row>
    <row r="657" spans="1:8" ht="45" customHeight="1" x14ac:dyDescent="0.25">
      <c r="A657" s="159" t="s">
        <v>85</v>
      </c>
      <c r="B657" s="160"/>
      <c r="C657" s="160"/>
      <c r="D657" s="160"/>
      <c r="E657" s="160"/>
      <c r="F657" s="160"/>
      <c r="G657" s="160"/>
      <c r="H657" s="161"/>
    </row>
    <row r="658" spans="1:8" ht="20.25" x14ac:dyDescent="0.25">
      <c r="A658" s="110" t="s">
        <v>86</v>
      </c>
      <c r="B658" s="162"/>
      <c r="C658" s="162"/>
      <c r="D658" s="162"/>
      <c r="E658" s="162"/>
      <c r="F658" s="162"/>
      <c r="G658" s="162"/>
      <c r="H658" s="111"/>
    </row>
    <row r="659" spans="1:8" ht="57" customHeight="1" x14ac:dyDescent="0.25">
      <c r="A659" s="146" t="s">
        <v>30</v>
      </c>
      <c r="B659" s="147"/>
      <c r="C659" s="148" t="s">
        <v>367</v>
      </c>
      <c r="D659" s="149"/>
      <c r="E659" s="146" t="s">
        <v>9</v>
      </c>
      <c r="F659" s="147"/>
      <c r="G659" s="156"/>
      <c r="H659" s="156"/>
    </row>
  </sheetData>
  <mergeCells count="750">
    <mergeCell ref="A66:B66"/>
    <mergeCell ref="E66:F77"/>
    <mergeCell ref="G66:H77"/>
    <mergeCell ref="A67:B67"/>
    <mergeCell ref="A68:B68"/>
    <mergeCell ref="A69:B69"/>
    <mergeCell ref="A70:B70"/>
    <mergeCell ref="A71:B71"/>
    <mergeCell ref="A72:B72"/>
    <mergeCell ref="A73:B73"/>
    <mergeCell ref="A74:B74"/>
    <mergeCell ref="A75:B75"/>
    <mergeCell ref="A76:B76"/>
    <mergeCell ref="A77:B77"/>
    <mergeCell ref="A46:B46"/>
    <mergeCell ref="D46:F46"/>
    <mergeCell ref="G46:H46"/>
    <mergeCell ref="A62:H62"/>
    <mergeCell ref="A63:C64"/>
    <mergeCell ref="E63:F63"/>
    <mergeCell ref="E64:F64"/>
    <mergeCell ref="A65:B65"/>
    <mergeCell ref="E65:F65"/>
    <mergeCell ref="G48:H48"/>
    <mergeCell ref="A51:B51"/>
    <mergeCell ref="A53:B53"/>
    <mergeCell ref="A56:B56"/>
    <mergeCell ref="A57:B57"/>
    <mergeCell ref="A52:B52"/>
    <mergeCell ref="C51:H51"/>
    <mergeCell ref="C52:F52"/>
    <mergeCell ref="C53:F53"/>
    <mergeCell ref="C54:F54"/>
    <mergeCell ref="A54:B55"/>
    <mergeCell ref="C55:H55"/>
    <mergeCell ref="A49:B49"/>
    <mergeCell ref="D49:F49"/>
    <mergeCell ref="G49:H49"/>
    <mergeCell ref="A508:B508"/>
    <mergeCell ref="A509:B509"/>
    <mergeCell ref="A510:B510"/>
    <mergeCell ref="A110:H110"/>
    <mergeCell ref="A111:C112"/>
    <mergeCell ref="E111:F111"/>
    <mergeCell ref="E112:F112"/>
    <mergeCell ref="A113:B113"/>
    <mergeCell ref="E113:F113"/>
    <mergeCell ref="A114:B114"/>
    <mergeCell ref="E114:F125"/>
    <mergeCell ref="G114:H125"/>
    <mergeCell ref="A115:B115"/>
    <mergeCell ref="A116:B116"/>
    <mergeCell ref="A117:B117"/>
    <mergeCell ref="A118:B118"/>
    <mergeCell ref="A119:B119"/>
    <mergeCell ref="A121:B121"/>
    <mergeCell ref="A122:B122"/>
    <mergeCell ref="A123:B123"/>
    <mergeCell ref="A124:B124"/>
    <mergeCell ref="A125:B125"/>
    <mergeCell ref="A500:B500"/>
    <mergeCell ref="A501:B501"/>
    <mergeCell ref="A502:H502"/>
    <mergeCell ref="A503:B503"/>
    <mergeCell ref="D503:H503"/>
    <mergeCell ref="A504:B504"/>
    <mergeCell ref="A505:B505"/>
    <mergeCell ref="A506:B506"/>
    <mergeCell ref="A507:B507"/>
    <mergeCell ref="A491:B491"/>
    <mergeCell ref="A492:B492"/>
    <mergeCell ref="A493:H493"/>
    <mergeCell ref="A494:B494"/>
    <mergeCell ref="A495:B495"/>
    <mergeCell ref="A496:B496"/>
    <mergeCell ref="A497:B497"/>
    <mergeCell ref="A498:B498"/>
    <mergeCell ref="A499:B499"/>
    <mergeCell ref="A482:B482"/>
    <mergeCell ref="A483:B483"/>
    <mergeCell ref="A484:H484"/>
    <mergeCell ref="A485:B485"/>
    <mergeCell ref="A486:B486"/>
    <mergeCell ref="A487:B487"/>
    <mergeCell ref="A488:B488"/>
    <mergeCell ref="A489:B489"/>
    <mergeCell ref="D489:H490"/>
    <mergeCell ref="A490:B490"/>
    <mergeCell ref="A474:B474"/>
    <mergeCell ref="A475:H475"/>
    <mergeCell ref="A476:B476"/>
    <mergeCell ref="A477:B477"/>
    <mergeCell ref="A478:B478"/>
    <mergeCell ref="A479:B479"/>
    <mergeCell ref="A480:B480"/>
    <mergeCell ref="D480:H481"/>
    <mergeCell ref="A481:B481"/>
    <mergeCell ref="A465:B465"/>
    <mergeCell ref="A466:H466"/>
    <mergeCell ref="A467:B467"/>
    <mergeCell ref="A468:B468"/>
    <mergeCell ref="A469:B469"/>
    <mergeCell ref="A470:B470"/>
    <mergeCell ref="D470:H473"/>
    <mergeCell ref="A471:B471"/>
    <mergeCell ref="A472:B472"/>
    <mergeCell ref="A473:B473"/>
    <mergeCell ref="A459:B459"/>
    <mergeCell ref="A460:B460"/>
    <mergeCell ref="A461:B461"/>
    <mergeCell ref="D461:H461"/>
    <mergeCell ref="A462:B462"/>
    <mergeCell ref="D462:H463"/>
    <mergeCell ref="A463:B463"/>
    <mergeCell ref="A464:B464"/>
    <mergeCell ref="D464:H464"/>
    <mergeCell ref="A450:B450"/>
    <mergeCell ref="A451:B451"/>
    <mergeCell ref="A452:B452"/>
    <mergeCell ref="A453:H453"/>
    <mergeCell ref="A454:H454"/>
    <mergeCell ref="A455:H455"/>
    <mergeCell ref="A456:H456"/>
    <mergeCell ref="A457:H457"/>
    <mergeCell ref="A458:B458"/>
    <mergeCell ref="A442:B442"/>
    <mergeCell ref="A443:B443"/>
    <mergeCell ref="A444:H444"/>
    <mergeCell ref="A445:B445"/>
    <mergeCell ref="D445:H445"/>
    <mergeCell ref="A446:B446"/>
    <mergeCell ref="A447:B447"/>
    <mergeCell ref="A448:B448"/>
    <mergeCell ref="A449:B449"/>
    <mergeCell ref="A433:B433"/>
    <mergeCell ref="A434:B434"/>
    <mergeCell ref="A435:H435"/>
    <mergeCell ref="A436:B436"/>
    <mergeCell ref="A437:B437"/>
    <mergeCell ref="A438:B438"/>
    <mergeCell ref="A439:B439"/>
    <mergeCell ref="A440:B440"/>
    <mergeCell ref="A441:B441"/>
    <mergeCell ref="A424:B424"/>
    <mergeCell ref="A425:B425"/>
    <mergeCell ref="A426:H426"/>
    <mergeCell ref="A427:B427"/>
    <mergeCell ref="A428:B428"/>
    <mergeCell ref="A429:B429"/>
    <mergeCell ref="A430:B430"/>
    <mergeCell ref="A431:B431"/>
    <mergeCell ref="D431:H432"/>
    <mergeCell ref="A432:B432"/>
    <mergeCell ref="A415:B415"/>
    <mergeCell ref="D415:H415"/>
    <mergeCell ref="A416:B416"/>
    <mergeCell ref="A417:H417"/>
    <mergeCell ref="A418:B418"/>
    <mergeCell ref="A419:B419"/>
    <mergeCell ref="A420:B420"/>
    <mergeCell ref="A421:B421"/>
    <mergeCell ref="A422:B422"/>
    <mergeCell ref="D422:H423"/>
    <mergeCell ref="A423:B423"/>
    <mergeCell ref="A407:B407"/>
    <mergeCell ref="A408:H408"/>
    <mergeCell ref="A409:B409"/>
    <mergeCell ref="A410:B410"/>
    <mergeCell ref="A411:B411"/>
    <mergeCell ref="A412:B412"/>
    <mergeCell ref="D412:H412"/>
    <mergeCell ref="A413:B413"/>
    <mergeCell ref="D413:H414"/>
    <mergeCell ref="A414:B414"/>
    <mergeCell ref="A400:B400"/>
    <mergeCell ref="A401:B401"/>
    <mergeCell ref="A402:B402"/>
    <mergeCell ref="A403:B403"/>
    <mergeCell ref="D403:H403"/>
    <mergeCell ref="A404:B404"/>
    <mergeCell ref="D404:H405"/>
    <mergeCell ref="A405:B405"/>
    <mergeCell ref="A406:B406"/>
    <mergeCell ref="D406:H406"/>
    <mergeCell ref="A391:B391"/>
    <mergeCell ref="A392:B392"/>
    <mergeCell ref="A393:B393"/>
    <mergeCell ref="A394:B394"/>
    <mergeCell ref="A395:H395"/>
    <mergeCell ref="A396:H396"/>
    <mergeCell ref="A397:H397"/>
    <mergeCell ref="A398:H398"/>
    <mergeCell ref="A399:H399"/>
    <mergeCell ref="A383:B383"/>
    <mergeCell ref="A384:B384"/>
    <mergeCell ref="A385:B385"/>
    <mergeCell ref="A386:H386"/>
    <mergeCell ref="A387:B387"/>
    <mergeCell ref="D387:H387"/>
    <mergeCell ref="A388:B388"/>
    <mergeCell ref="A389:B389"/>
    <mergeCell ref="A390:B390"/>
    <mergeCell ref="A375:B375"/>
    <mergeCell ref="A376:B376"/>
    <mergeCell ref="A377:H377"/>
    <mergeCell ref="A378:B378"/>
    <mergeCell ref="D378:H378"/>
    <mergeCell ref="A379:B379"/>
    <mergeCell ref="A380:B380"/>
    <mergeCell ref="A381:B381"/>
    <mergeCell ref="A382:B382"/>
    <mergeCell ref="A366:B366"/>
    <mergeCell ref="A367:B367"/>
    <mergeCell ref="A368:H368"/>
    <mergeCell ref="A369:B369"/>
    <mergeCell ref="A370:B370"/>
    <mergeCell ref="A371:B371"/>
    <mergeCell ref="A372:B372"/>
    <mergeCell ref="A373:B373"/>
    <mergeCell ref="A374:B374"/>
    <mergeCell ref="A357:B357"/>
    <mergeCell ref="A358:B358"/>
    <mergeCell ref="A359:H359"/>
    <mergeCell ref="A360:B360"/>
    <mergeCell ref="A361:B361"/>
    <mergeCell ref="A362:B362"/>
    <mergeCell ref="A363:B363"/>
    <mergeCell ref="A364:B364"/>
    <mergeCell ref="D364:H365"/>
    <mergeCell ref="A365:B365"/>
    <mergeCell ref="A349:B349"/>
    <mergeCell ref="A350:H350"/>
    <mergeCell ref="A351:B351"/>
    <mergeCell ref="A352:B352"/>
    <mergeCell ref="A353:B353"/>
    <mergeCell ref="A354:B354"/>
    <mergeCell ref="A355:B355"/>
    <mergeCell ref="D355:H356"/>
    <mergeCell ref="A356:B356"/>
    <mergeCell ref="A342:B342"/>
    <mergeCell ref="A343:B343"/>
    <mergeCell ref="A344:B344"/>
    <mergeCell ref="A345:B345"/>
    <mergeCell ref="D345:H345"/>
    <mergeCell ref="A346:B346"/>
    <mergeCell ref="D346:H347"/>
    <mergeCell ref="A347:B347"/>
    <mergeCell ref="A348:B348"/>
    <mergeCell ref="D348:H348"/>
    <mergeCell ref="A336:B336"/>
    <mergeCell ref="D336:H336"/>
    <mergeCell ref="A337:B337"/>
    <mergeCell ref="D337:H338"/>
    <mergeCell ref="A338:B338"/>
    <mergeCell ref="A339:B339"/>
    <mergeCell ref="D339:H339"/>
    <mergeCell ref="A340:B340"/>
    <mergeCell ref="A341:H341"/>
    <mergeCell ref="E128:F128"/>
    <mergeCell ref="A328:H328"/>
    <mergeCell ref="A329:H329"/>
    <mergeCell ref="A330:H330"/>
    <mergeCell ref="A331:H331"/>
    <mergeCell ref="A332:H332"/>
    <mergeCell ref="A333:B333"/>
    <mergeCell ref="A334:B334"/>
    <mergeCell ref="A335:B335"/>
    <mergeCell ref="A179:B179"/>
    <mergeCell ref="A120:B120"/>
    <mergeCell ref="A137:B137"/>
    <mergeCell ref="C137:D137"/>
    <mergeCell ref="E137:F137"/>
    <mergeCell ref="G137:H137"/>
    <mergeCell ref="A142:B142"/>
    <mergeCell ref="C142:D142"/>
    <mergeCell ref="E142:F142"/>
    <mergeCell ref="G142:H142"/>
    <mergeCell ref="A140:B140"/>
    <mergeCell ref="C140:D140"/>
    <mergeCell ref="E140:F140"/>
    <mergeCell ref="G140:H140"/>
    <mergeCell ref="A141:B141"/>
    <mergeCell ref="C141:D141"/>
    <mergeCell ref="E141:F141"/>
    <mergeCell ref="G141:H141"/>
    <mergeCell ref="A136:B136"/>
    <mergeCell ref="E136:F136"/>
    <mergeCell ref="C139:D139"/>
    <mergeCell ref="G130:H130"/>
    <mergeCell ref="G134:H134"/>
    <mergeCell ref="A131:H131"/>
    <mergeCell ref="A170:H170"/>
    <mergeCell ref="A171:B171"/>
    <mergeCell ref="A172:B172"/>
    <mergeCell ref="A173:B173"/>
    <mergeCell ref="A174:B174"/>
    <mergeCell ref="A175:H175"/>
    <mergeCell ref="A176:B176"/>
    <mergeCell ref="A177:B177"/>
    <mergeCell ref="A178:B178"/>
    <mergeCell ref="A163:B163"/>
    <mergeCell ref="D163:H163"/>
    <mergeCell ref="A164:B164"/>
    <mergeCell ref="D164:H164"/>
    <mergeCell ref="A165:H165"/>
    <mergeCell ref="A166:B166"/>
    <mergeCell ref="A167:B167"/>
    <mergeCell ref="A168:B168"/>
    <mergeCell ref="D168:H169"/>
    <mergeCell ref="A169:B169"/>
    <mergeCell ref="A97:B97"/>
    <mergeCell ref="E97:F97"/>
    <mergeCell ref="A98:B98"/>
    <mergeCell ref="E98:F109"/>
    <mergeCell ref="G98:H109"/>
    <mergeCell ref="A99:B99"/>
    <mergeCell ref="A100:B100"/>
    <mergeCell ref="A101:B101"/>
    <mergeCell ref="A102:B102"/>
    <mergeCell ref="A103:B103"/>
    <mergeCell ref="A104:B104"/>
    <mergeCell ref="A105:B105"/>
    <mergeCell ref="A106:B106"/>
    <mergeCell ref="A107:B107"/>
    <mergeCell ref="A108:B108"/>
    <mergeCell ref="A109:B109"/>
    <mergeCell ref="J38:K38"/>
    <mergeCell ref="M38:N38"/>
    <mergeCell ref="C38:E38"/>
    <mergeCell ref="F38:H38"/>
    <mergeCell ref="C39:E39"/>
    <mergeCell ref="F39:H39"/>
    <mergeCell ref="F40:H40"/>
    <mergeCell ref="C40:E40"/>
    <mergeCell ref="A41:B41"/>
    <mergeCell ref="C41:E41"/>
    <mergeCell ref="F41:H41"/>
    <mergeCell ref="A39:B39"/>
    <mergeCell ref="A40:B40"/>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E26:F26"/>
    <mergeCell ref="E27:F27"/>
    <mergeCell ref="A17:B17"/>
    <mergeCell ref="A18:B18"/>
    <mergeCell ref="E28:F28"/>
    <mergeCell ref="E29:F29"/>
    <mergeCell ref="E30:F30"/>
    <mergeCell ref="E31:F31"/>
    <mergeCell ref="C28:D28"/>
    <mergeCell ref="C29:D29"/>
    <mergeCell ref="C30:D30"/>
    <mergeCell ref="C31:D31"/>
    <mergeCell ref="E20:F20"/>
    <mergeCell ref="E21:F21"/>
    <mergeCell ref="E22:F22"/>
    <mergeCell ref="C27:D27"/>
    <mergeCell ref="C26:D26"/>
    <mergeCell ref="C22:D22"/>
    <mergeCell ref="G2:H2"/>
    <mergeCell ref="G3:H3"/>
    <mergeCell ref="G4:H4"/>
    <mergeCell ref="A6:B6"/>
    <mergeCell ref="A7:B7"/>
    <mergeCell ref="A8:B8"/>
    <mergeCell ref="C6:D6"/>
    <mergeCell ref="A12:B12"/>
    <mergeCell ref="C7:D7"/>
    <mergeCell ref="E6:F6"/>
    <mergeCell ref="E7:F7"/>
    <mergeCell ref="C8:H8"/>
    <mergeCell ref="C9:H9"/>
    <mergeCell ref="C10:H10"/>
    <mergeCell ref="C11:H11"/>
    <mergeCell ref="C12:H12"/>
    <mergeCell ref="C14:D14"/>
    <mergeCell ref="C15:D15"/>
    <mergeCell ref="C16:D16"/>
    <mergeCell ref="C17:D17"/>
    <mergeCell ref="A14:B14"/>
    <mergeCell ref="A15:B15"/>
    <mergeCell ref="A16:B16"/>
    <mergeCell ref="A2:B2"/>
    <mergeCell ref="A3:B3"/>
    <mergeCell ref="A4:B4"/>
    <mergeCell ref="C2:D2"/>
    <mergeCell ref="C3:D3"/>
    <mergeCell ref="C4:D4"/>
    <mergeCell ref="E2:F2"/>
    <mergeCell ref="E3:F3"/>
    <mergeCell ref="E4:F4"/>
    <mergeCell ref="E82:F93"/>
    <mergeCell ref="G82:H93"/>
    <mergeCell ref="A83:B83"/>
    <mergeCell ref="A84:B84"/>
    <mergeCell ref="A85:B85"/>
    <mergeCell ref="A86:B86"/>
    <mergeCell ref="A87:B87"/>
    <mergeCell ref="A88:B88"/>
    <mergeCell ref="A89:B89"/>
    <mergeCell ref="A90:B90"/>
    <mergeCell ref="A91:B91"/>
    <mergeCell ref="A92:B92"/>
    <mergeCell ref="A93:B93"/>
    <mergeCell ref="E14:F14"/>
    <mergeCell ref="E15:F15"/>
    <mergeCell ref="E16:F16"/>
    <mergeCell ref="E17:F17"/>
    <mergeCell ref="E18:F18"/>
    <mergeCell ref="E19:F19"/>
    <mergeCell ref="A23:B23"/>
    <mergeCell ref="A24:B24"/>
    <mergeCell ref="G16:H16"/>
    <mergeCell ref="G19:H19"/>
    <mergeCell ref="G14:H14"/>
    <mergeCell ref="C18:D18"/>
    <mergeCell ref="G17:H17"/>
    <mergeCell ref="G15:H15"/>
    <mergeCell ref="G18:H18"/>
    <mergeCell ref="C24:H24"/>
    <mergeCell ref="C23:H23"/>
    <mergeCell ref="A19:B19"/>
    <mergeCell ref="A20:B20"/>
    <mergeCell ref="A21:B21"/>
    <mergeCell ref="A22:B22"/>
    <mergeCell ref="C19:D19"/>
    <mergeCell ref="C20:D20"/>
    <mergeCell ref="C21:D21"/>
    <mergeCell ref="A127:H127"/>
    <mergeCell ref="G128:H128"/>
    <mergeCell ref="B519:H519"/>
    <mergeCell ref="B513:H513"/>
    <mergeCell ref="B512:H512"/>
    <mergeCell ref="B516:H516"/>
    <mergeCell ref="B515:H515"/>
    <mergeCell ref="B514:H514"/>
    <mergeCell ref="B517:H517"/>
    <mergeCell ref="A213:B213"/>
    <mergeCell ref="A188:B188"/>
    <mergeCell ref="A189:B189"/>
    <mergeCell ref="A190:B190"/>
    <mergeCell ref="A185:B185"/>
    <mergeCell ref="A186:B186"/>
    <mergeCell ref="A187:B187"/>
    <mergeCell ref="B518:H518"/>
    <mergeCell ref="A511:H511"/>
    <mergeCell ref="A128:B128"/>
    <mergeCell ref="C128:D128"/>
    <mergeCell ref="A146:H146"/>
    <mergeCell ref="A147:H147"/>
    <mergeCell ref="A148:H148"/>
    <mergeCell ref="A149:H149"/>
    <mergeCell ref="G22:H22"/>
    <mergeCell ref="G36:H36"/>
    <mergeCell ref="G35:H35"/>
    <mergeCell ref="G659:H659"/>
    <mergeCell ref="A520:H520"/>
    <mergeCell ref="D522:H522"/>
    <mergeCell ref="A650:H650"/>
    <mergeCell ref="A656:H656"/>
    <mergeCell ref="A657:H657"/>
    <mergeCell ref="A658:H658"/>
    <mergeCell ref="A651:H651"/>
    <mergeCell ref="A652:H652"/>
    <mergeCell ref="A653:H653"/>
    <mergeCell ref="A654:H654"/>
    <mergeCell ref="A522:C522"/>
    <mergeCell ref="A649:H649"/>
    <mergeCell ref="A655:H655"/>
    <mergeCell ref="A618:H618"/>
    <mergeCell ref="D521:H521"/>
    <mergeCell ref="E143:F143"/>
    <mergeCell ref="E139:F139"/>
    <mergeCell ref="C136:D136"/>
    <mergeCell ref="A523:C523"/>
    <mergeCell ref="C143:D143"/>
    <mergeCell ref="A568:H568"/>
    <mergeCell ref="E659:F659"/>
    <mergeCell ref="A659:B659"/>
    <mergeCell ref="C659:D659"/>
    <mergeCell ref="A1:H1"/>
    <mergeCell ref="A521:C521"/>
    <mergeCell ref="G27:H27"/>
    <mergeCell ref="G28:H28"/>
    <mergeCell ref="A37:H37"/>
    <mergeCell ref="A44:H44"/>
    <mergeCell ref="A50:H50"/>
    <mergeCell ref="G133:H133"/>
    <mergeCell ref="G7:H7"/>
    <mergeCell ref="G47:H47"/>
    <mergeCell ref="G45:H45"/>
    <mergeCell ref="A25:H25"/>
    <mergeCell ref="G26:H26"/>
    <mergeCell ref="G20:H20"/>
    <mergeCell ref="G21:H21"/>
    <mergeCell ref="A9:A11"/>
    <mergeCell ref="G6:H6"/>
    <mergeCell ref="A5:H5"/>
    <mergeCell ref="A13:H13"/>
    <mergeCell ref="G31:H31"/>
    <mergeCell ref="G129:H129"/>
    <mergeCell ref="C129:D129"/>
    <mergeCell ref="C130:D130"/>
    <mergeCell ref="E130:F130"/>
    <mergeCell ref="A132:F132"/>
    <mergeCell ref="A133:F133"/>
    <mergeCell ref="A134:F134"/>
    <mergeCell ref="A129:B129"/>
    <mergeCell ref="D523:H523"/>
    <mergeCell ref="A150:H150"/>
    <mergeCell ref="A151:B151"/>
    <mergeCell ref="A152:B152"/>
    <mergeCell ref="A153:B153"/>
    <mergeCell ref="D153:H154"/>
    <mergeCell ref="A154:B154"/>
    <mergeCell ref="A155:H155"/>
    <mergeCell ref="A156:B156"/>
    <mergeCell ref="A157:B157"/>
    <mergeCell ref="A158:B158"/>
    <mergeCell ref="D158:H159"/>
    <mergeCell ref="A159:B159"/>
    <mergeCell ref="A160:H160"/>
    <mergeCell ref="A161:B161"/>
    <mergeCell ref="A162:B162"/>
    <mergeCell ref="A33:H33"/>
    <mergeCell ref="G30:H30"/>
    <mergeCell ref="G29:H29"/>
    <mergeCell ref="A31:B31"/>
    <mergeCell ref="A32:B32"/>
    <mergeCell ref="A138:B138"/>
    <mergeCell ref="C138:D138"/>
    <mergeCell ref="E138:F138"/>
    <mergeCell ref="G138:H138"/>
    <mergeCell ref="E80:F80"/>
    <mergeCell ref="A81:B81"/>
    <mergeCell ref="E81:F81"/>
    <mergeCell ref="A45:B45"/>
    <mergeCell ref="A47:B47"/>
    <mergeCell ref="D45:F45"/>
    <mergeCell ref="D47:F47"/>
    <mergeCell ref="A48:B48"/>
    <mergeCell ref="D48:F48"/>
    <mergeCell ref="A58:B58"/>
    <mergeCell ref="A61:B61"/>
    <mergeCell ref="C56:F56"/>
    <mergeCell ref="C57:F57"/>
    <mergeCell ref="C58:F58"/>
    <mergeCell ref="C61:F61"/>
    <mergeCell ref="A180:H180"/>
    <mergeCell ref="C59:F59"/>
    <mergeCell ref="A59:B60"/>
    <mergeCell ref="C60:H60"/>
    <mergeCell ref="A126:F126"/>
    <mergeCell ref="A144:H144"/>
    <mergeCell ref="G136:H136"/>
    <mergeCell ref="A139:B139"/>
    <mergeCell ref="G139:H139"/>
    <mergeCell ref="A143:B143"/>
    <mergeCell ref="G143:H143"/>
    <mergeCell ref="A94:H94"/>
    <mergeCell ref="A95:C96"/>
    <mergeCell ref="A82:B82"/>
    <mergeCell ref="E79:F79"/>
    <mergeCell ref="G126:H126"/>
    <mergeCell ref="E95:F95"/>
    <mergeCell ref="E96:F96"/>
    <mergeCell ref="G132:H132"/>
    <mergeCell ref="A135:H135"/>
    <mergeCell ref="A78:H78"/>
    <mergeCell ref="A79:C80"/>
    <mergeCell ref="A130:B130"/>
    <mergeCell ref="E129:F129"/>
    <mergeCell ref="D202:H203"/>
    <mergeCell ref="D204:H204"/>
    <mergeCell ref="D209:H210"/>
    <mergeCell ref="A204:B204"/>
    <mergeCell ref="A181:H181"/>
    <mergeCell ref="A182:H182"/>
    <mergeCell ref="A183:H183"/>
    <mergeCell ref="A184:H184"/>
    <mergeCell ref="A199:B199"/>
    <mergeCell ref="A200:B200"/>
    <mergeCell ref="A201:B201"/>
    <mergeCell ref="A202:B202"/>
    <mergeCell ref="A203:B203"/>
    <mergeCell ref="A198:H198"/>
    <mergeCell ref="D187:H187"/>
    <mergeCell ref="D188:H190"/>
    <mergeCell ref="A191:H191"/>
    <mergeCell ref="A192:B192"/>
    <mergeCell ref="A193:B193"/>
    <mergeCell ref="A194:B194"/>
    <mergeCell ref="A195:B195"/>
    <mergeCell ref="A196:B196"/>
    <mergeCell ref="A197:B197"/>
    <mergeCell ref="D194:H197"/>
    <mergeCell ref="A212:H212"/>
    <mergeCell ref="A214:B214"/>
    <mergeCell ref="A215:B215"/>
    <mergeCell ref="A216:B216"/>
    <mergeCell ref="A217:B217"/>
    <mergeCell ref="A218:B218"/>
    <mergeCell ref="A219:H219"/>
    <mergeCell ref="D220:H220"/>
    <mergeCell ref="A205:H205"/>
    <mergeCell ref="A206:B206"/>
    <mergeCell ref="A207:B207"/>
    <mergeCell ref="A208:B208"/>
    <mergeCell ref="A209:B209"/>
    <mergeCell ref="A210:B210"/>
    <mergeCell ref="A211:B211"/>
    <mergeCell ref="A227:B227"/>
    <mergeCell ref="A228:B228"/>
    <mergeCell ref="A229:B229"/>
    <mergeCell ref="A230:B230"/>
    <mergeCell ref="A231:B231"/>
    <mergeCell ref="A232:B232"/>
    <mergeCell ref="A233:H233"/>
    <mergeCell ref="D234:H234"/>
    <mergeCell ref="A220:B220"/>
    <mergeCell ref="A221:B221"/>
    <mergeCell ref="A222:B222"/>
    <mergeCell ref="A223:B223"/>
    <mergeCell ref="A224:B224"/>
    <mergeCell ref="A225:B225"/>
    <mergeCell ref="A226:H226"/>
    <mergeCell ref="A266:B266"/>
    <mergeCell ref="A267:B267"/>
    <mergeCell ref="A268:B268"/>
    <mergeCell ref="A269:B269"/>
    <mergeCell ref="A270:B270"/>
    <mergeCell ref="A271:B271"/>
    <mergeCell ref="A272:H272"/>
    <mergeCell ref="A259:B259"/>
    <mergeCell ref="A260:B260"/>
    <mergeCell ref="A261:B261"/>
    <mergeCell ref="A262:B262"/>
    <mergeCell ref="A263:B263"/>
    <mergeCell ref="A264:B264"/>
    <mergeCell ref="A265:H265"/>
    <mergeCell ref="D261:H261"/>
    <mergeCell ref="D262:H264"/>
    <mergeCell ref="D268:H271"/>
    <mergeCell ref="A273:B273"/>
    <mergeCell ref="A274:B274"/>
    <mergeCell ref="A275:B275"/>
    <mergeCell ref="A280:B280"/>
    <mergeCell ref="A281:B281"/>
    <mergeCell ref="A282:B282"/>
    <mergeCell ref="A283:B283"/>
    <mergeCell ref="A284:B284"/>
    <mergeCell ref="A286:H286"/>
    <mergeCell ref="A278:B278"/>
    <mergeCell ref="A279:H279"/>
    <mergeCell ref="A285:B285"/>
    <mergeCell ref="D276:H277"/>
    <mergeCell ref="D278:H278"/>
    <mergeCell ref="D283:H284"/>
    <mergeCell ref="A276:B276"/>
    <mergeCell ref="A277:B277"/>
    <mergeCell ref="A327:B327"/>
    <mergeCell ref="A308:B308"/>
    <mergeCell ref="A309:B309"/>
    <mergeCell ref="A310:B310"/>
    <mergeCell ref="A311:B311"/>
    <mergeCell ref="A312:B312"/>
    <mergeCell ref="A313:B313"/>
    <mergeCell ref="A314:H314"/>
    <mergeCell ref="D308:H308"/>
    <mergeCell ref="A319:B319"/>
    <mergeCell ref="A320:B320"/>
    <mergeCell ref="A322:B322"/>
    <mergeCell ref="A321:H321"/>
    <mergeCell ref="D322:H322"/>
    <mergeCell ref="A323:B323"/>
    <mergeCell ref="A324:B324"/>
    <mergeCell ref="A325:B325"/>
    <mergeCell ref="A326:B326"/>
    <mergeCell ref="A315:B315"/>
    <mergeCell ref="A316:B316"/>
    <mergeCell ref="A317:B317"/>
    <mergeCell ref="A318:B318"/>
    <mergeCell ref="A301:B301"/>
    <mergeCell ref="A302:B302"/>
    <mergeCell ref="A303:B303"/>
    <mergeCell ref="A304:B304"/>
    <mergeCell ref="A305:B305"/>
    <mergeCell ref="A306:B306"/>
    <mergeCell ref="A307:H307"/>
    <mergeCell ref="A287:B287"/>
    <mergeCell ref="A288:B288"/>
    <mergeCell ref="A289:B289"/>
    <mergeCell ref="A290:B290"/>
    <mergeCell ref="A291:B291"/>
    <mergeCell ref="A292:B292"/>
    <mergeCell ref="A300:H300"/>
    <mergeCell ref="A293:H293"/>
    <mergeCell ref="A294:B294"/>
    <mergeCell ref="A295:B295"/>
    <mergeCell ref="A296:B296"/>
    <mergeCell ref="A297:B297"/>
    <mergeCell ref="A298:B298"/>
    <mergeCell ref="A299:B299"/>
    <mergeCell ref="D294:H294"/>
    <mergeCell ref="D248:H248"/>
    <mergeCell ref="A254:H254"/>
    <mergeCell ref="A255:H255"/>
    <mergeCell ref="A256:H256"/>
    <mergeCell ref="A257:H257"/>
    <mergeCell ref="A258:H258"/>
    <mergeCell ref="A248:B248"/>
    <mergeCell ref="A249:B249"/>
    <mergeCell ref="A250:B250"/>
    <mergeCell ref="A251:B251"/>
    <mergeCell ref="A252:B252"/>
    <mergeCell ref="A253:B253"/>
    <mergeCell ref="A241:B241"/>
    <mergeCell ref="A242:B242"/>
    <mergeCell ref="A243:B243"/>
    <mergeCell ref="A244:B244"/>
    <mergeCell ref="A245:B245"/>
    <mergeCell ref="A246:B246"/>
    <mergeCell ref="A247:H247"/>
    <mergeCell ref="A234:B234"/>
    <mergeCell ref="A235:B235"/>
    <mergeCell ref="A236:B236"/>
    <mergeCell ref="A237:B237"/>
    <mergeCell ref="A238:B238"/>
    <mergeCell ref="A239:B239"/>
    <mergeCell ref="A240:H240"/>
  </mergeCells>
  <dataValidations disablePrompts="1"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130">
      <formula1>"300000,350000,400000,500000,600000,700000,800000,900000,1000000,1200000,1400000,1500000,1600000"</formula1>
    </dataValidation>
    <dataValidation type="list" allowBlank="1" showInputMessage="1" showErrorMessage="1" sqref="F145">
      <formula1>"Deck Area, 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45">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24" max="7" man="1"/>
    <brk id="519" max="8" man="1"/>
    <brk id="567" max="16383" man="1"/>
    <brk id="61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24" t="s">
        <v>69</v>
      </c>
      <c r="B3" s="124"/>
      <c r="C3" s="124"/>
      <c r="D3" s="124"/>
      <c r="E3" s="124"/>
      <c r="F3" s="124"/>
      <c r="G3" s="124"/>
      <c r="H3" s="124"/>
      <c r="I3" s="124"/>
    </row>
    <row r="4" spans="1:11" s="1" customFormat="1" ht="20.25" customHeight="1" x14ac:dyDescent="0.3">
      <c r="A4" s="192">
        <v>1</v>
      </c>
      <c r="B4" s="192"/>
      <c r="C4" s="192"/>
      <c r="D4" s="193" t="s">
        <v>4</v>
      </c>
      <c r="E4" s="30" t="s">
        <v>117</v>
      </c>
      <c r="F4" s="127" t="s">
        <v>104</v>
      </c>
      <c r="G4" s="127"/>
      <c r="H4" s="30" t="s">
        <v>118</v>
      </c>
      <c r="I4" s="30"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2"/>
      <c r="B5" s="192"/>
      <c r="C5" s="192"/>
      <c r="D5" s="193"/>
      <c r="E5" s="30">
        <v>3</v>
      </c>
      <c r="F5" s="127">
        <v>1</v>
      </c>
      <c r="G5" s="127"/>
      <c r="H5" s="30">
        <v>0</v>
      </c>
      <c r="I5" s="30">
        <f ca="1">--TRIM(RIGHT(SUBSTITUTE(LEFT(A4,_xlfn.AGGREGATE(16,6,FIND({0,1,2,3,4,5,6,7,8,9},A4,ROW(INDIRECT("1:"&amp;LEN(A4)))),1))," ",REPT(" ",LEN(A4))),LEN(A4)))</f>
        <v>1</v>
      </c>
      <c r="J5" s="17" t="s">
        <v>123</v>
      </c>
      <c r="K5" s="18"/>
    </row>
    <row r="6" spans="1:11" s="1" customFormat="1" ht="20.25" customHeight="1" x14ac:dyDescent="0.3">
      <c r="A6" s="136" t="s">
        <v>121</v>
      </c>
      <c r="B6" s="136"/>
      <c r="C6" s="136" t="s">
        <v>131</v>
      </c>
      <c r="D6" s="136"/>
      <c r="E6" s="28" t="s">
        <v>132</v>
      </c>
      <c r="F6" s="136" t="s">
        <v>122</v>
      </c>
      <c r="G6" s="136"/>
      <c r="H6" s="29" t="s">
        <v>120</v>
      </c>
      <c r="I6" s="29"/>
      <c r="J6" s="20" t="s">
        <v>133</v>
      </c>
      <c r="K6" s="19">
        <f ca="1">I5*25%</f>
        <v>0.25</v>
      </c>
    </row>
    <row r="7" spans="1:11" s="1" customFormat="1" ht="20.25" customHeight="1" x14ac:dyDescent="0.3">
      <c r="A7" s="126" t="s">
        <v>134</v>
      </c>
      <c r="B7" s="126"/>
      <c r="C7" s="127">
        <f ca="1">K8</f>
        <v>1</v>
      </c>
      <c r="D7" s="127"/>
      <c r="E7" s="5">
        <f ca="1">((100/I5)*C7)/100</f>
        <v>1</v>
      </c>
      <c r="F7" s="126">
        <f ca="1">(((C7/I5*5)+(C8/I5*20)+(25/(F5+H5+I5)*C9)+(5/(I5)*C10)+(2.5/(I5)*C11)+(2.5/(I5)*C12)+(5/I5*C13)+(10/I5*C14)+(2.5/I5*C15)+(2.5/I5*C16)+(10/I5*C17)+(10/I5*C18))/100)</f>
        <v>0.25</v>
      </c>
      <c r="G7" s="126"/>
      <c r="H7" s="126" t="str">
        <f ca="1">J4</f>
        <v>Excavation work Completed. Plinth work completed</v>
      </c>
      <c r="I7" s="126"/>
      <c r="J7" s="20" t="s">
        <v>124</v>
      </c>
      <c r="K7" s="24">
        <f ca="1">I5*50%</f>
        <v>0.5</v>
      </c>
    </row>
    <row r="8" spans="1:11" s="1" customFormat="1" ht="20.25" x14ac:dyDescent="0.3">
      <c r="A8" s="126" t="s">
        <v>105</v>
      </c>
      <c r="B8" s="126"/>
      <c r="C8" s="191">
        <f ca="1">K16</f>
        <v>1</v>
      </c>
      <c r="D8" s="127"/>
      <c r="E8" s="5">
        <f ca="1">((100/I5)*C8)/100</f>
        <v>1</v>
      </c>
      <c r="F8" s="126"/>
      <c r="G8" s="126"/>
      <c r="H8" s="126"/>
      <c r="I8" s="126"/>
      <c r="J8" s="20" t="s">
        <v>125</v>
      </c>
      <c r="K8" s="24">
        <f ca="1">I5</f>
        <v>1</v>
      </c>
    </row>
    <row r="9" spans="1:11" s="1" customFormat="1" ht="21" customHeight="1" x14ac:dyDescent="0.35">
      <c r="A9" s="126" t="s">
        <v>135</v>
      </c>
      <c r="B9" s="126"/>
      <c r="C9" s="127">
        <v>0</v>
      </c>
      <c r="D9" s="127"/>
      <c r="E9" s="5">
        <f ca="1">((100/(F5+H5+I5))*C9)/100</f>
        <v>0</v>
      </c>
      <c r="F9" s="126"/>
      <c r="G9" s="126"/>
      <c r="H9" s="126"/>
      <c r="I9" s="126"/>
      <c r="J9" s="20" t="s">
        <v>126</v>
      </c>
      <c r="K9" s="25">
        <f ca="1">(IF(E5&gt;1,(I5/(E5+2)),I5*0.2))</f>
        <v>0.2</v>
      </c>
    </row>
    <row r="10" spans="1:11" s="1" customFormat="1" ht="21" customHeight="1" x14ac:dyDescent="0.35">
      <c r="A10" s="126" t="s">
        <v>136</v>
      </c>
      <c r="B10" s="126"/>
      <c r="C10" s="127">
        <v>0</v>
      </c>
      <c r="D10" s="127"/>
      <c r="E10" s="5">
        <f ca="1">((100/I5)*C10)/100</f>
        <v>0</v>
      </c>
      <c r="F10" s="126"/>
      <c r="G10" s="126"/>
      <c r="H10" s="126"/>
      <c r="I10" s="126"/>
      <c r="J10" s="20" t="s">
        <v>127</v>
      </c>
      <c r="K10" s="25">
        <f ca="1">(IF(E5&gt;1,(I5/(E5+2)+K9),I5*0.2+K9))</f>
        <v>0.4</v>
      </c>
    </row>
    <row r="11" spans="1:11" s="1" customFormat="1" ht="21" customHeight="1" x14ac:dyDescent="0.35">
      <c r="A11" s="176" t="s">
        <v>137</v>
      </c>
      <c r="B11" s="177"/>
      <c r="C11" s="127">
        <v>0</v>
      </c>
      <c r="D11" s="127"/>
      <c r="E11" s="5">
        <f ca="1">((100/I5)*C11)/100</f>
        <v>0</v>
      </c>
      <c r="F11" s="126"/>
      <c r="G11" s="126"/>
      <c r="H11" s="126"/>
      <c r="I11" s="126"/>
      <c r="J11" s="20" t="s">
        <v>138</v>
      </c>
      <c r="K11" s="25">
        <f ca="1">(IF(E5&gt;1,(I5/(E5+2)+K10),0))</f>
        <v>0.60000000000000009</v>
      </c>
    </row>
    <row r="12" spans="1:11" s="1" customFormat="1" ht="21" customHeight="1" x14ac:dyDescent="0.35">
      <c r="A12" s="176" t="s">
        <v>168</v>
      </c>
      <c r="B12" s="177"/>
      <c r="C12" s="127">
        <v>0</v>
      </c>
      <c r="D12" s="127"/>
      <c r="E12" s="5">
        <f ca="1">((100/I5)*C12)/100</f>
        <v>0</v>
      </c>
      <c r="F12" s="126"/>
      <c r="G12" s="126"/>
      <c r="H12" s="126"/>
      <c r="I12" s="126"/>
      <c r="J12" s="20" t="s">
        <v>139</v>
      </c>
      <c r="K12" s="25">
        <f ca="1">(IF(E5&gt;2,(I5/(E5+2)+K11),0))</f>
        <v>0.8</v>
      </c>
    </row>
    <row r="13" spans="1:11" s="1" customFormat="1" ht="57.75" customHeight="1" x14ac:dyDescent="0.35">
      <c r="A13" s="176" t="s">
        <v>165</v>
      </c>
      <c r="B13" s="177"/>
      <c r="C13" s="127">
        <v>0</v>
      </c>
      <c r="D13" s="127"/>
      <c r="E13" s="5">
        <f ca="1">((100/(I5))*C13)/100</f>
        <v>0</v>
      </c>
      <c r="F13" s="126"/>
      <c r="G13" s="126"/>
      <c r="H13" s="126"/>
      <c r="I13" s="126"/>
      <c r="J13" s="20" t="s">
        <v>141</v>
      </c>
      <c r="K13" s="26">
        <f>(IF(E5&gt;3,(I5/(E5+2)+K12),0))</f>
        <v>0</v>
      </c>
    </row>
    <row r="14" spans="1:11" s="1" customFormat="1" ht="21" x14ac:dyDescent="0.35">
      <c r="A14" s="126" t="s">
        <v>140</v>
      </c>
      <c r="B14" s="126"/>
      <c r="C14" s="127">
        <v>0</v>
      </c>
      <c r="D14" s="127"/>
      <c r="E14" s="5">
        <f ca="1">((100/(I5))*C14)/100</f>
        <v>0</v>
      </c>
      <c r="F14" s="126"/>
      <c r="G14" s="126"/>
      <c r="H14" s="126"/>
      <c r="I14" s="126"/>
      <c r="J14" s="20" t="s">
        <v>142</v>
      </c>
      <c r="K14" s="25">
        <f>(IF(E5&gt;4,(I5/(E5+2)+K13),0))</f>
        <v>0</v>
      </c>
    </row>
    <row r="15" spans="1:11" s="1" customFormat="1" ht="21" customHeight="1" x14ac:dyDescent="0.35">
      <c r="A15" s="126" t="s">
        <v>167</v>
      </c>
      <c r="B15" s="126"/>
      <c r="C15" s="127">
        <v>0</v>
      </c>
      <c r="D15" s="127"/>
      <c r="E15" s="5">
        <f ca="1">((100/I5)*C15)/100</f>
        <v>0</v>
      </c>
      <c r="F15" s="126"/>
      <c r="G15" s="126"/>
      <c r="H15" s="126"/>
      <c r="I15" s="126"/>
      <c r="J15" s="20" t="s">
        <v>128</v>
      </c>
      <c r="K15" s="25">
        <f>(IF(E5=1,(I5/(E5+3)+K10),IF(E5=0,(I5*0.3+K10),IF(E5&gt;1,0))))</f>
        <v>0</v>
      </c>
    </row>
    <row r="16" spans="1:11" s="1" customFormat="1" ht="21.75" thickBot="1" x14ac:dyDescent="0.4">
      <c r="A16" s="126" t="s">
        <v>166</v>
      </c>
      <c r="B16" s="126"/>
      <c r="C16" s="127">
        <v>0</v>
      </c>
      <c r="D16" s="127"/>
      <c r="E16" s="5">
        <f ca="1">((100/I5)*C16)/100</f>
        <v>0</v>
      </c>
      <c r="F16" s="126"/>
      <c r="G16" s="126"/>
      <c r="H16" s="126"/>
      <c r="I16" s="126"/>
      <c r="J16" s="22" t="s">
        <v>129</v>
      </c>
      <c r="K16" s="27">
        <f ca="1">(IF(E5&gt;1.5,(I5/(E5+2)+K10+MAX(0,K11-K10)+MAX(0,K12-K11)+MAX(0,K13-K12)+MAX(0,K14-K13)+MAX(0,K15-K14)),IF(E5=1,(I5/(E5+3)+K15),IF(E5=0,I5*0.3+K15))))</f>
        <v>1</v>
      </c>
    </row>
    <row r="17" spans="1:9" s="1" customFormat="1" ht="20.25" x14ac:dyDescent="0.25">
      <c r="A17" s="126" t="s">
        <v>143</v>
      </c>
      <c r="B17" s="126"/>
      <c r="C17" s="127">
        <v>0</v>
      </c>
      <c r="D17" s="127"/>
      <c r="E17" s="5">
        <f ca="1">((100/(I5))*C17)/100</f>
        <v>0</v>
      </c>
      <c r="F17" s="126"/>
      <c r="G17" s="126"/>
      <c r="H17" s="126"/>
      <c r="I17" s="126"/>
    </row>
    <row r="18" spans="1:9" s="1" customFormat="1" ht="20.25" x14ac:dyDescent="0.25">
      <c r="A18" s="126" t="s">
        <v>144</v>
      </c>
      <c r="B18" s="126"/>
      <c r="C18" s="127">
        <v>0</v>
      </c>
      <c r="D18" s="127"/>
      <c r="E18" s="5">
        <f ca="1">((100/(I5))*C18)/100</f>
        <v>0</v>
      </c>
      <c r="F18" s="126"/>
      <c r="G18" s="126"/>
      <c r="H18" s="126"/>
      <c r="I18" s="126"/>
    </row>
    <row r="23" spans="1:9" x14ac:dyDescent="0.25">
      <c r="B23" s="190" t="s">
        <v>169</v>
      </c>
      <c r="C23" s="190"/>
      <c r="D23" s="190"/>
      <c r="E23" s="190"/>
      <c r="F23" s="190"/>
      <c r="G23" s="190"/>
    </row>
    <row r="24" spans="1:9" ht="14.45" customHeight="1" x14ac:dyDescent="0.25">
      <c r="B24" s="185" t="s">
        <v>170</v>
      </c>
      <c r="C24" s="185" t="s">
        <v>171</v>
      </c>
      <c r="D24" s="188" t="s">
        <v>172</v>
      </c>
      <c r="E24" s="189" t="s">
        <v>173</v>
      </c>
      <c r="F24" s="186" t="s">
        <v>174</v>
      </c>
      <c r="G24" s="185" t="s">
        <v>175</v>
      </c>
    </row>
    <row r="25" spans="1:9" x14ac:dyDescent="0.25">
      <c r="B25" s="185"/>
      <c r="C25" s="185"/>
      <c r="D25" s="188"/>
      <c r="E25" s="189"/>
      <c r="F25" s="186"/>
      <c r="G25" s="185"/>
    </row>
    <row r="26" spans="1:9" x14ac:dyDescent="0.25">
      <c r="B26" s="37" t="s">
        <v>176</v>
      </c>
      <c r="C26" s="38">
        <v>10</v>
      </c>
      <c r="D26" s="38">
        <v>1</v>
      </c>
      <c r="E26" s="39"/>
      <c r="F26" s="40">
        <f>((E26/D26)*0.05)*100</f>
        <v>0</v>
      </c>
      <c r="G26" s="40">
        <f t="shared" ref="G26:G37" si="0">((E26/D26)*(C26/100))*100</f>
        <v>0</v>
      </c>
    </row>
    <row r="27" spans="1:9" x14ac:dyDescent="0.25">
      <c r="B27" s="37" t="s">
        <v>177</v>
      </c>
      <c r="C27" s="39">
        <v>10</v>
      </c>
      <c r="D27" s="39">
        <v>1</v>
      </c>
      <c r="E27" s="39"/>
      <c r="F27" s="40">
        <f>((E27/D27)*0.05)*100</f>
        <v>0</v>
      </c>
      <c r="G27" s="40">
        <f t="shared" si="0"/>
        <v>0</v>
      </c>
    </row>
    <row r="28" spans="1:9" x14ac:dyDescent="0.25">
      <c r="B28" s="37" t="s">
        <v>178</v>
      </c>
      <c r="C28" s="39">
        <v>15</v>
      </c>
      <c r="D28" s="39">
        <v>1</v>
      </c>
      <c r="E28" s="39"/>
      <c r="F28" s="40">
        <f>((E28/D28)*0.15)*100</f>
        <v>0</v>
      </c>
      <c r="G28" s="40">
        <f t="shared" si="0"/>
        <v>0</v>
      </c>
    </row>
    <row r="29" spans="1:9" x14ac:dyDescent="0.25">
      <c r="B29" s="41" t="s">
        <v>179</v>
      </c>
      <c r="C29" s="39">
        <v>25</v>
      </c>
      <c r="D29" s="39">
        <v>40</v>
      </c>
      <c r="E29" s="39"/>
      <c r="F29" s="40">
        <f>((E29/D29)*0.25)*100</f>
        <v>0</v>
      </c>
      <c r="G29" s="40">
        <f t="shared" si="0"/>
        <v>0</v>
      </c>
    </row>
    <row r="30" spans="1:9" x14ac:dyDescent="0.25">
      <c r="B30" s="41" t="s">
        <v>180</v>
      </c>
      <c r="C30" s="39">
        <v>5</v>
      </c>
      <c r="D30" s="39">
        <v>39</v>
      </c>
      <c r="E30" s="39"/>
      <c r="F30" s="40">
        <f>((E30/D30)*0.05)*100</f>
        <v>0</v>
      </c>
      <c r="G30" s="40">
        <f t="shared" si="0"/>
        <v>0</v>
      </c>
    </row>
    <row r="31" spans="1:9" ht="30" x14ac:dyDescent="0.25">
      <c r="B31" s="41" t="s">
        <v>181</v>
      </c>
      <c r="C31" s="39">
        <v>2.5</v>
      </c>
      <c r="D31" s="39">
        <v>39</v>
      </c>
      <c r="E31" s="39"/>
      <c r="F31" s="40">
        <f>((E31/D31)*0.025)*100</f>
        <v>0</v>
      </c>
      <c r="G31" s="40">
        <f t="shared" si="0"/>
        <v>0</v>
      </c>
    </row>
    <row r="32" spans="1:9" ht="30" x14ac:dyDescent="0.25">
      <c r="B32" s="41" t="s">
        <v>182</v>
      </c>
      <c r="C32" s="39">
        <v>2.5</v>
      </c>
      <c r="D32" s="39">
        <v>39</v>
      </c>
      <c r="E32" s="39"/>
      <c r="F32" s="40">
        <f>((E32/D32)*0.025)*100</f>
        <v>0</v>
      </c>
      <c r="G32" s="40">
        <f t="shared" si="0"/>
        <v>0</v>
      </c>
    </row>
    <row r="33" spans="1:7" ht="45" x14ac:dyDescent="0.25">
      <c r="B33" s="42" t="s">
        <v>183</v>
      </c>
      <c r="C33" s="39">
        <v>5</v>
      </c>
      <c r="D33" s="39">
        <v>39</v>
      </c>
      <c r="E33" s="39"/>
      <c r="F33" s="40">
        <f>((E33/D33)*0.05)*100</f>
        <v>0</v>
      </c>
      <c r="G33" s="40">
        <f t="shared" si="0"/>
        <v>0</v>
      </c>
    </row>
    <row r="34" spans="1:7" ht="30" x14ac:dyDescent="0.25">
      <c r="B34" s="42" t="s">
        <v>184</v>
      </c>
      <c r="C34" s="39">
        <v>5</v>
      </c>
      <c r="D34" s="39">
        <v>39</v>
      </c>
      <c r="E34" s="39"/>
      <c r="F34" s="40">
        <f>((E34/D34)*0.1)*100</f>
        <v>0</v>
      </c>
      <c r="G34" s="40">
        <f t="shared" si="0"/>
        <v>0</v>
      </c>
    </row>
    <row r="35" spans="1:7" ht="30" x14ac:dyDescent="0.25">
      <c r="B35" s="42" t="s">
        <v>185</v>
      </c>
      <c r="C35" s="39">
        <v>5</v>
      </c>
      <c r="D35" s="39">
        <v>39</v>
      </c>
      <c r="E35" s="39"/>
      <c r="F35" s="40">
        <f>((E35/D35)*0.05)*100</f>
        <v>0</v>
      </c>
      <c r="G35" s="40">
        <f t="shared" si="0"/>
        <v>0</v>
      </c>
    </row>
    <row r="36" spans="1:7" ht="60" x14ac:dyDescent="0.25">
      <c r="B36" s="42" t="s">
        <v>186</v>
      </c>
      <c r="C36" s="39">
        <v>10</v>
      </c>
      <c r="D36" s="39">
        <v>39</v>
      </c>
      <c r="E36" s="39"/>
      <c r="F36" s="40">
        <f>((E36/D36)*0.1)*100</f>
        <v>0</v>
      </c>
      <c r="G36" s="40">
        <f t="shared" si="0"/>
        <v>0</v>
      </c>
    </row>
    <row r="37" spans="1:7" ht="45" x14ac:dyDescent="0.25">
      <c r="B37" s="42" t="s">
        <v>187</v>
      </c>
      <c r="C37" s="39">
        <v>5</v>
      </c>
      <c r="D37" s="39">
        <v>39</v>
      </c>
      <c r="E37" s="39"/>
      <c r="F37" s="40">
        <f>((E37/D37)*0.1)*100</f>
        <v>0</v>
      </c>
      <c r="G37" s="40">
        <f t="shared" si="0"/>
        <v>0</v>
      </c>
    </row>
    <row r="38" spans="1:7" ht="15.75" x14ac:dyDescent="0.25">
      <c r="B38" s="43" t="s">
        <v>188</v>
      </c>
      <c r="C38" s="44">
        <f>SUM(C26:C37)</f>
        <v>100</v>
      </c>
      <c r="D38" s="43"/>
      <c r="E38" s="43"/>
      <c r="F38" s="44">
        <f>SUM(F26:F37)</f>
        <v>0</v>
      </c>
      <c r="G38" s="44">
        <f>SUM(G26:G37)</f>
        <v>0</v>
      </c>
    </row>
    <row r="39" spans="1:7" x14ac:dyDescent="0.25">
      <c r="B39" s="186" t="s">
        <v>189</v>
      </c>
      <c r="C39" s="186"/>
      <c r="D39" s="186"/>
      <c r="E39" s="186"/>
      <c r="F39" s="186"/>
      <c r="G39" s="186"/>
    </row>
    <row r="40" spans="1:7" x14ac:dyDescent="0.25">
      <c r="B40" s="187" t="s">
        <v>190</v>
      </c>
      <c r="C40" s="187"/>
      <c r="D40" s="187"/>
      <c r="E40" s="187" t="s">
        <v>191</v>
      </c>
      <c r="F40" s="187"/>
      <c r="G40" s="187"/>
    </row>
    <row r="41" spans="1:7" x14ac:dyDescent="0.25">
      <c r="B41" s="183" t="s">
        <v>192</v>
      </c>
      <c r="C41" s="183"/>
      <c r="D41" s="183"/>
      <c r="E41" s="183" t="s">
        <v>193</v>
      </c>
      <c r="F41" s="183"/>
      <c r="G41" s="183"/>
    </row>
    <row r="42" spans="1:7" x14ac:dyDescent="0.25">
      <c r="B42" s="183" t="s">
        <v>194</v>
      </c>
      <c r="C42" s="183"/>
      <c r="D42" s="183"/>
      <c r="E42" s="183" t="s">
        <v>195</v>
      </c>
      <c r="F42" s="183"/>
      <c r="G42" s="183"/>
    </row>
    <row r="43" spans="1:7" x14ac:dyDescent="0.25">
      <c r="B43" s="184" t="s">
        <v>196</v>
      </c>
      <c r="C43" s="184"/>
      <c r="D43" s="184"/>
      <c r="E43" s="184" t="s">
        <v>197</v>
      </c>
      <c r="F43" s="184"/>
      <c r="G43" s="184"/>
    </row>
    <row r="45" spans="1:7" ht="15.75" thickBot="1" x14ac:dyDescent="0.3"/>
    <row r="46" spans="1:7" ht="17.25" thickTop="1" thickBot="1" x14ac:dyDescent="0.3">
      <c r="A46" s="45" t="s">
        <v>198</v>
      </c>
      <c r="B46" s="45" t="s">
        <v>170</v>
      </c>
      <c r="C46" s="46" t="s">
        <v>199</v>
      </c>
      <c r="D46" s="46" t="s">
        <v>200</v>
      </c>
      <c r="E46" s="46" t="s">
        <v>201</v>
      </c>
    </row>
    <row r="47" spans="1:7" ht="31.5" thickTop="1" thickBot="1" x14ac:dyDescent="0.3">
      <c r="A47" s="47">
        <v>1</v>
      </c>
      <c r="B47" s="48" t="s">
        <v>202</v>
      </c>
      <c r="C47" s="49">
        <v>0</v>
      </c>
      <c r="D47" s="50">
        <v>0.1</v>
      </c>
      <c r="E47" s="49">
        <v>0.1</v>
      </c>
    </row>
    <row r="48" spans="1:7" ht="31.5" thickTop="1" thickBot="1" x14ac:dyDescent="0.3">
      <c r="A48" s="47">
        <v>2</v>
      </c>
      <c r="B48" s="48" t="s">
        <v>203</v>
      </c>
      <c r="C48" s="49" t="s">
        <v>204</v>
      </c>
      <c r="D48" s="50" t="s">
        <v>205</v>
      </c>
      <c r="E48" s="49">
        <v>0.3</v>
      </c>
    </row>
    <row r="49" spans="1:5" ht="61.5" thickTop="1" thickBot="1" x14ac:dyDescent="0.3">
      <c r="A49" s="47">
        <v>3</v>
      </c>
      <c r="B49" s="48" t="s">
        <v>206</v>
      </c>
      <c r="C49" s="49" t="s">
        <v>207</v>
      </c>
      <c r="D49" s="50" t="s">
        <v>208</v>
      </c>
      <c r="E49" s="49">
        <v>0.45</v>
      </c>
    </row>
    <row r="50" spans="1:5" ht="76.5" thickTop="1" thickBot="1" x14ac:dyDescent="0.3">
      <c r="A50" s="47">
        <v>4</v>
      </c>
      <c r="B50" s="48" t="s">
        <v>209</v>
      </c>
      <c r="C50" s="49" t="s">
        <v>210</v>
      </c>
      <c r="D50" s="50" t="s">
        <v>211</v>
      </c>
      <c r="E50" s="49">
        <v>0.7</v>
      </c>
    </row>
    <row r="51" spans="1:5" ht="76.5" thickTop="1" thickBot="1" x14ac:dyDescent="0.3">
      <c r="A51" s="47">
        <v>5</v>
      </c>
      <c r="B51" s="48" t="s">
        <v>212</v>
      </c>
      <c r="C51" s="49" t="s">
        <v>213</v>
      </c>
      <c r="D51" s="50" t="s">
        <v>214</v>
      </c>
      <c r="E51" s="49">
        <v>0.75</v>
      </c>
    </row>
    <row r="52" spans="1:5" ht="76.5" thickTop="1" thickBot="1" x14ac:dyDescent="0.3">
      <c r="A52" s="47">
        <v>6</v>
      </c>
      <c r="B52" s="48" t="s">
        <v>215</v>
      </c>
      <c r="C52" s="49" t="s">
        <v>216</v>
      </c>
      <c r="D52" s="50" t="s">
        <v>217</v>
      </c>
      <c r="E52" s="49">
        <v>0.8</v>
      </c>
    </row>
    <row r="53" spans="1:5" ht="121.5" thickTop="1" thickBot="1" x14ac:dyDescent="0.3">
      <c r="A53" s="47">
        <v>7</v>
      </c>
      <c r="B53" s="48" t="s">
        <v>218</v>
      </c>
      <c r="C53" s="49" t="s">
        <v>219</v>
      </c>
      <c r="D53" s="50" t="s">
        <v>220</v>
      </c>
      <c r="E53" s="49">
        <v>0.85</v>
      </c>
    </row>
    <row r="54" spans="1:5" ht="211.5" thickTop="1" thickBot="1" x14ac:dyDescent="0.3">
      <c r="A54" s="47">
        <v>8</v>
      </c>
      <c r="B54" s="48" t="s">
        <v>221</v>
      </c>
      <c r="C54" s="49" t="s">
        <v>222</v>
      </c>
      <c r="D54" s="50" t="s">
        <v>223</v>
      </c>
      <c r="E54" s="49">
        <v>0.95</v>
      </c>
    </row>
    <row r="55" spans="1:5" ht="91.5" thickTop="1" thickBot="1" x14ac:dyDescent="0.3">
      <c r="A55" s="47">
        <v>9</v>
      </c>
      <c r="B55" s="48" t="s">
        <v>224</v>
      </c>
      <c r="C55" s="49" t="s">
        <v>225</v>
      </c>
      <c r="D55" s="50" t="s">
        <v>226</v>
      </c>
      <c r="E55" s="49">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6" t="s">
        <v>241</v>
      </c>
    </row>
    <row r="3" spans="2:3" x14ac:dyDescent="0.25">
      <c r="B3" s="39">
        <v>2</v>
      </c>
      <c r="C3" s="57" t="s">
        <v>242</v>
      </c>
    </row>
    <row r="4" spans="2:3" x14ac:dyDescent="0.25">
      <c r="B4" s="39">
        <v>3</v>
      </c>
      <c r="C4" s="39" t="s">
        <v>243</v>
      </c>
    </row>
    <row r="5" spans="2:3" x14ac:dyDescent="0.25">
      <c r="B5" s="39">
        <v>4</v>
      </c>
      <c r="C5" s="57" t="s">
        <v>244</v>
      </c>
    </row>
    <row r="6" spans="2:3" x14ac:dyDescent="0.25">
      <c r="B6" s="39">
        <v>5</v>
      </c>
      <c r="C6" s="39" t="s">
        <v>245</v>
      </c>
    </row>
    <row r="7" spans="2:3" ht="30" x14ac:dyDescent="0.25">
      <c r="B7" s="39">
        <v>6</v>
      </c>
      <c r="C7" s="57" t="s">
        <v>246</v>
      </c>
    </row>
    <row r="8" spans="2:3" ht="75" x14ac:dyDescent="0.25">
      <c r="B8" s="39">
        <v>7</v>
      </c>
      <c r="C8" s="57" t="s">
        <v>247</v>
      </c>
    </row>
    <row r="9" spans="2:3" x14ac:dyDescent="0.25">
      <c r="B9" s="39">
        <v>8</v>
      </c>
      <c r="C9" s="39" t="s">
        <v>248</v>
      </c>
    </row>
    <row r="10" spans="2:3" x14ac:dyDescent="0.25">
      <c r="B10" s="39">
        <v>9</v>
      </c>
      <c r="C10" s="39" t="s">
        <v>249</v>
      </c>
    </row>
    <row r="11" spans="2:3" x14ac:dyDescent="0.25">
      <c r="B11" s="39">
        <v>10</v>
      </c>
      <c r="C11" s="39" t="s">
        <v>250</v>
      </c>
    </row>
    <row r="12" spans="2:3" x14ac:dyDescent="0.25">
      <c r="B12" s="39">
        <v>11</v>
      </c>
      <c r="C12" s="39" t="s">
        <v>251</v>
      </c>
    </row>
    <row r="13" spans="2:3" x14ac:dyDescent="0.25">
      <c r="B13" s="39">
        <v>12</v>
      </c>
      <c r="C13" s="39" t="s">
        <v>252</v>
      </c>
    </row>
    <row r="14" spans="2:3" x14ac:dyDescent="0.25">
      <c r="B14" s="39">
        <v>13</v>
      </c>
      <c r="C14" s="39" t="s">
        <v>253</v>
      </c>
    </row>
    <row r="15" spans="2:3" x14ac:dyDescent="0.25">
      <c r="B15" s="39">
        <v>14</v>
      </c>
      <c r="C15" s="39" t="s">
        <v>243</v>
      </c>
    </row>
    <row r="16" spans="2:3" x14ac:dyDescent="0.25">
      <c r="B16" s="39">
        <v>15</v>
      </c>
      <c r="C16" s="39" t="s">
        <v>239</v>
      </c>
    </row>
    <row r="17" spans="2:3" x14ac:dyDescent="0.25">
      <c r="B17" s="58">
        <v>16</v>
      </c>
      <c r="C17" s="59" t="s">
        <v>254</v>
      </c>
    </row>
    <row r="18" spans="2:3" x14ac:dyDescent="0.25">
      <c r="B18" s="60">
        <v>17</v>
      </c>
      <c r="C18" s="59" t="s">
        <v>255</v>
      </c>
    </row>
    <row r="19" spans="2:3" x14ac:dyDescent="0.25">
      <c r="B19" s="61">
        <v>18</v>
      </c>
      <c r="C19" s="39" t="s">
        <v>256</v>
      </c>
    </row>
    <row r="20" spans="2:3" x14ac:dyDescent="0.25">
      <c r="B20" s="60">
        <v>19</v>
      </c>
      <c r="C20" s="39" t="s">
        <v>257</v>
      </c>
    </row>
    <row r="21" spans="2:3" x14ac:dyDescent="0.25">
      <c r="B21" s="39">
        <v>20</v>
      </c>
      <c r="C21" s="39" t="s">
        <v>258</v>
      </c>
    </row>
    <row r="22" spans="2:3" x14ac:dyDescent="0.25">
      <c r="B22" s="60">
        <v>21</v>
      </c>
      <c r="C22" s="39" t="s">
        <v>256</v>
      </c>
    </row>
    <row r="23" spans="2:3" s="63" customFormat="1" ht="30" x14ac:dyDescent="0.25">
      <c r="B23" s="62">
        <v>22</v>
      </c>
      <c r="C23" s="56" t="s">
        <v>259</v>
      </c>
    </row>
    <row r="24" spans="2:3" s="63" customFormat="1" ht="30" x14ac:dyDescent="0.25">
      <c r="B24" s="64">
        <v>23</v>
      </c>
      <c r="C24" s="56" t="s">
        <v>260</v>
      </c>
    </row>
    <row r="25" spans="2:3" x14ac:dyDescent="0.25">
      <c r="B25" s="39">
        <v>24</v>
      </c>
      <c r="C25" s="39" t="s">
        <v>261</v>
      </c>
    </row>
    <row r="26" spans="2:3" x14ac:dyDescent="0.25">
      <c r="B26" s="60">
        <v>25</v>
      </c>
      <c r="C26" s="39" t="s">
        <v>262</v>
      </c>
    </row>
    <row r="27" spans="2:3" x14ac:dyDescent="0.25">
      <c r="B27" s="64">
        <v>26</v>
      </c>
      <c r="C27" s="39" t="s">
        <v>263</v>
      </c>
    </row>
    <row r="28" spans="2:3" x14ac:dyDescent="0.25">
      <c r="B28" s="60">
        <v>27</v>
      </c>
      <c r="C28" s="39" t="s">
        <v>264</v>
      </c>
    </row>
    <row r="29" spans="2:3" ht="60" x14ac:dyDescent="0.25">
      <c r="B29" s="65">
        <v>28</v>
      </c>
      <c r="C29" s="57" t="s">
        <v>265</v>
      </c>
    </row>
    <row r="30" spans="2:3" x14ac:dyDescent="0.25">
      <c r="B30" s="64">
        <v>29</v>
      </c>
      <c r="C30" s="39" t="s">
        <v>266</v>
      </c>
    </row>
    <row r="31" spans="2:3" ht="30" x14ac:dyDescent="0.25">
      <c r="B31" s="64">
        <v>30</v>
      </c>
      <c r="C31" s="57" t="s">
        <v>294</v>
      </c>
    </row>
    <row r="32" spans="2:3" x14ac:dyDescent="0.25">
      <c r="B32" s="64">
        <v>31</v>
      </c>
      <c r="C32" s="39" t="s">
        <v>295</v>
      </c>
    </row>
    <row r="33" spans="2:3" x14ac:dyDescent="0.25">
      <c r="B33" s="64">
        <v>32</v>
      </c>
      <c r="C33" s="39" t="s">
        <v>296</v>
      </c>
    </row>
    <row r="34" spans="2:3" ht="30" x14ac:dyDescent="0.25">
      <c r="B34" s="64">
        <v>33</v>
      </c>
      <c r="C34" s="59" t="s">
        <v>297</v>
      </c>
    </row>
    <row r="35" spans="2:3" x14ac:dyDescent="0.25">
      <c r="B35" s="64">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267</v>
      </c>
      <c r="C2" s="194"/>
      <c r="D2" s="194"/>
    </row>
    <row r="3" spans="1:12" x14ac:dyDescent="0.25">
      <c r="D3" s="68"/>
      <c r="E3" s="68"/>
      <c r="F3" s="68"/>
      <c r="G3" s="68"/>
      <c r="H3" s="68"/>
      <c r="I3" s="68"/>
    </row>
    <row r="4" spans="1:12" x14ac:dyDescent="0.25">
      <c r="A4" s="67" t="s">
        <v>268</v>
      </c>
      <c r="B4" s="55" t="s">
        <v>269</v>
      </c>
      <c r="C4" s="195" t="s">
        <v>270</v>
      </c>
      <c r="D4" s="195"/>
      <c r="E4" s="195"/>
      <c r="F4" s="55"/>
      <c r="G4" s="196" t="s">
        <v>271</v>
      </c>
      <c r="H4" s="196"/>
      <c r="I4" s="196"/>
      <c r="J4" s="197" t="s">
        <v>272</v>
      </c>
      <c r="K4" s="197"/>
      <c r="L4" s="197"/>
    </row>
    <row r="5" spans="1:12" x14ac:dyDescent="0.25">
      <c r="A5" s="67"/>
      <c r="B5" s="55"/>
      <c r="C5" s="55" t="s">
        <v>273</v>
      </c>
      <c r="D5" s="55" t="s">
        <v>274</v>
      </c>
      <c r="E5" s="55" t="s">
        <v>275</v>
      </c>
      <c r="F5" s="55"/>
      <c r="G5" s="55" t="s">
        <v>273</v>
      </c>
      <c r="H5" s="55" t="s">
        <v>274</v>
      </c>
      <c r="I5" s="55" t="s">
        <v>275</v>
      </c>
      <c r="J5" s="55" t="s">
        <v>273</v>
      </c>
      <c r="K5" s="55" t="s">
        <v>274</v>
      </c>
      <c r="L5" s="55" t="s">
        <v>275</v>
      </c>
    </row>
    <row r="6" spans="1:12" x14ac:dyDescent="0.25">
      <c r="B6" s="54" t="s">
        <v>276</v>
      </c>
      <c r="C6" s="54"/>
      <c r="D6" s="54"/>
      <c r="E6" s="54">
        <f>C6*D6</f>
        <v>0</v>
      </c>
      <c r="F6" s="54" t="s">
        <v>277</v>
      </c>
      <c r="G6" s="54"/>
      <c r="H6" s="54"/>
      <c r="I6" s="54">
        <f>G6*H6</f>
        <v>0</v>
      </c>
      <c r="J6" s="54"/>
      <c r="K6" s="54"/>
      <c r="L6" s="54">
        <f>J6*K6</f>
        <v>0</v>
      </c>
    </row>
    <row r="7" spans="1:12" x14ac:dyDescent="0.25">
      <c r="B7" s="54"/>
      <c r="C7" s="54"/>
      <c r="D7" s="54"/>
      <c r="E7" s="54">
        <f t="shared" ref="E7:E41" si="0">C7*D7</f>
        <v>0</v>
      </c>
      <c r="F7" s="54" t="s">
        <v>277</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278</v>
      </c>
      <c r="G9" s="54"/>
      <c r="H9" s="54"/>
      <c r="I9" s="54">
        <f t="shared" si="1"/>
        <v>0</v>
      </c>
      <c r="J9" s="54"/>
      <c r="K9" s="54"/>
      <c r="L9" s="54">
        <f t="shared" si="2"/>
        <v>0</v>
      </c>
    </row>
    <row r="10" spans="1:12" x14ac:dyDescent="0.25">
      <c r="B10" s="54" t="s">
        <v>279</v>
      </c>
      <c r="C10" s="54"/>
      <c r="D10" s="54"/>
      <c r="E10" s="54">
        <f t="shared" si="0"/>
        <v>0</v>
      </c>
      <c r="F10" s="54" t="s">
        <v>278</v>
      </c>
      <c r="G10" s="54"/>
      <c r="H10" s="54"/>
      <c r="I10" s="54">
        <f t="shared" si="1"/>
        <v>0</v>
      </c>
      <c r="J10" s="54"/>
      <c r="K10" s="54"/>
      <c r="L10" s="54">
        <f t="shared" si="2"/>
        <v>0</v>
      </c>
    </row>
    <row r="11" spans="1:12" x14ac:dyDescent="0.25">
      <c r="B11" s="54"/>
      <c r="C11" s="54"/>
      <c r="D11" s="54"/>
      <c r="E11" s="54">
        <f t="shared" si="0"/>
        <v>0</v>
      </c>
      <c r="F11" s="54" t="s">
        <v>280</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281</v>
      </c>
      <c r="C14" s="54"/>
      <c r="D14" s="54"/>
      <c r="E14" s="54">
        <f t="shared" si="0"/>
        <v>0</v>
      </c>
      <c r="F14" s="54" t="s">
        <v>278</v>
      </c>
      <c r="G14" s="54"/>
      <c r="H14" s="54"/>
      <c r="I14" s="54">
        <f t="shared" si="1"/>
        <v>0</v>
      </c>
      <c r="J14" s="54"/>
      <c r="K14" s="54"/>
      <c r="L14" s="54">
        <f t="shared" si="2"/>
        <v>0</v>
      </c>
    </row>
    <row r="15" spans="1:12" x14ac:dyDescent="0.25">
      <c r="B15" s="54"/>
      <c r="C15" s="54"/>
      <c r="D15" s="54"/>
      <c r="E15" s="54">
        <f t="shared" si="0"/>
        <v>0</v>
      </c>
      <c r="F15" s="54" t="s">
        <v>280</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282</v>
      </c>
      <c r="C18" s="54"/>
      <c r="D18" s="54"/>
      <c r="E18" s="54">
        <f t="shared" si="0"/>
        <v>0</v>
      </c>
      <c r="F18" s="54" t="s">
        <v>278</v>
      </c>
      <c r="G18" s="54"/>
      <c r="H18" s="54"/>
      <c r="I18" s="54">
        <f t="shared" si="1"/>
        <v>0</v>
      </c>
      <c r="J18" s="54"/>
      <c r="K18" s="54"/>
      <c r="L18" s="54">
        <f t="shared" si="2"/>
        <v>0</v>
      </c>
    </row>
    <row r="19" spans="2:12" x14ac:dyDescent="0.25">
      <c r="B19" s="54"/>
      <c r="C19" s="54"/>
      <c r="D19" s="54"/>
      <c r="E19" s="54">
        <f t="shared" si="0"/>
        <v>0</v>
      </c>
      <c r="F19" s="54" t="s">
        <v>280</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283</v>
      </c>
      <c r="C21" s="54"/>
      <c r="D21" s="54"/>
      <c r="E21" s="54">
        <f t="shared" si="0"/>
        <v>0</v>
      </c>
      <c r="F21" s="54" t="s">
        <v>278</v>
      </c>
      <c r="G21" s="54"/>
      <c r="H21" s="54"/>
      <c r="I21" s="54">
        <f t="shared" si="1"/>
        <v>0</v>
      </c>
      <c r="J21" s="54"/>
      <c r="K21" s="54"/>
      <c r="L21" s="54">
        <f t="shared" si="2"/>
        <v>0</v>
      </c>
    </row>
    <row r="22" spans="2:12" x14ac:dyDescent="0.25">
      <c r="B22" s="54"/>
      <c r="C22" s="54"/>
      <c r="D22" s="54"/>
      <c r="E22" s="54">
        <f t="shared" si="0"/>
        <v>0</v>
      </c>
      <c r="F22" s="54" t="s">
        <v>280</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284</v>
      </c>
      <c r="C24" s="54"/>
      <c r="D24" s="54"/>
      <c r="E24" s="54">
        <f t="shared" si="0"/>
        <v>0</v>
      </c>
      <c r="F24" s="54" t="s">
        <v>285</v>
      </c>
      <c r="G24" s="54"/>
      <c r="H24" s="54"/>
      <c r="I24" s="54">
        <f t="shared" si="1"/>
        <v>0</v>
      </c>
      <c r="J24" s="54"/>
      <c r="K24" s="54"/>
      <c r="L24" s="54">
        <f t="shared" si="2"/>
        <v>0</v>
      </c>
    </row>
    <row r="25" spans="2:12" x14ac:dyDescent="0.25">
      <c r="B25" s="54"/>
      <c r="C25" s="54"/>
      <c r="D25" s="54"/>
      <c r="E25" s="54">
        <f t="shared" si="0"/>
        <v>0</v>
      </c>
      <c r="F25" s="54" t="s">
        <v>285</v>
      </c>
      <c r="G25" s="54"/>
      <c r="H25" s="54"/>
      <c r="I25" s="54">
        <f t="shared" si="1"/>
        <v>0</v>
      </c>
      <c r="J25" s="54"/>
      <c r="K25" s="54"/>
      <c r="L25" s="54">
        <f t="shared" si="2"/>
        <v>0</v>
      </c>
    </row>
    <row r="26" spans="2:12" x14ac:dyDescent="0.25">
      <c r="B26" s="54"/>
      <c r="C26" s="54"/>
      <c r="D26" s="54"/>
      <c r="E26" s="54">
        <f t="shared" si="0"/>
        <v>0</v>
      </c>
      <c r="F26" s="54" t="s">
        <v>285</v>
      </c>
      <c r="G26" s="54"/>
      <c r="H26" s="54"/>
      <c r="I26" s="54">
        <f t="shared" si="1"/>
        <v>0</v>
      </c>
      <c r="J26" s="54"/>
      <c r="K26" s="54"/>
      <c r="L26" s="54">
        <f t="shared" si="2"/>
        <v>0</v>
      </c>
    </row>
    <row r="27" spans="2:12" x14ac:dyDescent="0.25">
      <c r="B27" s="54"/>
      <c r="C27" s="54"/>
      <c r="D27" s="54"/>
      <c r="E27" s="54">
        <f t="shared" si="0"/>
        <v>0</v>
      </c>
      <c r="F27" s="54" t="s">
        <v>285</v>
      </c>
      <c r="G27" s="54"/>
      <c r="H27" s="54"/>
      <c r="I27" s="54">
        <f t="shared" si="1"/>
        <v>0</v>
      </c>
      <c r="J27" s="54"/>
      <c r="K27" s="54"/>
      <c r="L27" s="54">
        <f t="shared" si="2"/>
        <v>0</v>
      </c>
    </row>
    <row r="28" spans="2:12" x14ac:dyDescent="0.25">
      <c r="B28" s="54" t="s">
        <v>286</v>
      </c>
      <c r="C28" s="54"/>
      <c r="D28" s="54"/>
      <c r="E28" s="54">
        <f t="shared" si="0"/>
        <v>0</v>
      </c>
      <c r="F28" s="54" t="s">
        <v>285</v>
      </c>
      <c r="G28" s="54"/>
      <c r="H28" s="54"/>
      <c r="I28" s="54">
        <f t="shared" si="1"/>
        <v>0</v>
      </c>
      <c r="J28" s="54"/>
      <c r="K28" s="54"/>
      <c r="L28" s="54">
        <f t="shared" si="2"/>
        <v>0</v>
      </c>
    </row>
    <row r="29" spans="2:12" x14ac:dyDescent="0.25">
      <c r="B29" s="54" t="s">
        <v>287</v>
      </c>
      <c r="C29" s="54"/>
      <c r="D29" s="54"/>
      <c r="E29" s="54">
        <f t="shared" si="0"/>
        <v>0</v>
      </c>
      <c r="F29" s="54" t="s">
        <v>285</v>
      </c>
      <c r="G29" s="54"/>
      <c r="H29" s="54"/>
      <c r="I29" s="54">
        <f t="shared" si="1"/>
        <v>0</v>
      </c>
      <c r="J29" s="54"/>
      <c r="K29" s="54"/>
      <c r="L29" s="54">
        <f t="shared" si="2"/>
        <v>0</v>
      </c>
    </row>
    <row r="30" spans="2:12" x14ac:dyDescent="0.25">
      <c r="B30" s="54" t="s">
        <v>288</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289</v>
      </c>
      <c r="C33" s="54"/>
      <c r="D33" s="54"/>
      <c r="E33" s="54">
        <f t="shared" si="0"/>
        <v>0</v>
      </c>
      <c r="F33" s="54"/>
      <c r="G33" s="54"/>
      <c r="H33" s="54"/>
      <c r="I33" s="54">
        <f t="shared" si="1"/>
        <v>0</v>
      </c>
      <c r="J33" s="54"/>
      <c r="K33" s="54"/>
      <c r="L33" s="54">
        <f t="shared" si="2"/>
        <v>0</v>
      </c>
    </row>
    <row r="34" spans="2:12" x14ac:dyDescent="0.25">
      <c r="B34" s="54" t="s">
        <v>290</v>
      </c>
      <c r="C34" s="54"/>
      <c r="D34" s="54"/>
      <c r="E34" s="54">
        <f t="shared" si="0"/>
        <v>0</v>
      </c>
      <c r="F34" s="54"/>
      <c r="G34" s="54"/>
      <c r="H34" s="54"/>
      <c r="I34" s="54">
        <f t="shared" si="1"/>
        <v>0</v>
      </c>
      <c r="J34" s="54"/>
      <c r="K34" s="54"/>
      <c r="L34" s="54">
        <f t="shared" si="2"/>
        <v>0</v>
      </c>
    </row>
    <row r="35" spans="2:12" x14ac:dyDescent="0.25">
      <c r="B35" s="54" t="s">
        <v>291</v>
      </c>
      <c r="C35" s="54"/>
      <c r="D35" s="54"/>
      <c r="E35" s="54">
        <f t="shared" si="0"/>
        <v>0</v>
      </c>
      <c r="F35" s="54"/>
      <c r="G35" s="54"/>
      <c r="H35" s="54"/>
      <c r="I35" s="54">
        <f t="shared" si="1"/>
        <v>0</v>
      </c>
      <c r="J35" s="54"/>
      <c r="K35" s="54"/>
      <c r="L35" s="54">
        <f t="shared" si="2"/>
        <v>0</v>
      </c>
    </row>
    <row r="36" spans="2:12" x14ac:dyDescent="0.25">
      <c r="B36" s="54" t="s">
        <v>292</v>
      </c>
      <c r="C36" s="54"/>
      <c r="D36" s="54"/>
      <c r="E36" s="54">
        <f t="shared" si="0"/>
        <v>0</v>
      </c>
      <c r="F36" s="54"/>
      <c r="G36" s="54"/>
      <c r="H36" s="54"/>
      <c r="I36" s="54">
        <f>G36*H36</f>
        <v>0</v>
      </c>
      <c r="J36" s="54"/>
      <c r="K36" s="54"/>
      <c r="L36" s="54">
        <f>J36*K36</f>
        <v>0</v>
      </c>
    </row>
    <row r="37" spans="2:12" x14ac:dyDescent="0.25">
      <c r="B37" s="54"/>
      <c r="C37" s="54"/>
      <c r="D37" s="54"/>
      <c r="E37" s="54">
        <f t="shared" si="0"/>
        <v>0</v>
      </c>
      <c r="F37" s="54"/>
      <c r="G37" s="54"/>
      <c r="H37" s="54"/>
      <c r="I37" s="54">
        <f t="shared" ref="I37:I38" si="3">G37*H37</f>
        <v>0</v>
      </c>
      <c r="J37" s="54"/>
      <c r="K37" s="54"/>
      <c r="L37" s="54">
        <f t="shared" ref="L37:L38" si="4">J37*K37</f>
        <v>0</v>
      </c>
    </row>
    <row r="38" spans="2:12" x14ac:dyDescent="0.25">
      <c r="B38" s="54" t="s">
        <v>293</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154</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2025-08-22T13:31:55Z</cp:lastPrinted>
  <dcterms:created xsi:type="dcterms:W3CDTF">2010-11-23T11:42:48Z</dcterms:created>
  <dcterms:modified xsi:type="dcterms:W3CDTF">2025-08-22T13:36:43Z</dcterms:modified>
</cp:coreProperties>
</file>