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17269 - Ratan Heights\"/>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Report!$A$1:$H$291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2" i="3" l="1"/>
  <c r="I140" i="3"/>
  <c r="G89" i="3"/>
  <c r="E89" i="3"/>
  <c r="G85" i="3"/>
  <c r="E85" i="3"/>
  <c r="F130" i="3"/>
  <c r="F123" i="3"/>
  <c r="G122" i="3"/>
  <c r="F122" i="3"/>
  <c r="G120" i="3"/>
  <c r="F120" i="3"/>
  <c r="G111" i="3"/>
  <c r="F115" i="3"/>
  <c r="G81" i="3"/>
  <c r="G80" i="3"/>
  <c r="E86" i="3" l="1"/>
  <c r="G86" i="3"/>
  <c r="E90" i="3"/>
  <c r="E91" i="3" s="1"/>
  <c r="G141" i="3"/>
  <c r="F141" i="3"/>
  <c r="E141" i="3"/>
  <c r="G140" i="3"/>
  <c r="F140" i="3"/>
  <c r="E140" i="3"/>
  <c r="G138" i="3"/>
  <c r="F138" i="3"/>
  <c r="E138" i="3"/>
  <c r="G137" i="3"/>
  <c r="F137" i="3"/>
  <c r="E137" i="3"/>
  <c r="H137" i="3" s="1"/>
  <c r="G136" i="3"/>
  <c r="F136" i="3"/>
  <c r="E136" i="3"/>
  <c r="G135" i="3"/>
  <c r="F135" i="3"/>
  <c r="E135" i="3"/>
  <c r="G134" i="3"/>
  <c r="F134" i="3"/>
  <c r="E134" i="3"/>
  <c r="G132" i="3"/>
  <c r="F132" i="3"/>
  <c r="E132" i="3"/>
  <c r="G131" i="3"/>
  <c r="F131" i="3"/>
  <c r="E131" i="3"/>
  <c r="G130" i="3"/>
  <c r="E130" i="3"/>
  <c r="G129" i="3"/>
  <c r="F129" i="3"/>
  <c r="E129" i="3"/>
  <c r="G128" i="3"/>
  <c r="F128" i="3"/>
  <c r="E128" i="3"/>
  <c r="G127" i="3"/>
  <c r="F127" i="3"/>
  <c r="E127" i="3"/>
  <c r="G126" i="3"/>
  <c r="F126" i="3"/>
  <c r="E126" i="3"/>
  <c r="G124" i="3"/>
  <c r="F124" i="3"/>
  <c r="E124" i="3"/>
  <c r="G123" i="3"/>
  <c r="E123" i="3"/>
  <c r="E122" i="3"/>
  <c r="G121" i="3"/>
  <c r="F121" i="3"/>
  <c r="E121" i="3"/>
  <c r="E120" i="3"/>
  <c r="G119" i="3"/>
  <c r="F119" i="3"/>
  <c r="E119" i="3"/>
  <c r="G118" i="3"/>
  <c r="F118" i="3"/>
  <c r="E118" i="3"/>
  <c r="G115" i="3"/>
  <c r="E115" i="3"/>
  <c r="F111" i="3"/>
  <c r="E111" i="3"/>
  <c r="G108" i="3"/>
  <c r="F108" i="3"/>
  <c r="E108" i="3"/>
  <c r="H108" i="3" s="1"/>
  <c r="G107" i="3"/>
  <c r="F107" i="3"/>
  <c r="E107" i="3"/>
  <c r="G106" i="3"/>
  <c r="H106" i="3" s="1"/>
  <c r="F106" i="3"/>
  <c r="E106" i="3"/>
  <c r="G105" i="3"/>
  <c r="F105" i="3"/>
  <c r="H105" i="3" s="1"/>
  <c r="E105" i="3"/>
  <c r="G104" i="3"/>
  <c r="F104" i="3"/>
  <c r="E104" i="3"/>
  <c r="G103" i="3"/>
  <c r="F103" i="3"/>
  <c r="E103" i="3"/>
  <c r="G102" i="3"/>
  <c r="F102" i="3"/>
  <c r="E102" i="3"/>
  <c r="G101" i="3"/>
  <c r="F101" i="3"/>
  <c r="E101" i="3"/>
  <c r="G100" i="3"/>
  <c r="F100" i="3"/>
  <c r="E100" i="3"/>
  <c r="G99" i="3"/>
  <c r="F99" i="3"/>
  <c r="E99" i="3"/>
  <c r="G98" i="3"/>
  <c r="F98" i="3"/>
  <c r="E98" i="3"/>
  <c r="G97" i="3"/>
  <c r="F97" i="3"/>
  <c r="E97" i="3"/>
  <c r="I93" i="3"/>
  <c r="I117" i="3"/>
  <c r="I125" i="3"/>
  <c r="I133" i="3"/>
  <c r="I135" i="3"/>
  <c r="I127" i="3"/>
  <c r="I119" i="3"/>
  <c r="I141" i="3"/>
  <c r="I132" i="3"/>
  <c r="I124" i="3"/>
  <c r="H138" i="3"/>
  <c r="H136" i="3"/>
  <c r="I109" i="3"/>
  <c r="I111" i="3"/>
  <c r="H107" i="3"/>
  <c r="I97" i="3"/>
  <c r="C20" i="3"/>
  <c r="G20" i="3"/>
  <c r="G19" i="3"/>
  <c r="C19" i="3" s="1"/>
  <c r="G18" i="3"/>
  <c r="V134" i="3"/>
  <c r="U134" i="3"/>
  <c r="H135" i="3" l="1"/>
  <c r="H141" i="3"/>
  <c r="H140" i="3"/>
  <c r="H134" i="3"/>
  <c r="T134" i="3"/>
  <c r="U135" i="3"/>
  <c r="V135" i="3"/>
  <c r="V136" i="3" s="1"/>
  <c r="V137" i="3" s="1"/>
  <c r="V138" i="3" s="1"/>
  <c r="D155" i="3"/>
  <c r="D153" i="3"/>
  <c r="H97" i="3"/>
  <c r="H98" i="3"/>
  <c r="H99" i="3"/>
  <c r="H100" i="3"/>
  <c r="H101" i="3"/>
  <c r="A59" i="3"/>
  <c r="V140" i="3" l="1"/>
  <c r="V141" i="3" s="1"/>
  <c r="V139" i="3"/>
  <c r="T135" i="3"/>
  <c r="U136"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T136" i="3" l="1"/>
  <c r="U137" i="3"/>
  <c r="I42" i="6"/>
  <c r="H42" i="6" s="1"/>
  <c r="L42" i="6"/>
  <c r="K42" i="6" s="1"/>
  <c r="E44" i="6"/>
  <c r="D42" i="6"/>
  <c r="D44" i="6" s="1"/>
  <c r="T137" i="3" l="1"/>
  <c r="U138" i="3"/>
  <c r="U139" i="3" s="1"/>
  <c r="T139" i="3" s="1"/>
  <c r="C27" i="3"/>
  <c r="C18" i="3"/>
  <c r="H132" i="3"/>
  <c r="H131" i="3"/>
  <c r="H130" i="3"/>
  <c r="H129" i="3"/>
  <c r="H128" i="3"/>
  <c r="H127" i="3"/>
  <c r="H126" i="3"/>
  <c r="H124" i="3"/>
  <c r="H123" i="3"/>
  <c r="H122" i="3"/>
  <c r="H121" i="3"/>
  <c r="H120" i="3"/>
  <c r="H119" i="3"/>
  <c r="H118" i="3"/>
  <c r="H115" i="3"/>
  <c r="H111" i="3"/>
  <c r="H102" i="3"/>
  <c r="H103" i="3"/>
  <c r="H104" i="3"/>
  <c r="G90" i="3" l="1"/>
  <c r="G91" i="3" s="1"/>
  <c r="T138" i="3"/>
  <c r="U140" i="3"/>
  <c r="D60" i="3"/>
  <c r="T140" i="3" l="1"/>
  <c r="U141" i="3"/>
  <c r="T141" i="3" s="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98" i="3"/>
  <c r="A99" i="3" s="1"/>
  <c r="A100" i="3" s="1"/>
  <c r="A101" i="3" s="1"/>
  <c r="A102" i="3" s="1"/>
  <c r="A103" i="3" s="1"/>
  <c r="A104" i="3" s="1"/>
  <c r="A105" i="3" s="1"/>
  <c r="A106" i="3" s="1"/>
  <c r="A107" i="3" s="1"/>
  <c r="A108" i="3" s="1"/>
  <c r="F7" i="4" l="1"/>
  <c r="J4" i="4" s="1"/>
  <c r="H7" i="4" s="1"/>
  <c r="G4" i="3" l="1"/>
  <c r="D154" i="3" l="1"/>
  <c r="G82" i="3"/>
  <c r="J71" i="3"/>
  <c r="J70" i="3"/>
  <c r="H60" i="3"/>
  <c r="J66" i="3" l="1"/>
  <c r="D69" i="3"/>
  <c r="D66" i="3"/>
  <c r="D64" i="3"/>
  <c r="J64" i="3"/>
  <c r="D73" i="3"/>
  <c r="D71" i="3"/>
  <c r="D68" i="3"/>
  <c r="D65" i="3"/>
  <c r="J65" i="3"/>
  <c r="C62" i="3" s="1"/>
  <c r="J63" i="3"/>
  <c r="D72" i="3"/>
  <c r="D70" i="3"/>
  <c r="D67" i="3"/>
  <c r="J67" i="3" l="1"/>
  <c r="J72" i="3" s="1"/>
  <c r="J68" i="3" l="1"/>
  <c r="J69" i="3" l="1"/>
  <c r="J73" i="3" l="1"/>
  <c r="C63" i="3" s="1"/>
  <c r="V110" i="3"/>
  <c r="V118" i="3"/>
  <c r="U126" i="3"/>
  <c r="U110" i="3"/>
  <c r="V126" i="3"/>
  <c r="U118" i="3"/>
  <c r="D62" i="3" l="1"/>
  <c r="E62" i="3"/>
  <c r="G74" i="3" s="1"/>
  <c r="T126" i="3"/>
  <c r="U127" i="3"/>
  <c r="V127" i="3"/>
  <c r="V128" i="3" s="1"/>
  <c r="V129" i="3" s="1"/>
  <c r="V130" i="3" s="1"/>
  <c r="V131" i="3" s="1"/>
  <c r="V132" i="3" s="1"/>
  <c r="T118" i="3"/>
  <c r="U119" i="3"/>
  <c r="V119" i="3"/>
  <c r="V120" i="3" s="1"/>
  <c r="V121" i="3" s="1"/>
  <c r="V122" i="3" s="1"/>
  <c r="V123" i="3" s="1"/>
  <c r="V124" i="3" s="1"/>
  <c r="V111" i="3"/>
  <c r="V112" i="3" s="1"/>
  <c r="V113" i="3" s="1"/>
  <c r="V114" i="3" s="1"/>
  <c r="V115" i="3" s="1"/>
  <c r="V116" i="3" s="1"/>
  <c r="U111" i="3"/>
  <c r="T110" i="3"/>
  <c r="D63" i="3" l="1"/>
  <c r="I61" i="3"/>
  <c r="G62" i="3" s="1"/>
  <c r="T127" i="3"/>
  <c r="U128" i="3"/>
  <c r="T128" i="3" s="1"/>
  <c r="T119" i="3"/>
  <c r="U120" i="3"/>
  <c r="T120" i="3" s="1"/>
  <c r="U112" i="3"/>
  <c r="T111" i="3"/>
  <c r="U129" i="3" l="1"/>
  <c r="T129" i="3" s="1"/>
  <c r="U121" i="3"/>
  <c r="T121" i="3" s="1"/>
  <c r="U113" i="3"/>
  <c r="T112" i="3"/>
  <c r="U130" i="3" l="1"/>
  <c r="T130" i="3" s="1"/>
  <c r="U122" i="3"/>
  <c r="T122" i="3" s="1"/>
  <c r="U114" i="3"/>
  <c r="T113" i="3"/>
  <c r="U131" i="3" l="1"/>
  <c r="T131" i="3" s="1"/>
  <c r="U123" i="3"/>
  <c r="T123" i="3" s="1"/>
  <c r="U115" i="3"/>
  <c r="T114" i="3"/>
  <c r="U132" i="3" l="1"/>
  <c r="T132" i="3" s="1"/>
  <c r="U124" i="3"/>
  <c r="T124" i="3" s="1"/>
  <c r="U116" i="3"/>
  <c r="T115" i="3"/>
  <c r="T116"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2" authorId="0" shapeId="0">
      <text>
        <r>
          <rPr>
            <b/>
            <sz val="16"/>
            <color indexed="81"/>
            <rFont val="Tahoma"/>
            <family val="2"/>
          </rPr>
          <t>From RERA</t>
        </r>
      </text>
    </comment>
    <comment ref="G28" authorId="0" shapeId="0">
      <text>
        <r>
          <rPr>
            <b/>
            <sz val="12"/>
            <color indexed="81"/>
            <rFont val="Tahoma"/>
            <family val="2"/>
          </rPr>
          <t>SACHIN:</t>
        </r>
        <r>
          <rPr>
            <sz val="12"/>
            <color indexed="81"/>
            <rFont val="Tahoma"/>
            <family val="2"/>
          </rPr>
          <t xml:space="preserve">
Road size should be in metre</t>
        </r>
      </text>
    </comment>
    <comment ref="G80"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<sst xmlns="http://schemas.openxmlformats.org/spreadsheetml/2006/main" count="587" uniqueCount="365">
  <si>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</si>
  <si>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</si>
  <si>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</si>
  <si>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</si>
  <si>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</si>
  <si>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</si>
  <si>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</si>
  <si>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</si>
  <si>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</si>
  <si>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</si>
  <si>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</si>
  <si>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</si>
  <si>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</si>
  <si>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</si>
  <si>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</si>
  <si>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</si>
  <si>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</si>
  <si>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</si>
  <si>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</si>
  <si>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</si>
  <si>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</si>
  <si>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</si>
  <si>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</si>
  <si>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</si>
  <si>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</si>
  <si>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</si>
  <si>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</si>
  <si>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</si>
  <si>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</si>
  <si>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</si>
  <si>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</si>
  <si>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</si>
  <si>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</si>
  <si>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</si>
  <si>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</si>
  <si>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</si>
  <si>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</si>
  <si>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</si>
  <si>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</si>
  <si>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</si>
  <si>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</si>
  <si>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</si>
  <si>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</si>
  <si>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</si>
  <si>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</si>
  <si>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</si>
  <si>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</si>
  <si>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</si>
  <si>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</si>
  <si>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</si>
  <si>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</si>
  <si>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</si>
  <si>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</si>
  <si>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</si>
  <si>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</si>
  <si>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</si>
  <si>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</si>
  <si>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</si>
  <si>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</si>
  <si>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</si>
  <si>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</si>
  <si>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</si>
  <si>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</si>
  <si>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</si>
  <si>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</si>
  <si>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</si>
  <si>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</si>
  <si>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</si>
  <si>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</si>
  <si>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</si>
  <si>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</si>
  <si>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</si>
  <si>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</si>
  <si>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</si>
  <si>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</si>
  <si>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</si>
  <si>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</si>
  <si>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</si>
  <si>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</si>
  <si>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</si>
  <si>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</si>
  <si>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</si>
  <si>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</si>
  <si>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</si>
  <si>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</si>
  <si>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</si>
  <si>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</si>
  <si>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</si>
  <si>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</si>
  <si>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</si>
  <si>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</si>
  <si>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</si>
  <si>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</si>
  <si>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</si>
  <si>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</si>
  <si>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</si>
  <si>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</si>
  <si>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</si>
  <si>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</si>
  <si>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</si>
  <si>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</si>
  <si>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</si>
  <si>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</si>
  <si>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</si>
  <si>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</si>
  <si>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</si>
  <si>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</si>
  <si>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</si>
  <si>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</si>
  <si>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</si>
  <si>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</si>
  <si>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</si>
  <si>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</si>
  <si>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</si>
  <si>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</si>
  <si>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</si>
  <si>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</si>
  <si>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</si>
  <si>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</si>
  <si>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</si>
  <si>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</si>
  <si>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</si>
  <si>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</si>
  <si>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</si>
  <si>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</si>
  <si>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</si>
  <si>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</si>
  <si>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</si>
  <si>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</si>
  <si>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</si>
  <si>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</si>
  <si>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</si>
  <si>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</si>
  <si>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</si>
  <si>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</si>
  <si>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</si>
  <si>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</si>
  <si>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</si>
  <si>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</si>
  <si>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</si>
  <si>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</si>
  <si>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</si>
  <si>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</si>
  <si>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</si>
  <si>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</si>
  <si>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</si>
  <si>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</si>
  <si>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</si>
  <si>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</si>
  <si>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</si>
  <si>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</si>
  <si>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</si>
  <si>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</si>
  <si>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</si>
  <si>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</si>
  <si>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</si>
  <si>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</si>
  <si>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</si>
  <si>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</si>
  <si>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</si>
  <si>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</si>
  <si>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</si>
  <si>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</si>
  <si>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</si>
  <si>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</si>
  <si>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</si>
  <si>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</si>
  <si>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</si>
  <si>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</si>
  <si>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</si>
  <si>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</si>
  <si>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</si>
  <si>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</si>
  <si>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</si>
  <si>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</si>
  <si>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</si>
  <si>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</si>
  <si>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</si>
  <si>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</si>
  <si>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</si>
  <si>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</si>
  <si>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</si>
  <si>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</si>
  <si>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</si>
  <si>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</si>
  <si>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</si>
  <si>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</si>
  <si>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</si>
  <si>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</si>
  <si>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</si>
  <si>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</si>
  <si>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</si>
  <si>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</si>
  <si>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</si>
  <si>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</si>
  <si>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</si>
  <si>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</si>
  <si>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</si>
  <si>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</si>
  <si>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</si>
  <si>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</si>
  <si>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</si>
  <si>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</si>
  <si>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</si>
  <si>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</si>
  <si>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</si>
  <si>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</si>
  <si>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</si>
  <si>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</si>
  <si>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</si>
  <si>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</si>
  <si>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</si>
  <si>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</si>
  <si>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</si>
  <si>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</si>
  <si>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</si>
  <si>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</si>
  <si>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</si>
  <si>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</si>
  <si>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</si>
  <si>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</si>
  <si>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</si>
  <si>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</si>
  <si>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</si>
  <si>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</si>
  <si>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</si>
  <si>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</si>
  <si>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</si>
  <si>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</si>
  <si>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</si>
  <si>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</si>
  <si>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</si>
  <si>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</si>
  <si>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</si>
  <si>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</si>
  <si>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</si>
  <si>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</si>
  <si>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</si>
  <si>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</si>
  <si>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</si>
  <si>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</si>
  <si>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</si>
  <si>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</si>
  <si>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</si>
  <si>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</si>
  <si>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</si>
  <si>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</si>
  <si>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</si>
  <si>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</si>
  <si>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</si>
  <si>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</si>
  <si>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</si>
  <si>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</si>
  <si>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</si>
  <si>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</si>
  <si>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</si>
  <si>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</si>
  <si>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</si>
  <si>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</si>
  <si>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</si>
  <si>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</si>
  <si>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</si>
  <si>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</si>
  <si>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</si>
  <si>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</si>
  <si>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</si>
  <si>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</si>
  <si>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</si>
  <si>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</si>
  <si>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</si>
  <si>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</si>
  <si>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</si>
  <si>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</si>
  <si>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</si>
  <si>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</si>
  <si>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</si>
  <si>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</si>
  <si>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</si>
  <si>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</si>
  <si>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</si>
  <si>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</si>
  <si>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</si>
  <si>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</si>
  <si>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</si>
  <si>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</si>
  <si>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</si>
  <si>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</si>
  <si>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</si>
  <si>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</si>
  <si>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</si>
  <si>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</si>
  <si>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</si>
  <si>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</si>
  <si>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</si>
  <si>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</si>
  <si>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</si>
  <si>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</si>
  <si>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</si>
  <si>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7 RCC
3Brick 
2 plaster</t>
  </si>
  <si>
    <t>Ratan Heights</t>
  </si>
  <si>
    <t>Godrej One, Mumbai - RO Thane</t>
  </si>
  <si>
    <t>Miss Rupali</t>
  </si>
  <si>
    <t>M/s. Raj Ratan Builders &amp; Developers</t>
  </si>
  <si>
    <t>Survey No. 87 Hissa No. 1A, Survey No. 87 Hissa No. 7, Survey No. 87 Hissa No. 2A, Survey No. 87 Hissa No. 2B, Survey No. 85 Hissa No. 10 Vasai Virar City (M Corp), Vasai, Palghar, 401208.
.</t>
  </si>
  <si>
    <t>19.395082,72.844279</t>
  </si>
  <si>
    <t>https://maps.app.goo.gl/TRC7Sxzkkr3YR5ZN9</t>
  </si>
  <si>
    <t>Not Sure of Location</t>
  </si>
  <si>
    <t>Approved Floor Plans, CC, RERA certificate</t>
  </si>
  <si>
    <t>P99000077888</t>
  </si>
  <si>
    <t>Vasai-Virar City Municipal Corporation. (VVCMC)</t>
  </si>
  <si>
    <t>ICICI Bank Limited</t>
  </si>
  <si>
    <t>Middle</t>
  </si>
  <si>
    <t>Concrete</t>
  </si>
  <si>
    <t>12m</t>
  </si>
  <si>
    <t>12.00 M Wide Internal Road</t>
  </si>
  <si>
    <t>40.00 M Wide DP Road</t>
  </si>
  <si>
    <t>Internal Road</t>
  </si>
  <si>
    <t>Veer Savarkar Road</t>
  </si>
  <si>
    <t>Other Plot</t>
  </si>
  <si>
    <t>Open Plot</t>
  </si>
  <si>
    <t>G + 1st to 23rd Floor</t>
  </si>
  <si>
    <t>Building No. 10</t>
  </si>
  <si>
    <t xml:space="preserve">Wing B </t>
  </si>
  <si>
    <t xml:space="preserve"> - </t>
  </si>
  <si>
    <t>Shop</t>
  </si>
  <si>
    <t>Parking Area</t>
  </si>
  <si>
    <t>2BHK</t>
  </si>
  <si>
    <t>1st Floor For Residential, Parking &amp; Hospital Area</t>
  </si>
  <si>
    <t>AP + Enclosed Balcony Area</t>
  </si>
  <si>
    <t>Hospital Area</t>
  </si>
  <si>
    <t>2nd Floor For Residential</t>
  </si>
  <si>
    <t>1BHK</t>
  </si>
  <si>
    <t>3rd to 7th, 9th to 12th, 14th to 18th &amp; 20th to 23rd Floor</t>
  </si>
  <si>
    <t>8th, 13th &amp; 19th Floor For Residntial (Part Refuge Area)</t>
  </si>
  <si>
    <t>Building No. 10 (Wing B)</t>
  </si>
  <si>
    <t>Flats = 156 &amp; 
Shop = 12</t>
  </si>
  <si>
    <t>VVCMC/TP/AMEND/VP/0329, 0815 &amp; 0509/691/2022-23</t>
  </si>
  <si>
    <t>VVCMC/TP/AMEND/VP/0329, 0815 &amp; 0509/672/2022-23</t>
  </si>
  <si>
    <t>WCMC/TP/RDP/VP-0329, 0815 &amp; 0509/691/2022-23</t>
  </si>
  <si>
    <t xml:space="preserve">CC Details
Valid Up to: </t>
  </si>
  <si>
    <t>Vitrified tiles flooring, Granite Kitchen Platform, Decorative Entrance, Landscaping &amp; Garden, etc.</t>
  </si>
  <si>
    <t>As per RERA Site Flats = 156 &amp; Shop = 12</t>
  </si>
  <si>
    <t>Not Provided in RERA</t>
  </si>
  <si>
    <t>0.90 KM from Evershine City Gate Bus Stop</t>
  </si>
  <si>
    <t xml:space="preserve">About 2.50 KM from ZP School Bhoidapada </t>
  </si>
  <si>
    <t>About 0.80 KM from Shree Siddhivinayak Multi Speciality Hospital</t>
  </si>
  <si>
    <t>1. Approx. 0.45 KM from Ganesh Super Market.
2. Approx. 0.65 KM from Friday Market.</t>
  </si>
  <si>
    <t>3.10 KM from Vasai Road Railway Station
4.40 KM from Nallasopara Railway Station</t>
  </si>
  <si>
    <t xml:space="preserve">We considered Gross carpet area = Net carpet + AP + Enclosed Balcony Area.
</t>
  </si>
  <si>
    <t>OK</t>
  </si>
  <si>
    <t xml:space="preserve">Mr. Navnath Bhatkar </t>
  </si>
  <si>
    <t xml:space="preserve">We have refered Approved Layout Plan from RERA Portal. </t>
  </si>
  <si>
    <t>Mr. Shiv Mishra
7972518186</t>
  </si>
  <si>
    <t>Golani Naka, Vasai East, Vasai-Virar, Maharashtra 401208</t>
  </si>
  <si>
    <t>Ratan  Heights, Yashwant Smart City, Golani Naka, Vasai East, Vasai-Virar, Maharashtra 401203</t>
  </si>
  <si>
    <t>Building No. 10 (Wing B) = G + 1st to 23rd Floor (Flats = 156, Shops = 12)</t>
  </si>
  <si>
    <t>Ground Floor For Commercial, Entrance Lobby, Driver Room, Parking, Nursing Room &amp; Meter Room</t>
  </si>
  <si>
    <t>Konark Residency</t>
  </si>
  <si>
    <t>13/08/2025 @ 04:32pm</t>
  </si>
  <si>
    <t>9000 to 9500</t>
  </si>
  <si>
    <t>Construction work is in process at the time of Visit (labour found)</t>
  </si>
  <si>
    <t>We have refered Area Statment from approved CC.</t>
  </si>
  <si>
    <t>Layout Plan Showing Proposed Residential, Residential With Shop Line Buildings, Shopline With Restaurant, Row House, LWC Building No. 1 &amp; 2, LWC Welfare Center (Nursing Home), Community Center Building No 2, Ancillary Building, High School Building, CFC School Building No. 1 &amp; 2, On Land Bearing S.No. 62, H.No. 1, 2(Pt), 3, 4, 5, 7 S.No. 63 H.No. 2/1, 2/2, 3, S.No. 64 H.No.2,3, S.No.65, S.No. 68 H.No. 1, 2, 3, S.No. 69 H.No. 1, 2, 3, 4, 5, S.No. 72, S.No. 73, S.No. 75 H.No.1, 2/1, 2/2, 3, 4, 5, 7, S.No. 76, S.No. 77 H.No. 2,3, 4, 5, 6, 7, S.No. 81 H.No.  1, 2, 4, 6, 8, 9, 10, 12, 13,14,15,16,17,18,19,21,22,23, S.No. 82 H. No. 1, 2,3/2, 3, 4, 5, 6, 7, 8/1, 9, 10 S.No. 83 H.No. 1(Pt.), S.No.84 H.No. 3, 4, 6(Pt.), 7(Pt.), 10, S.No. 85 H.No. 3B, 6, 7, 9, 10, 12, S.No. 87 H.No.  1 A, 1B, 1C, 2A, 2B, 3, 7, S.No. 88 H.No. 1A, 1B, 2B, 4, 5 S No. 89 H.No.1, 2, 4 S.No.  271, S.No. 272, S.No. 273, S.No. 274 H.No. 1, 2, 3, S.No. 275 Η.Νο. 1, 2, 3. S.No. 276 H.No. 1, 2, 3, 4, 5 S.No. 277 H.No. 1, 2, 3 S.No. 278 H.No. 1, 2, 3, 4 S.No. 279 H.No. 1, 2 S.No. 280 H.No. 1, 2, 3, 4, 5 Additional Lands No. 77/1, S.No. 81/7/20 S.No. 84/1, 2, 11, 12, S.No. 85/1/1, 1/2,1/4, 1/8 At Village: Gokhiware, Taluka: Vasai, Dist. Palghar</t>
  </si>
  <si>
    <t>Built up Area (In Sq.Mt)
Building  No. 10 Wing B</t>
  </si>
  <si>
    <t>Please check for Fire NOC &amp; EC</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</si>
</sst>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0">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2" fontId="3" fillId="0" borderId="0" xfId="0" applyNumberFormat="1" applyFont="1" applyAlignment="1">
      <alignment vertical="top"/>
    </xf>
    <xf numFmtId="0" fontId="9" fillId="0" borderId="0" xfId="0" applyFont="1" applyAlignment="1">
      <alignment vertical="top"/>
    </xf>
    <xf numFmtId="14" fontId="4" fillId="4"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2"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17"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1" xfId="0" applyFont="1" applyBorder="1" applyAlignment="1">
      <alignment horizontal="center" vertical="top" wrapText="1"/>
    </xf>
    <xf numFmtId="0" fontId="4" fillId="2" borderId="1" xfId="0" applyFont="1" applyFill="1" applyBorder="1" applyAlignment="1">
      <alignment horizontal="center"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26" fillId="4" borderId="1" xfId="2" applyFont="1" applyFill="1" applyBorder="1" applyAlignment="1">
      <alignment horizontal="left" vertical="top" wrapText="1"/>
    </xf>
    <xf numFmtId="0" fontId="3" fillId="4" borderId="1" xfId="0" applyFont="1" applyFill="1" applyBorder="1" applyAlignment="1">
      <alignment horizontal="left"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4" fillId="4" borderId="1" xfId="0" applyNumberFormat="1" applyFont="1" applyFill="1" applyBorder="1" applyAlignment="1">
      <alignment horizontal="left" vertical="top" wrapText="1"/>
    </xf>
    <xf numFmtId="0" fontId="3" fillId="2" borderId="1" xfId="0" applyFont="1" applyFill="1" applyBorder="1" applyAlignment="1">
      <alignment horizontal="center" vertical="top"/>
    </xf>
    <xf numFmtId="0" fontId="3" fillId="2" borderId="1" xfId="0" applyFont="1" applyFill="1" applyBorder="1" applyAlignment="1">
      <alignment horizontal="center" vertical="top"/>
    </xf>
    <xf numFmtId="9" fontId="3" fillId="4" borderId="1" xfId="1" applyNumberFormat="1" applyFont="1" applyFill="1" applyBorder="1" applyAlignment="1" applyProtection="1">
      <alignment horizontal="center" vertical="center" wrapText="1"/>
      <protection hidden="1"/>
    </xf>
    <xf numFmtId="1" fontId="3" fillId="4" borderId="1" xfId="1" applyNumberFormat="1" applyFont="1" applyFill="1" applyBorder="1" applyAlignment="1" applyProtection="1">
      <alignment horizontal="center" vertical="center" wrapText="1"/>
      <protection hidden="1"/>
    </xf>
    <xf numFmtId="9" fontId="3" fillId="4" borderId="1" xfId="1" applyNumberFormat="1" applyFont="1" applyFill="1" applyBorder="1" applyAlignment="1" applyProtection="1">
      <alignment horizontal="center" vertical="center" wrapText="1"/>
      <protection hidden="1"/>
    </xf>
    <xf numFmtId="9" fontId="3" fillId="4" borderId="7" xfId="1" applyNumberFormat="1" applyFont="1" applyFill="1" applyBorder="1" applyAlignment="1" applyProtection="1">
      <alignment horizontal="center" vertical="center" wrapText="1"/>
      <protection hidden="1"/>
    </xf>
    <xf numFmtId="9" fontId="3" fillId="4" borderId="9" xfId="1" applyNumberFormat="1" applyFont="1" applyFill="1" applyBorder="1" applyAlignment="1" applyProtection="1">
      <alignment horizontal="center" vertical="center" wrapText="1"/>
      <protection hidden="1"/>
    </xf>
    <xf numFmtId="9" fontId="3" fillId="4" borderId="10" xfId="1" applyNumberFormat="1" applyFont="1" applyFill="1" applyBorder="1" applyAlignment="1" applyProtection="1">
      <alignment horizontal="center" vertical="center" wrapText="1"/>
      <protection hidden="1"/>
    </xf>
    <xf numFmtId="9" fontId="3" fillId="4" borderId="11" xfId="1" applyNumberFormat="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9" fontId="3" fillId="4" borderId="2" xfId="1" applyNumberFormat="1" applyFont="1" applyFill="1" applyBorder="1" applyAlignment="1" applyProtection="1">
      <alignment horizontal="center" vertical="center" wrapText="1"/>
      <protection hidden="1"/>
    </xf>
    <xf numFmtId="9" fontId="3" fillId="4" borderId="5" xfId="1" applyNumberFormat="1" applyFont="1" applyFill="1" applyBorder="1" applyAlignment="1" applyProtection="1">
      <alignment horizontal="center" vertical="center" wrapText="1"/>
      <protection hidden="1"/>
    </xf>
    <xf numFmtId="9" fontId="3" fillId="4" borderId="12" xfId="1" applyNumberFormat="1" applyFont="1" applyFill="1" applyBorder="1" applyAlignment="1" applyProtection="1">
      <alignment horizontal="center" vertical="center" wrapText="1"/>
      <protection hidden="1"/>
    </xf>
    <xf numFmtId="9" fontId="3" fillId="4" borderId="13" xfId="1" applyNumberFormat="1" applyFont="1" applyFill="1" applyBorder="1" applyAlignment="1" applyProtection="1">
      <alignment horizontal="center" vertical="center" wrapText="1"/>
      <protection hidden="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3" xfId="0" applyFont="1" applyFill="1" applyBorder="1" applyAlignment="1">
      <alignment horizontal="left" vertical="top" wrapText="1"/>
    </xf>
    <xf numFmtId="0" fontId="2" fillId="4" borderId="1" xfId="0"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108858</xdr:colOff>
      <xdr:row>8</xdr:row>
      <xdr:rowOff>312964</xdr:rowOff>
    </xdr:from>
    <xdr:to>
      <xdr:col>24</xdr:col>
      <xdr:colOff>36711</xdr:colOff>
      <xdr:row>10</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9470572" y="3864428"/>
          <a:ext cx="9724996" cy="4395108"/>
        </a:xfrm>
        <a:prstGeom prst="rect">
          <a:avLst/>
        </a:prstGeom>
      </xdr:spPr>
    </xdr:pic>
    <xdr:clientData/>
  </xdr:twoCellAnchor>
  <xdr:twoCellAnchor editAs="oneCell">
    <xdr:from>
      <xdr:col>8</xdr:col>
      <xdr:colOff>911678</xdr:colOff>
      <xdr:row>48</xdr:row>
      <xdr:rowOff>204106</xdr:rowOff>
    </xdr:from>
    <xdr:to>
      <xdr:col>11</xdr:col>
      <xdr:colOff>275844</xdr:colOff>
      <xdr:row>61</xdr:row>
      <xdr:rowOff>160165</xdr:rowOff>
    </xdr:to>
    <xdr:pic>
      <xdr:nvPicPr>
        <xdr:cNvPr id="3" name="Picture 2"/>
        <xdr:cNvPicPr>
          <a:picLocks noChangeAspect="1"/>
        </xdr:cNvPicPr>
      </xdr:nvPicPr>
      <xdr:blipFill>
        <a:blip xmlns:r="http://schemas.openxmlformats.org/officeDocument/2006/relationships" r:embed="rId2"/>
        <a:stretch>
          <a:fillRect/>
        </a:stretch>
      </xdr:blipFill>
      <xdr:spPr>
        <a:xfrm>
          <a:off x="10273392" y="26465892"/>
          <a:ext cx="3038095" cy="3180952"/>
        </a:xfrm>
        <a:prstGeom prst="rect">
          <a:avLst/>
        </a:prstGeom>
      </xdr:spPr>
    </xdr:pic>
    <xdr:clientData/>
  </xdr:twoCellAnchor>
  <xdr:twoCellAnchor editAs="oneCell">
    <xdr:from>
      <xdr:col>8</xdr:col>
      <xdr:colOff>1632857</xdr:colOff>
      <xdr:row>47</xdr:row>
      <xdr:rowOff>68035</xdr:rowOff>
    </xdr:from>
    <xdr:to>
      <xdr:col>14</xdr:col>
      <xdr:colOff>188631</xdr:colOff>
      <xdr:row>63</xdr:row>
      <xdr:rowOff>143725</xdr:rowOff>
    </xdr:to>
    <xdr:pic>
      <xdr:nvPicPr>
        <xdr:cNvPr id="4" name="Picture 3"/>
        <xdr:cNvPicPr>
          <a:picLocks noChangeAspect="1"/>
        </xdr:cNvPicPr>
      </xdr:nvPicPr>
      <xdr:blipFill>
        <a:blip xmlns:r="http://schemas.openxmlformats.org/officeDocument/2006/relationships" r:embed="rId3"/>
        <a:stretch>
          <a:fillRect/>
        </a:stretch>
      </xdr:blipFill>
      <xdr:spPr>
        <a:xfrm>
          <a:off x="10994571" y="26071285"/>
          <a:ext cx="4066667" cy="4076190"/>
        </a:xfrm>
        <a:prstGeom prst="rect">
          <a:avLst/>
        </a:prstGeom>
      </xdr:spPr>
    </xdr:pic>
    <xdr:clientData/>
  </xdr:twoCellAnchor>
  <xdr:twoCellAnchor editAs="oneCell">
    <xdr:from>
      <xdr:col>8</xdr:col>
      <xdr:colOff>1306285</xdr:colOff>
      <xdr:row>44</xdr:row>
      <xdr:rowOff>81643</xdr:rowOff>
    </xdr:from>
    <xdr:to>
      <xdr:col>13</xdr:col>
      <xdr:colOff>121999</xdr:colOff>
      <xdr:row>65</xdr:row>
      <xdr:rowOff>185738</xdr:rowOff>
    </xdr:to>
    <xdr:pic>
      <xdr:nvPicPr>
        <xdr:cNvPr id="5" name="Picture 4"/>
        <xdr:cNvPicPr>
          <a:picLocks noChangeAspect="1"/>
        </xdr:cNvPicPr>
      </xdr:nvPicPr>
      <xdr:blipFill>
        <a:blip xmlns:r="http://schemas.openxmlformats.org/officeDocument/2006/relationships" r:embed="rId4"/>
        <a:stretch>
          <a:fillRect/>
        </a:stretch>
      </xdr:blipFill>
      <xdr:spPr>
        <a:xfrm>
          <a:off x="10667999" y="25295679"/>
          <a:ext cx="3714286" cy="5438095"/>
        </a:xfrm>
        <a:prstGeom prst="rect">
          <a:avLst/>
        </a:prstGeom>
      </xdr:spPr>
    </xdr:pic>
    <xdr:clientData/>
  </xdr:twoCellAnchor>
  <xdr:twoCellAnchor>
    <xdr:from>
      <xdr:col>2</xdr:col>
      <xdr:colOff>353786</xdr:colOff>
      <xdr:row>250</xdr:row>
      <xdr:rowOff>149679</xdr:rowOff>
    </xdr:from>
    <xdr:to>
      <xdr:col>6</xdr:col>
      <xdr:colOff>503465</xdr:colOff>
      <xdr:row>279</xdr:row>
      <xdr:rowOff>95250</xdr:rowOff>
    </xdr:to>
    <xdr:grpSp>
      <xdr:nvGrpSpPr>
        <xdr:cNvPr id="6" name="Group 5"/>
        <xdr:cNvGrpSpPr/>
      </xdr:nvGrpSpPr>
      <xdr:grpSpPr>
        <a:xfrm>
          <a:off x="2694215" y="78581250"/>
          <a:ext cx="4830536" cy="7443107"/>
          <a:chOff x="1449000" y="185370"/>
          <a:chExt cx="3960000" cy="6625365"/>
        </a:xfrm>
      </xdr:grpSpPr>
      <xdr:pic>
        <xdr:nvPicPr>
          <xdr:cNvPr id="7" name="Picture 6"/>
          <xdr:cNvPicPr>
            <a:picLocks noChangeAspect="1"/>
          </xdr:cNvPicPr>
        </xdr:nvPicPr>
        <xdr:blipFill rotWithShape="1">
          <a:blip xmlns:r="http://schemas.openxmlformats.org/officeDocument/2006/relationships" r:embed="rId5"/>
          <a:srcRect l="29111" t="16305" r="25152" b="12465"/>
          <a:stretch/>
        </xdr:blipFill>
        <xdr:spPr>
          <a:xfrm>
            <a:off x="1449000" y="185370"/>
            <a:ext cx="3960000" cy="3240000"/>
          </a:xfrm>
          <a:prstGeom prst="rect">
            <a:avLst/>
          </a:prstGeom>
          <a:ln>
            <a:solidFill>
              <a:schemeClr val="tx1"/>
            </a:solidFill>
          </a:ln>
        </xdr:spPr>
      </xdr:pic>
      <xdr:grpSp>
        <xdr:nvGrpSpPr>
          <xdr:cNvPr id="8" name="Group 7"/>
          <xdr:cNvGrpSpPr/>
        </xdr:nvGrpSpPr>
        <xdr:grpSpPr>
          <a:xfrm>
            <a:off x="1449000" y="3581957"/>
            <a:ext cx="3960000" cy="3228778"/>
            <a:chOff x="1449000" y="3599542"/>
            <a:chExt cx="3960000" cy="3228778"/>
          </a:xfrm>
        </xdr:grpSpPr>
        <xdr:pic>
          <xdr:nvPicPr>
            <xdr:cNvPr id="9" name="Picture 8"/>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49000" y="3599542"/>
              <a:ext cx="3960000" cy="3228778"/>
            </a:xfrm>
            <a:prstGeom prst="rect">
              <a:avLst/>
            </a:prstGeom>
            <a:ln>
              <a:solidFill>
                <a:schemeClr val="tx1"/>
              </a:solidFill>
            </a:ln>
          </xdr:spPr>
        </xdr:pic>
        <xdr:sp macro="" textlink="">
          <xdr:nvSpPr>
            <xdr:cNvPr id="10" name="Freeform 9"/>
            <xdr:cNvSpPr/>
          </xdr:nvSpPr>
          <xdr:spPr>
            <a:xfrm>
              <a:off x="3546475" y="5035550"/>
              <a:ext cx="171450" cy="288925"/>
            </a:xfrm>
            <a:custGeom>
              <a:avLst/>
              <a:gdLst>
                <a:gd name="connsiteX0" fmla="*/ 0 w 171450"/>
                <a:gd name="connsiteY0" fmla="*/ 260350 h 288925"/>
                <a:gd name="connsiteX1" fmla="*/ 107950 w 171450"/>
                <a:gd name="connsiteY1" fmla="*/ 288925 h 288925"/>
                <a:gd name="connsiteX2" fmla="*/ 171450 w 171450"/>
                <a:gd name="connsiteY2" fmla="*/ 0 h 288925"/>
                <a:gd name="connsiteX3" fmla="*/ 19050 w 171450"/>
                <a:gd name="connsiteY3" fmla="*/ 31750 h 288925"/>
                <a:gd name="connsiteX4" fmla="*/ 0 w 171450"/>
                <a:gd name="connsiteY4" fmla="*/ 260350 h 288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1450" h="288925">
                  <a:moveTo>
                    <a:pt x="0" y="260350"/>
                  </a:moveTo>
                  <a:lnTo>
                    <a:pt x="107950" y="288925"/>
                  </a:lnTo>
                  <a:lnTo>
                    <a:pt x="171450" y="0"/>
                  </a:lnTo>
                  <a:lnTo>
                    <a:pt x="19050" y="31750"/>
                  </a:lnTo>
                  <a:lnTo>
                    <a:pt x="0" y="26035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 name="TextBox 13"/>
            <xdr:cNvSpPr txBox="1"/>
          </xdr:nvSpPr>
          <xdr:spPr>
            <a:xfrm>
              <a:off x="2529840" y="5577840"/>
              <a:ext cx="151349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Ratan Heights</a:t>
              </a:r>
              <a:endParaRPr lang="en-IN" b="1">
                <a:solidFill>
                  <a:srgbClr val="FFFF00"/>
                </a:solidFill>
              </a:endParaRPr>
            </a:p>
          </xdr:txBody>
        </xdr:sp>
      </xdr:grpSp>
    </xdr:grpSp>
    <xdr:clientData/>
  </xdr:twoCellAnchor>
  <xdr:twoCellAnchor editAs="oneCell">
    <xdr:from>
      <xdr:col>8</xdr:col>
      <xdr:colOff>149679</xdr:colOff>
      <xdr:row>72</xdr:row>
      <xdr:rowOff>272142</xdr:rowOff>
    </xdr:from>
    <xdr:to>
      <xdr:col>22</xdr:col>
      <xdr:colOff>453369</xdr:colOff>
      <xdr:row>87</xdr:row>
      <xdr:rowOff>41606</xdr:rowOff>
    </xdr:to>
    <xdr:pic>
      <xdr:nvPicPr>
        <xdr:cNvPr id="12" name="Picture 11"/>
        <xdr:cNvPicPr>
          <a:picLocks noChangeAspect="1"/>
        </xdr:cNvPicPr>
      </xdr:nvPicPr>
      <xdr:blipFill>
        <a:blip xmlns:r="http://schemas.openxmlformats.org/officeDocument/2006/relationships" r:embed="rId7"/>
        <a:stretch>
          <a:fillRect/>
        </a:stretch>
      </xdr:blipFill>
      <xdr:spPr>
        <a:xfrm>
          <a:off x="9511393" y="30888213"/>
          <a:ext cx="8876190" cy="4600000"/>
        </a:xfrm>
        <a:prstGeom prst="rect">
          <a:avLst/>
        </a:prstGeom>
      </xdr:spPr>
    </xdr:pic>
    <xdr:clientData/>
  </xdr:twoCellAnchor>
  <xdr:twoCellAnchor>
    <xdr:from>
      <xdr:col>0</xdr:col>
      <xdr:colOff>108857</xdr:colOff>
      <xdr:row>202</xdr:row>
      <xdr:rowOff>217713</xdr:rowOff>
    </xdr:from>
    <xdr:to>
      <xdr:col>7</xdr:col>
      <xdr:colOff>993321</xdr:colOff>
      <xdr:row>245</xdr:row>
      <xdr:rowOff>68035</xdr:rowOff>
    </xdr:to>
    <xdr:grpSp>
      <xdr:nvGrpSpPr>
        <xdr:cNvPr id="14" name="Group 13"/>
        <xdr:cNvGrpSpPr/>
      </xdr:nvGrpSpPr>
      <xdr:grpSpPr>
        <a:xfrm>
          <a:off x="108857" y="66239570"/>
          <a:ext cx="9075964" cy="10967358"/>
          <a:chOff x="0" y="358412"/>
          <a:chExt cx="6858000" cy="8427176"/>
        </a:xfrm>
      </xdr:grpSpPr>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358412"/>
            <a:ext cx="6858000" cy="8427176"/>
          </a:xfrm>
          <a:prstGeom prst="rect">
            <a:avLst/>
          </a:prstGeom>
          <a:ln>
            <a:solidFill>
              <a:schemeClr val="tx1"/>
            </a:solidFill>
          </a:ln>
        </xdr:spPr>
      </xdr:pic>
      <xdr:sp macro="" textlink="">
        <xdr:nvSpPr>
          <xdr:cNvPr id="16" name="TextBox 18"/>
          <xdr:cNvSpPr txBox="1"/>
        </xdr:nvSpPr>
        <xdr:spPr>
          <a:xfrm>
            <a:off x="4762500" y="1278731"/>
            <a:ext cx="1691489"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No. 10 </a:t>
            </a:r>
          </a:p>
          <a:p>
            <a:r>
              <a:rPr lang="en-US" b="1"/>
              <a:t>(Wing B)</a:t>
            </a:r>
            <a:endParaRPr lang="en-IN" b="1"/>
          </a:p>
        </xdr:txBody>
      </xdr:sp>
      <xdr:cxnSp macro="">
        <xdr:nvCxnSpPr>
          <xdr:cNvPr id="17" name="Straight Arrow Connector 16"/>
          <xdr:cNvCxnSpPr>
            <a:stCxn id="16" idx="0"/>
          </xdr:cNvCxnSpPr>
        </xdr:nvCxnSpPr>
        <xdr:spPr>
          <a:xfrm flipH="1" flipV="1">
            <a:off x="5336381" y="1052513"/>
            <a:ext cx="271864" cy="226218"/>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95251</xdr:colOff>
      <xdr:row>67</xdr:row>
      <xdr:rowOff>272141</xdr:rowOff>
    </xdr:from>
    <xdr:to>
      <xdr:col>23</xdr:col>
      <xdr:colOff>157947</xdr:colOff>
      <xdr:row>77</xdr:row>
      <xdr:rowOff>254837</xdr:rowOff>
    </xdr:to>
    <xdr:pic>
      <xdr:nvPicPr>
        <xdr:cNvPr id="18" name="Picture 17"/>
        <xdr:cNvPicPr>
          <a:picLocks noChangeAspect="1"/>
        </xdr:cNvPicPr>
      </xdr:nvPicPr>
      <xdr:blipFill rotWithShape="1">
        <a:blip xmlns:r="http://schemas.openxmlformats.org/officeDocument/2006/relationships" r:embed="rId9"/>
        <a:srcRect l="3225" t="23349" r="25701" b="27594"/>
        <a:stretch/>
      </xdr:blipFill>
      <xdr:spPr>
        <a:xfrm>
          <a:off x="9456965" y="29527498"/>
          <a:ext cx="9247518" cy="3588589"/>
        </a:xfrm>
        <a:prstGeom prst="rect">
          <a:avLst/>
        </a:prstGeom>
      </xdr:spPr>
    </xdr:pic>
    <xdr:clientData/>
  </xdr:twoCellAnchor>
  <xdr:twoCellAnchor>
    <xdr:from>
      <xdr:col>1</xdr:col>
      <xdr:colOff>530679</xdr:colOff>
      <xdr:row>156</xdr:row>
      <xdr:rowOff>54427</xdr:rowOff>
    </xdr:from>
    <xdr:to>
      <xdr:col>6</xdr:col>
      <xdr:colOff>534674</xdr:colOff>
      <xdr:row>189</xdr:row>
      <xdr:rowOff>45479</xdr:rowOff>
    </xdr:to>
    <xdr:grpSp>
      <xdr:nvGrpSpPr>
        <xdr:cNvPr id="13" name="Group 12"/>
        <xdr:cNvGrpSpPr/>
      </xdr:nvGrpSpPr>
      <xdr:grpSpPr>
        <a:xfrm>
          <a:off x="1700893" y="54183641"/>
          <a:ext cx="5855067" cy="8522731"/>
          <a:chOff x="1700893" y="54795963"/>
          <a:chExt cx="5855067" cy="8522730"/>
        </a:xfrm>
      </xdr:grpSpPr>
      <xdr:pic>
        <xdr:nvPicPr>
          <xdr:cNvPr id="19" name="Picture 18" descr="insp-243604-843.jpg (959×1280)"/>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718005" y="54795963"/>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insp-243604-1525.jpg (959×1280)"/>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4718005" y="61158693"/>
            <a:ext cx="1618312"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insp-243604-844.jpg (959×1280)"/>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5667929" y="58515638"/>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insp-243604-847.jpg (959×1280)"/>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1700893" y="58515638"/>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insp-243604-849.jpg (959×1280)"/>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684411" y="58515638"/>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insp-243604-851.jpg (959×1280)"/>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1931240" y="54795963"/>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insp-243604-861.jpg (959×1280)"/>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3010115" y="61155313"/>
            <a:ext cx="1618312"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TRC7Sxzkkr3YR5ZN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291"/>
  <sheetViews>
    <sheetView tabSelected="1" view="pageBreakPreview" zoomScale="70" zoomScaleNormal="85" zoomScaleSheetLayoutView="70" zoomScalePageLayoutView="70" workbookViewId="0">
      <selection activeCell="J6" sqref="J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04" t="s">
        <v>38</v>
      </c>
      <c r="B1" s="105"/>
      <c r="C1" s="105"/>
      <c r="D1" s="105"/>
      <c r="E1" s="105"/>
      <c r="F1" s="105"/>
      <c r="G1" s="105"/>
      <c r="H1" s="106"/>
    </row>
    <row r="2" spans="1:11" ht="42" customHeight="1" x14ac:dyDescent="0.25">
      <c r="A2" s="78" t="s">
        <v>10</v>
      </c>
      <c r="B2" s="78"/>
      <c r="C2" s="79" t="s">
        <v>87</v>
      </c>
      <c r="D2" s="79"/>
      <c r="E2" s="78" t="s">
        <v>12</v>
      </c>
      <c r="F2" s="78"/>
      <c r="G2" s="85">
        <v>45880</v>
      </c>
      <c r="H2" s="85"/>
      <c r="J2" s="86"/>
      <c r="K2" s="87"/>
    </row>
    <row r="3" spans="1:11" ht="42.75" customHeight="1" x14ac:dyDescent="0.25">
      <c r="A3" s="78" t="s">
        <v>39</v>
      </c>
      <c r="B3" s="78"/>
      <c r="C3" s="199" t="s">
        <v>299</v>
      </c>
      <c r="D3" s="199"/>
      <c r="E3" s="78" t="s">
        <v>155</v>
      </c>
      <c r="F3" s="78"/>
      <c r="G3" s="85" t="s">
        <v>358</v>
      </c>
      <c r="H3" s="85"/>
    </row>
    <row r="4" spans="1:11" ht="43.5" customHeight="1" x14ac:dyDescent="0.25">
      <c r="A4" s="78" t="s">
        <v>36</v>
      </c>
      <c r="B4" s="78"/>
      <c r="C4" s="79" t="s">
        <v>352</v>
      </c>
      <c r="D4" s="79"/>
      <c r="E4" s="78" t="s">
        <v>33</v>
      </c>
      <c r="F4" s="78"/>
      <c r="G4" s="79" t="str">
        <f ca="1">TEXT(TODAY(),"DD/MM/YYYY")</f>
        <v>16/08/2025</v>
      </c>
      <c r="H4" s="79"/>
    </row>
    <row r="5" spans="1:11" ht="20.25" x14ac:dyDescent="0.25">
      <c r="A5" s="99" t="s">
        <v>40</v>
      </c>
      <c r="B5" s="99"/>
      <c r="C5" s="99"/>
      <c r="D5" s="99"/>
      <c r="E5" s="99"/>
      <c r="F5" s="99"/>
      <c r="G5" s="99"/>
      <c r="H5" s="99"/>
    </row>
    <row r="6" spans="1:11" ht="43.5" customHeight="1" x14ac:dyDescent="0.25">
      <c r="A6" s="78" t="s">
        <v>29</v>
      </c>
      <c r="B6" s="78"/>
      <c r="C6" s="79" t="s">
        <v>300</v>
      </c>
      <c r="D6" s="79"/>
      <c r="E6" s="78" t="s">
        <v>35</v>
      </c>
      <c r="F6" s="78"/>
      <c r="G6" s="79" t="s">
        <v>301</v>
      </c>
      <c r="H6" s="79"/>
    </row>
    <row r="7" spans="1:11" ht="45.75" customHeight="1" x14ac:dyDescent="0.25">
      <c r="A7" s="78" t="s">
        <v>42</v>
      </c>
      <c r="B7" s="78"/>
      <c r="C7" s="79" t="s">
        <v>302</v>
      </c>
      <c r="D7" s="79"/>
      <c r="E7" s="78" t="s">
        <v>43</v>
      </c>
      <c r="F7" s="78"/>
      <c r="G7" s="79" t="s">
        <v>302</v>
      </c>
      <c r="H7" s="79"/>
    </row>
    <row r="8" spans="1:11" ht="20.25" x14ac:dyDescent="0.25">
      <c r="A8" s="78" t="s">
        <v>44</v>
      </c>
      <c r="B8" s="78"/>
      <c r="C8" s="79" t="s">
        <v>353</v>
      </c>
      <c r="D8" s="79"/>
      <c r="E8" s="79"/>
      <c r="F8" s="79"/>
      <c r="G8" s="79"/>
      <c r="H8" s="79"/>
    </row>
    <row r="9" spans="1:11" ht="63" customHeight="1" x14ac:dyDescent="0.25">
      <c r="A9" s="84" t="s">
        <v>146</v>
      </c>
      <c r="B9" s="34" t="s">
        <v>41</v>
      </c>
      <c r="C9" s="79" t="s">
        <v>303</v>
      </c>
      <c r="D9" s="79"/>
      <c r="E9" s="79"/>
      <c r="F9" s="79"/>
      <c r="G9" s="79"/>
      <c r="H9" s="79"/>
    </row>
    <row r="10" spans="1:11" ht="307.5" customHeight="1" x14ac:dyDescent="0.25">
      <c r="A10" s="84"/>
      <c r="B10" s="34" t="s">
        <v>11</v>
      </c>
      <c r="C10" s="79" t="s">
        <v>362</v>
      </c>
      <c r="D10" s="79"/>
      <c r="E10" s="79"/>
      <c r="F10" s="79"/>
      <c r="G10" s="79"/>
      <c r="H10" s="79"/>
    </row>
    <row r="11" spans="1:11" ht="42" customHeight="1" x14ac:dyDescent="0.25">
      <c r="A11" s="84"/>
      <c r="B11" s="34" t="s">
        <v>5</v>
      </c>
      <c r="C11" s="79" t="s">
        <v>354</v>
      </c>
      <c r="D11" s="79"/>
      <c r="E11" s="79"/>
      <c r="F11" s="79"/>
      <c r="G11" s="79"/>
      <c r="H11" s="79"/>
    </row>
    <row r="12" spans="1:11" ht="40.5" customHeight="1" x14ac:dyDescent="0.25">
      <c r="A12" s="78" t="s">
        <v>34</v>
      </c>
      <c r="B12" s="78"/>
      <c r="C12" s="79" t="s">
        <v>307</v>
      </c>
      <c r="D12" s="79"/>
      <c r="E12" s="79"/>
      <c r="F12" s="79"/>
      <c r="G12" s="79"/>
      <c r="H12" s="79"/>
    </row>
    <row r="13" spans="1:11" ht="20.100000000000001" customHeight="1" x14ac:dyDescent="0.25">
      <c r="A13" s="99" t="s">
        <v>45</v>
      </c>
      <c r="B13" s="99"/>
      <c r="C13" s="99"/>
      <c r="D13" s="99"/>
      <c r="E13" s="99"/>
      <c r="F13" s="99"/>
      <c r="G13" s="99"/>
      <c r="H13" s="99"/>
    </row>
    <row r="14" spans="1:11" ht="41.25" customHeight="1" x14ac:dyDescent="0.25">
      <c r="A14" s="78" t="s">
        <v>27</v>
      </c>
      <c r="B14" s="78" t="s">
        <v>4</v>
      </c>
      <c r="C14" s="79" t="s">
        <v>88</v>
      </c>
      <c r="D14" s="79"/>
      <c r="E14" s="78" t="s">
        <v>46</v>
      </c>
      <c r="F14" s="78" t="s">
        <v>4</v>
      </c>
      <c r="G14" s="79" t="s">
        <v>309</v>
      </c>
      <c r="H14" s="79"/>
    </row>
    <row r="15" spans="1:11" ht="41.25" customHeight="1" x14ac:dyDescent="0.25">
      <c r="A15" s="78" t="s">
        <v>47</v>
      </c>
      <c r="B15" s="78" t="s">
        <v>4</v>
      </c>
      <c r="C15" s="79" t="s">
        <v>308</v>
      </c>
      <c r="D15" s="79"/>
      <c r="E15" s="78" t="s">
        <v>48</v>
      </c>
      <c r="F15" s="78" t="s">
        <v>4</v>
      </c>
      <c r="G15" s="85">
        <v>47118</v>
      </c>
      <c r="H15" s="79"/>
    </row>
    <row r="16" spans="1:11" ht="41.25" customHeight="1" x14ac:dyDescent="0.25">
      <c r="A16" s="78" t="s">
        <v>49</v>
      </c>
      <c r="B16" s="78" t="s">
        <v>4</v>
      </c>
      <c r="C16" s="85">
        <v>45604</v>
      </c>
      <c r="D16" s="79"/>
      <c r="E16" s="78" t="s">
        <v>50</v>
      </c>
      <c r="F16" s="78" t="s">
        <v>4</v>
      </c>
      <c r="G16" s="116">
        <v>45597</v>
      </c>
      <c r="H16" s="79"/>
    </row>
    <row r="17" spans="1:9" ht="41.25" customHeight="1" x14ac:dyDescent="0.25">
      <c r="A17" s="78" t="s">
        <v>51</v>
      </c>
      <c r="B17" s="78" t="s">
        <v>4</v>
      </c>
      <c r="C17" s="85">
        <v>47118</v>
      </c>
      <c r="D17" s="79"/>
      <c r="E17" s="78" t="s">
        <v>52</v>
      </c>
      <c r="F17" s="78" t="s">
        <v>4</v>
      </c>
      <c r="G17" s="79" t="s">
        <v>310</v>
      </c>
      <c r="H17" s="79"/>
    </row>
    <row r="18" spans="1:9" ht="41.25" customHeight="1" x14ac:dyDescent="0.25">
      <c r="A18" s="78" t="s">
        <v>53</v>
      </c>
      <c r="B18" s="78" t="s">
        <v>4</v>
      </c>
      <c r="C18" s="79" t="str">
        <f>IF(AND(ISNUMBER(SEARCH("Flat",G22)),ISNUMBER(SEARCH("Shop",G22)),ISNUMBER(SEARCH("Office",G22))),"Residential + Commercial",IF(AND(ISNUMBER(SEARCH("Flat",G22)),ISNUMBER(SEARCH("Shop",G22))),"Residential + Commercial",IF(AND(ISNUMBER(SEARCH("Flat",G22)),ISNUMBER(SEARCH("Office",G22))),"Residential + Commercial",IF(AND(ISNUMBER(SEARCH("Shop",G22)),ISNUMBER(SEARCH("Office",G22))),"Commercial",IF(ISNUMBER(SEARCH("Shop",G22)),"Commercial",IF(ISNUMBER(SEARCH("Office",G22)),"Commercial",IF(ISNUMBER(SEARCH("Flat",G22)),"Residential")))))))</f>
        <v>Residential + Commercial</v>
      </c>
      <c r="D18" s="79"/>
      <c r="E18" s="78" t="s">
        <v>94</v>
      </c>
      <c r="F18" s="78" t="s">
        <v>4</v>
      </c>
      <c r="G18" s="79">
        <f>474185</f>
        <v>474185</v>
      </c>
      <c r="H18" s="79"/>
    </row>
    <row r="19" spans="1:9" ht="41.25" customHeight="1" x14ac:dyDescent="0.25">
      <c r="A19" s="78" t="s">
        <v>54</v>
      </c>
      <c r="B19" s="78" t="s">
        <v>4</v>
      </c>
      <c r="C19" s="136">
        <f>251260.79/G19</f>
        <v>1.1000000000000001</v>
      </c>
      <c r="D19" s="136"/>
      <c r="E19" s="78" t="s">
        <v>238</v>
      </c>
      <c r="F19" s="78" t="s">
        <v>4</v>
      </c>
      <c r="G19" s="79">
        <f>228418.9</f>
        <v>228418.9</v>
      </c>
      <c r="H19" s="79"/>
    </row>
    <row r="20" spans="1:9" ht="41.25" customHeight="1" x14ac:dyDescent="0.25">
      <c r="A20" s="78" t="s">
        <v>92</v>
      </c>
      <c r="B20" s="78" t="s">
        <v>4</v>
      </c>
      <c r="C20" s="79">
        <f>1041790.04</f>
        <v>1041790.04</v>
      </c>
      <c r="D20" s="79"/>
      <c r="E20" s="78" t="s">
        <v>93</v>
      </c>
      <c r="F20" s="78" t="s">
        <v>4</v>
      </c>
      <c r="G20" s="79">
        <f>1041227.85</f>
        <v>1041227.85</v>
      </c>
      <c r="H20" s="79"/>
    </row>
    <row r="21" spans="1:9" ht="41.25" customHeight="1" x14ac:dyDescent="0.25">
      <c r="A21" s="78" t="s">
        <v>363</v>
      </c>
      <c r="B21" s="78" t="s">
        <v>4</v>
      </c>
      <c r="C21" s="94">
        <v>11590.22</v>
      </c>
      <c r="D21" s="92"/>
      <c r="E21" s="92"/>
      <c r="F21" s="92"/>
      <c r="G21" s="92"/>
      <c r="H21" s="93"/>
    </row>
    <row r="22" spans="1:9" ht="41.25" customHeight="1" x14ac:dyDescent="0.25">
      <c r="A22" s="78" t="s">
        <v>56</v>
      </c>
      <c r="B22" s="78" t="s">
        <v>4</v>
      </c>
      <c r="C22" s="79" t="s">
        <v>335</v>
      </c>
      <c r="D22" s="79"/>
      <c r="E22" s="78" t="s">
        <v>55</v>
      </c>
      <c r="F22" s="78" t="s">
        <v>4</v>
      </c>
      <c r="G22" s="79" t="s">
        <v>341</v>
      </c>
      <c r="H22" s="79"/>
      <c r="I22" s="76" t="s">
        <v>342</v>
      </c>
    </row>
    <row r="23" spans="1:9" ht="20.25" x14ac:dyDescent="0.25">
      <c r="A23" s="78" t="s">
        <v>159</v>
      </c>
      <c r="B23" s="78" t="s">
        <v>4</v>
      </c>
      <c r="C23" s="79" t="s">
        <v>304</v>
      </c>
      <c r="D23" s="79"/>
      <c r="E23" s="78" t="s">
        <v>160</v>
      </c>
      <c r="F23" s="78" t="s">
        <v>4</v>
      </c>
      <c r="G23" s="79" t="s">
        <v>357</v>
      </c>
      <c r="H23" s="79"/>
      <c r="I23" s="76" t="s">
        <v>306</v>
      </c>
    </row>
    <row r="24" spans="1:9" ht="28.5" customHeight="1" x14ac:dyDescent="0.25">
      <c r="A24" s="78" t="s">
        <v>157</v>
      </c>
      <c r="B24" s="78" t="s">
        <v>4</v>
      </c>
      <c r="C24" s="177" t="s">
        <v>305</v>
      </c>
      <c r="D24" s="79"/>
      <c r="E24" s="79"/>
      <c r="F24" s="79"/>
      <c r="G24" s="79"/>
      <c r="H24" s="79"/>
    </row>
    <row r="25" spans="1:9" ht="40.5" customHeight="1" x14ac:dyDescent="0.25">
      <c r="A25" s="78" t="s">
        <v>25</v>
      </c>
      <c r="B25" s="78" t="s">
        <v>4</v>
      </c>
      <c r="C25" s="79" t="s">
        <v>340</v>
      </c>
      <c r="D25" s="79"/>
      <c r="E25" s="79"/>
      <c r="F25" s="79"/>
      <c r="G25" s="79"/>
      <c r="H25" s="79"/>
    </row>
    <row r="26" spans="1:9" ht="24" customHeight="1" x14ac:dyDescent="0.25">
      <c r="A26" s="99" t="s">
        <v>20</v>
      </c>
      <c r="B26" s="99"/>
      <c r="C26" s="99"/>
      <c r="D26" s="99"/>
      <c r="E26" s="99"/>
      <c r="F26" s="99"/>
      <c r="G26" s="99"/>
      <c r="H26" s="99"/>
    </row>
    <row r="27" spans="1:9" ht="43.5" customHeight="1" x14ac:dyDescent="0.25">
      <c r="A27" s="78" t="s">
        <v>26</v>
      </c>
      <c r="B27" s="78" t="s">
        <v>4</v>
      </c>
      <c r="C27" s="79" t="str">
        <f>IF(AND(G27="Upper"),"Developed","Developing")</f>
        <v>Developing</v>
      </c>
      <c r="D27" s="79"/>
      <c r="E27" s="78" t="s">
        <v>13</v>
      </c>
      <c r="F27" s="78" t="s">
        <v>4</v>
      </c>
      <c r="G27" s="79" t="s">
        <v>311</v>
      </c>
      <c r="H27" s="79"/>
    </row>
    <row r="28" spans="1:9" ht="43.5" customHeight="1" x14ac:dyDescent="0.25">
      <c r="A28" s="78" t="s">
        <v>14</v>
      </c>
      <c r="B28" s="78" t="s">
        <v>4</v>
      </c>
      <c r="C28" s="79" t="s">
        <v>312</v>
      </c>
      <c r="D28" s="79"/>
      <c r="E28" s="78" t="s">
        <v>147</v>
      </c>
      <c r="F28" s="78" t="s">
        <v>4</v>
      </c>
      <c r="G28" s="79" t="s">
        <v>313</v>
      </c>
      <c r="H28" s="79"/>
    </row>
    <row r="29" spans="1:9" ht="43.5" customHeight="1" x14ac:dyDescent="0.25">
      <c r="A29" s="78" t="s">
        <v>23</v>
      </c>
      <c r="B29" s="78" t="s">
        <v>4</v>
      </c>
      <c r="C29" s="79" t="s">
        <v>96</v>
      </c>
      <c r="D29" s="79"/>
      <c r="E29" s="78" t="s">
        <v>16</v>
      </c>
      <c r="F29" s="78" t="s">
        <v>4</v>
      </c>
      <c r="G29" s="79" t="s">
        <v>343</v>
      </c>
      <c r="H29" s="79"/>
    </row>
    <row r="30" spans="1:9" ht="69" customHeight="1" x14ac:dyDescent="0.25">
      <c r="A30" s="78" t="s">
        <v>105</v>
      </c>
      <c r="B30" s="78" t="s">
        <v>4</v>
      </c>
      <c r="C30" s="79" t="s">
        <v>344</v>
      </c>
      <c r="D30" s="79"/>
      <c r="E30" s="78" t="s">
        <v>106</v>
      </c>
      <c r="F30" s="78" t="s">
        <v>4</v>
      </c>
      <c r="G30" s="79" t="s">
        <v>345</v>
      </c>
      <c r="H30" s="79"/>
    </row>
    <row r="31" spans="1:9" ht="84" customHeight="1" x14ac:dyDescent="0.25">
      <c r="A31" s="78" t="s">
        <v>17</v>
      </c>
      <c r="B31" s="78" t="s">
        <v>4</v>
      </c>
      <c r="C31" s="79" t="s">
        <v>346</v>
      </c>
      <c r="D31" s="79"/>
      <c r="E31" s="78" t="s">
        <v>15</v>
      </c>
      <c r="F31" s="78" t="s">
        <v>4</v>
      </c>
      <c r="G31" s="79" t="s">
        <v>347</v>
      </c>
      <c r="H31" s="79"/>
    </row>
    <row r="32" spans="1:9" ht="20.25" x14ac:dyDescent="0.25">
      <c r="A32" s="78" t="s">
        <v>111</v>
      </c>
      <c r="B32" s="78" t="s">
        <v>4</v>
      </c>
      <c r="C32" s="79" t="s">
        <v>112</v>
      </c>
      <c r="D32" s="79"/>
      <c r="E32" s="78" t="s">
        <v>113</v>
      </c>
      <c r="F32" s="78" t="s">
        <v>4</v>
      </c>
      <c r="G32" s="79" t="s">
        <v>112</v>
      </c>
      <c r="H32" s="79"/>
    </row>
    <row r="33" spans="1:15" ht="21.75" customHeight="1" x14ac:dyDescent="0.25">
      <c r="A33" s="78" t="s">
        <v>114</v>
      </c>
      <c r="B33" s="78" t="s">
        <v>4</v>
      </c>
      <c r="C33" s="79" t="s">
        <v>112</v>
      </c>
      <c r="D33" s="79"/>
      <c r="E33" s="79"/>
      <c r="F33" s="79"/>
      <c r="G33" s="79"/>
      <c r="H33" s="79"/>
    </row>
    <row r="34" spans="1:15" ht="20.25" x14ac:dyDescent="0.25">
      <c r="A34" s="137" t="s">
        <v>37</v>
      </c>
      <c r="B34" s="137"/>
      <c r="C34" s="137"/>
      <c r="D34" s="137"/>
      <c r="E34" s="137"/>
      <c r="F34" s="137"/>
      <c r="G34" s="137"/>
      <c r="H34" s="137"/>
    </row>
    <row r="35" spans="1:15" ht="43.5" customHeight="1" x14ac:dyDescent="0.25">
      <c r="A35" s="78" t="s">
        <v>18</v>
      </c>
      <c r="B35" s="78"/>
      <c r="C35" s="79" t="s">
        <v>97</v>
      </c>
      <c r="D35" s="79"/>
      <c r="E35" s="78" t="s">
        <v>19</v>
      </c>
      <c r="F35" s="78" t="s">
        <v>4</v>
      </c>
      <c r="G35" s="79" t="s">
        <v>98</v>
      </c>
      <c r="H35" s="79"/>
    </row>
    <row r="36" spans="1:15" ht="43.5" customHeight="1" x14ac:dyDescent="0.25">
      <c r="A36" s="78" t="s">
        <v>22</v>
      </c>
      <c r="B36" s="78"/>
      <c r="C36" s="79" t="s">
        <v>98</v>
      </c>
      <c r="D36" s="79"/>
      <c r="E36" s="78" t="s">
        <v>32</v>
      </c>
      <c r="F36" s="78" t="s">
        <v>4</v>
      </c>
      <c r="G36" s="79" t="s">
        <v>98</v>
      </c>
      <c r="H36" s="79"/>
    </row>
    <row r="37" spans="1:15" ht="20.25" x14ac:dyDescent="0.25">
      <c r="A37" s="78" t="s">
        <v>31</v>
      </c>
      <c r="B37" s="78"/>
      <c r="C37" s="79" t="s">
        <v>99</v>
      </c>
      <c r="D37" s="79"/>
      <c r="E37" s="78" t="s">
        <v>21</v>
      </c>
      <c r="F37" s="78" t="s">
        <v>4</v>
      </c>
      <c r="G37" s="79" t="s">
        <v>100</v>
      </c>
      <c r="H37" s="79"/>
    </row>
    <row r="38" spans="1:15" ht="20.25" x14ac:dyDescent="0.25">
      <c r="A38" s="99" t="s">
        <v>0</v>
      </c>
      <c r="B38" s="99"/>
      <c r="C38" s="99"/>
      <c r="D38" s="99"/>
      <c r="E38" s="99"/>
      <c r="F38" s="99"/>
      <c r="G38" s="99"/>
      <c r="H38" s="99"/>
    </row>
    <row r="39" spans="1:15" ht="20.25" x14ac:dyDescent="0.25">
      <c r="A39" s="82" t="s">
        <v>0</v>
      </c>
      <c r="B39" s="82"/>
      <c r="C39" s="82" t="s">
        <v>225</v>
      </c>
      <c r="D39" s="82"/>
      <c r="E39" s="82"/>
      <c r="F39" s="82" t="s">
        <v>7</v>
      </c>
      <c r="G39" s="82"/>
      <c r="H39" s="82"/>
      <c r="J39" s="80" t="s">
        <v>1</v>
      </c>
      <c r="K39" s="81"/>
      <c r="L39" s="2" t="s">
        <v>6</v>
      </c>
      <c r="M39" s="80" t="s">
        <v>2</v>
      </c>
      <c r="N39" s="81"/>
      <c r="O39" s="2" t="s">
        <v>3</v>
      </c>
    </row>
    <row r="40" spans="1:15" ht="20.25" x14ac:dyDescent="0.25">
      <c r="A40" s="84" t="s">
        <v>2</v>
      </c>
      <c r="B40" s="84"/>
      <c r="C40" s="83" t="s">
        <v>318</v>
      </c>
      <c r="D40" s="83"/>
      <c r="E40" s="83"/>
      <c r="F40" s="83" t="s">
        <v>319</v>
      </c>
      <c r="G40" s="83"/>
      <c r="H40" s="83"/>
    </row>
    <row r="41" spans="1:15" ht="20.25" x14ac:dyDescent="0.25">
      <c r="A41" s="84" t="s">
        <v>3</v>
      </c>
      <c r="B41" s="84"/>
      <c r="C41" s="83" t="s">
        <v>315</v>
      </c>
      <c r="D41" s="83"/>
      <c r="E41" s="83"/>
      <c r="F41" s="83" t="s">
        <v>317</v>
      </c>
      <c r="G41" s="83"/>
      <c r="H41" s="83"/>
    </row>
    <row r="42" spans="1:15" ht="20.25" x14ac:dyDescent="0.25">
      <c r="A42" s="84" t="s">
        <v>1</v>
      </c>
      <c r="B42" s="84"/>
      <c r="C42" s="83" t="s">
        <v>318</v>
      </c>
      <c r="D42" s="83"/>
      <c r="E42" s="83"/>
      <c r="F42" s="83" t="s">
        <v>319</v>
      </c>
      <c r="G42" s="83"/>
      <c r="H42" s="83"/>
    </row>
    <row r="43" spans="1:15" ht="20.25" x14ac:dyDescent="0.25">
      <c r="A43" s="84" t="s">
        <v>6</v>
      </c>
      <c r="B43" s="84"/>
      <c r="C43" s="83" t="s">
        <v>314</v>
      </c>
      <c r="D43" s="83"/>
      <c r="E43" s="83"/>
      <c r="F43" s="83" t="s">
        <v>316</v>
      </c>
      <c r="G43" s="83"/>
      <c r="H43" s="83"/>
    </row>
    <row r="44" spans="1:15" ht="42.75" customHeight="1" x14ac:dyDescent="0.25">
      <c r="A44" s="78" t="s">
        <v>226</v>
      </c>
      <c r="B44" s="78"/>
      <c r="C44" s="79" t="s">
        <v>96</v>
      </c>
      <c r="D44" s="79"/>
      <c r="E44" s="79"/>
      <c r="F44" s="79"/>
      <c r="G44" s="79"/>
      <c r="H44" s="79"/>
    </row>
    <row r="45" spans="1:15" ht="20.25" x14ac:dyDescent="0.25">
      <c r="A45" s="99" t="s">
        <v>57</v>
      </c>
      <c r="B45" s="99"/>
      <c r="C45" s="99"/>
      <c r="D45" s="99"/>
      <c r="E45" s="99"/>
      <c r="F45" s="99"/>
      <c r="G45" s="99"/>
      <c r="H45" s="99"/>
    </row>
    <row r="46" spans="1:15" ht="21" customHeight="1" x14ac:dyDescent="0.25">
      <c r="A46" s="82" t="s">
        <v>58</v>
      </c>
      <c r="B46" s="82"/>
      <c r="C46" s="2" t="s">
        <v>59</v>
      </c>
      <c r="D46" s="82" t="s">
        <v>145</v>
      </c>
      <c r="E46" s="82"/>
      <c r="F46" s="82"/>
      <c r="G46" s="82" t="s">
        <v>60</v>
      </c>
      <c r="H46" s="82"/>
    </row>
    <row r="47" spans="1:15" ht="20.25" x14ac:dyDescent="0.25">
      <c r="A47" s="140" t="s">
        <v>334</v>
      </c>
      <c r="B47" s="140"/>
      <c r="C47" s="33" t="s">
        <v>95</v>
      </c>
      <c r="D47" s="79" t="s">
        <v>320</v>
      </c>
      <c r="E47" s="79"/>
      <c r="F47" s="79"/>
      <c r="G47" s="79" t="s">
        <v>320</v>
      </c>
      <c r="H47" s="79"/>
    </row>
    <row r="48" spans="1:15" ht="20.25" x14ac:dyDescent="0.25">
      <c r="A48" s="99" t="s">
        <v>61</v>
      </c>
      <c r="B48" s="99"/>
      <c r="C48" s="99"/>
      <c r="D48" s="99"/>
      <c r="E48" s="99"/>
      <c r="F48" s="99"/>
      <c r="G48" s="99"/>
      <c r="H48" s="99"/>
    </row>
    <row r="49" spans="1:14" ht="42.75" customHeight="1" x14ac:dyDescent="0.25">
      <c r="A49" s="78" t="s">
        <v>62</v>
      </c>
      <c r="B49" s="78" t="s">
        <v>4</v>
      </c>
      <c r="C49" s="178" t="s">
        <v>96</v>
      </c>
      <c r="D49" s="178"/>
      <c r="E49" s="178"/>
      <c r="F49" s="178"/>
      <c r="G49" s="178"/>
      <c r="H49" s="178"/>
    </row>
    <row r="50" spans="1:14" ht="44.25" customHeight="1" x14ac:dyDescent="0.25">
      <c r="A50" s="78" t="s">
        <v>63</v>
      </c>
      <c r="B50" s="78" t="s">
        <v>4</v>
      </c>
      <c r="C50" s="79" t="s">
        <v>337</v>
      </c>
      <c r="D50" s="79"/>
      <c r="E50" s="79"/>
      <c r="F50" s="79"/>
      <c r="G50" s="50" t="s">
        <v>227</v>
      </c>
      <c r="H50" s="77">
        <v>45016</v>
      </c>
    </row>
    <row r="51" spans="1:14" ht="44.25" customHeight="1" x14ac:dyDescent="0.25">
      <c r="A51" s="78" t="s">
        <v>64</v>
      </c>
      <c r="B51" s="78" t="s">
        <v>4</v>
      </c>
      <c r="C51" s="79" t="s">
        <v>336</v>
      </c>
      <c r="D51" s="79"/>
      <c r="E51" s="79"/>
      <c r="F51" s="79"/>
      <c r="G51" s="50" t="s">
        <v>227</v>
      </c>
      <c r="H51" s="77">
        <v>45016</v>
      </c>
    </row>
    <row r="52" spans="1:14" ht="20.25" x14ac:dyDescent="0.25">
      <c r="A52" s="78" t="s">
        <v>339</v>
      </c>
      <c r="B52" s="78"/>
      <c r="C52" s="79" t="s">
        <v>338</v>
      </c>
      <c r="D52" s="79"/>
      <c r="E52" s="79"/>
      <c r="F52" s="79"/>
      <c r="G52" s="50" t="s">
        <v>227</v>
      </c>
      <c r="H52" s="77">
        <v>45016</v>
      </c>
    </row>
    <row r="53" spans="1:14" ht="20.25" x14ac:dyDescent="0.25">
      <c r="A53" s="78"/>
      <c r="B53" s="78"/>
      <c r="C53" s="94" t="s">
        <v>355</v>
      </c>
      <c r="D53" s="92"/>
      <c r="E53" s="92"/>
      <c r="F53" s="92"/>
      <c r="G53" s="92"/>
      <c r="H53" s="93"/>
    </row>
    <row r="54" spans="1:14" ht="46.5" hidden="1" customHeight="1" x14ac:dyDescent="0.25">
      <c r="A54" s="78" t="s">
        <v>65</v>
      </c>
      <c r="B54" s="78" t="s">
        <v>4</v>
      </c>
      <c r="C54" s="79"/>
      <c r="D54" s="79"/>
      <c r="E54" s="79"/>
      <c r="F54" s="79"/>
      <c r="G54" s="50" t="s">
        <v>228</v>
      </c>
      <c r="H54" s="35"/>
    </row>
    <row r="55" spans="1:14" ht="45" hidden="1" customHeight="1" x14ac:dyDescent="0.25">
      <c r="A55" s="78" t="s">
        <v>67</v>
      </c>
      <c r="B55" s="78" t="s">
        <v>4</v>
      </c>
      <c r="C55" s="79"/>
      <c r="D55" s="79"/>
      <c r="E55" s="79"/>
      <c r="F55" s="79"/>
      <c r="G55" s="50" t="s">
        <v>228</v>
      </c>
      <c r="H55" s="35"/>
    </row>
    <row r="56" spans="1:14" ht="46.5" hidden="1" customHeight="1" x14ac:dyDescent="0.25">
      <c r="A56" s="78" t="s">
        <v>66</v>
      </c>
      <c r="B56" s="78" t="s">
        <v>4</v>
      </c>
      <c r="C56" s="79"/>
      <c r="D56" s="79"/>
      <c r="E56" s="79"/>
      <c r="F56" s="79"/>
      <c r="G56" s="50" t="s">
        <v>228</v>
      </c>
      <c r="H56" s="35"/>
      <c r="N56" s="71" t="s">
        <v>298</v>
      </c>
    </row>
    <row r="57" spans="1:14" ht="45" hidden="1" customHeight="1" x14ac:dyDescent="0.25">
      <c r="A57" s="78" t="s">
        <v>68</v>
      </c>
      <c r="B57" s="78" t="s">
        <v>4</v>
      </c>
      <c r="C57" s="79"/>
      <c r="D57" s="79"/>
      <c r="E57" s="79"/>
      <c r="F57" s="79"/>
      <c r="G57" s="50" t="s">
        <v>228</v>
      </c>
      <c r="H57" s="35"/>
    </row>
    <row r="58" spans="1:14" ht="20.25" x14ac:dyDescent="0.25">
      <c r="A58" s="99" t="s">
        <v>69</v>
      </c>
      <c r="B58" s="99"/>
      <c r="C58" s="99"/>
      <c r="D58" s="99"/>
      <c r="E58" s="99"/>
      <c r="F58" s="99"/>
      <c r="G58" s="99"/>
      <c r="H58" s="99"/>
    </row>
    <row r="59" spans="1:14" ht="20.25" customHeight="1" x14ac:dyDescent="0.25">
      <c r="A59" s="161" t="str">
        <f>CONCATENATE((IF(OR(A47="",A47="NA"),"",A47)),"= ",(IF(OR(D47="",D47="NA"),"",D47)),".")</f>
        <v>Building No. 10 (Wing B)= G + 1st to 23rd Floor.</v>
      </c>
      <c r="B59" s="161"/>
      <c r="C59" s="161"/>
      <c r="D59" s="30" t="s">
        <v>115</v>
      </c>
      <c r="E59" s="160" t="s">
        <v>102</v>
      </c>
      <c r="F59" s="160"/>
      <c r="G59" s="30" t="s">
        <v>116</v>
      </c>
      <c r="H59" s="30" t="s">
        <v>117</v>
      </c>
    </row>
    <row r="60" spans="1:14" ht="21" thickBot="1" x14ac:dyDescent="0.3">
      <c r="A60" s="161"/>
      <c r="B60" s="161"/>
      <c r="C60" s="161"/>
      <c r="D60" s="72">
        <f>IF(AND(ISNUMBER(SEARCH("1B",A59))),1,IF(AND(ISNUMBER(SEARCH("2B",A59))),2,IF(AND(ISNUMBER(SEARCH("3B",A59))),3,IF(AND(ISNUMBER(SEARCH("4B",A59))),4,IF(ISNUMBER(SEARCH("5B",A59)),5,0)))))</f>
        <v>0</v>
      </c>
      <c r="E60" s="160">
        <v>1</v>
      </c>
      <c r="F60" s="160"/>
      <c r="G60" s="72">
        <v>0</v>
      </c>
      <c r="H60" s="30">
        <f ca="1">--TRIM(RIGHT(SUBSTITUTE(LEFT(A59,_xlfn.AGGREGATE(16,6,FIND({0,1,2,3,4,5,6,7,8,9},A59,ROW(INDIRECT("1:"&amp;LEN(A59)))),1))," ",REPT(" ",LEN(A59))),LEN(A59)))</f>
        <v>23</v>
      </c>
    </row>
    <row r="61" spans="1:14" ht="20.25" customHeight="1" x14ac:dyDescent="0.3">
      <c r="A61" s="182" t="s">
        <v>119</v>
      </c>
      <c r="B61" s="182"/>
      <c r="C61" s="183" t="s">
        <v>129</v>
      </c>
      <c r="D61" s="183" t="s">
        <v>130</v>
      </c>
      <c r="E61" s="182" t="s">
        <v>120</v>
      </c>
      <c r="F61" s="182"/>
      <c r="G61" s="29" t="s">
        <v>118</v>
      </c>
      <c r="H61" s="29"/>
      <c r="I61" s="16"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","0")))&amp;(IF(C63=0%,"",IF(C63=J66,"Footing work is process",IF(C63=J67,"Footing work Completed",IF(C63=J68,"1st Basement Completed",IF(C63=J69,"1st &amp; 2nd Basement Completed",IF(C63=J70,"1st to 3rd Basement Completed",IF(C63=J71,"1st to 4th Basement Completed",IF(C63=J72,"Plinth work is process",IF(C63=J73,"Plinth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Plinth work completed, RCC upto 10 Slab, Brickwork upto 7 Floor, Internal Plaster upto 3 Floor Completed</v>
      </c>
      <c r="J61" s="18"/>
    </row>
    <row r="62" spans="1:14" ht="20.25" customHeight="1" x14ac:dyDescent="0.3">
      <c r="A62" s="184" t="s">
        <v>132</v>
      </c>
      <c r="B62" s="184"/>
      <c r="C62" s="185">
        <f ca="1">J65</f>
        <v>23</v>
      </c>
      <c r="D62" s="186">
        <f ca="1">((100/H60)*C62)/100</f>
        <v>1</v>
      </c>
      <c r="E62" s="187">
        <f ca="1">(((C62/H60*10)+(C63/H60*15)+(25/(E60+G60+H60)*C64)+(5/(H60)*C65)+(2.5/(H60)*C66)+(2.5/(H60)*C67)+(5/H60*C68)+(10/H60*C69)+(2.5/H60*C70)+(2.5/H60*C71)+(10/H60*C72)+(10/H60*C73))/100)</f>
        <v>0.37264492753623196</v>
      </c>
      <c r="F62" s="188"/>
      <c r="G62" s="88" t="str">
        <f ca="1">I61</f>
        <v>Excavation work Completed. Plinth work completed, RCC upto 10 Slab, Brickwork upto 7 Floor, Internal Plaster upto 3 Floor Completed</v>
      </c>
      <c r="H62" s="88"/>
      <c r="I62" s="17" t="s">
        <v>121</v>
      </c>
      <c r="J62" s="18"/>
    </row>
    <row r="63" spans="1:14" ht="20.25" x14ac:dyDescent="0.3">
      <c r="A63" s="184" t="s">
        <v>103</v>
      </c>
      <c r="B63" s="184"/>
      <c r="C63" s="185">
        <f ca="1">J73</f>
        <v>23</v>
      </c>
      <c r="D63" s="186">
        <f ca="1">((100/H60)*C63)/100</f>
        <v>1</v>
      </c>
      <c r="E63" s="189"/>
      <c r="F63" s="190"/>
      <c r="G63" s="88"/>
      <c r="H63" s="88"/>
      <c r="I63" s="20" t="s">
        <v>131</v>
      </c>
      <c r="J63" s="19">
        <f ca="1">H60*25%</f>
        <v>5.75</v>
      </c>
    </row>
    <row r="64" spans="1:14" ht="21" customHeight="1" x14ac:dyDescent="0.3">
      <c r="A64" s="184" t="s">
        <v>133</v>
      </c>
      <c r="B64" s="184"/>
      <c r="C64" s="191">
        <v>10</v>
      </c>
      <c r="D64" s="186">
        <f ca="1">((100/(E60+G60+H60))*C64)/100</f>
        <v>0.41666666666666674</v>
      </c>
      <c r="E64" s="189"/>
      <c r="F64" s="190"/>
      <c r="G64" s="88"/>
      <c r="H64" s="88"/>
      <c r="I64" s="20" t="s">
        <v>122</v>
      </c>
      <c r="J64" s="24">
        <f ca="1">H60*50%</f>
        <v>11.5</v>
      </c>
    </row>
    <row r="65" spans="1:11" ht="21" customHeight="1" x14ac:dyDescent="0.3">
      <c r="A65" s="184" t="s">
        <v>134</v>
      </c>
      <c r="B65" s="184"/>
      <c r="C65" s="191">
        <v>7</v>
      </c>
      <c r="D65" s="186">
        <f ca="1">((100/H60)*C65)/100</f>
        <v>0.30434782608695649</v>
      </c>
      <c r="E65" s="189"/>
      <c r="F65" s="190"/>
      <c r="G65" s="88"/>
      <c r="H65" s="88"/>
      <c r="I65" s="20" t="s">
        <v>123</v>
      </c>
      <c r="J65" s="24">
        <f ca="1">H60</f>
        <v>23</v>
      </c>
    </row>
    <row r="66" spans="1:11" ht="21" customHeight="1" x14ac:dyDescent="0.35">
      <c r="A66" s="192" t="s">
        <v>135</v>
      </c>
      <c r="B66" s="193"/>
      <c r="C66" s="191">
        <v>3</v>
      </c>
      <c r="D66" s="186">
        <f ca="1">((100/H60)*C66)/100</f>
        <v>0.13043478260869565</v>
      </c>
      <c r="E66" s="189"/>
      <c r="F66" s="190"/>
      <c r="G66" s="88"/>
      <c r="H66" s="88"/>
      <c r="I66" s="20" t="s">
        <v>124</v>
      </c>
      <c r="J66" s="25">
        <f ca="1">(IF(D60&gt;1,(H60/(D60+2)),H60*0.2))</f>
        <v>4.6000000000000005</v>
      </c>
    </row>
    <row r="67" spans="1:11" ht="21" customHeight="1" x14ac:dyDescent="0.35">
      <c r="A67" s="192" t="s">
        <v>166</v>
      </c>
      <c r="B67" s="193"/>
      <c r="C67" s="191">
        <v>0</v>
      </c>
      <c r="D67" s="186">
        <f ca="1">((100/H60)*C67)/100</f>
        <v>0</v>
      </c>
      <c r="E67" s="189"/>
      <c r="F67" s="190"/>
      <c r="G67" s="88"/>
      <c r="H67" s="88"/>
      <c r="I67" s="20" t="s">
        <v>125</v>
      </c>
      <c r="J67" s="25">
        <f ca="1">(IF(D60&gt;1,(H60/(D60+2)+J66),H60*0.2+J66))</f>
        <v>9.2000000000000011</v>
      </c>
    </row>
    <row r="68" spans="1:11" ht="21" x14ac:dyDescent="0.35">
      <c r="A68" s="192" t="s">
        <v>163</v>
      </c>
      <c r="B68" s="193"/>
      <c r="C68" s="191">
        <v>0</v>
      </c>
      <c r="D68" s="186">
        <f ca="1">((100/(H60))*C68)/100</f>
        <v>0</v>
      </c>
      <c r="E68" s="189"/>
      <c r="F68" s="190"/>
      <c r="G68" s="88"/>
      <c r="H68" s="88"/>
      <c r="I68" s="20" t="s">
        <v>136</v>
      </c>
      <c r="J68" s="25">
        <f>(IF(D60&gt;1,(H60/(D60+2)+J67),0))</f>
        <v>0</v>
      </c>
    </row>
    <row r="69" spans="1:11" ht="21" x14ac:dyDescent="0.35">
      <c r="A69" s="184" t="s">
        <v>138</v>
      </c>
      <c r="B69" s="184"/>
      <c r="C69" s="191">
        <v>0</v>
      </c>
      <c r="D69" s="186">
        <f ca="1">((100/(H60))*C69)/100</f>
        <v>0</v>
      </c>
      <c r="E69" s="189"/>
      <c r="F69" s="190"/>
      <c r="G69" s="88"/>
      <c r="H69" s="88"/>
      <c r="I69" s="20" t="s">
        <v>137</v>
      </c>
      <c r="J69" s="25">
        <f>(IF(D60&gt;2,(H60/(D60+2)+J68),0))</f>
        <v>0</v>
      </c>
    </row>
    <row r="70" spans="1:11" ht="21" customHeight="1" x14ac:dyDescent="0.35">
      <c r="A70" s="184" t="s">
        <v>165</v>
      </c>
      <c r="B70" s="184"/>
      <c r="C70" s="191">
        <v>0</v>
      </c>
      <c r="D70" s="186">
        <f ca="1">((100/H60)*C70)/100</f>
        <v>0</v>
      </c>
      <c r="E70" s="189"/>
      <c r="F70" s="190"/>
      <c r="G70" s="88"/>
      <c r="H70" s="88"/>
      <c r="I70" s="20" t="s">
        <v>139</v>
      </c>
      <c r="J70" s="26">
        <f>(IF(D60&gt;3,(H60/(D60+2)+J69),0))</f>
        <v>0</v>
      </c>
    </row>
    <row r="71" spans="1:11" ht="21" x14ac:dyDescent="0.35">
      <c r="A71" s="184" t="s">
        <v>164</v>
      </c>
      <c r="B71" s="184"/>
      <c r="C71" s="191">
        <v>0</v>
      </c>
      <c r="D71" s="186">
        <f ca="1">((100/H60)*C71)/100</f>
        <v>0</v>
      </c>
      <c r="E71" s="189"/>
      <c r="F71" s="190"/>
      <c r="G71" s="88"/>
      <c r="H71" s="88"/>
      <c r="I71" s="20" t="s">
        <v>140</v>
      </c>
      <c r="J71" s="25">
        <f>(IF(D60&gt;4,(H60/(D60+2)+J70),0))</f>
        <v>0</v>
      </c>
    </row>
    <row r="72" spans="1:11" ht="21" x14ac:dyDescent="0.35">
      <c r="A72" s="184" t="s">
        <v>141</v>
      </c>
      <c r="B72" s="184"/>
      <c r="C72" s="191">
        <v>0</v>
      </c>
      <c r="D72" s="186">
        <f ca="1">((100/(H60))*C72)/100</f>
        <v>0</v>
      </c>
      <c r="E72" s="189"/>
      <c r="F72" s="190"/>
      <c r="G72" s="88"/>
      <c r="H72" s="88"/>
      <c r="I72" s="20" t="s">
        <v>126</v>
      </c>
      <c r="J72" s="25">
        <f ca="1">(IF(D60=1,(H60/(D60+3)+J67),IF(D60=0,(H60*0.3+J67),IF(D60&gt;1,0))))</f>
        <v>16.100000000000001</v>
      </c>
    </row>
    <row r="73" spans="1:11" ht="21.75" thickBot="1" x14ac:dyDescent="0.4">
      <c r="A73" s="184" t="s">
        <v>142</v>
      </c>
      <c r="B73" s="184"/>
      <c r="C73" s="191">
        <v>0</v>
      </c>
      <c r="D73" s="186">
        <f ca="1">((100/(H60))*C73)/100</f>
        <v>0</v>
      </c>
      <c r="E73" s="194"/>
      <c r="F73" s="195"/>
      <c r="G73" s="88"/>
      <c r="H73" s="88"/>
      <c r="I73" s="22" t="s">
        <v>127</v>
      </c>
      <c r="J73" s="27">
        <f ca="1">(IF(D60&gt;1.5,(H60/(D60+2)+J67+MAX(0,J68-J67)+MAX(0,J69-J68)+MAX(0,J70-J69)+MAX(0,J71-J70)+MAX(0,J72-J71)),IF(D60=1,(H60/(D60+3)+J72),IF(D60=0,H60*0.3+J72))))</f>
        <v>23</v>
      </c>
    </row>
    <row r="74" spans="1:11" ht="36.75" customHeight="1" x14ac:dyDescent="0.3">
      <c r="A74" s="142" t="s">
        <v>128</v>
      </c>
      <c r="B74" s="143"/>
      <c r="C74" s="143"/>
      <c r="D74" s="143"/>
      <c r="E74" s="143"/>
      <c r="F74" s="143"/>
      <c r="G74" s="158">
        <f ca="1">AVERAGE(E62)</f>
        <v>0.37264492753623196</v>
      </c>
      <c r="H74" s="159"/>
      <c r="K74" s="21"/>
    </row>
    <row r="75" spans="1:11" ht="20.25" x14ac:dyDescent="0.25">
      <c r="A75" s="104" t="s">
        <v>73</v>
      </c>
      <c r="B75" s="105"/>
      <c r="C75" s="105"/>
      <c r="D75" s="105"/>
      <c r="E75" s="105"/>
      <c r="F75" s="105"/>
      <c r="G75" s="105"/>
      <c r="H75" s="106"/>
    </row>
    <row r="76" spans="1:11" ht="54.75" customHeight="1" x14ac:dyDescent="0.3">
      <c r="A76" s="111" t="s">
        <v>74</v>
      </c>
      <c r="B76" s="112"/>
      <c r="C76" s="113" t="s">
        <v>107</v>
      </c>
      <c r="D76" s="114"/>
      <c r="E76" s="111" t="s">
        <v>143</v>
      </c>
      <c r="F76" s="112" t="s">
        <v>4</v>
      </c>
      <c r="G76" s="107" t="s">
        <v>156</v>
      </c>
      <c r="H76" s="107"/>
      <c r="I76" s="20"/>
      <c r="J76" s="21"/>
    </row>
    <row r="77" spans="1:11" ht="44.25" customHeight="1" x14ac:dyDescent="0.25">
      <c r="A77" s="111" t="s">
        <v>153</v>
      </c>
      <c r="B77" s="112"/>
      <c r="C77" s="113" t="s">
        <v>359</v>
      </c>
      <c r="D77" s="114"/>
      <c r="E77" s="111" t="s">
        <v>154</v>
      </c>
      <c r="F77" s="112" t="s">
        <v>4</v>
      </c>
      <c r="G77" s="79" t="s">
        <v>144</v>
      </c>
      <c r="H77" s="79"/>
    </row>
    <row r="78" spans="1:11" ht="20.25" x14ac:dyDescent="0.25">
      <c r="A78" s="111" t="s">
        <v>75</v>
      </c>
      <c r="B78" s="112"/>
      <c r="C78" s="196">
        <v>300000</v>
      </c>
      <c r="D78" s="197"/>
      <c r="E78" s="111" t="s">
        <v>101</v>
      </c>
      <c r="F78" s="112" t="s">
        <v>4</v>
      </c>
      <c r="G78" s="113" t="s">
        <v>108</v>
      </c>
      <c r="H78" s="114"/>
    </row>
    <row r="79" spans="1:11" ht="20.25" x14ac:dyDescent="0.25">
      <c r="A79" s="104" t="s">
        <v>72</v>
      </c>
      <c r="B79" s="105"/>
      <c r="C79" s="105"/>
      <c r="D79" s="105"/>
      <c r="E79" s="105"/>
      <c r="F79" s="105"/>
      <c r="G79" s="105"/>
      <c r="H79" s="106"/>
    </row>
    <row r="80" spans="1:11" ht="20.25" customHeight="1" x14ac:dyDescent="0.25">
      <c r="A80" s="111" t="s">
        <v>8</v>
      </c>
      <c r="B80" s="115"/>
      <c r="C80" s="115"/>
      <c r="D80" s="115"/>
      <c r="E80" s="115"/>
      <c r="F80" s="112"/>
      <c r="G80" s="179">
        <f>10130/10.764</f>
        <v>941.09996283909334</v>
      </c>
      <c r="H80" s="180"/>
    </row>
    <row r="81" spans="1:150 16226:16383" ht="20.25" customHeight="1" x14ac:dyDescent="0.25">
      <c r="A81" s="111" t="s">
        <v>28</v>
      </c>
      <c r="B81" s="115"/>
      <c r="C81" s="115"/>
      <c r="D81" s="115"/>
      <c r="E81" s="115"/>
      <c r="F81" s="112" t="s">
        <v>4</v>
      </c>
      <c r="G81" s="181">
        <f>39800/10.764</f>
        <v>3697.51021924935</v>
      </c>
      <c r="H81" s="181"/>
    </row>
    <row r="82" spans="1:150 16226:16383" ht="20.25" customHeight="1" x14ac:dyDescent="0.25">
      <c r="A82" s="111" t="s">
        <v>109</v>
      </c>
      <c r="B82" s="115"/>
      <c r="C82" s="115"/>
      <c r="D82" s="115"/>
      <c r="E82" s="115"/>
      <c r="F82" s="112" t="s">
        <v>4</v>
      </c>
      <c r="G82" s="181">
        <f>G80*0.8</f>
        <v>752.87997027127471</v>
      </c>
      <c r="H82" s="181"/>
    </row>
    <row r="83" spans="1:150 16226:16383" ht="20.25" x14ac:dyDescent="0.25">
      <c r="A83" s="133" t="s">
        <v>239</v>
      </c>
      <c r="B83" s="134"/>
      <c r="C83" s="134"/>
      <c r="D83" s="134"/>
      <c r="E83" s="134"/>
      <c r="F83" s="134"/>
      <c r="G83" s="134"/>
      <c r="H83" s="135"/>
    </row>
    <row r="84" spans="1:150 16226:16383" s="3" customFormat="1" ht="20.25" x14ac:dyDescent="0.25">
      <c r="A84" s="100" t="s">
        <v>150</v>
      </c>
      <c r="B84" s="101"/>
      <c r="C84" s="100" t="s">
        <v>151</v>
      </c>
      <c r="D84" s="101"/>
      <c r="E84" s="100" t="s">
        <v>149</v>
      </c>
      <c r="F84" s="101"/>
      <c r="G84" s="100" t="s">
        <v>161</v>
      </c>
      <c r="H84" s="10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3" customFormat="1" ht="20.25" x14ac:dyDescent="0.25">
      <c r="A85" s="102" t="s">
        <v>334</v>
      </c>
      <c r="B85" s="103"/>
      <c r="C85" s="100" t="s">
        <v>95</v>
      </c>
      <c r="D85" s="101"/>
      <c r="E85" s="102">
        <f>COUNT(F97:F108)</f>
        <v>12</v>
      </c>
      <c r="F85" s="103"/>
      <c r="G85" s="102">
        <f>SUM(H97:H108)</f>
        <v>2391.9760799999999</v>
      </c>
      <c r="H85" s="103"/>
      <c r="I85" s="76" t="s">
        <v>349</v>
      </c>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s="3" customFormat="1" ht="20.25" x14ac:dyDescent="0.25">
      <c r="A86" s="100" t="s">
        <v>152</v>
      </c>
      <c r="B86" s="101"/>
      <c r="C86" s="100" t="s">
        <v>95</v>
      </c>
      <c r="D86" s="101"/>
      <c r="E86" s="100">
        <f>SUM(E85)</f>
        <v>12</v>
      </c>
      <c r="F86" s="101"/>
      <c r="G86" s="100">
        <f>SUM(G85)</f>
        <v>2391.9760799999999</v>
      </c>
      <c r="H86" s="10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ht="20.25" x14ac:dyDescent="0.25">
      <c r="A87" s="133" t="s">
        <v>229</v>
      </c>
      <c r="B87" s="134"/>
      <c r="C87" s="134"/>
      <c r="D87" s="134"/>
      <c r="E87" s="134"/>
      <c r="F87" s="134"/>
      <c r="G87" s="134"/>
      <c r="H87" s="135"/>
    </row>
    <row r="88" spans="1:150 16226:16383" s="3" customFormat="1" ht="20.25" x14ac:dyDescent="0.25">
      <c r="A88" s="100" t="s">
        <v>150</v>
      </c>
      <c r="B88" s="101"/>
      <c r="C88" s="100" t="s">
        <v>151</v>
      </c>
      <c r="D88" s="101"/>
      <c r="E88" s="100" t="s">
        <v>149</v>
      </c>
      <c r="F88" s="101"/>
      <c r="G88" s="100" t="s">
        <v>161</v>
      </c>
      <c r="H88" s="10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3" customFormat="1" ht="20.25" x14ac:dyDescent="0.25">
      <c r="A89" s="102" t="s">
        <v>334</v>
      </c>
      <c r="B89" s="103"/>
      <c r="C89" s="100" t="s">
        <v>95</v>
      </c>
      <c r="D89" s="101"/>
      <c r="E89" s="102">
        <f>COUNT(F111,F115)+COUNT(F118:F124)+COUNT(F126:F132)*18+COUNT(F134:F138,F140:F141)*3</f>
        <v>156</v>
      </c>
      <c r="F89" s="103"/>
      <c r="G89" s="102">
        <f>SUM(H111,H115)+SUM(H118:H124)+SUM(H126:H132)*18+SUM(H134:H138,H140:H141)*3</f>
        <v>100743.26301</v>
      </c>
      <c r="H89" s="103"/>
      <c r="I89" s="76" t="s">
        <v>349</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3" customFormat="1" ht="20.25" x14ac:dyDescent="0.25">
      <c r="A90" s="100" t="s">
        <v>152</v>
      </c>
      <c r="B90" s="101"/>
      <c r="C90" s="100" t="s">
        <v>95</v>
      </c>
      <c r="D90" s="101"/>
      <c r="E90" s="100">
        <f>SUM(E89)</f>
        <v>156</v>
      </c>
      <c r="F90" s="101"/>
      <c r="G90" s="100">
        <f>SUM(G89)</f>
        <v>100743.26301</v>
      </c>
      <c r="H90" s="10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3" customFormat="1" ht="20.25" x14ac:dyDescent="0.25">
      <c r="A91" s="100" t="s">
        <v>240</v>
      </c>
      <c r="B91" s="101"/>
      <c r="C91" s="100" t="s">
        <v>95</v>
      </c>
      <c r="D91" s="101"/>
      <c r="E91" s="100">
        <f>E86+E90</f>
        <v>168</v>
      </c>
      <c r="F91" s="101"/>
      <c r="G91" s="100">
        <f>G86+G90</f>
        <v>103135.23908999999</v>
      </c>
      <c r="H91" s="10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ht="20.25" x14ac:dyDescent="0.25">
      <c r="A92" s="144" t="s">
        <v>148</v>
      </c>
      <c r="B92" s="145"/>
      <c r="C92" s="145"/>
      <c r="D92" s="145"/>
      <c r="E92" s="145"/>
      <c r="F92" s="145"/>
      <c r="G92" s="145"/>
      <c r="H92" s="135"/>
    </row>
    <row r="93" spans="1:150 16226:16383" ht="86.25" customHeight="1" x14ac:dyDescent="0.25">
      <c r="A93" s="51" t="s">
        <v>230</v>
      </c>
      <c r="B93" s="31" t="s">
        <v>231</v>
      </c>
      <c r="C93" s="32" t="s">
        <v>232</v>
      </c>
      <c r="D93" s="31" t="s">
        <v>89</v>
      </c>
      <c r="E93" s="31" t="s">
        <v>162</v>
      </c>
      <c r="F93" s="32" t="s">
        <v>328</v>
      </c>
      <c r="G93" s="31" t="s">
        <v>91</v>
      </c>
      <c r="H93" s="31" t="s">
        <v>90</v>
      </c>
      <c r="I93" s="1">
        <f>10.764</f>
        <v>10.763999999999999</v>
      </c>
    </row>
    <row r="94" spans="1:150 16226:16383" s="3" customFormat="1" ht="20.25" x14ac:dyDescent="0.25">
      <c r="A94" s="108" t="s">
        <v>321</v>
      </c>
      <c r="B94" s="109"/>
      <c r="C94" s="109"/>
      <c r="D94" s="109"/>
      <c r="E94" s="109"/>
      <c r="F94" s="109"/>
      <c r="G94" s="109"/>
      <c r="H94" s="1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0.25" x14ac:dyDescent="0.25">
      <c r="A95" s="108" t="s">
        <v>322</v>
      </c>
      <c r="B95" s="109"/>
      <c r="C95" s="109"/>
      <c r="D95" s="109"/>
      <c r="E95" s="109"/>
      <c r="F95" s="109"/>
      <c r="G95" s="109"/>
      <c r="H95" s="1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x14ac:dyDescent="0.25">
      <c r="A96" s="108" t="s">
        <v>356</v>
      </c>
      <c r="B96" s="109"/>
      <c r="C96" s="109"/>
      <c r="D96" s="109"/>
      <c r="E96" s="109"/>
      <c r="F96" s="109"/>
      <c r="G96" s="109"/>
      <c r="H96" s="1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0.25" x14ac:dyDescent="0.25">
      <c r="A97" s="95">
        <v>1</v>
      </c>
      <c r="B97" s="95"/>
      <c r="C97" s="52" t="s">
        <v>323</v>
      </c>
      <c r="D97" s="52" t="s">
        <v>324</v>
      </c>
      <c r="E97" s="74">
        <f>(18.75)*(10.764)</f>
        <v>201.82499999999999</v>
      </c>
      <c r="F97" s="74">
        <f t="shared" ref="F97:G108" si="0">0*(10.764)</f>
        <v>0</v>
      </c>
      <c r="G97" s="74">
        <f t="shared" si="0"/>
        <v>0</v>
      </c>
      <c r="H97" s="6">
        <f>E97+F97+(IF(G97&lt;101,G97,IF(G97&lt;201,G97/2,IF(G97&lt;=301,G97/3,G97/4))))</f>
        <v>201.82499999999999</v>
      </c>
      <c r="I97" s="1">
        <f>3.05*4.65+1.9*1.35+1*1.2</f>
        <v>17.947500000000002</v>
      </c>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x14ac:dyDescent="0.25">
      <c r="A98" s="138">
        <f>A97+1</f>
        <v>2</v>
      </c>
      <c r="B98" s="139"/>
      <c r="C98" s="52" t="s">
        <v>323</v>
      </c>
      <c r="D98" s="52" t="s">
        <v>324</v>
      </c>
      <c r="E98" s="74">
        <f>(18.44)*(10.764)</f>
        <v>198.48815999999999</v>
      </c>
      <c r="F98" s="74">
        <f t="shared" si="0"/>
        <v>0</v>
      </c>
      <c r="G98" s="74">
        <f t="shared" si="0"/>
        <v>0</v>
      </c>
      <c r="H98" s="6">
        <f t="shared" ref="H98:H104" si="1">E98+F98+(IF(G98&lt;101,G98,IF(G98&lt;201,G98/2,IF(G98&lt;=301,G98/3,G98/4))))</f>
        <v>198.48815999999999</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x14ac:dyDescent="0.25">
      <c r="A99" s="138">
        <f t="shared" ref="A99:A108" si="2">A98+1</f>
        <v>3</v>
      </c>
      <c r="B99" s="139"/>
      <c r="C99" s="52" t="s">
        <v>323</v>
      </c>
      <c r="D99" s="52" t="s">
        <v>324</v>
      </c>
      <c r="E99" s="74">
        <f>(17.83)*(10.764)</f>
        <v>191.92211999999998</v>
      </c>
      <c r="F99" s="74">
        <f t="shared" si="0"/>
        <v>0</v>
      </c>
      <c r="G99" s="74">
        <f t="shared" si="0"/>
        <v>0</v>
      </c>
      <c r="H99" s="6">
        <f t="shared" si="1"/>
        <v>191.92211999999998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25">
      <c r="A100" s="138">
        <f t="shared" si="2"/>
        <v>4</v>
      </c>
      <c r="B100" s="139"/>
      <c r="C100" s="52" t="s">
        <v>323</v>
      </c>
      <c r="D100" s="52" t="s">
        <v>324</v>
      </c>
      <c r="E100" s="74">
        <f>(17.83)*(10.764)</f>
        <v>191.92211999999998</v>
      </c>
      <c r="F100" s="74">
        <f t="shared" si="0"/>
        <v>0</v>
      </c>
      <c r="G100" s="74">
        <f t="shared" si="0"/>
        <v>0</v>
      </c>
      <c r="H100" s="6">
        <f t="shared" si="1"/>
        <v>191.92211999999998</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25">
      <c r="A101" s="138">
        <f t="shared" si="2"/>
        <v>5</v>
      </c>
      <c r="B101" s="139"/>
      <c r="C101" s="52" t="s">
        <v>323</v>
      </c>
      <c r="D101" s="52" t="s">
        <v>324</v>
      </c>
      <c r="E101" s="74">
        <f>(16.55)*(10.764)</f>
        <v>178.14419999999998</v>
      </c>
      <c r="F101" s="74">
        <f t="shared" si="0"/>
        <v>0</v>
      </c>
      <c r="G101" s="74">
        <f t="shared" si="0"/>
        <v>0</v>
      </c>
      <c r="H101" s="6">
        <f t="shared" si="1"/>
        <v>178.14419999999998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customHeight="1" x14ac:dyDescent="0.25">
      <c r="A102" s="138">
        <f t="shared" si="2"/>
        <v>6</v>
      </c>
      <c r="B102" s="139"/>
      <c r="C102" s="52" t="s">
        <v>323</v>
      </c>
      <c r="D102" s="52" t="s">
        <v>324</v>
      </c>
      <c r="E102" s="74">
        <f>(20)*(10.764)</f>
        <v>215.27999999999997</v>
      </c>
      <c r="F102" s="74">
        <f t="shared" si="0"/>
        <v>0</v>
      </c>
      <c r="G102" s="74">
        <f t="shared" si="0"/>
        <v>0</v>
      </c>
      <c r="H102" s="6">
        <f t="shared" si="1"/>
        <v>215.27999999999997</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customHeight="1" x14ac:dyDescent="0.25">
      <c r="A103" s="138">
        <f t="shared" si="2"/>
        <v>7</v>
      </c>
      <c r="B103" s="139"/>
      <c r="C103" s="52" t="s">
        <v>323</v>
      </c>
      <c r="D103" s="52" t="s">
        <v>324</v>
      </c>
      <c r="E103" s="74">
        <f>(10.7)*(10.764)</f>
        <v>115.17479999999999</v>
      </c>
      <c r="F103" s="74">
        <f t="shared" si="0"/>
        <v>0</v>
      </c>
      <c r="G103" s="74">
        <f t="shared" si="0"/>
        <v>0</v>
      </c>
      <c r="H103" s="6">
        <f t="shared" si="1"/>
        <v>115.17479999999999</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customHeight="1" x14ac:dyDescent="0.25">
      <c r="A104" s="138">
        <f t="shared" si="2"/>
        <v>8</v>
      </c>
      <c r="B104" s="139"/>
      <c r="C104" s="52" t="s">
        <v>323</v>
      </c>
      <c r="D104" s="52" t="s">
        <v>324</v>
      </c>
      <c r="E104" s="74">
        <f>(17.84)*(10.764)</f>
        <v>192.02975999999998</v>
      </c>
      <c r="F104" s="74">
        <f t="shared" si="0"/>
        <v>0</v>
      </c>
      <c r="G104" s="74">
        <f t="shared" si="0"/>
        <v>0</v>
      </c>
      <c r="H104" s="6">
        <f t="shared" si="1"/>
        <v>192.02975999999998</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25">
      <c r="A105" s="138">
        <f t="shared" si="2"/>
        <v>9</v>
      </c>
      <c r="B105" s="139"/>
      <c r="C105" s="52" t="s">
        <v>323</v>
      </c>
      <c r="D105" s="52" t="s">
        <v>324</v>
      </c>
      <c r="E105" s="74">
        <f>(17.84)*(10.764)</f>
        <v>192.02975999999998</v>
      </c>
      <c r="F105" s="74">
        <f t="shared" si="0"/>
        <v>0</v>
      </c>
      <c r="G105" s="74">
        <f t="shared" si="0"/>
        <v>0</v>
      </c>
      <c r="H105" s="74">
        <f t="shared" ref="H105:H108" si="3">E105+F105+(IF(G105&lt;101,G105,IF(G105&lt;201,G105/2,IF(G105&lt;=301,G105/3,G105/4))))</f>
        <v>192.02975999999998</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25">
      <c r="A106" s="138">
        <f t="shared" si="2"/>
        <v>10</v>
      </c>
      <c r="B106" s="139"/>
      <c r="C106" s="52" t="s">
        <v>323</v>
      </c>
      <c r="D106" s="52" t="s">
        <v>324</v>
      </c>
      <c r="E106" s="74">
        <f>(19.07)*(10.764)</f>
        <v>205.26947999999999</v>
      </c>
      <c r="F106" s="74">
        <f t="shared" si="0"/>
        <v>0</v>
      </c>
      <c r="G106" s="74">
        <f t="shared" si="0"/>
        <v>0</v>
      </c>
      <c r="H106" s="74">
        <f t="shared" si="3"/>
        <v>205.26947999999999</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25">
      <c r="A107" s="138">
        <f t="shared" si="2"/>
        <v>11</v>
      </c>
      <c r="B107" s="139"/>
      <c r="C107" s="52" t="s">
        <v>323</v>
      </c>
      <c r="D107" s="52" t="s">
        <v>324</v>
      </c>
      <c r="E107" s="74">
        <f>(23.69)*(10.764)</f>
        <v>254.99915999999999</v>
      </c>
      <c r="F107" s="74">
        <f t="shared" si="0"/>
        <v>0</v>
      </c>
      <c r="G107" s="74">
        <f t="shared" si="0"/>
        <v>0</v>
      </c>
      <c r="H107" s="74">
        <f t="shared" si="3"/>
        <v>254.99915999999999</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25">
      <c r="A108" s="138">
        <f t="shared" si="2"/>
        <v>12</v>
      </c>
      <c r="B108" s="139"/>
      <c r="C108" s="52" t="s">
        <v>323</v>
      </c>
      <c r="D108" s="52" t="s">
        <v>324</v>
      </c>
      <c r="E108" s="74">
        <f>(23.68)*(10.764)</f>
        <v>254.89151999999999</v>
      </c>
      <c r="F108" s="74">
        <f t="shared" si="0"/>
        <v>0</v>
      </c>
      <c r="G108" s="74">
        <f t="shared" si="0"/>
        <v>0</v>
      </c>
      <c r="H108" s="74">
        <f t="shared" si="3"/>
        <v>254.89151999999999</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96" t="s">
        <v>327</v>
      </c>
      <c r="B109" s="97"/>
      <c r="C109" s="97"/>
      <c r="D109" s="97"/>
      <c r="E109" s="97"/>
      <c r="F109" s="97"/>
      <c r="G109" s="97"/>
      <c r="H109" s="98"/>
      <c r="I109" s="76">
        <f>1</f>
        <v>1</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25">
      <c r="A110" s="95">
        <v>1</v>
      </c>
      <c r="B110" s="95"/>
      <c r="C110" s="52" t="s">
        <v>323</v>
      </c>
      <c r="D110" s="146" t="s">
        <v>325</v>
      </c>
      <c r="E110" s="147"/>
      <c r="F110" s="147"/>
      <c r="G110" s="147"/>
      <c r="H110" s="148"/>
      <c r="I110" s="1"/>
      <c r="J110" s="1"/>
      <c r="K110" s="1"/>
      <c r="L110" s="1"/>
      <c r="M110" s="1"/>
      <c r="N110" s="1"/>
      <c r="O110" s="1"/>
      <c r="P110" s="1"/>
      <c r="Q110" s="1"/>
      <c r="R110" s="1"/>
      <c r="S110" s="1"/>
      <c r="T110" s="23" t="str">
        <f t="shared" ref="T110:T116" ca="1" si="4">U110&amp;""&amp;",..,"&amp;""&amp;V110</f>
        <v>101,..,101</v>
      </c>
      <c r="U110" s="23">
        <f ca="1">(SUMPRODUCT(MID(0&amp;(LEFT(A109,SUM(LEN(A109)-LEN(SUBSTITUTE(A109,{"0","1","2","3"},""))))), LARGE(INDEX(ISNUMBER(--MID((LEFT(A109,SUM(LEN(A109)-LEN(SUBSTITUTE(A109,{"0","1","2","3"},""))))), ROW(INDIRECT("1:"&amp;LEN((LEFT(A109,SUM(LEN(A109)-LEN(SUBSTITUTE(A109,{"0","1","2","3"},"")))))))), 1)) * ROW(INDIRECT("1:"&amp;LEN((LEFT(A109,SUM(LEN(A109)-LEN(SUBSTITUTE(A109,{"0","1","2","3"},"")))))))), 0), ROW(INDIRECT("1:"&amp;LEN((LEFT(A109,SUM(LEN(A109)-LEN(SUBSTITUTE(A109,{"0","1","2","3"},"")))))))))+1, 1) * 10^ROW(INDIRECT("1:"&amp;LEN((LEFT(A109,SUM(LEN(A109)-LEN(SUBSTITUTE(A109,{"0","1","2","3"},""))))))))/10))*100+1</f>
        <v>101</v>
      </c>
      <c r="V110" s="23">
        <f ca="1">(SUMPRODUCT(MID(0&amp;(--TRIM(RIGHT(SUBSTITUTE(LEFT(A109,_xlfn.AGGREGATE(16,6,FIND({0,1,2,3,4,5,6,7,8,9},A109,ROW(INDIRECT("1:"&amp;LEN(A109)))),1))," ",REPT(" ",LEN(A109))),LEN(A109)))), LARGE(INDEX(ISNUMBER(--MID((--TRIM(RIGHT(SUBSTITUTE(LEFT(A109,_xlfn.AGGREGATE(16,6,FIND({0,1,2,3,4,5,6,7,8,9},A109,ROW(INDIRECT("1:"&amp;LEN(A109)))),1))," ",REPT(" ",LEN(A109))),LEN(A109)))), ROW(INDIRECT("1:"&amp;LEN((--TRIM(RIGHT(SUBSTITUTE(LEFT(A109,_xlfn.AGGREGATE(16,6,FIND({0,1,2,3,4,5,6,7,8,9},A109,ROW(INDIRECT("1:"&amp;LEN(A109)))),1))," ",REPT(" ",LEN(A109))),LEN(A109))))))), 1)) * ROW(INDIRECT("1:"&amp;LEN((--TRIM(RIGHT(SUBSTITUTE(LEFT(A109,_xlfn.AGGREGATE(16,6,FIND({0,1,2,3,4,5,6,7,8,9},A109,ROW(INDIRECT("1:"&amp;LEN(A109)))),1))," ",REPT(" ",LEN(A109))),LEN(A109))))))), 0), ROW(INDIRECT("1:"&amp;LEN((--TRIM(RIGHT(SUBSTITUTE(LEFT(A109,_xlfn.AGGREGATE(16,6,FIND({0,1,2,3,4,5,6,7,8,9},A109,ROW(INDIRECT("1:"&amp;LEN(A109)))),1))," ",REPT(" ",LEN(A109))),LEN(A109))))))))+1, 1) * 10^ROW(INDIRECT("1:"&amp;LEN((--TRIM(RIGHT(SUBSTITUTE(LEFT(A109,_xlfn.AGGREGATE(16,6,FIND({0,1,2,3,4,5,6,7,8,9},A109,ROW(INDIRECT("1:"&amp;LEN(A109)))),1))," ",REPT(" ",LEN(A109))),LEN(A109)))))))/10))*100+1</f>
        <v>101</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customHeight="1" x14ac:dyDescent="0.25">
      <c r="A111" s="95">
        <v>2</v>
      </c>
      <c r="B111" s="95"/>
      <c r="C111" s="52" t="s">
        <v>323</v>
      </c>
      <c r="D111" s="52" t="s">
        <v>326</v>
      </c>
      <c r="E111" s="74">
        <f>(46.61)*(10.764)</f>
        <v>501.71003999999994</v>
      </c>
      <c r="F111" s="74">
        <f>(1.5*2.9+1*2.4+1.3*2.9)*(10.764)</f>
        <v>113.23727999999998</v>
      </c>
      <c r="G111" s="74">
        <f>(8.9*1.9+3.05*3.3+3.15*4.5)*(10.764)</f>
        <v>442.93859999999995</v>
      </c>
      <c r="H111" s="6">
        <f t="shared" ref="H111:H115" si="5">E111+F111+(IF(G111&lt;101,G111,IF(G111&lt;201,G111/2,IF(G111&lt;=301,G111/3,G111/4))))</f>
        <v>725.68196999999986</v>
      </c>
      <c r="I111" s="1">
        <f>2.9*3+1.2*2.1+2.4*2.9+2.9*(2.6+2.75)+1.2*(2+1.95)+1.65*1+1.3*1+2.4*0.5</f>
        <v>42.585000000000001</v>
      </c>
      <c r="J111" s="1"/>
      <c r="K111" s="1"/>
      <c r="L111" s="1"/>
      <c r="M111" s="1"/>
      <c r="N111" s="1"/>
      <c r="O111" s="1"/>
      <c r="P111" s="1"/>
      <c r="Q111" s="1"/>
      <c r="R111" s="1"/>
      <c r="S111" s="1"/>
      <c r="T111" s="23" t="str">
        <f t="shared" ca="1" si="4"/>
        <v>102,..,102</v>
      </c>
      <c r="U111" s="23">
        <f ca="1">U110+1</f>
        <v>102</v>
      </c>
      <c r="V111" s="23">
        <f ca="1">V110+1</f>
        <v>102</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25">
      <c r="A112" s="95">
        <v>3</v>
      </c>
      <c r="B112" s="95"/>
      <c r="C112" s="52" t="s">
        <v>323</v>
      </c>
      <c r="D112" s="149" t="s">
        <v>329</v>
      </c>
      <c r="E112" s="150"/>
      <c r="F112" s="150"/>
      <c r="G112" s="150"/>
      <c r="H112" s="151"/>
      <c r="I112" s="1"/>
      <c r="J112" s="1"/>
      <c r="K112" s="1"/>
      <c r="L112" s="1"/>
      <c r="M112" s="1"/>
      <c r="N112" s="1"/>
      <c r="O112" s="1"/>
      <c r="P112" s="1"/>
      <c r="Q112" s="1"/>
      <c r="R112" s="1"/>
      <c r="S112" s="1"/>
      <c r="T112" s="23" t="str">
        <f t="shared" ca="1" si="4"/>
        <v>103,..,103</v>
      </c>
      <c r="U112" s="23">
        <f t="shared" ref="U112:U116" ca="1" si="6">U111+1</f>
        <v>103</v>
      </c>
      <c r="V112" s="23">
        <f t="shared" ref="V112:V116" ca="1" si="7">V111+1</f>
        <v>103</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25">
      <c r="A113" s="95">
        <v>4</v>
      </c>
      <c r="B113" s="95"/>
      <c r="C113" s="52" t="s">
        <v>323</v>
      </c>
      <c r="D113" s="152"/>
      <c r="E113" s="153"/>
      <c r="F113" s="153"/>
      <c r="G113" s="153"/>
      <c r="H113" s="154"/>
      <c r="I113" s="1"/>
      <c r="J113" s="1"/>
      <c r="K113" s="1"/>
      <c r="L113" s="1"/>
      <c r="M113" s="1"/>
      <c r="N113" s="1"/>
      <c r="O113" s="1"/>
      <c r="P113" s="1"/>
      <c r="Q113" s="1"/>
      <c r="R113" s="1"/>
      <c r="S113" s="1"/>
      <c r="T113" s="23" t="str">
        <f t="shared" ca="1" si="4"/>
        <v>104,..,104</v>
      </c>
      <c r="U113" s="23">
        <f t="shared" ca="1" si="6"/>
        <v>104</v>
      </c>
      <c r="V113" s="23">
        <f t="shared" ca="1" si="7"/>
        <v>104</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25">
      <c r="A114" s="95">
        <v>5</v>
      </c>
      <c r="B114" s="95"/>
      <c r="C114" s="52" t="s">
        <v>323</v>
      </c>
      <c r="D114" s="155"/>
      <c r="E114" s="156"/>
      <c r="F114" s="156"/>
      <c r="G114" s="156"/>
      <c r="H114" s="157"/>
      <c r="I114" s="1"/>
      <c r="J114" s="1"/>
      <c r="K114" s="1"/>
      <c r="L114" s="1"/>
      <c r="M114" s="1"/>
      <c r="N114" s="1"/>
      <c r="O114" s="1"/>
      <c r="P114" s="1"/>
      <c r="Q114" s="1"/>
      <c r="R114" s="1"/>
      <c r="S114" s="1"/>
      <c r="T114" s="23" t="str">
        <f t="shared" ca="1" si="4"/>
        <v>105,..,105</v>
      </c>
      <c r="U114" s="23">
        <f t="shared" ca="1" si="6"/>
        <v>105</v>
      </c>
      <c r="V114" s="23">
        <f t="shared" ca="1" si="7"/>
        <v>105</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25">
      <c r="A115" s="95">
        <v>6</v>
      </c>
      <c r="B115" s="95"/>
      <c r="C115" s="52" t="s">
        <v>323</v>
      </c>
      <c r="D115" s="52" t="s">
        <v>326</v>
      </c>
      <c r="E115" s="74">
        <f>(42.77)*(10.764)</f>
        <v>460.37628000000001</v>
      </c>
      <c r="F115" s="74">
        <f>(1.15*(2.9+2.4)+1.6*2.9+1.2*2.9+0.6*2.9+0.8*2.4+0.6*2.9+0.6*2.9)*(10.764)</f>
        <v>229.86521999999997</v>
      </c>
      <c r="G115" s="74">
        <f>0*(10.764)</f>
        <v>0</v>
      </c>
      <c r="H115" s="6">
        <f t="shared" si="5"/>
        <v>690.24149999999997</v>
      </c>
      <c r="I115" s="1"/>
      <c r="J115" s="1"/>
      <c r="K115" s="1"/>
      <c r="L115" s="1"/>
      <c r="M115" s="1"/>
      <c r="N115" s="1"/>
      <c r="O115" s="1"/>
      <c r="P115" s="1"/>
      <c r="Q115" s="1"/>
      <c r="R115" s="1"/>
      <c r="S115" s="1"/>
      <c r="T115" s="23" t="str">
        <f t="shared" ca="1" si="4"/>
        <v>106,..,106</v>
      </c>
      <c r="U115" s="23">
        <f t="shared" ca="1" si="6"/>
        <v>106</v>
      </c>
      <c r="V115" s="23">
        <f t="shared" ca="1" si="7"/>
        <v>106</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25">
      <c r="A116" s="95">
        <v>7</v>
      </c>
      <c r="B116" s="95"/>
      <c r="C116" s="52" t="s">
        <v>323</v>
      </c>
      <c r="D116" s="146" t="s">
        <v>329</v>
      </c>
      <c r="E116" s="147"/>
      <c r="F116" s="147"/>
      <c r="G116" s="147"/>
      <c r="H116" s="148"/>
      <c r="I116" s="1"/>
      <c r="J116" s="1"/>
      <c r="K116" s="1"/>
      <c r="L116" s="1"/>
      <c r="M116" s="1"/>
      <c r="N116" s="1"/>
      <c r="O116" s="1"/>
      <c r="P116" s="1"/>
      <c r="Q116" s="1"/>
      <c r="R116" s="1"/>
      <c r="S116" s="1"/>
      <c r="T116" s="23" t="str">
        <f t="shared" ca="1" si="4"/>
        <v>107,..,107</v>
      </c>
      <c r="U116" s="23">
        <f t="shared" ca="1" si="6"/>
        <v>107</v>
      </c>
      <c r="V116" s="23">
        <f t="shared" ca="1" si="7"/>
        <v>107</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96" t="s">
        <v>330</v>
      </c>
      <c r="B117" s="97"/>
      <c r="C117" s="97"/>
      <c r="D117" s="97"/>
      <c r="E117" s="97"/>
      <c r="F117" s="97"/>
      <c r="G117" s="97"/>
      <c r="H117" s="98"/>
      <c r="I117" s="76">
        <f>1</f>
        <v>1</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95">
        <v>1</v>
      </c>
      <c r="B118" s="95"/>
      <c r="C118" s="52" t="s">
        <v>323</v>
      </c>
      <c r="D118" s="52" t="s">
        <v>326</v>
      </c>
      <c r="E118" s="74">
        <f>(46.48)*(10.764)</f>
        <v>500.31071999999995</v>
      </c>
      <c r="F118" s="74">
        <f>(1.5*2.9+1*2.4+1.3*2.3+0.6*(2.9+2.9+2.9)+0.7*2.4)*(10.764)</f>
        <v>179.11295999999999</v>
      </c>
      <c r="G118" s="74">
        <f>0*(10.764)</f>
        <v>0</v>
      </c>
      <c r="H118" s="6">
        <f>E118+F118+(IF(G118&lt;101,G118,IF(G118&lt;201,G118/2,IF(G118&lt;=301,G118/3,G118/4))))</f>
        <v>679.42367999999988</v>
      </c>
      <c r="I118" s="1"/>
      <c r="J118" s="1"/>
      <c r="K118" s="1"/>
      <c r="L118" s="1"/>
      <c r="M118" s="1"/>
      <c r="N118" s="1"/>
      <c r="O118" s="1"/>
      <c r="P118" s="1"/>
      <c r="Q118" s="1"/>
      <c r="R118" s="1"/>
      <c r="S118" s="1"/>
      <c r="T118" s="23" t="str">
        <f ca="1">U118&amp;""&amp;" to "&amp;""&amp;V118</f>
        <v>201 to 201</v>
      </c>
      <c r="U118" s="23">
        <f ca="1">(SUMPRODUCT(MID(0&amp;(LEFT(A117,SUM(LEN(A117)-LEN(SUBSTITUTE(A117,{"0","1","2","3"},""))))), LARGE(INDEX(ISNUMBER(--MID((LEFT(A117,SUM(LEN(A117)-LEN(SUBSTITUTE(A117,{"0","1","2","3"},""))))), ROW(INDIRECT("1:"&amp;LEN((LEFT(A117,SUM(LEN(A117)-LEN(SUBSTITUTE(A117,{"0","1","2","3"},"")))))))), 1)) * ROW(INDIRECT("1:"&amp;LEN((LEFT(A117,SUM(LEN(A117)-LEN(SUBSTITUTE(A117,{"0","1","2","3"},"")))))))), 0), ROW(INDIRECT("1:"&amp;LEN((LEFT(A117,SUM(LEN(A117)-LEN(SUBSTITUTE(A117,{"0","1","2","3"},"")))))))))+1, 1) * 10^ROW(INDIRECT("1:"&amp;LEN((LEFT(A117,SUM(LEN(A117)-LEN(SUBSTITUTE(A117,{"0","1","2","3"},""))))))))/10))*100+1</f>
        <v>201</v>
      </c>
      <c r="V118" s="23">
        <f ca="1">(SUMPRODUCT(MID(0&amp;(--TRIM(RIGHT(SUBSTITUTE(LEFT(A117,_xlfn.AGGREGATE(16,6,FIND({0,1,2,3,4,5,6,7,8,9},A117,ROW(INDIRECT("1:"&amp;LEN(A117)))),1))," ",REPT(" ",LEN(A117))),LEN(A117)))), LARGE(INDEX(ISNUMBER(--MID((--TRIM(RIGHT(SUBSTITUTE(LEFT(A117,_xlfn.AGGREGATE(16,6,FIND({0,1,2,3,4,5,6,7,8,9},A117,ROW(INDIRECT("1:"&amp;LEN(A117)))),1))," ",REPT(" ",LEN(A117))),LEN(A117)))), ROW(INDIRECT("1:"&amp;LEN((--TRIM(RIGHT(SUBSTITUTE(LEFT(A117,_xlfn.AGGREGATE(16,6,FIND({0,1,2,3,4,5,6,7,8,9},A117,ROW(INDIRECT("1:"&amp;LEN(A117)))),1))," ",REPT(" ",LEN(A117))),LEN(A117))))))), 1)) * ROW(INDIRECT("1:"&amp;LEN((--TRIM(RIGHT(SUBSTITUTE(LEFT(A117,_xlfn.AGGREGATE(16,6,FIND({0,1,2,3,4,5,6,7,8,9},A117,ROW(INDIRECT("1:"&amp;LEN(A117)))),1))," ",REPT(" ",LEN(A117))),LEN(A117))))))), 0), ROW(INDIRECT("1:"&amp;LEN((--TRIM(RIGHT(SUBSTITUTE(LEFT(A117,_xlfn.AGGREGATE(16,6,FIND({0,1,2,3,4,5,6,7,8,9},A117,ROW(INDIRECT("1:"&amp;LEN(A117)))),1))," ",REPT(" ",LEN(A117))),LEN(A117))))))))+1, 1) * 10^ROW(INDIRECT("1:"&amp;LEN((--TRIM(RIGHT(SUBSTITUTE(LEFT(A117,_xlfn.AGGREGATE(16,6,FIND({0,1,2,3,4,5,6,7,8,9},A117,ROW(INDIRECT("1:"&amp;LEN(A117)))),1))," ",REPT(" ",LEN(A117))),LEN(A117)))))))/10))*100+1</f>
        <v>201</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25">
      <c r="A119" s="95">
        <v>2</v>
      </c>
      <c r="B119" s="95"/>
      <c r="C119" s="52" t="s">
        <v>323</v>
      </c>
      <c r="D119" s="52" t="s">
        <v>326</v>
      </c>
      <c r="E119" s="74">
        <f>(46.48)*(10.764)</f>
        <v>500.31071999999995</v>
      </c>
      <c r="F119" s="74">
        <f>(1.5*2.9+1*2.4+1.3*2.3+0.6*(2.9+2.9+2.9)+0.7*2.4)*(10.764)</f>
        <v>179.11295999999999</v>
      </c>
      <c r="G119" s="74">
        <f>0*(10.764)</f>
        <v>0</v>
      </c>
      <c r="H119" s="6">
        <f t="shared" ref="H119:H124" si="8">E119+F119+(IF(G119&lt;101,G119,IF(G119&lt;201,G119/2,IF(G119&lt;=301,G119/3,G119/4))))</f>
        <v>679.42367999999988</v>
      </c>
      <c r="I119" s="1">
        <f>2.9*3+1.2*2.1+2.4*2.9+2.9*(2.6+2.75)+1.2*(2+1.95)+1.65*1+1.3*1+2.4*0.5</f>
        <v>42.585000000000001</v>
      </c>
      <c r="J119" s="1"/>
      <c r="K119" s="1"/>
      <c r="L119" s="1"/>
      <c r="M119" s="1"/>
      <c r="N119" s="1"/>
      <c r="O119" s="1"/>
      <c r="P119" s="1"/>
      <c r="Q119" s="1"/>
      <c r="R119" s="1"/>
      <c r="S119" s="1"/>
      <c r="T119" s="23" t="str">
        <f t="shared" ref="T119:T124" ca="1" si="9">U119&amp;""&amp;" to "&amp;""&amp;V119</f>
        <v>202 to 202</v>
      </c>
      <c r="U119" s="23">
        <f ca="1">U118+1</f>
        <v>202</v>
      </c>
      <c r="V119" s="23">
        <f ca="1">V118+1</f>
        <v>202</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95">
        <v>3</v>
      </c>
      <c r="B120" s="95"/>
      <c r="C120" s="52" t="s">
        <v>323</v>
      </c>
      <c r="D120" s="52" t="s">
        <v>326</v>
      </c>
      <c r="E120" s="74">
        <f>(46.01)*(10.764)</f>
        <v>495.25163999999995</v>
      </c>
      <c r="F120" s="74">
        <f>(1.5*2.9+2.4*1+1.3*2.9+0.6*(2.9+2.9)+0.7*2.4)*(10.764)</f>
        <v>168.77951999999999</v>
      </c>
      <c r="G120" s="74">
        <f>(3.05*1.3+3.5*3.5)*(10.764)</f>
        <v>174.53825999999998</v>
      </c>
      <c r="H120" s="6">
        <f t="shared" si="8"/>
        <v>751.30029000000002</v>
      </c>
      <c r="I120" s="1"/>
      <c r="J120" s="1"/>
      <c r="K120" s="1"/>
      <c r="L120" s="1"/>
      <c r="M120" s="1"/>
      <c r="N120" s="1"/>
      <c r="O120" s="1"/>
      <c r="P120" s="1"/>
      <c r="Q120" s="1"/>
      <c r="R120" s="1"/>
      <c r="S120" s="1"/>
      <c r="T120" s="23" t="str">
        <f t="shared" ca="1" si="9"/>
        <v>203 to 203</v>
      </c>
      <c r="U120" s="23">
        <f t="shared" ref="U120:U124" ca="1" si="10">U119+1</f>
        <v>203</v>
      </c>
      <c r="V120" s="23">
        <f t="shared" ref="V120:V124" ca="1" si="11">V119+1</f>
        <v>203</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95">
        <v>4</v>
      </c>
      <c r="B121" s="95"/>
      <c r="C121" s="52" t="s">
        <v>323</v>
      </c>
      <c r="D121" s="52" t="s">
        <v>326</v>
      </c>
      <c r="E121" s="74">
        <f>(45.87)*(10.764)</f>
        <v>493.74467999999996</v>
      </c>
      <c r="F121" s="74">
        <f>(1.5*2.9+1*2.4+1.3*2.9+0.6*(2.9+2.9+2.9)+0.7*2.4)*(10.764)</f>
        <v>187.50887999999998</v>
      </c>
      <c r="G121" s="74">
        <f>0*(10.764)</f>
        <v>0</v>
      </c>
      <c r="H121" s="6">
        <f t="shared" si="8"/>
        <v>681.25355999999988</v>
      </c>
      <c r="I121" s="1"/>
      <c r="J121" s="1"/>
      <c r="K121" s="1"/>
      <c r="L121" s="1"/>
      <c r="M121" s="1"/>
      <c r="N121" s="1"/>
      <c r="O121" s="1"/>
      <c r="P121" s="1"/>
      <c r="Q121" s="1"/>
      <c r="R121" s="1"/>
      <c r="S121" s="1"/>
      <c r="T121" s="23" t="str">
        <f t="shared" ca="1" si="9"/>
        <v>204 to 204</v>
      </c>
      <c r="U121" s="23">
        <f t="shared" ca="1" si="10"/>
        <v>204</v>
      </c>
      <c r="V121" s="23">
        <f t="shared" ca="1" si="11"/>
        <v>204</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95">
        <v>5</v>
      </c>
      <c r="B122" s="95"/>
      <c r="C122" s="52" t="s">
        <v>323</v>
      </c>
      <c r="D122" s="52" t="s">
        <v>326</v>
      </c>
      <c r="E122" s="74">
        <f>(37.97)*(10.764)</f>
        <v>408.70907999999997</v>
      </c>
      <c r="F122" s="74">
        <f>((1.5*2.95)+(1.05*3.2)+1.05*(3+2.45)+0.7*2.45+0.6*3)*(10.764)</f>
        <v>183.23018999999999</v>
      </c>
      <c r="G122" s="74">
        <f>(1.45*7.9)*(10.764)</f>
        <v>123.30162</v>
      </c>
      <c r="H122" s="6">
        <f t="shared" si="8"/>
        <v>653.59007999999994</v>
      </c>
      <c r="I122" s="1">
        <f>5830000/H122</f>
        <v>8919.9640239337787</v>
      </c>
      <c r="J122" s="1"/>
      <c r="K122" s="1"/>
      <c r="L122" s="1"/>
      <c r="M122" s="1"/>
      <c r="N122" s="1"/>
      <c r="O122" s="1"/>
      <c r="P122" s="1"/>
      <c r="Q122" s="1"/>
      <c r="R122" s="1"/>
      <c r="S122" s="1"/>
      <c r="T122" s="23" t="str">
        <f t="shared" ca="1" si="9"/>
        <v>205 to 205</v>
      </c>
      <c r="U122" s="23">
        <f t="shared" ca="1" si="10"/>
        <v>205</v>
      </c>
      <c r="V122" s="23">
        <f t="shared" ca="1" si="11"/>
        <v>205</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95">
        <v>6</v>
      </c>
      <c r="B123" s="95"/>
      <c r="C123" s="52" t="s">
        <v>323</v>
      </c>
      <c r="D123" s="52" t="s">
        <v>326</v>
      </c>
      <c r="E123" s="74">
        <f>(42.77)*(10.764)</f>
        <v>460.37628000000001</v>
      </c>
      <c r="F123" s="74">
        <f>(1.15*(2.9+2.4)+1.6*2.9+1.2*2.9+0.6*2.9+0.8*2.9+0.6*5.95)*(10.764)</f>
        <v>235.13957999999997</v>
      </c>
      <c r="G123" s="74">
        <f>0*(10.764)</f>
        <v>0</v>
      </c>
      <c r="H123" s="6">
        <f t="shared" si="8"/>
        <v>695.51585999999998</v>
      </c>
      <c r="I123" s="1"/>
      <c r="J123" s="1"/>
      <c r="K123" s="1"/>
      <c r="L123" s="1"/>
      <c r="M123" s="1"/>
      <c r="N123" s="1"/>
      <c r="O123" s="1"/>
      <c r="P123" s="1"/>
      <c r="Q123" s="1"/>
      <c r="R123" s="1"/>
      <c r="S123" s="1"/>
      <c r="T123" s="23" t="str">
        <f t="shared" ca="1" si="9"/>
        <v>206 to 206</v>
      </c>
      <c r="U123" s="23">
        <f t="shared" ca="1" si="10"/>
        <v>206</v>
      </c>
      <c r="V123" s="23">
        <f t="shared" ca="1" si="11"/>
        <v>206</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95">
        <v>7</v>
      </c>
      <c r="B124" s="95"/>
      <c r="C124" s="52" t="s">
        <v>323</v>
      </c>
      <c r="D124" s="52" t="s">
        <v>331</v>
      </c>
      <c r="E124" s="74">
        <f>(29.54)*(10.764)</f>
        <v>317.96855999999997</v>
      </c>
      <c r="F124" s="74">
        <f>(1.5*2.9+1.15*(2.4+2.9)+0.6*(2.9+2.9)+0.7*2.4)*(10.764)</f>
        <v>167.97221999999999</v>
      </c>
      <c r="G124" s="74">
        <f>0*(10.764)</f>
        <v>0</v>
      </c>
      <c r="H124" s="6">
        <f t="shared" si="8"/>
        <v>485.94077999999996</v>
      </c>
      <c r="I124" s="75">
        <f>3.05*2.9+2.35*2.4+2.35*2.9+2*(1.2*2)</f>
        <v>26.1</v>
      </c>
      <c r="J124" s="1"/>
      <c r="K124" s="1"/>
      <c r="L124" s="1"/>
      <c r="M124" s="1"/>
      <c r="N124" s="1"/>
      <c r="O124" s="1"/>
      <c r="P124" s="1"/>
      <c r="Q124" s="1"/>
      <c r="R124" s="1"/>
      <c r="S124" s="1"/>
      <c r="T124" s="23" t="str">
        <f t="shared" ca="1" si="9"/>
        <v>207 to 207</v>
      </c>
      <c r="U124" s="23">
        <f t="shared" ca="1" si="10"/>
        <v>207</v>
      </c>
      <c r="V124" s="23">
        <f t="shared" ca="1" si="11"/>
        <v>207</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96" t="s">
        <v>332</v>
      </c>
      <c r="B125" s="97"/>
      <c r="C125" s="97"/>
      <c r="D125" s="97"/>
      <c r="E125" s="97"/>
      <c r="F125" s="97"/>
      <c r="G125" s="97"/>
      <c r="H125" s="98"/>
      <c r="I125" s="76">
        <f>5+4+5+4</f>
        <v>18</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95">
        <v>1</v>
      </c>
      <c r="B126" s="95"/>
      <c r="C126" s="52" t="s">
        <v>323</v>
      </c>
      <c r="D126" s="52" t="s">
        <v>326</v>
      </c>
      <c r="E126" s="74">
        <f>(46.48)*(10.764)</f>
        <v>500.31071999999995</v>
      </c>
      <c r="F126" s="74">
        <f>(1.5*2.9+1*2.4+1.3*2.3+0.6*(2.9+2.9+2.9)+0.7*2.4)*(10.764)</f>
        <v>179.11295999999999</v>
      </c>
      <c r="G126" s="74">
        <f t="shared" ref="G126:G132" si="12">0*(10.764)</f>
        <v>0</v>
      </c>
      <c r="H126" s="6">
        <f>E126+F126+(IF(G126&lt;101,G126,IF(G126&lt;201,G126/2,IF(G126&lt;=301,G126/3,G126/4))))</f>
        <v>679.42367999999988</v>
      </c>
      <c r="I126" s="1"/>
      <c r="J126" s="1"/>
      <c r="K126" s="1"/>
      <c r="L126" s="1"/>
      <c r="M126" s="1"/>
      <c r="N126" s="1"/>
      <c r="O126" s="1"/>
      <c r="P126" s="1"/>
      <c r="Q126" s="1"/>
      <c r="R126" s="1"/>
      <c r="S126" s="1"/>
      <c r="T126" s="23" t="str">
        <f ca="1">U126&amp;""&amp;" &amp; "&amp;""&amp;V126</f>
        <v>3701 &amp; 2301</v>
      </c>
      <c r="U126" s="23">
        <f ca="1">(SUMPRODUCT(MID(0&amp;(LEFT(A125,SUM(LEN(A125)-LEN(SUBSTITUTE(A125,{"0","1","2","3"},""))))), LARGE(INDEX(ISNUMBER(--MID((LEFT(A125,SUM(LEN(A125)-LEN(SUBSTITUTE(A125,{"0","1","2","3"},""))))), ROW(INDIRECT("1:"&amp;LEN((LEFT(A125,SUM(LEN(A125)-LEN(SUBSTITUTE(A125,{"0","1","2","3"},"")))))))), 1)) * ROW(INDIRECT("1:"&amp;LEN((LEFT(A125,SUM(LEN(A125)-LEN(SUBSTITUTE(A125,{"0","1","2","3"},"")))))))), 0), ROW(INDIRECT("1:"&amp;LEN((LEFT(A125,SUM(LEN(A125)-LEN(SUBSTITUTE(A125,{"0","1","2","3"},"")))))))))+1, 1) * 10^ROW(INDIRECT("1:"&amp;LEN((LEFT(A125,SUM(LEN(A125)-LEN(SUBSTITUTE(A125,{"0","1","2","3"},""))))))))/10))*100+1</f>
        <v>3701</v>
      </c>
      <c r="V126" s="23">
        <f ca="1">(SUMPRODUCT(MID(0&amp;(--TRIM(RIGHT(SUBSTITUTE(LEFT(A125,_xlfn.AGGREGATE(16,6,FIND({0,1,2,3,4,5,6,7,8,9},A125,ROW(INDIRECT("1:"&amp;LEN(A125)))),1))," ",REPT(" ",LEN(A125))),LEN(A125)))), LARGE(INDEX(ISNUMBER(--MID((--TRIM(RIGHT(SUBSTITUTE(LEFT(A125,_xlfn.AGGREGATE(16,6,FIND({0,1,2,3,4,5,6,7,8,9},A125,ROW(INDIRECT("1:"&amp;LEN(A125)))),1))," ",REPT(" ",LEN(A125))),LEN(A125)))), ROW(INDIRECT("1:"&amp;LEN((--TRIM(RIGHT(SUBSTITUTE(LEFT(A125,_xlfn.AGGREGATE(16,6,FIND({0,1,2,3,4,5,6,7,8,9},A125,ROW(INDIRECT("1:"&amp;LEN(A125)))),1))," ",REPT(" ",LEN(A125))),LEN(A125))))))), 1)) * ROW(INDIRECT("1:"&amp;LEN((--TRIM(RIGHT(SUBSTITUTE(LEFT(A125,_xlfn.AGGREGATE(16,6,FIND({0,1,2,3,4,5,6,7,8,9},A125,ROW(INDIRECT("1:"&amp;LEN(A125)))),1))," ",REPT(" ",LEN(A125))),LEN(A125))))))), 0), ROW(INDIRECT("1:"&amp;LEN((--TRIM(RIGHT(SUBSTITUTE(LEFT(A125,_xlfn.AGGREGATE(16,6,FIND({0,1,2,3,4,5,6,7,8,9},A125,ROW(INDIRECT("1:"&amp;LEN(A125)))),1))," ",REPT(" ",LEN(A125))),LEN(A125))))))))+1, 1) * 10^ROW(INDIRECT("1:"&amp;LEN((--TRIM(RIGHT(SUBSTITUTE(LEFT(A125,_xlfn.AGGREGATE(16,6,FIND({0,1,2,3,4,5,6,7,8,9},A125,ROW(INDIRECT("1:"&amp;LEN(A125)))),1))," ",REPT(" ",LEN(A125))),LEN(A125)))))))/10))*100+1</f>
        <v>2301</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95">
        <v>2</v>
      </c>
      <c r="B127" s="95"/>
      <c r="C127" s="52" t="s">
        <v>323</v>
      </c>
      <c r="D127" s="52" t="s">
        <v>326</v>
      </c>
      <c r="E127" s="74">
        <f>(46.48)*(10.764)</f>
        <v>500.31071999999995</v>
      </c>
      <c r="F127" s="74">
        <f>(1.5*2.9+1*2.4+1.3*2.3+0.6*(2.9+2.9+2.9)+0.7*2.4)*(10.764)</f>
        <v>179.11295999999999</v>
      </c>
      <c r="G127" s="74">
        <f t="shared" si="12"/>
        <v>0</v>
      </c>
      <c r="H127" s="6">
        <f t="shared" ref="H127:H132" si="13">E127+F127+(IF(G127&lt;101,G127,IF(G127&lt;201,G127/2,IF(G127&lt;=301,G127/3,G127/4))))</f>
        <v>679.42367999999988</v>
      </c>
      <c r="I127" s="1">
        <f>2.9*3+1.2*2.1+2.4*2.9+2.9*(2.6+2.75)+1.2*(2+1.95)+1.65*1+1.3*1+2.4*0.5</f>
        <v>42.585000000000001</v>
      </c>
      <c r="J127" s="1"/>
      <c r="K127" s="1"/>
      <c r="L127" s="1"/>
      <c r="M127" s="1"/>
      <c r="N127" s="1"/>
      <c r="O127" s="1"/>
      <c r="P127" s="1"/>
      <c r="Q127" s="1"/>
      <c r="R127" s="1"/>
      <c r="S127" s="1"/>
      <c r="T127" s="23" t="str">
        <f t="shared" ref="T127:T132" ca="1" si="14">U127&amp;""&amp;" &amp; "&amp;""&amp;V127</f>
        <v>3702 &amp; 2302</v>
      </c>
      <c r="U127" s="23">
        <f ca="1">U126+1</f>
        <v>3702</v>
      </c>
      <c r="V127" s="23">
        <f ca="1">V126+1</f>
        <v>2302</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95">
        <v>3</v>
      </c>
      <c r="B128" s="95"/>
      <c r="C128" s="52" t="s">
        <v>323</v>
      </c>
      <c r="D128" s="52" t="s">
        <v>326</v>
      </c>
      <c r="E128" s="74">
        <f>(46.01)*(10.764)</f>
        <v>495.25163999999995</v>
      </c>
      <c r="F128" s="74">
        <f>(1.5*2.9+2.4*1+1.3*2.9+0.6*(2.9+2.9+2.9)+0.7*2.4)*(10.764)</f>
        <v>187.50887999999998</v>
      </c>
      <c r="G128" s="74">
        <f t="shared" si="12"/>
        <v>0</v>
      </c>
      <c r="H128" s="6">
        <f t="shared" si="13"/>
        <v>682.76051999999993</v>
      </c>
      <c r="I128" s="1"/>
      <c r="J128" s="1"/>
      <c r="K128" s="1"/>
      <c r="L128" s="1"/>
      <c r="M128" s="1"/>
      <c r="N128" s="1"/>
      <c r="O128" s="1"/>
      <c r="P128" s="1"/>
      <c r="Q128" s="1"/>
      <c r="R128" s="1"/>
      <c r="S128" s="1"/>
      <c r="T128" s="23" t="str">
        <f t="shared" ca="1" si="14"/>
        <v>3703 &amp; 2303</v>
      </c>
      <c r="U128" s="23">
        <f t="shared" ref="U128:U132" ca="1" si="15">U127+1</f>
        <v>3703</v>
      </c>
      <c r="V128" s="23">
        <f t="shared" ref="V128:V132" ca="1" si="16">V127+1</f>
        <v>2303</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95">
        <v>4</v>
      </c>
      <c r="B129" s="95"/>
      <c r="C129" s="52" t="s">
        <v>323</v>
      </c>
      <c r="D129" s="52" t="s">
        <v>326</v>
      </c>
      <c r="E129" s="74">
        <f>(45.87)*(10.764)</f>
        <v>493.74467999999996</v>
      </c>
      <c r="F129" s="74">
        <f>(1.5*2.9+1*2.4+1.3*2.9+0.6*(2.9+2.9+2.9)+0.7*2.4)*(10.764)</f>
        <v>187.50887999999998</v>
      </c>
      <c r="G129" s="74">
        <f t="shared" si="12"/>
        <v>0</v>
      </c>
      <c r="H129" s="6">
        <f t="shared" si="13"/>
        <v>681.25355999999988</v>
      </c>
      <c r="I129" s="1"/>
      <c r="J129" s="1"/>
      <c r="K129" s="1"/>
      <c r="L129" s="1"/>
      <c r="M129" s="1"/>
      <c r="N129" s="1"/>
      <c r="O129" s="1"/>
      <c r="P129" s="1"/>
      <c r="Q129" s="1"/>
      <c r="R129" s="1"/>
      <c r="S129" s="1"/>
      <c r="T129" s="23" t="str">
        <f t="shared" ca="1" si="14"/>
        <v>3704 &amp; 2304</v>
      </c>
      <c r="U129" s="23">
        <f t="shared" ca="1" si="15"/>
        <v>3704</v>
      </c>
      <c r="V129" s="23">
        <f t="shared" ca="1" si="16"/>
        <v>2304</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95">
        <v>5</v>
      </c>
      <c r="B130" s="95"/>
      <c r="C130" s="52" t="s">
        <v>323</v>
      </c>
      <c r="D130" s="52" t="s">
        <v>326</v>
      </c>
      <c r="E130" s="74">
        <f>(37.97)*(10.764)</f>
        <v>408.70907999999997</v>
      </c>
      <c r="F130" s="74">
        <f>(1.5*2.95+1.05*3.2+1.05*(3+2.45)+0.7*2.45+0.6*(3+3.2+2.95))*(10.764)</f>
        <v>222.94934999999998</v>
      </c>
      <c r="G130" s="74">
        <f t="shared" si="12"/>
        <v>0</v>
      </c>
      <c r="H130" s="6">
        <f t="shared" si="13"/>
        <v>631.65842999999995</v>
      </c>
      <c r="I130" s="1"/>
      <c r="J130" s="1"/>
      <c r="K130" s="1"/>
      <c r="L130" s="1"/>
      <c r="M130" s="1"/>
      <c r="N130" s="1"/>
      <c r="O130" s="1"/>
      <c r="P130" s="1"/>
      <c r="Q130" s="1"/>
      <c r="R130" s="1"/>
      <c r="S130" s="1"/>
      <c r="T130" s="23" t="str">
        <f t="shared" ca="1" si="14"/>
        <v>3705 &amp; 2305</v>
      </c>
      <c r="U130" s="23">
        <f t="shared" ca="1" si="15"/>
        <v>3705</v>
      </c>
      <c r="V130" s="23">
        <f t="shared" ca="1" si="16"/>
        <v>2305</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95">
        <v>6</v>
      </c>
      <c r="B131" s="95"/>
      <c r="C131" s="52" t="s">
        <v>323</v>
      </c>
      <c r="D131" s="52" t="s">
        <v>326</v>
      </c>
      <c r="E131" s="74">
        <f>(42.77)*(10.764)</f>
        <v>460.37628000000001</v>
      </c>
      <c r="F131" s="74">
        <f>(1.15*(2.9+2.4)+1.6*2.9+1.2*2.9+0.6*2.9+0.8*2.9+0.6*5.95)*(10.764)</f>
        <v>235.13957999999997</v>
      </c>
      <c r="G131" s="74">
        <f t="shared" si="12"/>
        <v>0</v>
      </c>
      <c r="H131" s="6">
        <f t="shared" si="13"/>
        <v>695.51585999999998</v>
      </c>
      <c r="I131" s="1"/>
      <c r="J131" s="1"/>
      <c r="K131" s="1"/>
      <c r="L131" s="1"/>
      <c r="M131" s="1"/>
      <c r="N131" s="1"/>
      <c r="O131" s="1"/>
      <c r="P131" s="1"/>
      <c r="Q131" s="1"/>
      <c r="R131" s="1"/>
      <c r="S131" s="1"/>
      <c r="T131" s="23" t="str">
        <f t="shared" ca="1" si="14"/>
        <v>3706 &amp; 2306</v>
      </c>
      <c r="U131" s="23">
        <f t="shared" ca="1" si="15"/>
        <v>3706</v>
      </c>
      <c r="V131" s="23">
        <f t="shared" ca="1" si="16"/>
        <v>2306</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95">
        <v>7</v>
      </c>
      <c r="B132" s="95"/>
      <c r="C132" s="52" t="s">
        <v>323</v>
      </c>
      <c r="D132" s="52" t="s">
        <v>331</v>
      </c>
      <c r="E132" s="74">
        <f>(29.54)*(10.764)</f>
        <v>317.96855999999997</v>
      </c>
      <c r="F132" s="74">
        <f>(1.5*2.9+1.15*(2.4+2.9)+0.6*(2.9+2.9)+0.7*2.4)*(10.764)</f>
        <v>167.97221999999999</v>
      </c>
      <c r="G132" s="74">
        <f t="shared" si="12"/>
        <v>0</v>
      </c>
      <c r="H132" s="6">
        <f t="shared" si="13"/>
        <v>485.94077999999996</v>
      </c>
      <c r="I132" s="75">
        <f>3.05*2.9+2.35*2.4+2.35*2.9+2*(1.2*2)</f>
        <v>26.1</v>
      </c>
      <c r="J132" s="1"/>
      <c r="K132" s="1"/>
      <c r="L132" s="1"/>
      <c r="M132" s="1"/>
      <c r="N132" s="1"/>
      <c r="O132" s="1"/>
      <c r="P132" s="1"/>
      <c r="Q132" s="1"/>
      <c r="R132" s="1"/>
      <c r="S132" s="1"/>
      <c r="T132" s="23" t="str">
        <f t="shared" ca="1" si="14"/>
        <v>3707 &amp; 2307</v>
      </c>
      <c r="U132" s="23">
        <f t="shared" ca="1" si="15"/>
        <v>3707</v>
      </c>
      <c r="V132" s="23">
        <f t="shared" ca="1" si="16"/>
        <v>2307</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96" t="s">
        <v>333</v>
      </c>
      <c r="B133" s="97"/>
      <c r="C133" s="97"/>
      <c r="D133" s="97"/>
      <c r="E133" s="97"/>
      <c r="F133" s="97"/>
      <c r="G133" s="97"/>
      <c r="H133" s="98"/>
      <c r="I133" s="76">
        <f>3</f>
        <v>3</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95">
        <v>1</v>
      </c>
      <c r="B134" s="95"/>
      <c r="C134" s="52" t="s">
        <v>323</v>
      </c>
      <c r="D134" s="52" t="s">
        <v>326</v>
      </c>
      <c r="E134" s="74">
        <f>(46.48)*(10.764)</f>
        <v>500.31071999999995</v>
      </c>
      <c r="F134" s="74">
        <f>(1.5*2.9+1*2.4+1.3*2.3+0.6*(2.9+2.9+2.9)+0.7*2.4)*(10.764)</f>
        <v>179.11295999999999</v>
      </c>
      <c r="G134" s="74">
        <f>0*(10.764)</f>
        <v>0</v>
      </c>
      <c r="H134" s="74">
        <f>E134+F134+(IF(G134&lt;101,G134,IF(G134&lt;201,G134/2,IF(G134&lt;=301,G134/3,G134/4))))</f>
        <v>679.42367999999988</v>
      </c>
      <c r="I134" s="1"/>
      <c r="J134" s="1"/>
      <c r="K134" s="1"/>
      <c r="L134" s="1"/>
      <c r="M134" s="1"/>
      <c r="N134" s="1"/>
      <c r="O134" s="1"/>
      <c r="P134" s="1"/>
      <c r="Q134" s="1"/>
      <c r="R134" s="1"/>
      <c r="S134" s="1"/>
      <c r="T134" s="23" t="str">
        <f ca="1">U134&amp;""&amp;" &amp; "&amp;""&amp;V134</f>
        <v>801 &amp; 1901</v>
      </c>
      <c r="U134" s="23">
        <f ca="1">(SUMPRODUCT(MID(0&amp;(LEFT(A133,SUM(LEN(A133)-LEN(SUBSTITUTE(A133,{"0","1","2","3"},""))))), LARGE(INDEX(ISNUMBER(--MID((LEFT(A133,SUM(LEN(A133)-LEN(SUBSTITUTE(A133,{"0","1","2","3"},""))))), ROW(INDIRECT("1:"&amp;LEN((LEFT(A133,SUM(LEN(A133)-LEN(SUBSTITUTE(A133,{"0","1","2","3"},"")))))))), 1)) * ROW(INDIRECT("1:"&amp;LEN((LEFT(A133,SUM(LEN(A133)-LEN(SUBSTITUTE(A133,{"0","1","2","3"},"")))))))), 0), ROW(INDIRECT("1:"&amp;LEN((LEFT(A133,SUM(LEN(A133)-LEN(SUBSTITUTE(A133,{"0","1","2","3"},"")))))))))+1, 1) * 10^ROW(INDIRECT("1:"&amp;LEN((LEFT(A133,SUM(LEN(A133)-LEN(SUBSTITUTE(A133,{"0","1","2","3"},""))))))))/10))*100+1</f>
        <v>801</v>
      </c>
      <c r="V134" s="23">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1901</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95">
        <v>2</v>
      </c>
      <c r="B135" s="95"/>
      <c r="C135" s="52" t="s">
        <v>323</v>
      </c>
      <c r="D135" s="52" t="s">
        <v>326</v>
      </c>
      <c r="E135" s="74">
        <f>(46.48)*(10.764)</f>
        <v>500.31071999999995</v>
      </c>
      <c r="F135" s="74">
        <f>(1.5*2.9+1*2.4+1.3*2.3+0.6*(2.9+2.9+2.9)+0.7*2.4)*(10.764)</f>
        <v>179.11295999999999</v>
      </c>
      <c r="G135" s="74">
        <f>0*(10.764)</f>
        <v>0</v>
      </c>
      <c r="H135" s="74">
        <f t="shared" ref="H135:H141" si="17">E135+F135+(IF(G135&lt;101,G135,IF(G135&lt;201,G135/2,IF(G135&lt;=301,G135/3,G135/4))))</f>
        <v>679.42367999999988</v>
      </c>
      <c r="I135" s="1">
        <f>2.9*3+1.2*2.1+2.4*2.9+2.9*(2.6+2.75)+1.2*(2+1.95)+1.65*1+1.3*1+2.4*0.5</f>
        <v>42.585000000000001</v>
      </c>
      <c r="J135" s="1"/>
      <c r="K135" s="1"/>
      <c r="L135" s="1"/>
      <c r="M135" s="1"/>
      <c r="N135" s="1"/>
      <c r="O135" s="1"/>
      <c r="P135" s="1"/>
      <c r="Q135" s="1"/>
      <c r="R135" s="1"/>
      <c r="S135" s="1"/>
      <c r="T135" s="23" t="str">
        <f t="shared" ref="T135:T141" ca="1" si="18">U135&amp;""&amp;" &amp; "&amp;""&amp;V135</f>
        <v>802 &amp; 1902</v>
      </c>
      <c r="U135" s="23">
        <f ca="1">U134+1</f>
        <v>802</v>
      </c>
      <c r="V135" s="23">
        <f ca="1">V134+1</f>
        <v>1902</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95">
        <v>3</v>
      </c>
      <c r="B136" s="95"/>
      <c r="C136" s="52" t="s">
        <v>323</v>
      </c>
      <c r="D136" s="52" t="s">
        <v>326</v>
      </c>
      <c r="E136" s="74">
        <f>(46.01)*(10.764)</f>
        <v>495.25163999999995</v>
      </c>
      <c r="F136" s="74">
        <f>(1.5*2.9+2.4*1+1.3*2.9+0.6*(2.9+2.9+2.9)+0.7*2.4)*(10.764)</f>
        <v>187.50887999999998</v>
      </c>
      <c r="G136" s="74">
        <f>0*(10.764)</f>
        <v>0</v>
      </c>
      <c r="H136" s="74">
        <f t="shared" si="17"/>
        <v>682.76051999999993</v>
      </c>
      <c r="I136" s="1"/>
      <c r="J136" s="1"/>
      <c r="K136" s="1"/>
      <c r="L136" s="1"/>
      <c r="M136" s="1"/>
      <c r="N136" s="1"/>
      <c r="O136" s="1"/>
      <c r="P136" s="1"/>
      <c r="Q136" s="1"/>
      <c r="R136" s="1"/>
      <c r="S136" s="1"/>
      <c r="T136" s="23" t="str">
        <f t="shared" ca="1" si="18"/>
        <v>803 &amp; 1903</v>
      </c>
      <c r="U136" s="23">
        <f t="shared" ref="U136:V138" ca="1" si="19">U135+1</f>
        <v>803</v>
      </c>
      <c r="V136" s="23">
        <f t="shared" ca="1" si="19"/>
        <v>1903</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95">
        <v>4</v>
      </c>
      <c r="B137" s="95"/>
      <c r="C137" s="52" t="s">
        <v>323</v>
      </c>
      <c r="D137" s="52" t="s">
        <v>326</v>
      </c>
      <c r="E137" s="74">
        <f>(45.87)*(10.764)</f>
        <v>493.74467999999996</v>
      </c>
      <c r="F137" s="74">
        <f>(1.5*2.9+1*2.4+1.3*2.9+0.6*(2.9+2.9+2.9)+0.7*2.4)*(10.764)</f>
        <v>187.50887999999998</v>
      </c>
      <c r="G137" s="74">
        <f>0*(10.764)</f>
        <v>0</v>
      </c>
      <c r="H137" s="74">
        <f t="shared" si="17"/>
        <v>681.25355999999988</v>
      </c>
      <c r="I137" s="1"/>
      <c r="J137" s="1"/>
      <c r="K137" s="1"/>
      <c r="L137" s="1"/>
      <c r="M137" s="1"/>
      <c r="N137" s="1"/>
      <c r="O137" s="1"/>
      <c r="P137" s="1"/>
      <c r="Q137" s="1"/>
      <c r="R137" s="1"/>
      <c r="S137" s="1"/>
      <c r="T137" s="23" t="str">
        <f t="shared" ca="1" si="18"/>
        <v>804 &amp; 1904</v>
      </c>
      <c r="U137" s="23">
        <f t="shared" ca="1" si="19"/>
        <v>804</v>
      </c>
      <c r="V137" s="23">
        <f t="shared" ca="1" si="19"/>
        <v>1904</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95">
        <v>5</v>
      </c>
      <c r="B138" s="95"/>
      <c r="C138" s="52" t="s">
        <v>323</v>
      </c>
      <c r="D138" s="52" t="s">
        <v>326</v>
      </c>
      <c r="E138" s="74">
        <f>(37.97)*(10.764)</f>
        <v>408.70907999999997</v>
      </c>
      <c r="F138" s="74">
        <f>(1.5*(2.95+3.2)+1.05*(3+2.45)+0.7*2.45+0.6*(3+3.2+2.95))*(10.764)</f>
        <v>238.44951000000003</v>
      </c>
      <c r="G138" s="74">
        <f>0*(10.764)</f>
        <v>0</v>
      </c>
      <c r="H138" s="74">
        <f t="shared" si="17"/>
        <v>647.15859</v>
      </c>
      <c r="I138" s="1"/>
      <c r="J138" s="1"/>
      <c r="K138" s="1"/>
      <c r="L138" s="1"/>
      <c r="M138" s="1"/>
      <c r="N138" s="1"/>
      <c r="O138" s="1"/>
      <c r="P138" s="1"/>
      <c r="Q138" s="1"/>
      <c r="R138" s="1"/>
      <c r="S138" s="1"/>
      <c r="T138" s="23" t="str">
        <f t="shared" ca="1" si="18"/>
        <v>805 &amp; 1905</v>
      </c>
      <c r="U138" s="23">
        <f t="shared" ca="1" si="19"/>
        <v>805</v>
      </c>
      <c r="V138" s="23">
        <f t="shared" ca="1" si="19"/>
        <v>1905</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95" t="s">
        <v>323</v>
      </c>
      <c r="B139" s="95"/>
      <c r="C139" s="52" t="s">
        <v>323</v>
      </c>
      <c r="D139" s="146"/>
      <c r="E139" s="147"/>
      <c r="F139" s="147"/>
      <c r="G139" s="147"/>
      <c r="H139" s="148"/>
      <c r="I139" s="1"/>
      <c r="J139" s="1"/>
      <c r="K139" s="1"/>
      <c r="L139" s="1"/>
      <c r="M139" s="1"/>
      <c r="N139" s="1"/>
      <c r="O139" s="1"/>
      <c r="P139" s="1"/>
      <c r="Q139" s="1"/>
      <c r="R139" s="1"/>
      <c r="S139" s="1"/>
      <c r="T139" s="23" t="str">
        <f t="shared" ref="T139" ca="1" si="20">U139&amp;""&amp;" &amp; "&amp;""&amp;V139</f>
        <v>806 &amp; 1906</v>
      </c>
      <c r="U139" s="23">
        <f ca="1">U138+1</f>
        <v>806</v>
      </c>
      <c r="V139" s="23">
        <f ca="1">V138+1</f>
        <v>1906</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95">
        <v>6</v>
      </c>
      <c r="B140" s="95"/>
      <c r="C140" s="52" t="s">
        <v>323</v>
      </c>
      <c r="D140" s="52" t="s">
        <v>331</v>
      </c>
      <c r="E140" s="74">
        <f>(29.67)*(10.764)</f>
        <v>319.36788000000001</v>
      </c>
      <c r="F140" s="74">
        <f>(1.6*2.9+1.15*2.4+1.3*2.9+0.6*(2.9+2.9)+0.7*2.4)*(10.764)</f>
        <v>175.77612000000002</v>
      </c>
      <c r="G140" s="74">
        <f>0*(10.764)</f>
        <v>0</v>
      </c>
      <c r="H140" s="74">
        <f t="shared" si="17"/>
        <v>495.14400000000001</v>
      </c>
      <c r="I140" s="1">
        <f>4600000/H140</f>
        <v>9290.2266815310286</v>
      </c>
      <c r="J140" s="1"/>
      <c r="K140" s="1"/>
      <c r="L140" s="1"/>
      <c r="M140" s="1"/>
      <c r="N140" s="1"/>
      <c r="O140" s="1"/>
      <c r="P140" s="1"/>
      <c r="Q140" s="1"/>
      <c r="R140" s="1"/>
      <c r="S140" s="1"/>
      <c r="T140" s="23" t="str">
        <f t="shared" ca="1" si="18"/>
        <v>806 &amp; 1906</v>
      </c>
      <c r="U140" s="23">
        <f ca="1">U138+1</f>
        <v>806</v>
      </c>
      <c r="V140" s="23">
        <f ca="1">V138+1</f>
        <v>1906</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95">
        <v>7</v>
      </c>
      <c r="B141" s="95"/>
      <c r="C141" s="52" t="s">
        <v>323</v>
      </c>
      <c r="D141" s="52" t="s">
        <v>331</v>
      </c>
      <c r="E141" s="74">
        <f>(29.54)*(10.764)</f>
        <v>317.96855999999997</v>
      </c>
      <c r="F141" s="74">
        <f>(1.5*2.9+1.15*(2.4+2.9)+0.6*(2.9+2.9)+0.7*2.4)*(10.764)</f>
        <v>167.97221999999999</v>
      </c>
      <c r="G141" s="74">
        <f>0*(10.764)</f>
        <v>0</v>
      </c>
      <c r="H141" s="74">
        <f t="shared" si="17"/>
        <v>485.94077999999996</v>
      </c>
      <c r="I141" s="75">
        <f>3.05*2.9+2.35*2.4+2.35*2.9+2*(1.2*2)</f>
        <v>26.1</v>
      </c>
      <c r="J141" s="1"/>
      <c r="K141" s="1"/>
      <c r="L141" s="1"/>
      <c r="M141" s="1"/>
      <c r="N141" s="1"/>
      <c r="O141" s="1"/>
      <c r="P141" s="1"/>
      <c r="Q141" s="1"/>
      <c r="R141" s="1"/>
      <c r="S141" s="1"/>
      <c r="T141" s="23" t="str">
        <f t="shared" ca="1" si="18"/>
        <v>807 &amp; 1907</v>
      </c>
      <c r="U141" s="23">
        <f ca="1">U140+1</f>
        <v>807</v>
      </c>
      <c r="V141" s="23">
        <f ca="1">V140+1</f>
        <v>1907</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ht="20.25" x14ac:dyDescent="0.25">
      <c r="A142" s="99" t="s">
        <v>70</v>
      </c>
      <c r="B142" s="99"/>
      <c r="C142" s="99"/>
      <c r="D142" s="99"/>
      <c r="E142" s="99"/>
      <c r="F142" s="99"/>
      <c r="G142" s="99"/>
      <c r="H142" s="99"/>
    </row>
    <row r="143" spans="1:150 16226:16383" ht="20.25" x14ac:dyDescent="0.25">
      <c r="A143" s="2" t="s">
        <v>233</v>
      </c>
      <c r="B143" s="196" t="s">
        <v>360</v>
      </c>
      <c r="C143" s="198"/>
      <c r="D143" s="198"/>
      <c r="E143" s="198"/>
      <c r="F143" s="198"/>
      <c r="G143" s="198"/>
      <c r="H143" s="197"/>
    </row>
    <row r="144" spans="1:150 16226:16383" ht="20.25" x14ac:dyDescent="0.25">
      <c r="A144" s="2" t="s">
        <v>233</v>
      </c>
      <c r="B144" s="94" t="s">
        <v>234</v>
      </c>
      <c r="C144" s="92"/>
      <c r="D144" s="92"/>
      <c r="E144" s="92"/>
      <c r="F144" s="92"/>
      <c r="G144" s="92"/>
      <c r="H144" s="93"/>
    </row>
    <row r="145" spans="1:8" ht="20.25" x14ac:dyDescent="0.25">
      <c r="A145" s="2" t="s">
        <v>233</v>
      </c>
      <c r="B145" s="94" t="s">
        <v>348</v>
      </c>
      <c r="C145" s="92"/>
      <c r="D145" s="92"/>
      <c r="E145" s="92"/>
      <c r="F145" s="92"/>
      <c r="G145" s="92"/>
      <c r="H145" s="93"/>
    </row>
    <row r="146" spans="1:8" ht="20.25" x14ac:dyDescent="0.25">
      <c r="A146" s="2" t="s">
        <v>233</v>
      </c>
      <c r="B146" s="94" t="s">
        <v>235</v>
      </c>
      <c r="C146" s="92"/>
      <c r="D146" s="92"/>
      <c r="E146" s="92"/>
      <c r="F146" s="92"/>
      <c r="G146" s="92"/>
      <c r="H146" s="93"/>
    </row>
    <row r="147" spans="1:8" ht="20.25" x14ac:dyDescent="0.25">
      <c r="A147" s="2" t="s">
        <v>233</v>
      </c>
      <c r="B147" s="94" t="s">
        <v>236</v>
      </c>
      <c r="C147" s="92"/>
      <c r="D147" s="92"/>
      <c r="E147" s="92"/>
      <c r="F147" s="92"/>
      <c r="G147" s="92"/>
      <c r="H147" s="93"/>
    </row>
    <row r="148" spans="1:8" ht="20.25" x14ac:dyDescent="0.25">
      <c r="A148" s="2" t="s">
        <v>233</v>
      </c>
      <c r="B148" s="94" t="s">
        <v>364</v>
      </c>
      <c r="C148" s="92"/>
      <c r="D148" s="92"/>
      <c r="E148" s="92"/>
      <c r="F148" s="92"/>
      <c r="G148" s="92"/>
      <c r="H148" s="93"/>
    </row>
    <row r="149" spans="1:8" ht="24.75" hidden="1" customHeight="1" x14ac:dyDescent="0.25">
      <c r="A149" s="73" t="s">
        <v>233</v>
      </c>
      <c r="B149" s="94" t="s">
        <v>351</v>
      </c>
      <c r="C149" s="92"/>
      <c r="D149" s="92"/>
      <c r="E149" s="92"/>
      <c r="F149" s="92"/>
      <c r="G149" s="92"/>
      <c r="H149" s="93"/>
    </row>
    <row r="150" spans="1:8" ht="20.25" x14ac:dyDescent="0.25">
      <c r="A150" s="2" t="s">
        <v>233</v>
      </c>
      <c r="B150" s="94" t="s">
        <v>361</v>
      </c>
      <c r="C150" s="92"/>
      <c r="D150" s="92"/>
      <c r="E150" s="92"/>
      <c r="F150" s="92"/>
      <c r="G150" s="92"/>
      <c r="H150" s="93"/>
    </row>
    <row r="151" spans="1:8" ht="46.5" hidden="1" customHeight="1" x14ac:dyDescent="0.25">
      <c r="A151" s="2" t="s">
        <v>233</v>
      </c>
      <c r="B151" s="91" t="s">
        <v>237</v>
      </c>
      <c r="C151" s="92"/>
      <c r="D151" s="92"/>
      <c r="E151" s="92"/>
      <c r="F151" s="92"/>
      <c r="G151" s="92"/>
      <c r="H151" s="93"/>
    </row>
    <row r="152" spans="1:8" ht="20.25" x14ac:dyDescent="0.25">
      <c r="A152" s="118" t="s">
        <v>76</v>
      </c>
      <c r="B152" s="118"/>
      <c r="C152" s="118"/>
      <c r="D152" s="118"/>
      <c r="E152" s="118"/>
      <c r="F152" s="118"/>
      <c r="G152" s="118"/>
      <c r="H152" s="118"/>
    </row>
    <row r="153" spans="1:8" ht="20.25" x14ac:dyDescent="0.25">
      <c r="A153" s="78" t="s">
        <v>71</v>
      </c>
      <c r="B153" s="78"/>
      <c r="C153" s="78"/>
      <c r="D153" s="94" t="str">
        <f>C3</f>
        <v>Ratan Heights</v>
      </c>
      <c r="E153" s="92"/>
      <c r="F153" s="92"/>
      <c r="G153" s="92"/>
      <c r="H153" s="93"/>
    </row>
    <row r="154" spans="1:8" ht="40.5" customHeight="1" x14ac:dyDescent="0.25">
      <c r="A154" s="78" t="s">
        <v>104</v>
      </c>
      <c r="B154" s="78"/>
      <c r="C154" s="78"/>
      <c r="D154" s="94" t="str">
        <f>C9</f>
        <v>Survey No. 87 Hissa No. 1A, Survey No. 87 Hissa No. 7, Survey No. 87 Hissa No. 2A, Survey No. 87 Hissa No. 2B, Survey No. 85 Hissa No. 10 Vasai Virar City (M Corp), Vasai, Palghar, 401208.
.</v>
      </c>
      <c r="E154" s="92"/>
      <c r="F154" s="92"/>
      <c r="G154" s="92"/>
      <c r="H154" s="93"/>
    </row>
    <row r="155" spans="1:8" ht="20.25" customHeight="1" x14ac:dyDescent="0.25">
      <c r="A155" s="128" t="s">
        <v>110</v>
      </c>
      <c r="B155" s="128"/>
      <c r="C155" s="128"/>
      <c r="D155" s="94" t="str">
        <f>G3</f>
        <v>13/08/2025 @ 04:32pm</v>
      </c>
      <c r="E155" s="92"/>
      <c r="F155" s="92"/>
      <c r="G155" s="92"/>
      <c r="H155" s="93"/>
    </row>
    <row r="156" spans="1:8" ht="20.25" x14ac:dyDescent="0.25">
      <c r="A156" s="10"/>
      <c r="B156" s="11"/>
      <c r="C156" s="11"/>
      <c r="D156" s="11"/>
      <c r="E156" s="11"/>
      <c r="F156" s="11"/>
      <c r="G156" s="11"/>
      <c r="H156" s="7"/>
    </row>
    <row r="157" spans="1:8" ht="20.25" x14ac:dyDescent="0.25">
      <c r="A157" s="12"/>
      <c r="B157" s="13"/>
      <c r="C157" s="13"/>
      <c r="D157" s="13"/>
      <c r="E157" s="13"/>
      <c r="F157" s="13"/>
      <c r="G157" s="13"/>
      <c r="H157" s="8"/>
    </row>
    <row r="158" spans="1:8" ht="20.25" x14ac:dyDescent="0.25">
      <c r="A158" s="12"/>
      <c r="B158" s="13"/>
      <c r="C158" s="13"/>
      <c r="D158" s="13"/>
      <c r="E158" s="13"/>
      <c r="F158" s="13"/>
      <c r="G158" s="13"/>
      <c r="H158" s="8"/>
    </row>
    <row r="159" spans="1:8" ht="20.25" x14ac:dyDescent="0.25">
      <c r="A159" s="12"/>
      <c r="B159" s="13"/>
      <c r="C159" s="13"/>
      <c r="D159" s="13"/>
      <c r="E159" s="13"/>
      <c r="F159" s="13"/>
      <c r="G159" s="13"/>
      <c r="H159" s="8"/>
    </row>
    <row r="160" spans="1:8" ht="20.25" x14ac:dyDescent="0.25">
      <c r="A160" s="12"/>
      <c r="B160" s="13"/>
      <c r="C160" s="13"/>
      <c r="D160" s="13"/>
      <c r="E160" s="13"/>
      <c r="F160" s="13"/>
      <c r="G160" s="13"/>
      <c r="H160" s="8"/>
    </row>
    <row r="161" spans="1:8" ht="20.25" x14ac:dyDescent="0.25">
      <c r="A161" s="12"/>
      <c r="B161" s="13"/>
      <c r="C161" s="13"/>
      <c r="D161" s="13"/>
      <c r="E161" s="13"/>
      <c r="F161" s="13"/>
      <c r="G161" s="13"/>
      <c r="H161" s="8"/>
    </row>
    <row r="162" spans="1:8" ht="20.25" x14ac:dyDescent="0.25">
      <c r="A162" s="12"/>
      <c r="B162" s="13"/>
      <c r="C162" s="13"/>
      <c r="D162" s="13"/>
      <c r="E162" s="13"/>
      <c r="F162" s="13"/>
      <c r="G162" s="13"/>
      <c r="H162" s="8"/>
    </row>
    <row r="163" spans="1:8" ht="20.25" x14ac:dyDescent="0.25">
      <c r="A163" s="12"/>
      <c r="B163" s="13"/>
      <c r="C163" s="13"/>
      <c r="D163" s="13"/>
      <c r="E163" s="13"/>
      <c r="F163" s="13"/>
      <c r="G163" s="13"/>
      <c r="H163" s="8"/>
    </row>
    <row r="164" spans="1:8" ht="20.25" x14ac:dyDescent="0.25">
      <c r="A164" s="12"/>
      <c r="B164" s="13"/>
      <c r="C164" s="13"/>
      <c r="D164" s="13"/>
      <c r="E164" s="13"/>
      <c r="F164" s="13"/>
      <c r="G164" s="13"/>
      <c r="H164" s="8"/>
    </row>
    <row r="165" spans="1:8" ht="20.25" x14ac:dyDescent="0.25">
      <c r="A165" s="12"/>
      <c r="B165" s="13"/>
      <c r="C165" s="13"/>
      <c r="D165" s="13"/>
      <c r="E165" s="13"/>
      <c r="F165" s="13"/>
      <c r="G165" s="13"/>
      <c r="H165" s="8"/>
    </row>
    <row r="166" spans="1:8" ht="20.25" x14ac:dyDescent="0.25">
      <c r="A166" s="12"/>
      <c r="B166" s="13"/>
      <c r="C166" s="13"/>
      <c r="D166" s="13"/>
      <c r="E166" s="13"/>
      <c r="F166" s="13"/>
      <c r="G166" s="13"/>
      <c r="H166" s="8"/>
    </row>
    <row r="167" spans="1:8" ht="20.25" x14ac:dyDescent="0.25">
      <c r="A167" s="12"/>
      <c r="B167" s="13"/>
      <c r="C167" s="13"/>
      <c r="D167" s="13"/>
      <c r="E167" s="13"/>
      <c r="F167" s="13"/>
      <c r="G167" s="13"/>
      <c r="H167" s="8"/>
    </row>
    <row r="168" spans="1:8" ht="20.25" x14ac:dyDescent="0.25">
      <c r="A168" s="12"/>
      <c r="B168" s="13"/>
      <c r="C168" s="13"/>
      <c r="D168" s="13"/>
      <c r="E168" s="13"/>
      <c r="F168" s="13"/>
      <c r="G168" s="13"/>
      <c r="H168" s="8"/>
    </row>
    <row r="169" spans="1:8" ht="20.25" x14ac:dyDescent="0.25">
      <c r="A169" s="12"/>
      <c r="B169" s="13"/>
      <c r="C169" s="13"/>
      <c r="D169" s="13"/>
      <c r="E169" s="13"/>
      <c r="F169" s="13"/>
      <c r="G169" s="13"/>
      <c r="H169" s="8"/>
    </row>
    <row r="170" spans="1:8" ht="20.25" x14ac:dyDescent="0.25">
      <c r="A170" s="12"/>
      <c r="B170" s="13"/>
      <c r="C170" s="13"/>
      <c r="D170" s="13"/>
      <c r="E170" s="13"/>
      <c r="F170" s="13"/>
      <c r="G170" s="13"/>
      <c r="H170" s="8"/>
    </row>
    <row r="171" spans="1:8" ht="20.25" x14ac:dyDescent="0.25">
      <c r="A171" s="12"/>
      <c r="B171" s="13"/>
      <c r="C171" s="13"/>
      <c r="D171" s="13"/>
      <c r="E171" s="13"/>
      <c r="F171" s="13"/>
      <c r="G171" s="13"/>
      <c r="H171" s="8"/>
    </row>
    <row r="172" spans="1:8" ht="20.25" x14ac:dyDescent="0.25">
      <c r="A172" s="12"/>
      <c r="B172" s="13"/>
      <c r="C172" s="13"/>
      <c r="D172" s="13"/>
      <c r="E172" s="13"/>
      <c r="F172" s="13"/>
      <c r="G172" s="13"/>
      <c r="H172" s="8"/>
    </row>
    <row r="173" spans="1:8" ht="20.25" x14ac:dyDescent="0.25">
      <c r="A173" s="12"/>
      <c r="B173" s="13"/>
      <c r="C173" s="13"/>
      <c r="D173" s="13"/>
      <c r="E173" s="13"/>
      <c r="F173" s="13"/>
      <c r="G173" s="13"/>
      <c r="H173" s="8"/>
    </row>
    <row r="174" spans="1:8" ht="20.25" x14ac:dyDescent="0.25">
      <c r="A174" s="12"/>
      <c r="B174" s="13"/>
      <c r="C174" s="13"/>
      <c r="D174" s="13"/>
      <c r="E174" s="13"/>
      <c r="F174" s="13"/>
      <c r="G174" s="13"/>
      <c r="H174" s="8"/>
    </row>
    <row r="175" spans="1:8" ht="20.25" x14ac:dyDescent="0.25">
      <c r="A175" s="12"/>
      <c r="B175" s="13"/>
      <c r="C175" s="13"/>
      <c r="D175" s="13"/>
      <c r="E175" s="13"/>
      <c r="F175" s="13"/>
      <c r="G175" s="13"/>
      <c r="H175" s="8"/>
    </row>
    <row r="176" spans="1:8" ht="20.25" x14ac:dyDescent="0.25">
      <c r="A176" s="12"/>
      <c r="B176" s="13"/>
      <c r="C176" s="13"/>
      <c r="D176" s="13"/>
      <c r="E176" s="13"/>
      <c r="F176" s="13"/>
      <c r="G176" s="13"/>
      <c r="H176" s="8"/>
    </row>
    <row r="177" spans="1:8" ht="20.25" x14ac:dyDescent="0.25">
      <c r="A177" s="12"/>
      <c r="B177" s="13"/>
      <c r="C177" s="13"/>
      <c r="D177" s="13"/>
      <c r="E177" s="13"/>
      <c r="F177" s="13"/>
      <c r="G177" s="13"/>
      <c r="H177" s="8"/>
    </row>
    <row r="178" spans="1:8" ht="20.25" x14ac:dyDescent="0.25">
      <c r="A178" s="12"/>
      <c r="B178" s="13"/>
      <c r="C178" s="13"/>
      <c r="D178" s="13"/>
      <c r="E178" s="13"/>
      <c r="F178" s="13"/>
      <c r="G178" s="13"/>
      <c r="H178" s="8"/>
    </row>
    <row r="179" spans="1:8" ht="20.25" x14ac:dyDescent="0.25">
      <c r="A179" s="12"/>
      <c r="B179" s="13"/>
      <c r="C179" s="13"/>
      <c r="D179" s="13"/>
      <c r="E179" s="13"/>
      <c r="F179" s="13"/>
      <c r="G179" s="13"/>
      <c r="H179" s="8"/>
    </row>
    <row r="180" spans="1:8" ht="20.25" x14ac:dyDescent="0.25">
      <c r="A180" s="12"/>
      <c r="B180" s="13"/>
      <c r="C180" s="13"/>
      <c r="D180" s="13"/>
      <c r="E180" s="13"/>
      <c r="F180" s="13"/>
      <c r="G180" s="13"/>
      <c r="H180" s="8"/>
    </row>
    <row r="181" spans="1:8" ht="20.25" x14ac:dyDescent="0.25">
      <c r="A181" s="12"/>
      <c r="B181" s="13"/>
      <c r="C181" s="13"/>
      <c r="D181" s="13"/>
      <c r="E181" s="13"/>
      <c r="F181" s="13"/>
      <c r="G181" s="13"/>
      <c r="H181" s="8"/>
    </row>
    <row r="182" spans="1:8" ht="20.25" x14ac:dyDescent="0.25">
      <c r="A182" s="12"/>
      <c r="B182" s="13"/>
      <c r="C182" s="13"/>
      <c r="D182" s="13"/>
      <c r="E182" s="13"/>
      <c r="F182" s="13"/>
      <c r="G182" s="13"/>
      <c r="H182" s="8"/>
    </row>
    <row r="183" spans="1:8" ht="20.25" x14ac:dyDescent="0.25">
      <c r="A183" s="12"/>
      <c r="B183" s="13"/>
      <c r="C183" s="13"/>
      <c r="D183" s="13"/>
      <c r="E183" s="13"/>
      <c r="F183" s="13"/>
      <c r="G183" s="13"/>
      <c r="H183" s="8"/>
    </row>
    <row r="184" spans="1:8" ht="20.25" x14ac:dyDescent="0.25">
      <c r="A184" s="12"/>
      <c r="B184" s="13"/>
      <c r="C184" s="13"/>
      <c r="D184" s="13"/>
      <c r="E184" s="13"/>
      <c r="F184" s="13"/>
      <c r="G184" s="13"/>
      <c r="H184" s="8"/>
    </row>
    <row r="185" spans="1:8" ht="20.25" x14ac:dyDescent="0.25">
      <c r="A185" s="12"/>
      <c r="B185" s="13"/>
      <c r="C185" s="13"/>
      <c r="D185" s="13"/>
      <c r="E185" s="13"/>
      <c r="F185" s="13"/>
      <c r="G185" s="13"/>
      <c r="H185" s="8"/>
    </row>
    <row r="186" spans="1:8" ht="20.25" x14ac:dyDescent="0.25">
      <c r="A186" s="12"/>
      <c r="B186" s="13"/>
      <c r="C186" s="13"/>
      <c r="D186" s="13"/>
      <c r="E186" s="13"/>
      <c r="F186" s="13"/>
      <c r="G186" s="13"/>
      <c r="H186" s="8"/>
    </row>
    <row r="187" spans="1:8" ht="20.25" x14ac:dyDescent="0.25">
      <c r="A187" s="12"/>
      <c r="B187" s="13"/>
      <c r="C187" s="13"/>
      <c r="D187" s="13"/>
      <c r="E187" s="13"/>
      <c r="F187" s="13"/>
      <c r="G187" s="13"/>
      <c r="H187" s="8"/>
    </row>
    <row r="188" spans="1:8" ht="20.25" x14ac:dyDescent="0.25">
      <c r="A188" s="12"/>
      <c r="B188" s="13"/>
      <c r="C188" s="13"/>
      <c r="D188" s="13"/>
      <c r="E188" s="13"/>
      <c r="F188" s="13"/>
      <c r="G188" s="13"/>
      <c r="H188" s="8"/>
    </row>
    <row r="189" spans="1:8" ht="20.25" x14ac:dyDescent="0.25">
      <c r="A189" s="12"/>
      <c r="B189" s="13"/>
      <c r="C189" s="13"/>
      <c r="D189" s="13"/>
      <c r="E189" s="13"/>
      <c r="F189" s="13"/>
      <c r="G189" s="13"/>
      <c r="H189" s="8"/>
    </row>
    <row r="190" spans="1:8" ht="20.25" x14ac:dyDescent="0.25">
      <c r="A190" s="12"/>
      <c r="B190" s="13"/>
      <c r="C190" s="13"/>
      <c r="D190" s="13"/>
      <c r="E190" s="13"/>
      <c r="F190" s="13"/>
      <c r="G190" s="13"/>
      <c r="H190" s="8"/>
    </row>
    <row r="191" spans="1:8" ht="20.25" x14ac:dyDescent="0.25">
      <c r="A191" s="12"/>
      <c r="B191" s="13"/>
      <c r="C191" s="13"/>
      <c r="D191" s="13"/>
      <c r="E191" s="13"/>
      <c r="F191" s="13"/>
      <c r="G191" s="13"/>
      <c r="H191" s="8"/>
    </row>
    <row r="192" spans="1:8" ht="20.25" x14ac:dyDescent="0.25">
      <c r="A192" s="12"/>
      <c r="B192" s="13"/>
      <c r="C192" s="13"/>
      <c r="D192" s="13"/>
      <c r="E192" s="13"/>
      <c r="F192" s="13"/>
      <c r="G192" s="13"/>
      <c r="H192" s="8"/>
    </row>
    <row r="193" spans="1:8" ht="20.25" x14ac:dyDescent="0.25">
      <c r="A193" s="12"/>
      <c r="B193" s="13"/>
      <c r="C193" s="13"/>
      <c r="D193" s="13"/>
      <c r="E193" s="13"/>
      <c r="F193" s="13"/>
      <c r="G193" s="13"/>
      <c r="H193" s="8"/>
    </row>
    <row r="194" spans="1:8" ht="20.25" x14ac:dyDescent="0.25">
      <c r="A194" s="12"/>
      <c r="B194" s="13"/>
      <c r="C194" s="13"/>
      <c r="D194" s="13"/>
      <c r="E194" s="13"/>
      <c r="F194" s="13"/>
      <c r="G194" s="13"/>
      <c r="H194" s="8"/>
    </row>
    <row r="195" spans="1:8" ht="20.25" x14ac:dyDescent="0.25">
      <c r="A195" s="12"/>
      <c r="B195" s="13"/>
      <c r="C195" s="13"/>
      <c r="D195" s="13"/>
      <c r="E195" s="13"/>
      <c r="F195" s="13"/>
      <c r="G195" s="13"/>
      <c r="H195" s="8"/>
    </row>
    <row r="196" spans="1:8" ht="20.25" x14ac:dyDescent="0.25">
      <c r="A196" s="12"/>
      <c r="B196" s="13"/>
      <c r="C196" s="13"/>
      <c r="D196" s="13"/>
      <c r="E196" s="13"/>
      <c r="F196" s="13"/>
      <c r="G196" s="13"/>
      <c r="H196" s="8"/>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4"/>
      <c r="B199" s="15"/>
      <c r="C199" s="15"/>
      <c r="D199" s="15"/>
      <c r="E199" s="15"/>
      <c r="F199" s="15"/>
      <c r="G199" s="15"/>
      <c r="H199" s="9"/>
    </row>
    <row r="200" spans="1:8" ht="20.25" x14ac:dyDescent="0.25">
      <c r="A200" s="99" t="s">
        <v>158</v>
      </c>
      <c r="B200" s="99"/>
      <c r="C200" s="99"/>
      <c r="D200" s="99"/>
      <c r="E200" s="99"/>
      <c r="F200" s="99"/>
      <c r="G200" s="99"/>
      <c r="H200" s="99"/>
    </row>
    <row r="201" spans="1:8" ht="20.25" x14ac:dyDescent="0.25">
      <c r="A201" s="10"/>
      <c r="B201" s="11"/>
      <c r="C201" s="11"/>
      <c r="D201" s="11"/>
      <c r="E201" s="11"/>
      <c r="F201" s="11"/>
      <c r="G201" s="11"/>
      <c r="H201" s="7"/>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2"/>
      <c r="B204" s="13"/>
      <c r="C204" s="13"/>
      <c r="D204" s="13"/>
      <c r="E204" s="13"/>
      <c r="F204" s="13"/>
      <c r="G204" s="13"/>
      <c r="H204" s="8"/>
    </row>
    <row r="205" spans="1:8" ht="20.25" x14ac:dyDescent="0.25">
      <c r="A205" s="12"/>
      <c r="B205" s="13"/>
      <c r="C205" s="13"/>
      <c r="D205" s="13"/>
      <c r="E205" s="13"/>
      <c r="F205" s="13"/>
      <c r="G205" s="13"/>
      <c r="H205" s="8"/>
    </row>
    <row r="206" spans="1:8" ht="20.25" x14ac:dyDescent="0.25">
      <c r="A206" s="12"/>
      <c r="B206" s="13"/>
      <c r="C206" s="13"/>
      <c r="D206" s="13"/>
      <c r="E206" s="13"/>
      <c r="F206" s="13"/>
      <c r="G206" s="13"/>
      <c r="H206" s="8"/>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4"/>
      <c r="B249" s="15"/>
      <c r="C249" s="15"/>
      <c r="D249" s="15"/>
      <c r="E249" s="15"/>
      <c r="F249" s="15"/>
      <c r="G249" s="15"/>
      <c r="H249" s="9"/>
    </row>
    <row r="250" spans="1:8" ht="20.25" x14ac:dyDescent="0.25">
      <c r="A250" s="104" t="s">
        <v>77</v>
      </c>
      <c r="B250" s="105"/>
      <c r="C250" s="105"/>
      <c r="D250" s="105"/>
      <c r="E250" s="105"/>
      <c r="F250" s="105"/>
      <c r="G250" s="105"/>
      <c r="H250" s="106"/>
    </row>
    <row r="251" spans="1:8" ht="20.25" x14ac:dyDescent="0.25">
      <c r="A251" s="10"/>
      <c r="B251" s="11"/>
      <c r="C251" s="11"/>
      <c r="D251" s="11"/>
      <c r="E251" s="11"/>
      <c r="F251" s="11"/>
      <c r="G251" s="11"/>
      <c r="H251" s="7"/>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99" t="s">
        <v>24</v>
      </c>
      <c r="B281" s="99"/>
      <c r="C281" s="99"/>
      <c r="D281" s="99"/>
      <c r="E281" s="99"/>
      <c r="F281" s="99"/>
      <c r="G281" s="99"/>
      <c r="H281" s="99"/>
    </row>
    <row r="282" spans="1:8" ht="20.25" x14ac:dyDescent="0.25">
      <c r="A282" s="119" t="s">
        <v>78</v>
      </c>
      <c r="B282" s="120"/>
      <c r="C282" s="120"/>
      <c r="D282" s="120"/>
      <c r="E282" s="120"/>
      <c r="F282" s="120"/>
      <c r="G282" s="120"/>
      <c r="H282" s="121"/>
    </row>
    <row r="283" spans="1:8" ht="20.25" x14ac:dyDescent="0.25">
      <c r="A283" s="122" t="s">
        <v>79</v>
      </c>
      <c r="B283" s="123"/>
      <c r="C283" s="123"/>
      <c r="D283" s="123"/>
      <c r="E283" s="123"/>
      <c r="F283" s="123"/>
      <c r="G283" s="123"/>
      <c r="H283" s="124"/>
    </row>
    <row r="284" spans="1:8" ht="45" customHeight="1" x14ac:dyDescent="0.25">
      <c r="A284" s="122" t="s">
        <v>80</v>
      </c>
      <c r="B284" s="123"/>
      <c r="C284" s="123"/>
      <c r="D284" s="123"/>
      <c r="E284" s="123"/>
      <c r="F284" s="123"/>
      <c r="G284" s="123"/>
      <c r="H284" s="124"/>
    </row>
    <row r="285" spans="1:8" ht="42.75" customHeight="1" x14ac:dyDescent="0.25">
      <c r="A285" s="122" t="s">
        <v>81</v>
      </c>
      <c r="B285" s="123"/>
      <c r="C285" s="123"/>
      <c r="D285" s="123"/>
      <c r="E285" s="123"/>
      <c r="F285" s="123"/>
      <c r="G285" s="123"/>
      <c r="H285" s="124"/>
    </row>
    <row r="286" spans="1:8" ht="20.25" x14ac:dyDescent="0.25">
      <c r="A286" s="122" t="s">
        <v>82</v>
      </c>
      <c r="B286" s="123"/>
      <c r="C286" s="123"/>
      <c r="D286" s="123"/>
      <c r="E286" s="123"/>
      <c r="F286" s="123"/>
      <c r="G286" s="123"/>
      <c r="H286" s="124"/>
    </row>
    <row r="287" spans="1:8" ht="20.25" x14ac:dyDescent="0.25">
      <c r="A287" s="122" t="s">
        <v>83</v>
      </c>
      <c r="B287" s="123"/>
      <c r="C287" s="123"/>
      <c r="D287" s="123"/>
      <c r="E287" s="123"/>
      <c r="F287" s="123"/>
      <c r="G287" s="123"/>
      <c r="H287" s="124"/>
    </row>
    <row r="288" spans="1:8" ht="45" customHeight="1" x14ac:dyDescent="0.25">
      <c r="A288" s="122" t="s">
        <v>84</v>
      </c>
      <c r="B288" s="123"/>
      <c r="C288" s="123"/>
      <c r="D288" s="123"/>
      <c r="E288" s="123"/>
      <c r="F288" s="123"/>
      <c r="G288" s="123"/>
      <c r="H288" s="124"/>
    </row>
    <row r="289" spans="1:8" ht="45" customHeight="1" x14ac:dyDescent="0.25">
      <c r="A289" s="122" t="s">
        <v>85</v>
      </c>
      <c r="B289" s="123"/>
      <c r="C289" s="123"/>
      <c r="D289" s="123"/>
      <c r="E289" s="123"/>
      <c r="F289" s="123"/>
      <c r="G289" s="123"/>
      <c r="H289" s="124"/>
    </row>
    <row r="290" spans="1:8" ht="20.25" x14ac:dyDescent="0.25">
      <c r="A290" s="125" t="s">
        <v>86</v>
      </c>
      <c r="B290" s="126"/>
      <c r="C290" s="126"/>
      <c r="D290" s="126"/>
      <c r="E290" s="126"/>
      <c r="F290" s="126"/>
      <c r="G290" s="126"/>
      <c r="H290" s="127"/>
    </row>
    <row r="291" spans="1:8" ht="57" customHeight="1" x14ac:dyDescent="0.25">
      <c r="A291" s="129" t="s">
        <v>30</v>
      </c>
      <c r="B291" s="130"/>
      <c r="C291" s="131" t="s">
        <v>350</v>
      </c>
      <c r="D291" s="132"/>
      <c r="E291" s="129" t="s">
        <v>9</v>
      </c>
      <c r="F291" s="130"/>
      <c r="G291" s="117"/>
      <c r="H291" s="117"/>
    </row>
  </sheetData>
  <mergeCells count="317">
    <mergeCell ref="A138:B138"/>
    <mergeCell ref="A140:B140"/>
    <mergeCell ref="A141:B141"/>
    <mergeCell ref="A139:B139"/>
    <mergeCell ref="D139:H139"/>
    <mergeCell ref="A21:B21"/>
    <mergeCell ref="C21:H21"/>
    <mergeCell ref="D112:H114"/>
    <mergeCell ref="D116:H116"/>
    <mergeCell ref="A133:H133"/>
    <mergeCell ref="A101:B101"/>
    <mergeCell ref="G74:H74"/>
    <mergeCell ref="E59:F59"/>
    <mergeCell ref="E60:F60"/>
    <mergeCell ref="A59:C60"/>
    <mergeCell ref="A68:B68"/>
    <mergeCell ref="A119:B119"/>
    <mergeCell ref="A120:B120"/>
    <mergeCell ref="G80:H80"/>
    <mergeCell ref="A96:H96"/>
    <mergeCell ref="A91:B91"/>
    <mergeCell ref="A87:H87"/>
    <mergeCell ref="A88:B88"/>
    <mergeCell ref="E88:F88"/>
    <mergeCell ref="A102:B102"/>
    <mergeCell ref="A58:H58"/>
    <mergeCell ref="A61:B61"/>
    <mergeCell ref="A62:B62"/>
    <mergeCell ref="E61:F61"/>
    <mergeCell ref="A134:B134"/>
    <mergeCell ref="A74:F74"/>
    <mergeCell ref="A92:H92"/>
    <mergeCell ref="E84:F84"/>
    <mergeCell ref="E85:F85"/>
    <mergeCell ref="E86:F86"/>
    <mergeCell ref="A84:B84"/>
    <mergeCell ref="A85:B85"/>
    <mergeCell ref="C84:D84"/>
    <mergeCell ref="A86:B86"/>
    <mergeCell ref="C85:D85"/>
    <mergeCell ref="G84:H84"/>
    <mergeCell ref="G85:H85"/>
    <mergeCell ref="G86:H86"/>
    <mergeCell ref="C86:D86"/>
    <mergeCell ref="G88:H88"/>
    <mergeCell ref="A89:B89"/>
    <mergeCell ref="G89:H89"/>
    <mergeCell ref="G91:H91"/>
    <mergeCell ref="A90:B90"/>
    <mergeCell ref="A114:B114"/>
    <mergeCell ref="A116:B116"/>
    <mergeCell ref="A112:B112"/>
    <mergeCell ref="A117:H117"/>
    <mergeCell ref="C18:D18"/>
    <mergeCell ref="C19:D19"/>
    <mergeCell ref="C20:D20"/>
    <mergeCell ref="C22:D22"/>
    <mergeCell ref="C23:D23"/>
    <mergeCell ref="C25:H25"/>
    <mergeCell ref="C24:H24"/>
    <mergeCell ref="A66:B66"/>
    <mergeCell ref="A69:B69"/>
    <mergeCell ref="A46:B46"/>
    <mergeCell ref="A47:B47"/>
    <mergeCell ref="D47:F47"/>
    <mergeCell ref="D46:F46"/>
    <mergeCell ref="A56:B56"/>
    <mergeCell ref="A57:B57"/>
    <mergeCell ref="C54:F54"/>
    <mergeCell ref="C55:F55"/>
    <mergeCell ref="C56:F56"/>
    <mergeCell ref="C57:F57"/>
    <mergeCell ref="G62:H73"/>
    <mergeCell ref="A111:B111"/>
    <mergeCell ref="A109:H109"/>
    <mergeCell ref="G78:H78"/>
    <mergeCell ref="G82:H82"/>
    <mergeCell ref="A79:H79"/>
    <mergeCell ref="E76:F76"/>
    <mergeCell ref="A78:B78"/>
    <mergeCell ref="E77:F77"/>
    <mergeCell ref="G77:H77"/>
    <mergeCell ref="A103:B103"/>
    <mergeCell ref="A104:B104"/>
    <mergeCell ref="A97:B97"/>
    <mergeCell ref="C89:D89"/>
    <mergeCell ref="C91:D91"/>
    <mergeCell ref="G90:H90"/>
    <mergeCell ref="A98:B98"/>
    <mergeCell ref="A99:B99"/>
    <mergeCell ref="A100:B100"/>
    <mergeCell ref="A105:B105"/>
    <mergeCell ref="A106:B106"/>
    <mergeCell ref="A107:B107"/>
    <mergeCell ref="A108:B108"/>
    <mergeCell ref="D110:H110"/>
    <mergeCell ref="A1:H1"/>
    <mergeCell ref="A153:C153"/>
    <mergeCell ref="G28:H28"/>
    <mergeCell ref="G29:H29"/>
    <mergeCell ref="A38:H38"/>
    <mergeCell ref="A45:H45"/>
    <mergeCell ref="A48:H48"/>
    <mergeCell ref="A83:H83"/>
    <mergeCell ref="G81:H81"/>
    <mergeCell ref="G7:H7"/>
    <mergeCell ref="G46:H46"/>
    <mergeCell ref="A26:H26"/>
    <mergeCell ref="G27:H27"/>
    <mergeCell ref="G20:H20"/>
    <mergeCell ref="G22:H22"/>
    <mergeCell ref="A9:A11"/>
    <mergeCell ref="G6:H6"/>
    <mergeCell ref="A5:H5"/>
    <mergeCell ref="A34:H34"/>
    <mergeCell ref="G31:H31"/>
    <mergeCell ref="G30:H30"/>
    <mergeCell ref="A13:H13"/>
    <mergeCell ref="C27:D27"/>
    <mergeCell ref="G14:H14"/>
    <mergeCell ref="G291:H291"/>
    <mergeCell ref="A152:H152"/>
    <mergeCell ref="D154:H154"/>
    <mergeCell ref="A282:H282"/>
    <mergeCell ref="A288:H288"/>
    <mergeCell ref="A289:H289"/>
    <mergeCell ref="A290:H290"/>
    <mergeCell ref="A283:H283"/>
    <mergeCell ref="A284:H284"/>
    <mergeCell ref="A285:H285"/>
    <mergeCell ref="A286:H286"/>
    <mergeCell ref="A154:C154"/>
    <mergeCell ref="A281:H281"/>
    <mergeCell ref="A287:H287"/>
    <mergeCell ref="A250:H250"/>
    <mergeCell ref="D153:H153"/>
    <mergeCell ref="A155:C155"/>
    <mergeCell ref="D155:H155"/>
    <mergeCell ref="A200:H200"/>
    <mergeCell ref="E291:F291"/>
    <mergeCell ref="A291:B291"/>
    <mergeCell ref="C291:D291"/>
    <mergeCell ref="G16:H16"/>
    <mergeCell ref="G17:H17"/>
    <mergeCell ref="G15:H15"/>
    <mergeCell ref="G18:H18"/>
    <mergeCell ref="G19:H19"/>
    <mergeCell ref="G47:H47"/>
    <mergeCell ref="G32:H32"/>
    <mergeCell ref="G23:H23"/>
    <mergeCell ref="G37:H37"/>
    <mergeCell ref="G36:H36"/>
    <mergeCell ref="E62:F73"/>
    <mergeCell ref="A121:B121"/>
    <mergeCell ref="A115:B115"/>
    <mergeCell ref="A113:B113"/>
    <mergeCell ref="E90:F90"/>
    <mergeCell ref="E89:F89"/>
    <mergeCell ref="C88:D88"/>
    <mergeCell ref="A110:B110"/>
    <mergeCell ref="E91:F91"/>
    <mergeCell ref="C90:D90"/>
    <mergeCell ref="A75:H75"/>
    <mergeCell ref="G76:H76"/>
    <mergeCell ref="A94:H94"/>
    <mergeCell ref="A95:H95"/>
    <mergeCell ref="A76:B76"/>
    <mergeCell ref="C76:D76"/>
    <mergeCell ref="C77:D77"/>
    <mergeCell ref="C78:D78"/>
    <mergeCell ref="E78:F78"/>
    <mergeCell ref="A80:F80"/>
    <mergeCell ref="A81:F81"/>
    <mergeCell ref="A82:F82"/>
    <mergeCell ref="A77:B77"/>
    <mergeCell ref="A118:B118"/>
    <mergeCell ref="B151:H151"/>
    <mergeCell ref="B144:H144"/>
    <mergeCell ref="B143:H143"/>
    <mergeCell ref="B147:H147"/>
    <mergeCell ref="B146:H146"/>
    <mergeCell ref="B145:H145"/>
    <mergeCell ref="B148:H148"/>
    <mergeCell ref="A122:B122"/>
    <mergeCell ref="A123:B123"/>
    <mergeCell ref="A124:B124"/>
    <mergeCell ref="A132:B132"/>
    <mergeCell ref="A129:B129"/>
    <mergeCell ref="A130:B130"/>
    <mergeCell ref="A131:B131"/>
    <mergeCell ref="A125:H125"/>
    <mergeCell ref="A126:B126"/>
    <mergeCell ref="A127:B127"/>
    <mergeCell ref="A128:B128"/>
    <mergeCell ref="B150:H150"/>
    <mergeCell ref="A142:H142"/>
    <mergeCell ref="B149:H149"/>
    <mergeCell ref="A135:B135"/>
    <mergeCell ref="A136:B136"/>
    <mergeCell ref="A137:B137"/>
    <mergeCell ref="E3:F3"/>
    <mergeCell ref="E4:F4"/>
    <mergeCell ref="A63:B63"/>
    <mergeCell ref="C28:D28"/>
    <mergeCell ref="A70:B70"/>
    <mergeCell ref="A71:B71"/>
    <mergeCell ref="A72:B72"/>
    <mergeCell ref="A73:B73"/>
    <mergeCell ref="A64:B64"/>
    <mergeCell ref="A65:B65"/>
    <mergeCell ref="A67:B67"/>
    <mergeCell ref="E14:F14"/>
    <mergeCell ref="E15:F15"/>
    <mergeCell ref="E16:F16"/>
    <mergeCell ref="E17:F17"/>
    <mergeCell ref="E18:F18"/>
    <mergeCell ref="E19:F19"/>
    <mergeCell ref="A24:B24"/>
    <mergeCell ref="A25:B25"/>
    <mergeCell ref="E20:F20"/>
    <mergeCell ref="E22:F22"/>
    <mergeCell ref="E23:F23"/>
    <mergeCell ref="C14:D14"/>
    <mergeCell ref="C15:D15"/>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C16:D16"/>
    <mergeCell ref="C17:D17"/>
    <mergeCell ref="A14:B14"/>
    <mergeCell ref="A15:B15"/>
    <mergeCell ref="A16:B16"/>
    <mergeCell ref="A17:B17"/>
    <mergeCell ref="A18:B18"/>
    <mergeCell ref="A19:B19"/>
    <mergeCell ref="A20:B20"/>
    <mergeCell ref="A22:B22"/>
    <mergeCell ref="A23:B23"/>
    <mergeCell ref="A32:B32"/>
    <mergeCell ref="A33:B33"/>
    <mergeCell ref="E27:F27"/>
    <mergeCell ref="E28:F28"/>
    <mergeCell ref="E29:F29"/>
    <mergeCell ref="E30:F30"/>
    <mergeCell ref="E31:F31"/>
    <mergeCell ref="E32:F32"/>
    <mergeCell ref="C29:D29"/>
    <mergeCell ref="C30:D30"/>
    <mergeCell ref="C31:D31"/>
    <mergeCell ref="C32:D32"/>
    <mergeCell ref="C33:H33"/>
    <mergeCell ref="A29:B29"/>
    <mergeCell ref="A30:B30"/>
    <mergeCell ref="A31:B31"/>
    <mergeCell ref="A27:B27"/>
    <mergeCell ref="A28:B28"/>
    <mergeCell ref="A44:B44"/>
    <mergeCell ref="A39:B39"/>
    <mergeCell ref="A43:B43"/>
    <mergeCell ref="C43:E43"/>
    <mergeCell ref="F43:H43"/>
    <mergeCell ref="C44:H44"/>
    <mergeCell ref="E35:F35"/>
    <mergeCell ref="E36:F36"/>
    <mergeCell ref="E37:F37"/>
    <mergeCell ref="A35:B35"/>
    <mergeCell ref="A36:B36"/>
    <mergeCell ref="A37:B37"/>
    <mergeCell ref="C35:D35"/>
    <mergeCell ref="C36:D36"/>
    <mergeCell ref="C37:D37"/>
    <mergeCell ref="G35:H35"/>
    <mergeCell ref="J39:K39"/>
    <mergeCell ref="M39:N39"/>
    <mergeCell ref="C39:E39"/>
    <mergeCell ref="F39:H39"/>
    <mergeCell ref="C40:E40"/>
    <mergeCell ref="F40:H40"/>
    <mergeCell ref="F41:H41"/>
    <mergeCell ref="C41:E41"/>
    <mergeCell ref="A42:B42"/>
    <mergeCell ref="C42:E42"/>
    <mergeCell ref="F42:H42"/>
    <mergeCell ref="A40:B40"/>
    <mergeCell ref="A41:B41"/>
    <mergeCell ref="A49:B49"/>
    <mergeCell ref="A51:B51"/>
    <mergeCell ref="A54:B54"/>
    <mergeCell ref="A55:B55"/>
    <mergeCell ref="A50:B50"/>
    <mergeCell ref="C49:H49"/>
    <mergeCell ref="C50:F50"/>
    <mergeCell ref="C51:F51"/>
    <mergeCell ref="C52:F52"/>
    <mergeCell ref="A52:B53"/>
    <mergeCell ref="C53:H53"/>
  </mergeCells>
  <dataValidations count="7">
    <dataValidation type="list" allowBlank="1" showInputMessage="1" showErrorMessage="1" sqref="G6:H6">
      <formula1>"Mr. Suraj Khare,Miss Rupali, Miss Vinaya"</formula1>
    </dataValidation>
    <dataValidation type="list" allowBlank="1" showInputMessage="1" showErrorMessage="1" sqref="G27:H27">
      <formula1>"Middle,Upper"</formula1>
    </dataValidation>
    <dataValidation type="list" allowBlank="1" showInputMessage="1" showErrorMessage="1" sqref="C78">
      <formula1>"300000,350000,400000,500000,600000,700000,800000,900000,1000000,1200000,1400000,1500000,1600000"</formula1>
    </dataValidation>
    <dataValidation type="list" allowBlank="1" showInputMessage="1" showErrorMessage="1" sqref="F93">
      <formula1>"AP + Enclosed Balcony Area, Fungible area,Balcony Area,Chajja Area,Cornice Area,AP Area,WS Area"</formula1>
    </dataValidation>
    <dataValidation type="list" allowBlank="1" showInputMessage="1" showErrorMessage="1" sqref="C28:D28">
      <formula1>"Bitumen,Concrete"</formula1>
    </dataValidation>
    <dataValidation type="list" allowBlank="1" showInputMessage="1" showErrorMessage="1" sqref="C49:H49 G36:H36">
      <formula1>"Yes,No"</formula1>
    </dataValidation>
    <dataValidation type="list" allowBlank="1" showInputMessage="1" showErrorMessage="1" sqref="C93">
      <formula1>"Sale /         Rehab /           PAP,Sale / Mhada,Sale / Landowner"</formula1>
    </dataValidation>
  </dataValidations>
  <hyperlinks>
    <hyperlink ref="C24"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7" max="7" man="1"/>
    <brk id="151" max="8" man="1"/>
    <brk id="199" max="16383" man="1"/>
    <brk id="24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99" t="s">
        <v>69</v>
      </c>
      <c r="B3" s="99"/>
      <c r="C3" s="99"/>
      <c r="D3" s="99"/>
      <c r="E3" s="99"/>
      <c r="F3" s="99"/>
      <c r="G3" s="99"/>
      <c r="H3" s="99"/>
      <c r="I3" s="99"/>
    </row>
    <row r="4" spans="1:11" s="1" customFormat="1" ht="20.25" customHeight="1" x14ac:dyDescent="0.3">
      <c r="A4" s="162">
        <v>1</v>
      </c>
      <c r="B4" s="162"/>
      <c r="C4" s="162"/>
      <c r="D4" s="163" t="s">
        <v>4</v>
      </c>
      <c r="E4" s="30" t="s">
        <v>115</v>
      </c>
      <c r="F4" s="160" t="s">
        <v>102</v>
      </c>
      <c r="G4" s="160"/>
      <c r="H4" s="30" t="s">
        <v>116</v>
      </c>
      <c r="I4" s="30"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62"/>
      <c r="B5" s="162"/>
      <c r="C5" s="162"/>
      <c r="D5" s="163"/>
      <c r="E5" s="30">
        <v>3</v>
      </c>
      <c r="F5" s="160">
        <v>1</v>
      </c>
      <c r="G5" s="160"/>
      <c r="H5" s="30">
        <v>0</v>
      </c>
      <c r="I5" s="30">
        <f ca="1">--TRIM(RIGHT(SUBSTITUTE(LEFT(A4,_xlfn.AGGREGATE(16,6,FIND({0,1,2,3,4,5,6,7,8,9},A4,ROW(INDIRECT("1:"&amp;LEN(A4)))),1))," ",REPT(" ",LEN(A4))),LEN(A4)))</f>
        <v>1</v>
      </c>
      <c r="J5" s="17" t="s">
        <v>121</v>
      </c>
      <c r="K5" s="18"/>
    </row>
    <row r="6" spans="1:11" s="1" customFormat="1" ht="20.25" customHeight="1" x14ac:dyDescent="0.3">
      <c r="A6" s="141" t="s">
        <v>119</v>
      </c>
      <c r="B6" s="141"/>
      <c r="C6" s="141" t="s">
        <v>129</v>
      </c>
      <c r="D6" s="141"/>
      <c r="E6" s="28" t="s">
        <v>130</v>
      </c>
      <c r="F6" s="141" t="s">
        <v>120</v>
      </c>
      <c r="G6" s="141"/>
      <c r="H6" s="29" t="s">
        <v>118</v>
      </c>
      <c r="I6" s="29"/>
      <c r="J6" s="20" t="s">
        <v>131</v>
      </c>
      <c r="K6" s="19">
        <f ca="1">I5*25%</f>
        <v>0.25</v>
      </c>
    </row>
    <row r="7" spans="1:11" s="1" customFormat="1" ht="20.25" customHeight="1" x14ac:dyDescent="0.3">
      <c r="A7" s="88" t="s">
        <v>132</v>
      </c>
      <c r="B7" s="88"/>
      <c r="C7" s="160">
        <f ca="1">K8</f>
        <v>1</v>
      </c>
      <c r="D7" s="160"/>
      <c r="E7" s="5">
        <f ca="1">((100/I5)*C7)/100</f>
        <v>1</v>
      </c>
      <c r="F7" s="88">
        <f ca="1">(((C7/I5*5)+(C8/I5*20)+(25/(F5+H5+I5)*C9)+(5/(I5)*C10)+(2.5/(I5)*C11)+(2.5/(I5)*C12)+(5/I5*C13)+(10/I5*C14)+(2.5/I5*C15)+(2.5/I5*C16)+(10/I5*C17)+(10/I5*C18))/100)</f>
        <v>0.25</v>
      </c>
      <c r="G7" s="88"/>
      <c r="H7" s="88" t="str">
        <f ca="1">J4</f>
        <v>Excavation work Completed. Plinth work completed</v>
      </c>
      <c r="I7" s="88"/>
      <c r="J7" s="20" t="s">
        <v>122</v>
      </c>
      <c r="K7" s="24">
        <f ca="1">I5*50%</f>
        <v>0.5</v>
      </c>
    </row>
    <row r="8" spans="1:11" s="1" customFormat="1" ht="20.25" x14ac:dyDescent="0.3">
      <c r="A8" s="88" t="s">
        <v>103</v>
      </c>
      <c r="B8" s="88"/>
      <c r="C8" s="164">
        <f ca="1">K16</f>
        <v>1</v>
      </c>
      <c r="D8" s="160"/>
      <c r="E8" s="5">
        <f ca="1">((100/I5)*C8)/100</f>
        <v>1</v>
      </c>
      <c r="F8" s="88"/>
      <c r="G8" s="88"/>
      <c r="H8" s="88"/>
      <c r="I8" s="88"/>
      <c r="J8" s="20" t="s">
        <v>123</v>
      </c>
      <c r="K8" s="24">
        <f ca="1">I5</f>
        <v>1</v>
      </c>
    </row>
    <row r="9" spans="1:11" s="1" customFormat="1" ht="21" customHeight="1" x14ac:dyDescent="0.35">
      <c r="A9" s="88" t="s">
        <v>133</v>
      </c>
      <c r="B9" s="88"/>
      <c r="C9" s="160">
        <v>0</v>
      </c>
      <c r="D9" s="160"/>
      <c r="E9" s="5">
        <f ca="1">((100/(F5+H5+I5))*C9)/100</f>
        <v>0</v>
      </c>
      <c r="F9" s="88"/>
      <c r="G9" s="88"/>
      <c r="H9" s="88"/>
      <c r="I9" s="88"/>
      <c r="J9" s="20" t="s">
        <v>124</v>
      </c>
      <c r="K9" s="25">
        <f ca="1">(IF(E5&gt;1,(I5/(E5+2)),I5*0.2))</f>
        <v>0.2</v>
      </c>
    </row>
    <row r="10" spans="1:11" s="1" customFormat="1" ht="21" customHeight="1" x14ac:dyDescent="0.35">
      <c r="A10" s="88" t="s">
        <v>134</v>
      </c>
      <c r="B10" s="88"/>
      <c r="C10" s="160">
        <v>0</v>
      </c>
      <c r="D10" s="160"/>
      <c r="E10" s="5">
        <f ca="1">((100/I5)*C10)/100</f>
        <v>0</v>
      </c>
      <c r="F10" s="88"/>
      <c r="G10" s="88"/>
      <c r="H10" s="88"/>
      <c r="I10" s="88"/>
      <c r="J10" s="20" t="s">
        <v>125</v>
      </c>
      <c r="K10" s="25">
        <f ca="1">(IF(E5&gt;1,(I5/(E5+2)+K9),I5*0.2+K9))</f>
        <v>0.4</v>
      </c>
    </row>
    <row r="11" spans="1:11" s="1" customFormat="1" ht="21" customHeight="1" x14ac:dyDescent="0.35">
      <c r="A11" s="89" t="s">
        <v>135</v>
      </c>
      <c r="B11" s="90"/>
      <c r="C11" s="160">
        <v>0</v>
      </c>
      <c r="D11" s="160"/>
      <c r="E11" s="5">
        <f ca="1">((100/I5)*C11)/100</f>
        <v>0</v>
      </c>
      <c r="F11" s="88"/>
      <c r="G11" s="88"/>
      <c r="H11" s="88"/>
      <c r="I11" s="88"/>
      <c r="J11" s="20" t="s">
        <v>136</v>
      </c>
      <c r="K11" s="25">
        <f ca="1">(IF(E5&gt;1,(I5/(E5+2)+K10),0))</f>
        <v>0.60000000000000009</v>
      </c>
    </row>
    <row r="12" spans="1:11" s="1" customFormat="1" ht="21" customHeight="1" x14ac:dyDescent="0.35">
      <c r="A12" s="89" t="s">
        <v>166</v>
      </c>
      <c r="B12" s="90"/>
      <c r="C12" s="160">
        <v>0</v>
      </c>
      <c r="D12" s="160"/>
      <c r="E12" s="5">
        <f ca="1">((100/I5)*C12)/100</f>
        <v>0</v>
      </c>
      <c r="F12" s="88"/>
      <c r="G12" s="88"/>
      <c r="H12" s="88"/>
      <c r="I12" s="88"/>
      <c r="J12" s="20" t="s">
        <v>137</v>
      </c>
      <c r="K12" s="25">
        <f ca="1">(IF(E5&gt;2,(I5/(E5+2)+K11),0))</f>
        <v>0.8</v>
      </c>
    </row>
    <row r="13" spans="1:11" s="1" customFormat="1" ht="57.75" customHeight="1" x14ac:dyDescent="0.35">
      <c r="A13" s="89" t="s">
        <v>163</v>
      </c>
      <c r="B13" s="90"/>
      <c r="C13" s="160">
        <v>0</v>
      </c>
      <c r="D13" s="160"/>
      <c r="E13" s="5">
        <f ca="1">((100/(I5))*C13)/100</f>
        <v>0</v>
      </c>
      <c r="F13" s="88"/>
      <c r="G13" s="88"/>
      <c r="H13" s="88"/>
      <c r="I13" s="88"/>
      <c r="J13" s="20" t="s">
        <v>139</v>
      </c>
      <c r="K13" s="26">
        <f>(IF(E5&gt;3,(I5/(E5+2)+K12),0))</f>
        <v>0</v>
      </c>
    </row>
    <row r="14" spans="1:11" s="1" customFormat="1" ht="21" x14ac:dyDescent="0.35">
      <c r="A14" s="88" t="s">
        <v>138</v>
      </c>
      <c r="B14" s="88"/>
      <c r="C14" s="160">
        <v>0</v>
      </c>
      <c r="D14" s="160"/>
      <c r="E14" s="5">
        <f ca="1">((100/(I5))*C14)/100</f>
        <v>0</v>
      </c>
      <c r="F14" s="88"/>
      <c r="G14" s="88"/>
      <c r="H14" s="88"/>
      <c r="I14" s="88"/>
      <c r="J14" s="20" t="s">
        <v>140</v>
      </c>
      <c r="K14" s="25">
        <f>(IF(E5&gt;4,(I5/(E5+2)+K13),0))</f>
        <v>0</v>
      </c>
    </row>
    <row r="15" spans="1:11" s="1" customFormat="1" ht="21" customHeight="1" x14ac:dyDescent="0.35">
      <c r="A15" s="88" t="s">
        <v>165</v>
      </c>
      <c r="B15" s="88"/>
      <c r="C15" s="160">
        <v>0</v>
      </c>
      <c r="D15" s="160"/>
      <c r="E15" s="5">
        <f ca="1">((100/I5)*C15)/100</f>
        <v>0</v>
      </c>
      <c r="F15" s="88"/>
      <c r="G15" s="88"/>
      <c r="H15" s="88"/>
      <c r="I15" s="88"/>
      <c r="J15" s="20" t="s">
        <v>126</v>
      </c>
      <c r="K15" s="25">
        <f>(IF(E5=1,(I5/(E5+3)+K10),IF(E5=0,(I5*0.3+K10),IF(E5&gt;1,0))))</f>
        <v>0</v>
      </c>
    </row>
    <row r="16" spans="1:11" s="1" customFormat="1" ht="21.75" thickBot="1" x14ac:dyDescent="0.4">
      <c r="A16" s="88" t="s">
        <v>164</v>
      </c>
      <c r="B16" s="88"/>
      <c r="C16" s="160">
        <v>0</v>
      </c>
      <c r="D16" s="160"/>
      <c r="E16" s="5">
        <f ca="1">((100/I5)*C16)/100</f>
        <v>0</v>
      </c>
      <c r="F16" s="88"/>
      <c r="G16" s="88"/>
      <c r="H16" s="88"/>
      <c r="I16" s="88"/>
      <c r="J16" s="22" t="s">
        <v>127</v>
      </c>
      <c r="K16" s="27">
        <f ca="1">(IF(E5&gt;1.5,(I5/(E5+2)+K10+MAX(0,K11-K10)+MAX(0,K12-K11)+MAX(0,K13-K12)+MAX(0,K14-K13)+MAX(0,K15-K14)),IF(E5=1,(I5/(E5+3)+K15),IF(E5=0,I5*0.3+K15))))</f>
        <v>1</v>
      </c>
    </row>
    <row r="17" spans="1:9" s="1" customFormat="1" ht="20.25" x14ac:dyDescent="0.25">
      <c r="A17" s="88" t="s">
        <v>141</v>
      </c>
      <c r="B17" s="88"/>
      <c r="C17" s="160">
        <v>0</v>
      </c>
      <c r="D17" s="160"/>
      <c r="E17" s="5">
        <f ca="1">((100/(I5))*C17)/100</f>
        <v>0</v>
      </c>
      <c r="F17" s="88"/>
      <c r="G17" s="88"/>
      <c r="H17" s="88"/>
      <c r="I17" s="88"/>
    </row>
    <row r="18" spans="1:9" s="1" customFormat="1" ht="20.25" x14ac:dyDescent="0.25">
      <c r="A18" s="88" t="s">
        <v>142</v>
      </c>
      <c r="B18" s="88"/>
      <c r="C18" s="160">
        <v>0</v>
      </c>
      <c r="D18" s="160"/>
      <c r="E18" s="5">
        <f ca="1">((100/(I5))*C18)/100</f>
        <v>0</v>
      </c>
      <c r="F18" s="88"/>
      <c r="G18" s="88"/>
      <c r="H18" s="88"/>
      <c r="I18" s="88"/>
    </row>
    <row r="23" spans="1:9" x14ac:dyDescent="0.25">
      <c r="B23" s="165" t="s">
        <v>167</v>
      </c>
      <c r="C23" s="165"/>
      <c r="D23" s="165"/>
      <c r="E23" s="165"/>
      <c r="F23" s="165"/>
      <c r="G23" s="165"/>
    </row>
    <row r="24" spans="1:9" ht="14.45" customHeight="1" x14ac:dyDescent="0.25">
      <c r="B24" s="168" t="s">
        <v>168</v>
      </c>
      <c r="C24" s="168" t="s">
        <v>169</v>
      </c>
      <c r="D24" s="171" t="s">
        <v>170</v>
      </c>
      <c r="E24" s="172" t="s">
        <v>171</v>
      </c>
      <c r="F24" s="169" t="s">
        <v>172</v>
      </c>
      <c r="G24" s="168" t="s">
        <v>173</v>
      </c>
    </row>
    <row r="25" spans="1:9" x14ac:dyDescent="0.25">
      <c r="B25" s="168"/>
      <c r="C25" s="168"/>
      <c r="D25" s="171"/>
      <c r="E25" s="172"/>
      <c r="F25" s="169"/>
      <c r="G25" s="168"/>
    </row>
    <row r="26" spans="1:9" x14ac:dyDescent="0.25">
      <c r="B26" s="36" t="s">
        <v>174</v>
      </c>
      <c r="C26" s="37">
        <v>10</v>
      </c>
      <c r="D26" s="37">
        <v>1</v>
      </c>
      <c r="E26" s="38"/>
      <c r="F26" s="39">
        <f>((E26/D26)*0.05)*100</f>
        <v>0</v>
      </c>
      <c r="G26" s="39">
        <f t="shared" ref="G26:G37" si="0">((E26/D26)*(C26/100))*100</f>
        <v>0</v>
      </c>
    </row>
    <row r="27" spans="1:9" x14ac:dyDescent="0.25">
      <c r="B27" s="36" t="s">
        <v>175</v>
      </c>
      <c r="C27" s="38">
        <v>10</v>
      </c>
      <c r="D27" s="38">
        <v>1</v>
      </c>
      <c r="E27" s="38"/>
      <c r="F27" s="39">
        <f>((E27/D27)*0.05)*100</f>
        <v>0</v>
      </c>
      <c r="G27" s="39">
        <f t="shared" si="0"/>
        <v>0</v>
      </c>
    </row>
    <row r="28" spans="1:9" x14ac:dyDescent="0.25">
      <c r="B28" s="36" t="s">
        <v>176</v>
      </c>
      <c r="C28" s="38">
        <v>15</v>
      </c>
      <c r="D28" s="38">
        <v>1</v>
      </c>
      <c r="E28" s="38"/>
      <c r="F28" s="39">
        <f>((E28/D28)*0.15)*100</f>
        <v>0</v>
      </c>
      <c r="G28" s="39">
        <f t="shared" si="0"/>
        <v>0</v>
      </c>
    </row>
    <row r="29" spans="1:9" x14ac:dyDescent="0.25">
      <c r="B29" s="40" t="s">
        <v>177</v>
      </c>
      <c r="C29" s="38">
        <v>25</v>
      </c>
      <c r="D29" s="38">
        <v>40</v>
      </c>
      <c r="E29" s="38"/>
      <c r="F29" s="39">
        <f>((E29/D29)*0.25)*100</f>
        <v>0</v>
      </c>
      <c r="G29" s="39">
        <f t="shared" si="0"/>
        <v>0</v>
      </c>
    </row>
    <row r="30" spans="1:9" x14ac:dyDescent="0.25">
      <c r="B30" s="40" t="s">
        <v>178</v>
      </c>
      <c r="C30" s="38">
        <v>5</v>
      </c>
      <c r="D30" s="38">
        <v>39</v>
      </c>
      <c r="E30" s="38"/>
      <c r="F30" s="39">
        <f>((E30/D30)*0.05)*100</f>
        <v>0</v>
      </c>
      <c r="G30" s="39">
        <f t="shared" si="0"/>
        <v>0</v>
      </c>
    </row>
    <row r="31" spans="1:9" ht="30" x14ac:dyDescent="0.25">
      <c r="B31" s="40" t="s">
        <v>179</v>
      </c>
      <c r="C31" s="38">
        <v>2.5</v>
      </c>
      <c r="D31" s="38">
        <v>39</v>
      </c>
      <c r="E31" s="38"/>
      <c r="F31" s="39">
        <f>((E31/D31)*0.025)*100</f>
        <v>0</v>
      </c>
      <c r="G31" s="39">
        <f t="shared" si="0"/>
        <v>0</v>
      </c>
    </row>
    <row r="32" spans="1:9" ht="30" x14ac:dyDescent="0.25">
      <c r="B32" s="40" t="s">
        <v>180</v>
      </c>
      <c r="C32" s="38">
        <v>2.5</v>
      </c>
      <c r="D32" s="38">
        <v>39</v>
      </c>
      <c r="E32" s="38"/>
      <c r="F32" s="39">
        <f>((E32/D32)*0.025)*100</f>
        <v>0</v>
      </c>
      <c r="G32" s="39">
        <f t="shared" si="0"/>
        <v>0</v>
      </c>
    </row>
    <row r="33" spans="1:7" ht="45" x14ac:dyDescent="0.25">
      <c r="B33" s="41" t="s">
        <v>181</v>
      </c>
      <c r="C33" s="38">
        <v>5</v>
      </c>
      <c r="D33" s="38">
        <v>39</v>
      </c>
      <c r="E33" s="38"/>
      <c r="F33" s="39">
        <f>((E33/D33)*0.05)*100</f>
        <v>0</v>
      </c>
      <c r="G33" s="39">
        <f t="shared" si="0"/>
        <v>0</v>
      </c>
    </row>
    <row r="34" spans="1:7" ht="30" x14ac:dyDescent="0.25">
      <c r="B34" s="41" t="s">
        <v>182</v>
      </c>
      <c r="C34" s="38">
        <v>5</v>
      </c>
      <c r="D34" s="38">
        <v>39</v>
      </c>
      <c r="E34" s="38"/>
      <c r="F34" s="39">
        <f>((E34/D34)*0.1)*100</f>
        <v>0</v>
      </c>
      <c r="G34" s="39">
        <f t="shared" si="0"/>
        <v>0</v>
      </c>
    </row>
    <row r="35" spans="1:7" ht="30" x14ac:dyDescent="0.25">
      <c r="B35" s="41" t="s">
        <v>183</v>
      </c>
      <c r="C35" s="38">
        <v>5</v>
      </c>
      <c r="D35" s="38">
        <v>39</v>
      </c>
      <c r="E35" s="38"/>
      <c r="F35" s="39">
        <f>((E35/D35)*0.05)*100</f>
        <v>0</v>
      </c>
      <c r="G35" s="39">
        <f t="shared" si="0"/>
        <v>0</v>
      </c>
    </row>
    <row r="36" spans="1:7" ht="60" x14ac:dyDescent="0.25">
      <c r="B36" s="41" t="s">
        <v>184</v>
      </c>
      <c r="C36" s="38">
        <v>10</v>
      </c>
      <c r="D36" s="38">
        <v>39</v>
      </c>
      <c r="E36" s="38"/>
      <c r="F36" s="39">
        <f>((E36/D36)*0.1)*100</f>
        <v>0</v>
      </c>
      <c r="G36" s="39">
        <f t="shared" si="0"/>
        <v>0</v>
      </c>
    </row>
    <row r="37" spans="1:7" ht="45" x14ac:dyDescent="0.25">
      <c r="B37" s="41" t="s">
        <v>185</v>
      </c>
      <c r="C37" s="38">
        <v>5</v>
      </c>
      <c r="D37" s="38">
        <v>39</v>
      </c>
      <c r="E37" s="38"/>
      <c r="F37" s="39">
        <f>((E37/D37)*0.1)*100</f>
        <v>0</v>
      </c>
      <c r="G37" s="39">
        <f t="shared" si="0"/>
        <v>0</v>
      </c>
    </row>
    <row r="38" spans="1:7" ht="15.75" x14ac:dyDescent="0.25">
      <c r="B38" s="42" t="s">
        <v>186</v>
      </c>
      <c r="C38" s="43">
        <f>SUM(C26:C37)</f>
        <v>100</v>
      </c>
      <c r="D38" s="42"/>
      <c r="E38" s="42"/>
      <c r="F38" s="43">
        <f>SUM(F26:F37)</f>
        <v>0</v>
      </c>
      <c r="G38" s="43">
        <f>SUM(G26:G37)</f>
        <v>0</v>
      </c>
    </row>
    <row r="39" spans="1:7" x14ac:dyDescent="0.25">
      <c r="B39" s="169" t="s">
        <v>187</v>
      </c>
      <c r="C39" s="169"/>
      <c r="D39" s="169"/>
      <c r="E39" s="169"/>
      <c r="F39" s="169"/>
      <c r="G39" s="169"/>
    </row>
    <row r="40" spans="1:7" x14ac:dyDescent="0.25">
      <c r="B40" s="170" t="s">
        <v>188</v>
      </c>
      <c r="C40" s="170"/>
      <c r="D40" s="170"/>
      <c r="E40" s="170" t="s">
        <v>189</v>
      </c>
      <c r="F40" s="170"/>
      <c r="G40" s="170"/>
    </row>
    <row r="41" spans="1:7" x14ac:dyDescent="0.25">
      <c r="B41" s="166" t="s">
        <v>190</v>
      </c>
      <c r="C41" s="166"/>
      <c r="D41" s="166"/>
      <c r="E41" s="166" t="s">
        <v>191</v>
      </c>
      <c r="F41" s="166"/>
      <c r="G41" s="166"/>
    </row>
    <row r="42" spans="1:7" x14ac:dyDescent="0.25">
      <c r="B42" s="166" t="s">
        <v>192</v>
      </c>
      <c r="C42" s="166"/>
      <c r="D42" s="166"/>
      <c r="E42" s="166" t="s">
        <v>193</v>
      </c>
      <c r="F42" s="166"/>
      <c r="G42" s="166"/>
    </row>
    <row r="43" spans="1:7" x14ac:dyDescent="0.25">
      <c r="B43" s="167" t="s">
        <v>194</v>
      </c>
      <c r="C43" s="167"/>
      <c r="D43" s="167"/>
      <c r="E43" s="167" t="s">
        <v>195</v>
      </c>
      <c r="F43" s="167"/>
      <c r="G43" s="167"/>
    </row>
    <row r="45" spans="1:7" ht="15.75" thickBot="1" x14ac:dyDescent="0.3"/>
    <row r="46" spans="1:7" ht="17.25" thickTop="1" thickBot="1" x14ac:dyDescent="0.3">
      <c r="A46" s="44" t="s">
        <v>196</v>
      </c>
      <c r="B46" s="44" t="s">
        <v>168</v>
      </c>
      <c r="C46" s="45" t="s">
        <v>197</v>
      </c>
      <c r="D46" s="45" t="s">
        <v>198</v>
      </c>
      <c r="E46" s="45" t="s">
        <v>199</v>
      </c>
    </row>
    <row r="47" spans="1:7" ht="31.5" thickTop="1" thickBot="1" x14ac:dyDescent="0.3">
      <c r="A47" s="46">
        <v>1</v>
      </c>
      <c r="B47" s="47" t="s">
        <v>200</v>
      </c>
      <c r="C47" s="48">
        <v>0</v>
      </c>
      <c r="D47" s="49">
        <v>0.1</v>
      </c>
      <c r="E47" s="48">
        <v>0.1</v>
      </c>
    </row>
    <row r="48" spans="1:7" ht="31.5" thickTop="1" thickBot="1" x14ac:dyDescent="0.3">
      <c r="A48" s="46">
        <v>2</v>
      </c>
      <c r="B48" s="47" t="s">
        <v>201</v>
      </c>
      <c r="C48" s="48" t="s">
        <v>202</v>
      </c>
      <c r="D48" s="49" t="s">
        <v>203</v>
      </c>
      <c r="E48" s="48">
        <v>0.3</v>
      </c>
    </row>
    <row r="49" spans="1:5" ht="61.5" thickTop="1" thickBot="1" x14ac:dyDescent="0.3">
      <c r="A49" s="46">
        <v>3</v>
      </c>
      <c r="B49" s="47" t="s">
        <v>204</v>
      </c>
      <c r="C49" s="48" t="s">
        <v>205</v>
      </c>
      <c r="D49" s="49" t="s">
        <v>206</v>
      </c>
      <c r="E49" s="48">
        <v>0.45</v>
      </c>
    </row>
    <row r="50" spans="1:5" ht="76.5" thickTop="1" thickBot="1" x14ac:dyDescent="0.3">
      <c r="A50" s="46">
        <v>4</v>
      </c>
      <c r="B50" s="47" t="s">
        <v>207</v>
      </c>
      <c r="C50" s="48" t="s">
        <v>208</v>
      </c>
      <c r="D50" s="49" t="s">
        <v>209</v>
      </c>
      <c r="E50" s="48">
        <v>0.7</v>
      </c>
    </row>
    <row r="51" spans="1:5" ht="76.5" thickTop="1" thickBot="1" x14ac:dyDescent="0.3">
      <c r="A51" s="46">
        <v>5</v>
      </c>
      <c r="B51" s="47" t="s">
        <v>210</v>
      </c>
      <c r="C51" s="48" t="s">
        <v>211</v>
      </c>
      <c r="D51" s="49" t="s">
        <v>212</v>
      </c>
      <c r="E51" s="48">
        <v>0.75</v>
      </c>
    </row>
    <row r="52" spans="1:5" ht="76.5" thickTop="1" thickBot="1" x14ac:dyDescent="0.3">
      <c r="A52" s="46">
        <v>6</v>
      </c>
      <c r="B52" s="47" t="s">
        <v>213</v>
      </c>
      <c r="C52" s="48" t="s">
        <v>214</v>
      </c>
      <c r="D52" s="49" t="s">
        <v>215</v>
      </c>
      <c r="E52" s="48">
        <v>0.8</v>
      </c>
    </row>
    <row r="53" spans="1:5" ht="121.5" thickTop="1" thickBot="1" x14ac:dyDescent="0.3">
      <c r="A53" s="46">
        <v>7</v>
      </c>
      <c r="B53" s="47" t="s">
        <v>216</v>
      </c>
      <c r="C53" s="48" t="s">
        <v>217</v>
      </c>
      <c r="D53" s="49" t="s">
        <v>218</v>
      </c>
      <c r="E53" s="48">
        <v>0.85</v>
      </c>
    </row>
    <row r="54" spans="1:5" ht="211.5" thickTop="1" thickBot="1" x14ac:dyDescent="0.3">
      <c r="A54" s="46">
        <v>8</v>
      </c>
      <c r="B54" s="47" t="s">
        <v>219</v>
      </c>
      <c r="C54" s="48" t="s">
        <v>220</v>
      </c>
      <c r="D54" s="49" t="s">
        <v>221</v>
      </c>
      <c r="E54" s="48">
        <v>0.95</v>
      </c>
    </row>
    <row r="55" spans="1:5" ht="91.5" thickTop="1" thickBot="1" x14ac:dyDescent="0.3">
      <c r="A55" s="46">
        <v>9</v>
      </c>
      <c r="B55" s="47" t="s">
        <v>222</v>
      </c>
      <c r="C55" s="48" t="s">
        <v>223</v>
      </c>
      <c r="D55" s="49" t="s">
        <v>224</v>
      </c>
      <c r="E55" s="48">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8">
        <v>1</v>
      </c>
      <c r="C2" s="55" t="s">
        <v>241</v>
      </c>
    </row>
    <row r="3" spans="2:3" x14ac:dyDescent="0.25">
      <c r="B3" s="38">
        <v>2</v>
      </c>
      <c r="C3" s="56" t="s">
        <v>242</v>
      </c>
    </row>
    <row r="4" spans="2:3" x14ac:dyDescent="0.25">
      <c r="B4" s="38">
        <v>3</v>
      </c>
      <c r="C4" s="38" t="s">
        <v>243</v>
      </c>
    </row>
    <row r="5" spans="2:3" x14ac:dyDescent="0.25">
      <c r="B5" s="38">
        <v>4</v>
      </c>
      <c r="C5" s="56" t="s">
        <v>244</v>
      </c>
    </row>
    <row r="6" spans="2:3" x14ac:dyDescent="0.25">
      <c r="B6" s="38">
        <v>5</v>
      </c>
      <c r="C6" s="38" t="s">
        <v>245</v>
      </c>
    </row>
    <row r="7" spans="2:3" ht="30" x14ac:dyDescent="0.25">
      <c r="B7" s="38">
        <v>6</v>
      </c>
      <c r="C7" s="56" t="s">
        <v>246</v>
      </c>
    </row>
    <row r="8" spans="2:3" ht="75" x14ac:dyDescent="0.25">
      <c r="B8" s="38">
        <v>7</v>
      </c>
      <c r="C8" s="56" t="s">
        <v>247</v>
      </c>
    </row>
    <row r="9" spans="2:3" x14ac:dyDescent="0.25">
      <c r="B9" s="38">
        <v>8</v>
      </c>
      <c r="C9" s="38" t="s">
        <v>248</v>
      </c>
    </row>
    <row r="10" spans="2:3" x14ac:dyDescent="0.25">
      <c r="B10" s="38">
        <v>9</v>
      </c>
      <c r="C10" s="38" t="s">
        <v>249</v>
      </c>
    </row>
    <row r="11" spans="2:3" x14ac:dyDescent="0.25">
      <c r="B11" s="38">
        <v>10</v>
      </c>
      <c r="C11" s="38" t="s">
        <v>250</v>
      </c>
    </row>
    <row r="12" spans="2:3" x14ac:dyDescent="0.25">
      <c r="B12" s="38">
        <v>11</v>
      </c>
      <c r="C12" s="38" t="s">
        <v>251</v>
      </c>
    </row>
    <row r="13" spans="2:3" x14ac:dyDescent="0.25">
      <c r="B13" s="38">
        <v>12</v>
      </c>
      <c r="C13" s="38" t="s">
        <v>252</v>
      </c>
    </row>
    <row r="14" spans="2:3" x14ac:dyDescent="0.25">
      <c r="B14" s="38">
        <v>13</v>
      </c>
      <c r="C14" s="38" t="s">
        <v>253</v>
      </c>
    </row>
    <row r="15" spans="2:3" x14ac:dyDescent="0.25">
      <c r="B15" s="38">
        <v>14</v>
      </c>
      <c r="C15" s="38" t="s">
        <v>243</v>
      </c>
    </row>
    <row r="16" spans="2:3" x14ac:dyDescent="0.25">
      <c r="B16" s="38">
        <v>15</v>
      </c>
      <c r="C16" s="38" t="s">
        <v>237</v>
      </c>
    </row>
    <row r="17" spans="2:3" x14ac:dyDescent="0.25">
      <c r="B17" s="57">
        <v>16</v>
      </c>
      <c r="C17" s="58" t="s">
        <v>254</v>
      </c>
    </row>
    <row r="18" spans="2:3" x14ac:dyDescent="0.25">
      <c r="B18" s="59">
        <v>17</v>
      </c>
      <c r="C18" s="58" t="s">
        <v>255</v>
      </c>
    </row>
    <row r="19" spans="2:3" x14ac:dyDescent="0.25">
      <c r="B19" s="60">
        <v>18</v>
      </c>
      <c r="C19" s="38" t="s">
        <v>256</v>
      </c>
    </row>
    <row r="20" spans="2:3" x14ac:dyDescent="0.25">
      <c r="B20" s="59">
        <v>19</v>
      </c>
      <c r="C20" s="38" t="s">
        <v>257</v>
      </c>
    </row>
    <row r="21" spans="2:3" x14ac:dyDescent="0.25">
      <c r="B21" s="38">
        <v>20</v>
      </c>
      <c r="C21" s="38" t="s">
        <v>258</v>
      </c>
    </row>
    <row r="22" spans="2:3" x14ac:dyDescent="0.25">
      <c r="B22" s="59">
        <v>21</v>
      </c>
      <c r="C22" s="38" t="s">
        <v>256</v>
      </c>
    </row>
    <row r="23" spans="2:3" s="62" customFormat="1" ht="30" x14ac:dyDescent="0.25">
      <c r="B23" s="61">
        <v>22</v>
      </c>
      <c r="C23" s="55" t="s">
        <v>259</v>
      </c>
    </row>
    <row r="24" spans="2:3" s="62" customFormat="1" ht="30" x14ac:dyDescent="0.25">
      <c r="B24" s="63">
        <v>23</v>
      </c>
      <c r="C24" s="55" t="s">
        <v>260</v>
      </c>
    </row>
    <row r="25" spans="2:3" x14ac:dyDescent="0.25">
      <c r="B25" s="38">
        <v>24</v>
      </c>
      <c r="C25" s="38" t="s">
        <v>261</v>
      </c>
    </row>
    <row r="26" spans="2:3" x14ac:dyDescent="0.25">
      <c r="B26" s="59">
        <v>25</v>
      </c>
      <c r="C26" s="38" t="s">
        <v>262</v>
      </c>
    </row>
    <row r="27" spans="2:3" x14ac:dyDescent="0.25">
      <c r="B27" s="63">
        <v>26</v>
      </c>
      <c r="C27" s="38" t="s">
        <v>263</v>
      </c>
    </row>
    <row r="28" spans="2:3" x14ac:dyDescent="0.25">
      <c r="B28" s="59">
        <v>27</v>
      </c>
      <c r="C28" s="38" t="s">
        <v>264</v>
      </c>
    </row>
    <row r="29" spans="2:3" ht="60" x14ac:dyDescent="0.25">
      <c r="B29" s="64">
        <v>28</v>
      </c>
      <c r="C29" s="56" t="s">
        <v>265</v>
      </c>
    </row>
    <row r="30" spans="2:3" x14ac:dyDescent="0.25">
      <c r="B30" s="63">
        <v>29</v>
      </c>
      <c r="C30" s="38" t="s">
        <v>266</v>
      </c>
    </row>
    <row r="31" spans="2:3" ht="30" x14ac:dyDescent="0.25">
      <c r="B31" s="63">
        <v>30</v>
      </c>
      <c r="C31" s="56" t="s">
        <v>294</v>
      </c>
    </row>
    <row r="32" spans="2:3" x14ac:dyDescent="0.25">
      <c r="B32" s="63">
        <v>31</v>
      </c>
      <c r="C32" s="38" t="s">
        <v>295</v>
      </c>
    </row>
    <row r="33" spans="2:3" x14ac:dyDescent="0.25">
      <c r="B33" s="63">
        <v>32</v>
      </c>
      <c r="C33" s="38" t="s">
        <v>296</v>
      </c>
    </row>
    <row r="34" spans="2:3" ht="30" x14ac:dyDescent="0.25">
      <c r="B34" s="63">
        <v>33</v>
      </c>
      <c r="C34" s="58" t="s">
        <v>297</v>
      </c>
    </row>
    <row r="35" spans="2:3" x14ac:dyDescent="0.25">
      <c r="B35" s="63">
        <v>34</v>
      </c>
      <c r="C35" s="3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5"/>
    <col min="2" max="2" width="12.28515625" style="65" customWidth="1"/>
    <col min="3" max="16384" width="9.140625" style="65"/>
  </cols>
  <sheetData>
    <row r="2" spans="1:12" x14ac:dyDescent="0.25">
      <c r="B2" s="66" t="s">
        <v>267</v>
      </c>
      <c r="C2" s="173"/>
      <c r="D2" s="173"/>
    </row>
    <row r="3" spans="1:12" x14ac:dyDescent="0.25">
      <c r="D3" s="67"/>
      <c r="E3" s="67"/>
      <c r="F3" s="67"/>
      <c r="G3" s="67"/>
      <c r="H3" s="67"/>
      <c r="I3" s="67"/>
    </row>
    <row r="4" spans="1:12" x14ac:dyDescent="0.25">
      <c r="A4" s="66" t="s">
        <v>268</v>
      </c>
      <c r="B4" s="54" t="s">
        <v>269</v>
      </c>
      <c r="C4" s="174" t="s">
        <v>270</v>
      </c>
      <c r="D4" s="174"/>
      <c r="E4" s="174"/>
      <c r="F4" s="54"/>
      <c r="G4" s="175" t="s">
        <v>271</v>
      </c>
      <c r="H4" s="175"/>
      <c r="I4" s="175"/>
      <c r="J4" s="176" t="s">
        <v>272</v>
      </c>
      <c r="K4" s="176"/>
      <c r="L4" s="176"/>
    </row>
    <row r="5" spans="1:12" x14ac:dyDescent="0.25">
      <c r="A5" s="66"/>
      <c r="B5" s="54"/>
      <c r="C5" s="54" t="s">
        <v>273</v>
      </c>
      <c r="D5" s="54" t="s">
        <v>274</v>
      </c>
      <c r="E5" s="54" t="s">
        <v>275</v>
      </c>
      <c r="F5" s="54"/>
      <c r="G5" s="54" t="s">
        <v>273</v>
      </c>
      <c r="H5" s="54" t="s">
        <v>274</v>
      </c>
      <c r="I5" s="54" t="s">
        <v>275</v>
      </c>
      <c r="J5" s="54" t="s">
        <v>273</v>
      </c>
      <c r="K5" s="54" t="s">
        <v>274</v>
      </c>
      <c r="L5" s="54" t="s">
        <v>275</v>
      </c>
    </row>
    <row r="6" spans="1:12" x14ac:dyDescent="0.25">
      <c r="B6" s="53" t="s">
        <v>276</v>
      </c>
      <c r="C6" s="53"/>
      <c r="D6" s="53"/>
      <c r="E6" s="53">
        <f>C6*D6</f>
        <v>0</v>
      </c>
      <c r="F6" s="53" t="s">
        <v>277</v>
      </c>
      <c r="G6" s="53"/>
      <c r="H6" s="53"/>
      <c r="I6" s="53">
        <f>G6*H6</f>
        <v>0</v>
      </c>
      <c r="J6" s="53"/>
      <c r="K6" s="53"/>
      <c r="L6" s="53">
        <f>J6*K6</f>
        <v>0</v>
      </c>
    </row>
    <row r="7" spans="1:12" x14ac:dyDescent="0.25">
      <c r="B7" s="53"/>
      <c r="C7" s="53"/>
      <c r="D7" s="53"/>
      <c r="E7" s="53">
        <f t="shared" ref="E7:E41" si="0">C7*D7</f>
        <v>0</v>
      </c>
      <c r="F7" s="53" t="s">
        <v>277</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278</v>
      </c>
      <c r="G9" s="53"/>
      <c r="H9" s="53"/>
      <c r="I9" s="53">
        <f t="shared" si="1"/>
        <v>0</v>
      </c>
      <c r="J9" s="53"/>
      <c r="K9" s="53"/>
      <c r="L9" s="53">
        <f t="shared" si="2"/>
        <v>0</v>
      </c>
    </row>
    <row r="10" spans="1:12" x14ac:dyDescent="0.25">
      <c r="B10" s="53" t="s">
        <v>279</v>
      </c>
      <c r="C10" s="53"/>
      <c r="D10" s="53"/>
      <c r="E10" s="53">
        <f t="shared" si="0"/>
        <v>0</v>
      </c>
      <c r="F10" s="53" t="s">
        <v>278</v>
      </c>
      <c r="G10" s="53"/>
      <c r="H10" s="53"/>
      <c r="I10" s="53">
        <f t="shared" si="1"/>
        <v>0</v>
      </c>
      <c r="J10" s="53"/>
      <c r="K10" s="53"/>
      <c r="L10" s="53">
        <f t="shared" si="2"/>
        <v>0</v>
      </c>
    </row>
    <row r="11" spans="1:12" x14ac:dyDescent="0.25">
      <c r="B11" s="53"/>
      <c r="C11" s="53"/>
      <c r="D11" s="53"/>
      <c r="E11" s="53">
        <f t="shared" si="0"/>
        <v>0</v>
      </c>
      <c r="F11" s="53" t="s">
        <v>280</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281</v>
      </c>
      <c r="C14" s="53"/>
      <c r="D14" s="53"/>
      <c r="E14" s="53">
        <f t="shared" si="0"/>
        <v>0</v>
      </c>
      <c r="F14" s="53" t="s">
        <v>278</v>
      </c>
      <c r="G14" s="53"/>
      <c r="H14" s="53"/>
      <c r="I14" s="53">
        <f t="shared" si="1"/>
        <v>0</v>
      </c>
      <c r="J14" s="53"/>
      <c r="K14" s="53"/>
      <c r="L14" s="53">
        <f t="shared" si="2"/>
        <v>0</v>
      </c>
    </row>
    <row r="15" spans="1:12" x14ac:dyDescent="0.25">
      <c r="B15" s="53"/>
      <c r="C15" s="53"/>
      <c r="D15" s="53"/>
      <c r="E15" s="53">
        <f t="shared" si="0"/>
        <v>0</v>
      </c>
      <c r="F15" s="53" t="s">
        <v>280</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282</v>
      </c>
      <c r="C18" s="53"/>
      <c r="D18" s="53"/>
      <c r="E18" s="53">
        <f t="shared" si="0"/>
        <v>0</v>
      </c>
      <c r="F18" s="53" t="s">
        <v>278</v>
      </c>
      <c r="G18" s="53"/>
      <c r="H18" s="53"/>
      <c r="I18" s="53">
        <f t="shared" si="1"/>
        <v>0</v>
      </c>
      <c r="J18" s="53"/>
      <c r="K18" s="53"/>
      <c r="L18" s="53">
        <f t="shared" si="2"/>
        <v>0</v>
      </c>
    </row>
    <row r="19" spans="2:12" x14ac:dyDescent="0.25">
      <c r="B19" s="53"/>
      <c r="C19" s="53"/>
      <c r="D19" s="53"/>
      <c r="E19" s="53">
        <f t="shared" si="0"/>
        <v>0</v>
      </c>
      <c r="F19" s="53" t="s">
        <v>280</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283</v>
      </c>
      <c r="C21" s="53"/>
      <c r="D21" s="53"/>
      <c r="E21" s="53">
        <f t="shared" si="0"/>
        <v>0</v>
      </c>
      <c r="F21" s="53" t="s">
        <v>278</v>
      </c>
      <c r="G21" s="53"/>
      <c r="H21" s="53"/>
      <c r="I21" s="53">
        <f t="shared" si="1"/>
        <v>0</v>
      </c>
      <c r="J21" s="53"/>
      <c r="K21" s="53"/>
      <c r="L21" s="53">
        <f t="shared" si="2"/>
        <v>0</v>
      </c>
    </row>
    <row r="22" spans="2:12" x14ac:dyDescent="0.25">
      <c r="B22" s="53"/>
      <c r="C22" s="53"/>
      <c r="D22" s="53"/>
      <c r="E22" s="53">
        <f t="shared" si="0"/>
        <v>0</v>
      </c>
      <c r="F22" s="53" t="s">
        <v>280</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284</v>
      </c>
      <c r="C24" s="53"/>
      <c r="D24" s="53"/>
      <c r="E24" s="53">
        <f t="shared" si="0"/>
        <v>0</v>
      </c>
      <c r="F24" s="53" t="s">
        <v>285</v>
      </c>
      <c r="G24" s="53"/>
      <c r="H24" s="53"/>
      <c r="I24" s="53">
        <f t="shared" si="1"/>
        <v>0</v>
      </c>
      <c r="J24" s="53"/>
      <c r="K24" s="53"/>
      <c r="L24" s="53">
        <f t="shared" si="2"/>
        <v>0</v>
      </c>
    </row>
    <row r="25" spans="2:12" x14ac:dyDescent="0.25">
      <c r="B25" s="53"/>
      <c r="C25" s="53"/>
      <c r="D25" s="53"/>
      <c r="E25" s="53">
        <f t="shared" si="0"/>
        <v>0</v>
      </c>
      <c r="F25" s="53" t="s">
        <v>285</v>
      </c>
      <c r="G25" s="53"/>
      <c r="H25" s="53"/>
      <c r="I25" s="53">
        <f t="shared" si="1"/>
        <v>0</v>
      </c>
      <c r="J25" s="53"/>
      <c r="K25" s="53"/>
      <c r="L25" s="53">
        <f t="shared" si="2"/>
        <v>0</v>
      </c>
    </row>
    <row r="26" spans="2:12" x14ac:dyDescent="0.25">
      <c r="B26" s="53"/>
      <c r="C26" s="53"/>
      <c r="D26" s="53"/>
      <c r="E26" s="53">
        <f t="shared" si="0"/>
        <v>0</v>
      </c>
      <c r="F26" s="53" t="s">
        <v>285</v>
      </c>
      <c r="G26" s="53"/>
      <c r="H26" s="53"/>
      <c r="I26" s="53">
        <f t="shared" si="1"/>
        <v>0</v>
      </c>
      <c r="J26" s="53"/>
      <c r="K26" s="53"/>
      <c r="L26" s="53">
        <f t="shared" si="2"/>
        <v>0</v>
      </c>
    </row>
    <row r="27" spans="2:12" x14ac:dyDescent="0.25">
      <c r="B27" s="53"/>
      <c r="C27" s="53"/>
      <c r="D27" s="53"/>
      <c r="E27" s="53">
        <f t="shared" si="0"/>
        <v>0</v>
      </c>
      <c r="F27" s="53" t="s">
        <v>285</v>
      </c>
      <c r="G27" s="53"/>
      <c r="H27" s="53"/>
      <c r="I27" s="53">
        <f t="shared" si="1"/>
        <v>0</v>
      </c>
      <c r="J27" s="53"/>
      <c r="K27" s="53"/>
      <c r="L27" s="53">
        <f t="shared" si="2"/>
        <v>0</v>
      </c>
    </row>
    <row r="28" spans="2:12" x14ac:dyDescent="0.25">
      <c r="B28" s="53" t="s">
        <v>286</v>
      </c>
      <c r="C28" s="53"/>
      <c r="D28" s="53"/>
      <c r="E28" s="53">
        <f t="shared" si="0"/>
        <v>0</v>
      </c>
      <c r="F28" s="53" t="s">
        <v>285</v>
      </c>
      <c r="G28" s="53"/>
      <c r="H28" s="53"/>
      <c r="I28" s="53">
        <f t="shared" si="1"/>
        <v>0</v>
      </c>
      <c r="J28" s="53"/>
      <c r="K28" s="53"/>
      <c r="L28" s="53">
        <f t="shared" si="2"/>
        <v>0</v>
      </c>
    </row>
    <row r="29" spans="2:12" x14ac:dyDescent="0.25">
      <c r="B29" s="53" t="s">
        <v>287</v>
      </c>
      <c r="C29" s="53"/>
      <c r="D29" s="53"/>
      <c r="E29" s="53">
        <f t="shared" si="0"/>
        <v>0</v>
      </c>
      <c r="F29" s="53" t="s">
        <v>285</v>
      </c>
      <c r="G29" s="53"/>
      <c r="H29" s="53"/>
      <c r="I29" s="53">
        <f t="shared" si="1"/>
        <v>0</v>
      </c>
      <c r="J29" s="53"/>
      <c r="K29" s="53"/>
      <c r="L29" s="53">
        <f t="shared" si="2"/>
        <v>0</v>
      </c>
    </row>
    <row r="30" spans="2:12" x14ac:dyDescent="0.25">
      <c r="B30" s="53" t="s">
        <v>288</v>
      </c>
      <c r="C30" s="53"/>
      <c r="D30" s="53"/>
      <c r="E30" s="53">
        <f t="shared" si="0"/>
        <v>0</v>
      </c>
      <c r="F30" s="53"/>
      <c r="G30" s="53"/>
      <c r="H30" s="53"/>
      <c r="I30" s="53">
        <f t="shared" si="1"/>
        <v>0</v>
      </c>
      <c r="J30" s="53"/>
      <c r="K30" s="53"/>
      <c r="L30" s="53">
        <f t="shared" si="2"/>
        <v>0</v>
      </c>
    </row>
    <row r="31" spans="2:12" x14ac:dyDescent="0.25">
      <c r="B31" s="53"/>
      <c r="C31" s="53"/>
      <c r="D31" s="53"/>
      <c r="E31" s="53">
        <f t="shared" si="0"/>
        <v>0</v>
      </c>
      <c r="F31" s="53"/>
      <c r="G31" s="53"/>
      <c r="H31" s="53"/>
      <c r="I31" s="53">
        <f t="shared" si="1"/>
        <v>0</v>
      </c>
      <c r="J31" s="53"/>
      <c r="K31" s="53"/>
      <c r="L31" s="53">
        <f t="shared" si="2"/>
        <v>0</v>
      </c>
    </row>
    <row r="32" spans="2:12" x14ac:dyDescent="0.25">
      <c r="B32" s="53"/>
      <c r="C32" s="53"/>
      <c r="D32" s="53"/>
      <c r="E32" s="53">
        <f t="shared" si="0"/>
        <v>0</v>
      </c>
      <c r="F32" s="53"/>
      <c r="G32" s="53"/>
      <c r="H32" s="53"/>
      <c r="I32" s="53">
        <f t="shared" si="1"/>
        <v>0</v>
      </c>
      <c r="J32" s="53"/>
      <c r="K32" s="53"/>
      <c r="L32" s="53">
        <f t="shared" si="2"/>
        <v>0</v>
      </c>
    </row>
    <row r="33" spans="2:12" x14ac:dyDescent="0.25">
      <c r="B33" s="53" t="s">
        <v>289</v>
      </c>
      <c r="C33" s="53"/>
      <c r="D33" s="53"/>
      <c r="E33" s="53">
        <f t="shared" si="0"/>
        <v>0</v>
      </c>
      <c r="F33" s="53"/>
      <c r="G33" s="53"/>
      <c r="H33" s="53"/>
      <c r="I33" s="53">
        <f t="shared" si="1"/>
        <v>0</v>
      </c>
      <c r="J33" s="53"/>
      <c r="K33" s="53"/>
      <c r="L33" s="53">
        <f t="shared" si="2"/>
        <v>0</v>
      </c>
    </row>
    <row r="34" spans="2:12" x14ac:dyDescent="0.25">
      <c r="B34" s="53" t="s">
        <v>290</v>
      </c>
      <c r="C34" s="53"/>
      <c r="D34" s="53"/>
      <c r="E34" s="53">
        <f t="shared" si="0"/>
        <v>0</v>
      </c>
      <c r="F34" s="53"/>
      <c r="G34" s="53"/>
      <c r="H34" s="53"/>
      <c r="I34" s="53">
        <f t="shared" si="1"/>
        <v>0</v>
      </c>
      <c r="J34" s="53"/>
      <c r="K34" s="53"/>
      <c r="L34" s="53">
        <f t="shared" si="2"/>
        <v>0</v>
      </c>
    </row>
    <row r="35" spans="2:12" x14ac:dyDescent="0.25">
      <c r="B35" s="53" t="s">
        <v>291</v>
      </c>
      <c r="C35" s="53"/>
      <c r="D35" s="53"/>
      <c r="E35" s="53">
        <f t="shared" si="0"/>
        <v>0</v>
      </c>
      <c r="F35" s="53"/>
      <c r="G35" s="53"/>
      <c r="H35" s="53"/>
      <c r="I35" s="53">
        <f t="shared" si="1"/>
        <v>0</v>
      </c>
      <c r="J35" s="53"/>
      <c r="K35" s="53"/>
      <c r="L35" s="53">
        <f t="shared" si="2"/>
        <v>0</v>
      </c>
    </row>
    <row r="36" spans="2:12" x14ac:dyDescent="0.25">
      <c r="B36" s="53" t="s">
        <v>292</v>
      </c>
      <c r="C36" s="53"/>
      <c r="D36" s="53"/>
      <c r="E36" s="53">
        <f t="shared" si="0"/>
        <v>0</v>
      </c>
      <c r="F36" s="53"/>
      <c r="G36" s="53"/>
      <c r="H36" s="53"/>
      <c r="I36" s="53">
        <f>G36*H36</f>
        <v>0</v>
      </c>
      <c r="J36" s="53"/>
      <c r="K36" s="53"/>
      <c r="L36" s="53">
        <f>J36*K36</f>
        <v>0</v>
      </c>
    </row>
    <row r="37" spans="2:12" x14ac:dyDescent="0.25">
      <c r="B37" s="53"/>
      <c r="C37" s="53"/>
      <c r="D37" s="53"/>
      <c r="E37" s="53">
        <f t="shared" si="0"/>
        <v>0</v>
      </c>
      <c r="F37" s="53"/>
      <c r="G37" s="53"/>
      <c r="H37" s="53"/>
      <c r="I37" s="53">
        <f t="shared" ref="I37:I38" si="3">G37*H37</f>
        <v>0</v>
      </c>
      <c r="J37" s="53"/>
      <c r="K37" s="53"/>
      <c r="L37" s="53">
        <f t="shared" ref="L37:L38" si="4">J37*K37</f>
        <v>0</v>
      </c>
    </row>
    <row r="38" spans="2:12" x14ac:dyDescent="0.25">
      <c r="B38" s="53" t="s">
        <v>293</v>
      </c>
      <c r="C38" s="53"/>
      <c r="D38" s="53"/>
      <c r="E38" s="53">
        <f t="shared" si="0"/>
        <v>0</v>
      </c>
      <c r="F38" s="53"/>
      <c r="G38" s="53"/>
      <c r="H38" s="53"/>
      <c r="I38" s="53">
        <f t="shared" si="3"/>
        <v>0</v>
      </c>
      <c r="J38" s="53"/>
      <c r="K38" s="53"/>
      <c r="L38" s="53">
        <f t="shared" si="4"/>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152</v>
      </c>
      <c r="C42" s="53"/>
      <c r="D42" s="53">
        <f>E42*10.764</f>
        <v>0</v>
      </c>
      <c r="E42" s="68">
        <f>SUM(E6:E41)</f>
        <v>0</v>
      </c>
      <c r="F42" s="53"/>
      <c r="G42" s="53"/>
      <c r="H42" s="53">
        <f>I42*10.764</f>
        <v>0</v>
      </c>
      <c r="I42" s="69">
        <f>SUM(I6:I41)</f>
        <v>0</v>
      </c>
      <c r="J42" s="53"/>
      <c r="K42" s="53">
        <f>L42*10.764</f>
        <v>0</v>
      </c>
      <c r="L42" s="70">
        <f>SUM(L6:L41)</f>
        <v>0</v>
      </c>
    </row>
    <row r="44" spans="2:12" x14ac:dyDescent="0.25">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2025-08-16T09:33:23Z</cp:lastPrinted>
  <dcterms:created xsi:type="dcterms:W3CDTF">2010-11-23T11:42:48Z</dcterms:created>
  <dcterms:modified xsi:type="dcterms:W3CDTF">2025-08-16T09:35:05Z</dcterms:modified>
</cp:coreProperties>
</file>