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ruti\Aug 25\RBL Old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Print_Area" localSheetId="0">Sheet1!$A$1:$F$455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4" i="1" s="1"/>
  <c r="B156" i="1" l="1"/>
  <c r="A158" i="1" s="1"/>
  <c r="H165" i="1" l="1"/>
  <c r="H166" i="1"/>
  <c r="H167" i="1"/>
  <c r="F158" i="1"/>
  <c r="D169" i="1" l="1"/>
  <c r="D167" i="1"/>
  <c r="D162" i="1"/>
  <c r="H163" i="1"/>
  <c r="H164" i="1" s="1"/>
  <c r="D165" i="1"/>
  <c r="D163" i="1"/>
  <c r="H169" i="1"/>
  <c r="C161" i="1" s="1"/>
  <c r="D164" i="1"/>
  <c r="H162" i="1"/>
  <c r="D168" i="1"/>
  <c r="D166" i="1"/>
  <c r="H168" i="1"/>
  <c r="E161" i="1" l="1"/>
  <c r="D161" i="1"/>
  <c r="G157" i="1" l="1"/>
  <c r="B159" i="1" s="1"/>
  <c r="E170" i="1"/>
  <c r="C55" i="1" l="1"/>
  <c r="H58" i="1"/>
  <c r="C58" i="1"/>
  <c r="C57" i="1"/>
  <c r="C56" i="1"/>
  <c r="G57" i="1"/>
  <c r="G56" i="1"/>
  <c r="G55" i="1"/>
  <c r="G58" i="1" s="1"/>
  <c r="G61" i="1"/>
  <c r="C282" i="1" l="1"/>
  <c r="C281" i="1"/>
  <c r="C279" i="1"/>
  <c r="F279" i="1" s="1"/>
  <c r="C278" i="1"/>
  <c r="F278" i="1" s="1"/>
  <c r="C275" i="1"/>
  <c r="F275" i="1" s="1"/>
  <c r="C274" i="1"/>
  <c r="C273" i="1"/>
  <c r="F273" i="1" s="1"/>
  <c r="C272" i="1"/>
  <c r="F272" i="1" s="1"/>
  <c r="C271" i="1"/>
  <c r="C270" i="1"/>
  <c r="F270" i="1" s="1"/>
  <c r="C268" i="1"/>
  <c r="F268" i="1" s="1"/>
  <c r="C267" i="1"/>
  <c r="C261" i="1"/>
  <c r="F261" i="1" s="1"/>
  <c r="C260" i="1"/>
  <c r="F260" i="1" s="1"/>
  <c r="C254" i="1"/>
  <c r="F254" i="1" s="1"/>
  <c r="C253" i="1"/>
  <c r="F253" i="1" s="1"/>
  <c r="C252" i="1"/>
  <c r="C251" i="1"/>
  <c r="C250" i="1"/>
  <c r="F250" i="1" s="1"/>
  <c r="C249" i="1"/>
  <c r="F249" i="1" s="1"/>
  <c r="C247" i="1"/>
  <c r="F247" i="1" s="1"/>
  <c r="C246" i="1"/>
  <c r="F246" i="1" s="1"/>
  <c r="C245" i="1"/>
  <c r="F245" i="1" s="1"/>
  <c r="C244" i="1"/>
  <c r="F244" i="1" s="1"/>
  <c r="C243" i="1"/>
  <c r="C242" i="1"/>
  <c r="C240" i="1"/>
  <c r="C239" i="1"/>
  <c r="D239" i="1" s="1"/>
  <c r="C233" i="1"/>
  <c r="F233" i="1" s="1"/>
  <c r="C232" i="1"/>
  <c r="D232" i="1" s="1"/>
  <c r="C231" i="1"/>
  <c r="C230" i="1"/>
  <c r="D230" i="1" s="1"/>
  <c r="C229" i="1"/>
  <c r="F229" i="1" s="1"/>
  <c r="C228" i="1"/>
  <c r="D228" i="1" s="1"/>
  <c r="C226" i="1"/>
  <c r="F226" i="1" s="1"/>
  <c r="C225" i="1"/>
  <c r="F225" i="1" s="1"/>
  <c r="C217" i="1"/>
  <c r="C216" i="1"/>
  <c r="D216" i="1" s="1"/>
  <c r="C215" i="1"/>
  <c r="F215" i="1" s="1"/>
  <c r="C214" i="1"/>
  <c r="D214" i="1" s="1"/>
  <c r="C210" i="1"/>
  <c r="F210" i="1" s="1"/>
  <c r="C209" i="1"/>
  <c r="D209" i="1" s="1"/>
  <c r="C208" i="1"/>
  <c r="F208" i="1" s="1"/>
  <c r="C207" i="1"/>
  <c r="F207" i="1" s="1"/>
  <c r="C203" i="1"/>
  <c r="C202" i="1"/>
  <c r="F202" i="1" s="1"/>
  <c r="C201" i="1"/>
  <c r="F201" i="1" s="1"/>
  <c r="C200" i="1"/>
  <c r="F200" i="1" s="1"/>
  <c r="F282" i="1"/>
  <c r="F281" i="1"/>
  <c r="A278" i="1"/>
  <c r="A279" i="1" s="1"/>
  <c r="A280" i="1" s="1"/>
  <c r="A281" i="1" s="1"/>
  <c r="A282" i="1" s="1"/>
  <c r="F267" i="1"/>
  <c r="A264" i="1"/>
  <c r="A265" i="1" s="1"/>
  <c r="A266" i="1" s="1"/>
  <c r="A267" i="1" s="1"/>
  <c r="A268" i="1" s="1"/>
  <c r="G248" i="1"/>
  <c r="A257" i="1"/>
  <c r="A258" i="1" s="1"/>
  <c r="A259" i="1" s="1"/>
  <c r="A260" i="1" s="1"/>
  <c r="A261" i="1" s="1"/>
  <c r="F240" i="1"/>
  <c r="A236" i="1"/>
  <c r="A237" i="1" s="1"/>
  <c r="A238" i="1" s="1"/>
  <c r="A239" i="1" s="1"/>
  <c r="A240" i="1" s="1"/>
  <c r="G269" i="1"/>
  <c r="D271" i="1"/>
  <c r="F274" i="1"/>
  <c r="A271" i="1"/>
  <c r="A272" i="1" s="1"/>
  <c r="A273" i="1" s="1"/>
  <c r="A274" i="1" s="1"/>
  <c r="A275" i="1" s="1"/>
  <c r="F252" i="1"/>
  <c r="F251" i="1"/>
  <c r="A250" i="1"/>
  <c r="A251" i="1" s="1"/>
  <c r="A252" i="1" s="1"/>
  <c r="A253" i="1" s="1"/>
  <c r="A254" i="1" s="1"/>
  <c r="F243" i="1"/>
  <c r="F242" i="1"/>
  <c r="G242" i="1" s="1"/>
  <c r="F231" i="1"/>
  <c r="A243" i="1"/>
  <c r="A244" i="1" s="1"/>
  <c r="A245" i="1" s="1"/>
  <c r="A246" i="1" s="1"/>
  <c r="A247" i="1" s="1"/>
  <c r="A229" i="1"/>
  <c r="A230" i="1" s="1"/>
  <c r="A231" i="1" s="1"/>
  <c r="A232" i="1" s="1"/>
  <c r="A233" i="1" s="1"/>
  <c r="A222" i="1"/>
  <c r="A223" i="1" s="1"/>
  <c r="A224" i="1" s="1"/>
  <c r="A225" i="1" s="1"/>
  <c r="A226" i="1" s="1"/>
  <c r="F217" i="1"/>
  <c r="A215" i="1"/>
  <c r="A216" i="1" s="1"/>
  <c r="A217" i="1" s="1"/>
  <c r="A218" i="1" s="1"/>
  <c r="A219" i="1" s="1"/>
  <c r="A208" i="1"/>
  <c r="A209" i="1" s="1"/>
  <c r="A210" i="1" s="1"/>
  <c r="A211" i="1" s="1"/>
  <c r="A212" i="1" s="1"/>
  <c r="F203" i="1"/>
  <c r="F239" i="1" l="1"/>
  <c r="D260" i="1"/>
  <c r="B187" i="1"/>
  <c r="C187" i="1"/>
  <c r="D261" i="1"/>
  <c r="F232" i="1"/>
  <c r="F209" i="1"/>
  <c r="D240" i="1"/>
  <c r="F228" i="1"/>
  <c r="I228" i="1" s="1"/>
  <c r="F271" i="1"/>
  <c r="D279" i="1"/>
  <c r="D281" i="1"/>
  <c r="D278" i="1"/>
  <c r="D282" i="1"/>
  <c r="D267" i="1"/>
  <c r="D268" i="1"/>
  <c r="F214" i="1"/>
  <c r="F230" i="1"/>
  <c r="F216" i="1"/>
  <c r="D226" i="1"/>
  <c r="D273" i="1"/>
  <c r="D275" i="1"/>
  <c r="D270" i="1"/>
  <c r="D272" i="1"/>
  <c r="D274" i="1"/>
  <c r="D249" i="1"/>
  <c r="D251" i="1"/>
  <c r="D253" i="1"/>
  <c r="D250" i="1"/>
  <c r="D252" i="1"/>
  <c r="D254" i="1"/>
  <c r="D242" i="1"/>
  <c r="D244" i="1"/>
  <c r="D246" i="1"/>
  <c r="D243" i="1"/>
  <c r="D245" i="1"/>
  <c r="D247" i="1"/>
  <c r="D229" i="1"/>
  <c r="D231" i="1"/>
  <c r="D233" i="1"/>
  <c r="D225" i="1"/>
  <c r="D215" i="1"/>
  <c r="D217" i="1"/>
  <c r="D207" i="1"/>
  <c r="D208" i="1"/>
  <c r="D210" i="1"/>
  <c r="C47" i="1"/>
  <c r="C34" i="1"/>
  <c r="E187" i="1" l="1"/>
  <c r="F120" i="1"/>
  <c r="E120" i="1"/>
  <c r="D120" i="1"/>
  <c r="C120" i="1"/>
  <c r="B120" i="1"/>
  <c r="A120" i="1"/>
  <c r="A142" i="1" l="1"/>
  <c r="A129" i="1"/>
  <c r="H152" i="1"/>
  <c r="H151" i="1"/>
  <c r="H150" i="1"/>
  <c r="C146" i="1" s="1"/>
  <c r="H149" i="1"/>
  <c r="H139" i="1"/>
  <c r="H138" i="1"/>
  <c r="H137" i="1"/>
  <c r="C133" i="1" s="1"/>
  <c r="H136" i="1"/>
  <c r="F143" i="1"/>
  <c r="F130" i="1"/>
  <c r="H154" i="1" l="1"/>
  <c r="H148" i="1"/>
  <c r="H153" i="1" s="1"/>
  <c r="D154" i="1"/>
  <c r="D148" i="1"/>
  <c r="D152" i="1"/>
  <c r="D146" i="1"/>
  <c r="D151" i="1"/>
  <c r="H147" i="1"/>
  <c r="D153" i="1"/>
  <c r="D147" i="1"/>
  <c r="D150" i="1"/>
  <c r="D149" i="1"/>
  <c r="E146" i="1"/>
  <c r="G142" i="1" s="1"/>
  <c r="B144" i="1" s="1"/>
  <c r="H141" i="1"/>
  <c r="H135" i="1"/>
  <c r="H140" i="1" s="1"/>
  <c r="D133" i="1"/>
  <c r="D138" i="1"/>
  <c r="D137" i="1"/>
  <c r="D141" i="1"/>
  <c r="D135" i="1"/>
  <c r="H134" i="1"/>
  <c r="D140" i="1"/>
  <c r="D134" i="1"/>
  <c r="D139" i="1"/>
  <c r="D136" i="1"/>
  <c r="E133" i="1"/>
  <c r="G129" i="1" s="1"/>
  <c r="B131" i="1" s="1"/>
  <c r="B83" i="1" l="1"/>
  <c r="B18" i="1"/>
  <c r="B313" i="1" l="1"/>
  <c r="B131" i="2" l="1"/>
  <c r="C36" i="1" l="1"/>
  <c r="A312" i="1" l="1"/>
  <c r="A313" i="1" s="1"/>
  <c r="A314" i="1" s="1"/>
  <c r="A315" i="1" s="1"/>
  <c r="A316" i="1" s="1"/>
  <c r="A317" i="1" l="1"/>
  <c r="A318" i="1" s="1"/>
  <c r="A201" i="1"/>
  <c r="A202" i="1" s="1"/>
  <c r="A203" i="1" s="1"/>
  <c r="A204" i="1" s="1"/>
  <c r="A205" i="1" s="1"/>
  <c r="B188" i="1"/>
  <c r="C188" i="1"/>
  <c r="E188" i="1"/>
  <c r="B184" i="1"/>
  <c r="C184" i="1"/>
  <c r="E184" i="1"/>
  <c r="B179" i="1"/>
  <c r="C179" i="1"/>
  <c r="E179" i="1"/>
  <c r="E189" i="1" l="1"/>
  <c r="B189" i="1"/>
  <c r="C189" i="1"/>
  <c r="C64" i="1" l="1"/>
  <c r="C61" i="1"/>
  <c r="B13" i="1" l="1"/>
  <c r="D203" i="1" l="1"/>
  <c r="D202" i="1"/>
  <c r="D201" i="1"/>
  <c r="B124" i="2" l="1"/>
  <c r="M68" i="1" l="1"/>
  <c r="C321" i="1" l="1"/>
  <c r="D200" i="1" l="1"/>
  <c r="K116" i="2" l="1"/>
  <c r="K115" i="2"/>
  <c r="K114" i="2"/>
  <c r="K113" i="2"/>
  <c r="D107" i="2"/>
  <c r="F106" i="2"/>
  <c r="E116" i="2" l="1"/>
  <c r="E115" i="2"/>
  <c r="K109" i="2"/>
  <c r="E111" i="2"/>
  <c r="E114" i="2"/>
  <c r="E113" i="2"/>
  <c r="K108" i="2"/>
  <c r="E112" i="2"/>
  <c r="E118" i="2"/>
  <c r="K111" i="2"/>
  <c r="K112" i="2" s="1"/>
  <c r="K117" i="2" s="1"/>
  <c r="K118" i="2" s="1"/>
  <c r="D110" i="2" s="1"/>
  <c r="E117" i="2"/>
  <c r="K110" i="2"/>
  <c r="D109" i="2" s="1"/>
  <c r="H109" i="2" l="1"/>
  <c r="F109" i="2"/>
  <c r="J105" i="2" s="1"/>
  <c r="E110" i="2"/>
  <c r="E109" i="2"/>
  <c r="C38" i="1" l="1"/>
</calcChain>
</file>

<file path=xl/comments1.xml><?xml version="1.0" encoding="utf-8"?>
<comments xmlns="http://schemas.openxmlformats.org/spreadsheetml/2006/main">
  <authors>
    <author>SACHIN</author>
    <author>Sachin</author>
  </authors>
  <commentList>
    <comment ref="D98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Title certifcate lawyer name</t>
        </r>
      </text>
    </comment>
    <comment ref="C127" authorId="1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Builder"s recent project names 
take from builder documents
</t>
        </r>
      </text>
    </comment>
    <comment ref="C128" authorId="1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Approved by authority name
Positive or negavtive points
Surrounding buildings or mall etc or less distance from stn</t>
        </r>
      </text>
    </comment>
  </commentList>
</comments>
</file>

<file path=xl/sharedStrings.xml><?xml version="1.0" encoding="utf-8"?>
<sst xmlns="http://schemas.openxmlformats.org/spreadsheetml/2006/main" count="635" uniqueCount="387">
  <si>
    <t>PROJECT TECHNICAL REPORT</t>
  </si>
  <si>
    <t>RBL BRANCH NAME</t>
  </si>
  <si>
    <t>TDR FSI</t>
  </si>
  <si>
    <t>QUALITY, SPECS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</si>
  <si>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</si>
  <si>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</si>
  <si>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</si>
  <si>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</si>
  <si>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</si>
  <si>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</si>
  <si>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</si>
  <si>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</si>
  <si>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Project Progress %</t>
  </si>
  <si>
    <t>Slab/Floor</t>
  </si>
  <si>
    <t>Complition %</t>
  </si>
  <si>
    <t>Progress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</si>
  <si>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</si>
  <si>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</si>
  <si>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</si>
  <si>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</si>
  <si>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</si>
  <si>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</si>
  <si>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</si>
  <si>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</si>
  <si>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</si>
  <si>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</si>
  <si>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</si>
  <si>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</si>
  <si>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</si>
  <si>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</si>
  <si>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</si>
  <si>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</si>
  <si>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</si>
  <si>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</si>
  <si>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</si>
  <si>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</si>
  <si>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</si>
  <si>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Completion %</t>
  </si>
  <si>
    <t>Plaster</t>
  </si>
  <si>
    <t>Electrical &amp; Plumbing</t>
  </si>
  <si>
    <t>Finishing</t>
  </si>
  <si>
    <t>Disbursement %</t>
  </si>
  <si>
    <t>Brickwork &amp; Internal Plaster</t>
  </si>
  <si>
    <t>External Plaster &amp; Plumbing</t>
  </si>
  <si>
    <t>g +7</t>
  </si>
  <si>
    <t>BUILDING/TOWERWISE UNIT - AREA DETAILS</t>
  </si>
  <si>
    <t>Building &amp; Wing</t>
  </si>
  <si>
    <t>No. of Units</t>
  </si>
  <si>
    <t>Total Carpet Area</t>
  </si>
  <si>
    <t>Total Saleable Area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</si>
  <si>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</si>
  <si>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</si>
  <si>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</si>
  <si>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</si>
  <si>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</si>
  <si>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</si>
  <si>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Builtup Area</t>
  </si>
  <si>
    <t>VALUE PARAMETERS</t>
  </si>
  <si>
    <t>Remarks:</t>
  </si>
  <si>
    <t>Photographs Of Property :</t>
  </si>
  <si>
    <t>Layout Of Property :</t>
  </si>
  <si>
    <t xml:space="preserve">Google Map : </t>
  </si>
  <si>
    <t>Name of Engineer Visited the property</t>
  </si>
  <si>
    <t xml:space="preserve">Authorized Signatory
Name &amp; Seal of the agency
                                               </t>
  </si>
  <si>
    <t>Project Name</t>
  </si>
  <si>
    <t>Valuer Details</t>
  </si>
  <si>
    <t xml:space="preserve">Name Of Valuer </t>
  </si>
  <si>
    <t>Official Email Id</t>
  </si>
  <si>
    <t>Rvo Name Of Which Valuer Is Member</t>
  </si>
  <si>
    <t>Address Of Valution Agency</t>
  </si>
  <si>
    <t>Contact Person Name  &amp; Number</t>
  </si>
  <si>
    <t>Name Of Valuation Agency/Firm</t>
  </si>
  <si>
    <t>Apf Technical Report Assignment Details</t>
  </si>
  <si>
    <t>Builder Company/Entity Details - Seller Of The Project</t>
  </si>
  <si>
    <t>Name Of Entity Formed For Current Project</t>
  </si>
  <si>
    <t>Project Address Details</t>
  </si>
  <si>
    <t>Date of Assignment</t>
  </si>
  <si>
    <t>Date of Visit</t>
  </si>
  <si>
    <t>Date of Valuation</t>
  </si>
  <si>
    <t>Street Name &amp;/No.</t>
  </si>
  <si>
    <t>State</t>
  </si>
  <si>
    <t>Pincode</t>
  </si>
  <si>
    <t>Nearest Rbl Bank Location</t>
  </si>
  <si>
    <t>Landmark</t>
  </si>
  <si>
    <t>District</t>
  </si>
  <si>
    <t>Country</t>
  </si>
  <si>
    <t>Lat, Long</t>
  </si>
  <si>
    <t>Distance From Rbl Bank Location (Kms.)</t>
  </si>
  <si>
    <t>Assigned By</t>
  </si>
  <si>
    <t>Property Visited By (Name)</t>
  </si>
  <si>
    <t>Report Prepared By (Name)</t>
  </si>
  <si>
    <t>North</t>
  </si>
  <si>
    <t>South</t>
  </si>
  <si>
    <t>East</t>
  </si>
  <si>
    <t>West</t>
  </si>
  <si>
    <t>As Per Ownership Docs</t>
  </si>
  <si>
    <t>As Per Site Investigation</t>
  </si>
  <si>
    <t>Project Boundaries Verification</t>
  </si>
  <si>
    <t>General Details</t>
  </si>
  <si>
    <t>Municipal Limit</t>
  </si>
  <si>
    <t>Municipal Authority (Name)</t>
  </si>
  <si>
    <t>Approach Road To Project</t>
  </si>
  <si>
    <t>Location Type*</t>
  </si>
  <si>
    <t>Quality Of Construction*</t>
  </si>
  <si>
    <t>Overall % Completion Of Project</t>
  </si>
  <si>
    <t>Project Falling In Caution Area</t>
  </si>
  <si>
    <t>Reason For Caution</t>
  </si>
  <si>
    <t>Project Architect Name</t>
  </si>
  <si>
    <t>Square Meter</t>
  </si>
  <si>
    <t>Project Area Details ( As Per Approved Plan )</t>
  </si>
  <si>
    <t>Area Type</t>
  </si>
  <si>
    <t>Total Plot Area</t>
  </si>
  <si>
    <t>Total Built Up Area</t>
  </si>
  <si>
    <t>Total Residential Built Up Area</t>
  </si>
  <si>
    <t>Total Commercial Built Up Area</t>
  </si>
  <si>
    <t>Area Under Road</t>
  </si>
  <si>
    <t>Area Under R.G./Garden</t>
  </si>
  <si>
    <t>FSI / FAR Details</t>
  </si>
  <si>
    <t>Plot FSI / FAR</t>
  </si>
  <si>
    <t>Premium FSI / FAR</t>
  </si>
  <si>
    <t>Fungible FSI</t>
  </si>
  <si>
    <t>Addl .FSI Under any Other Regulation(1)</t>
  </si>
  <si>
    <t>Addl .FSI Under any Other Regulation(2)</t>
  </si>
  <si>
    <t>Total FSI/FAR</t>
  </si>
  <si>
    <t>Overall Remarks on Project Area &amp; FSI /FAR</t>
  </si>
  <si>
    <t>Total No. Of Units/Tenaments</t>
  </si>
  <si>
    <t>Total No. Of Parking</t>
  </si>
  <si>
    <t>Residential /Commercial Ratio</t>
  </si>
  <si>
    <t>Surrounding External Amenities</t>
  </si>
  <si>
    <t>Nearestr Bus Stop</t>
  </si>
  <si>
    <t>Nearest Bank</t>
  </si>
  <si>
    <t>Nearest Hospital</t>
  </si>
  <si>
    <t>Name Of The Premises/Description</t>
  </si>
  <si>
    <t>Approx. Distance From Property (In Kms)</t>
  </si>
  <si>
    <t>Nearest Multiplex / Mall/ Market</t>
  </si>
  <si>
    <t>Nearest School/ College</t>
  </si>
  <si>
    <t>Internal Project Specs - Comment On Availability &amp; Quality</t>
  </si>
  <si>
    <t>Structural Elements &amp; Wall Thickness</t>
  </si>
  <si>
    <t>Plaster &amp; Painting</t>
  </si>
  <si>
    <t>Electrification</t>
  </si>
  <si>
    <t>Plumbing &amp; Bath Fittings</t>
  </si>
  <si>
    <t>Door, Windows</t>
  </si>
  <si>
    <t>Availability (Y/N)</t>
  </si>
  <si>
    <t>Potable Water Connection</t>
  </si>
  <si>
    <t>Sewerage System</t>
  </si>
  <si>
    <t>Lift</t>
  </si>
  <si>
    <t>Power Backup</t>
  </si>
  <si>
    <t>Parking</t>
  </si>
  <si>
    <t>Clubhouse</t>
  </si>
  <si>
    <t>Gym</t>
  </si>
  <si>
    <t>Swimming Pool</t>
  </si>
  <si>
    <t>Garden</t>
  </si>
  <si>
    <t>Community Hall</t>
  </si>
  <si>
    <t>Any Additional Amenities, To Above, Pls Specify</t>
  </si>
  <si>
    <t>Technical Documents Details</t>
  </si>
  <si>
    <t>Document Name</t>
  </si>
  <si>
    <t>Approved Layout Plan</t>
  </si>
  <si>
    <t>Approved Floor Plan</t>
  </si>
  <si>
    <t>Construction  / Building Permission / Commencement Certificate</t>
  </si>
  <si>
    <t>Non Agricultural Permission / Land Conversion / Diversion</t>
  </si>
  <si>
    <t>Building Completion / Occupation Permission / Use Permission</t>
  </si>
  <si>
    <t>Location Sketch/ Certificate</t>
  </si>
  <si>
    <t>Authority Allotment Letter</t>
  </si>
  <si>
    <t>Ownership Doc 1</t>
  </si>
  <si>
    <t>Ownership Doc 2</t>
  </si>
  <si>
    <t>Remarks On Documents Verified</t>
  </si>
  <si>
    <t>Approving Authority Name</t>
  </si>
  <si>
    <t>Applicability &amp; Availability</t>
  </si>
  <si>
    <t>Approving Authority</t>
  </si>
  <si>
    <t>Details Of Approval</t>
  </si>
  <si>
    <t>Rera Details ( If Applicable)</t>
  </si>
  <si>
    <t>Rera Applicable</t>
  </si>
  <si>
    <t>Rera Registration No</t>
  </si>
  <si>
    <t>Project Start Date As Per Rera</t>
  </si>
  <si>
    <t>If Any Litigation Record On Project As Per Rera</t>
  </si>
  <si>
    <t>If Applicable, Rera Registration Status</t>
  </si>
  <si>
    <t>Project Completion Date As Per Rera</t>
  </si>
  <si>
    <t xml:space="preserve">Litigation Details As Per Rera Website </t>
  </si>
  <si>
    <t>Critical Parameters</t>
  </si>
  <si>
    <t>Flood Prone Area</t>
  </si>
  <si>
    <t>Coastal Regulatory Zone</t>
  </si>
  <si>
    <t>Falling In Present Or Proposed Road Widening</t>
  </si>
  <si>
    <t>Property Near High/Low Tension (Ht)/(Lt) Lines ?</t>
  </si>
  <si>
    <t>Presence Of Nallah/ Lake / Water Body Nearby</t>
  </si>
  <si>
    <t>Unit Deviation</t>
  </si>
  <si>
    <t>Seismic Zone</t>
  </si>
  <si>
    <t>Zoning As Per Development Plan</t>
  </si>
  <si>
    <t>Falling In Reservation As Per Development Plan</t>
  </si>
  <si>
    <t>Property Within 30 Mtrs From Railway Boundary ?</t>
  </si>
  <si>
    <t>Fsi Deviation</t>
  </si>
  <si>
    <t>Vertical Deviation</t>
  </si>
  <si>
    <t>Habitation In ( % ) Within 1 Kms Around Project</t>
  </si>
  <si>
    <t>Remarks In Case Project Affected By Any Of Critical Parameter</t>
  </si>
  <si>
    <t>Technical Deviations Observed In Project</t>
  </si>
  <si>
    <t>Demolition Risk</t>
  </si>
  <si>
    <t>Detail Of Deviation, If Any</t>
  </si>
  <si>
    <t>Total Phases</t>
  </si>
  <si>
    <t>Total No. Of Buildings</t>
  </si>
  <si>
    <t>Total No. Of Wings</t>
  </si>
  <si>
    <t>Total No. Of Approved Units (A)</t>
  </si>
  <si>
    <t>Total No. Of Unapproved Units (B)</t>
  </si>
  <si>
    <t>Total No. Of (A+B) Units</t>
  </si>
  <si>
    <t>Is The Project Technically Acceptable ?</t>
  </si>
  <si>
    <t>Is The Project Marketable ?</t>
  </si>
  <si>
    <t>Comment On Builder Group Involved In Project Development</t>
  </si>
  <si>
    <t>Overall Comments On Project Acceptability &amp; Marketablity</t>
  </si>
  <si>
    <t>FOUNDATION WIP</t>
  </si>
  <si>
    <t>PLINTH WIP</t>
  </si>
  <si>
    <t>YET TO START</t>
  </si>
  <si>
    <t>Sr.No.</t>
  </si>
  <si>
    <t>Base Rate Psf Rs.</t>
  </si>
  <si>
    <t>Floor Rise
(If Applicable)</t>
  </si>
  <si>
    <t>In Rs. Psf
(If Applicable)</t>
  </si>
  <si>
    <t>In Lumpsum Basis
(If Applicable)</t>
  </si>
  <si>
    <t>Applicable From Floor No.</t>
  </si>
  <si>
    <t>Applicable To Floor No.</t>
  </si>
  <si>
    <t>Applicable To Building /W ing</t>
  </si>
  <si>
    <t xml:space="preserve">Floor Rise 1 </t>
  </si>
  <si>
    <t>Floor Rise 2</t>
  </si>
  <si>
    <t>Floor Rise 3</t>
  </si>
  <si>
    <t>Floor Rise 4</t>
  </si>
  <si>
    <t>Plc Charges
(If Applicable)</t>
  </si>
  <si>
    <t>Details Of Plc/View</t>
  </si>
  <si>
    <t>List Of Unit Nos - Plc Applicable</t>
  </si>
  <si>
    <t>PLC Type 1</t>
  </si>
  <si>
    <t>PLC Type 2</t>
  </si>
  <si>
    <t>PLC Type 3</t>
  </si>
  <si>
    <t>Amenities Details</t>
  </si>
  <si>
    <t>Details Of Amenity Cost - Optional/Compulsory To Buyer, No Of Years, Etc</t>
  </si>
  <si>
    <t>Remarks, If Any</t>
  </si>
  <si>
    <t>Electricity &amp; Water Con.</t>
  </si>
  <si>
    <t>Infra</t>
  </si>
  <si>
    <t>Development</t>
  </si>
  <si>
    <t>Maintenance</t>
  </si>
  <si>
    <t>Any Other Amenity 1</t>
  </si>
  <si>
    <t>Any Other Amenity 2</t>
  </si>
  <si>
    <t>Any Other Amenity 3</t>
  </si>
  <si>
    <t>Maharashtra</t>
  </si>
  <si>
    <t>India</t>
  </si>
  <si>
    <t>Yes</t>
  </si>
  <si>
    <t>V.S Jadon &amp; Co.Valuers LLP</t>
  </si>
  <si>
    <t>Mr. Vishwajeet Singh Jadon</t>
  </si>
  <si>
    <t>vsjc.apf@gmail.com</t>
  </si>
  <si>
    <t>Mr. Sachin Sawant - 9820058999</t>
  </si>
  <si>
    <t>NA</t>
  </si>
  <si>
    <t>Taluka</t>
  </si>
  <si>
    <t>City</t>
  </si>
  <si>
    <t>Village</t>
  </si>
  <si>
    <t>As Per Layout Plan</t>
  </si>
  <si>
    <t>Same</t>
  </si>
  <si>
    <t>Location Link</t>
  </si>
  <si>
    <t>Good</t>
  </si>
  <si>
    <t>No</t>
  </si>
  <si>
    <t>Fire Noc &amp; Plans</t>
  </si>
  <si>
    <t>Environmental Clearance</t>
  </si>
  <si>
    <t>Coastal Regulatory Zonex ( Crz ) Noc</t>
  </si>
  <si>
    <t>Registered</t>
  </si>
  <si>
    <t>Zone III</t>
  </si>
  <si>
    <t>Not Appicable</t>
  </si>
  <si>
    <t>Approved no of Floors</t>
  </si>
  <si>
    <t>Proposed no of Floors</t>
  </si>
  <si>
    <t>Commercial Area Details : Shops</t>
  </si>
  <si>
    <t>Ground Floor</t>
  </si>
  <si>
    <t>1st Floor</t>
  </si>
  <si>
    <t>Commercial Area Details : Office</t>
  </si>
  <si>
    <t>2nd Floor</t>
  </si>
  <si>
    <t>Grand Total</t>
  </si>
  <si>
    <t>Residential Area Details : Flats</t>
  </si>
  <si>
    <r>
      <t xml:space="preserve">Flat No.
</t>
    </r>
    <r>
      <rPr>
        <b/>
        <sz val="9"/>
        <color rgb="FF000000"/>
        <rFont val="Garamond"/>
        <family val="1"/>
      </rPr>
      <t>(Approved Plan)</t>
    </r>
  </si>
  <si>
    <t>Building /Wing - Name /No</t>
  </si>
  <si>
    <t xml:space="preserve">Base Rate Considered On Area - 
Carpet/ Bua/ Saleale </t>
  </si>
  <si>
    <t>Saleable Area</t>
  </si>
  <si>
    <t>We have considered rate by verifying it from market inquire.</t>
  </si>
  <si>
    <t>Car parking is subjected to authentic documentation.</t>
  </si>
  <si>
    <t>Recommended rate should be considered as all inclusive rate if other charges are not mentioned. (Excluding GST &amp; other government Taxes)</t>
  </si>
  <si>
    <t>Documents received on:</t>
  </si>
  <si>
    <t>Yes &amp; 0.15m</t>
  </si>
  <si>
    <t>Excavation in Process</t>
  </si>
  <si>
    <t>Foundation in Process</t>
  </si>
  <si>
    <t>Building No. 1 = Gr. + 1st to 17th Floor</t>
  </si>
  <si>
    <t xml:space="preserve">Labours &amp; Materials were found on site at the time of visit. </t>
  </si>
  <si>
    <t>Saleable area Loading :</t>
  </si>
  <si>
    <t>Office No. 1031, Wing J, Akshar Business Park, Plot No. 03 Sector 25, Near APMC Market, Vashi, Navi Mumbai, Maharashtra 400703 TEL: 022-46090378/79/80</t>
  </si>
  <si>
    <t>Project Location details</t>
  </si>
  <si>
    <t>Locality</t>
  </si>
  <si>
    <t>Res+Comm=total</t>
  </si>
  <si>
    <t>total/res : total:com</t>
  </si>
  <si>
    <t>Rivali Park Stargaze Tower 2</t>
  </si>
  <si>
    <t>Airoli</t>
  </si>
  <si>
    <t>Mr. Abhishek Manjrekar</t>
  </si>
  <si>
    <t xml:space="preserve">CCI Projects Private Limited
</t>
  </si>
  <si>
    <t>CTS No.</t>
  </si>
  <si>
    <t>165 &amp; 163/A</t>
  </si>
  <si>
    <t>Magathane</t>
  </si>
  <si>
    <t>https://maps.app.goo.gl/oHYbDe4YzRSBXJ6G6</t>
  </si>
  <si>
    <t>19.216620,72.863906</t>
  </si>
  <si>
    <t>Siddharth Nagar</t>
  </si>
  <si>
    <t>Westren Express Highway</t>
  </si>
  <si>
    <t>Borivali</t>
  </si>
  <si>
    <t>Borivali East</t>
  </si>
  <si>
    <t>Magathane Metro Station</t>
  </si>
  <si>
    <t>Mumbai</t>
  </si>
  <si>
    <t>RBL Bank Ltd - Thakur Village, Kandivali East Branch</t>
  </si>
  <si>
    <t>1.50Km</t>
  </si>
  <si>
    <t>Other Plot</t>
  </si>
  <si>
    <t>Bhor Industries</t>
  </si>
  <si>
    <t>Western Express Highway</t>
  </si>
  <si>
    <t>CTS No. 68, 69</t>
  </si>
  <si>
    <t>Industrial Area</t>
  </si>
  <si>
    <t>Signia High by Sunteck Realty</t>
  </si>
  <si>
    <t>Western Edge II</t>
  </si>
  <si>
    <t>Municipal Corporation Of Greater Mumbai (MCGM)</t>
  </si>
  <si>
    <t>Residential Built Up Area for Tower 2</t>
  </si>
  <si>
    <t>Car = 218</t>
  </si>
  <si>
    <t>100:00</t>
  </si>
  <si>
    <t>Area Not in possession</t>
  </si>
  <si>
    <t>Net Plot Area</t>
  </si>
  <si>
    <t>Area Under Amenity</t>
  </si>
  <si>
    <t>-</t>
  </si>
  <si>
    <t>450m</t>
  </si>
  <si>
    <t>Magathane Telephone Exchange</t>
  </si>
  <si>
    <t>Hdfc Bank</t>
  </si>
  <si>
    <t>800m</t>
  </si>
  <si>
    <t>St Lawrence high school</t>
  </si>
  <si>
    <t>1.4Km</t>
  </si>
  <si>
    <t>Aditi Hospital</t>
  </si>
  <si>
    <t>1.1Km</t>
  </si>
  <si>
    <t>Jogging Track, Yoga Meditation Area, Rock Climbing, Kids play Area, Billiard Pool, Senior Citizen Area, Multi purpose Hall, Massage Room, Indoor Games, Reflexology Area, Jaccuzi, etc.</t>
  </si>
  <si>
    <t>CHE/A-3016/BP(WS)/AR/337/9/Amend
Date : 25/09/2023</t>
  </si>
  <si>
    <t xml:space="preserve">CHE/A-3016/BP(WS)/AR/FCC/6/Amend
Date :10/10/2023
</t>
  </si>
  <si>
    <t>Valid Upto Date: 09/10/2024
Valid Upto: This C.C. is re-endorsed up to 2nd podium level as per approved amended plans dated 25.09.2023.</t>
  </si>
  <si>
    <t>Applicable and Received</t>
  </si>
  <si>
    <t>MCGM</t>
  </si>
  <si>
    <t>Applicable and Not Received</t>
  </si>
  <si>
    <t>To be obtained</t>
  </si>
  <si>
    <t>Mumbai Fire Brigade</t>
  </si>
  <si>
    <t>CHE/A-3016/BP(WS)/AR-CFO
Date : 05/01/2024
Tower 2 = 2B + GR + 5P + 6th to 39th Floor 
( Height 120 mtrs)</t>
  </si>
  <si>
    <t>Not Applicable</t>
  </si>
  <si>
    <t>Verified By Kanga &amp; CO
(Advocates &amp; Solicitors)</t>
  </si>
  <si>
    <t>P51800053578</t>
  </si>
  <si>
    <t>Tower 2 = 2B + GR + 5P + 6th to 39th Floor</t>
  </si>
  <si>
    <t>Whitespring, Wintergreen, etc</t>
  </si>
  <si>
    <t>METRO Cash &amp; Carry</t>
  </si>
  <si>
    <t>500Km</t>
  </si>
  <si>
    <t>Project Name is approved by MCGM. Surrounded by Rivali Park wintergreen, 
Grandeur Tower. Hospital, School, Shopping centre, Metro Station within 1 km from project.</t>
  </si>
  <si>
    <t>Tower 2</t>
  </si>
  <si>
    <t>Lower Basement 2 For Parking, Tank Area &amp; Pump Room</t>
  </si>
  <si>
    <t>Lower Basement 1 For Parking &amp; Void</t>
  </si>
  <si>
    <t>Ground Floor For Entrance Lobby &amp; Parking</t>
  </si>
  <si>
    <t>1st Podium Floor For Void (Double Heighted Entrance Lobby)</t>
  </si>
  <si>
    <t>2BHK</t>
  </si>
  <si>
    <t>3BHK</t>
  </si>
  <si>
    <t>2nd to 5th Podium Floor For Residential &amp; Void</t>
  </si>
  <si>
    <t>6th Floor For Residential Area &amp; Void</t>
  </si>
  <si>
    <t>7th Floor For Residential Area &amp; Void</t>
  </si>
  <si>
    <t>Void</t>
  </si>
  <si>
    <t>8th Floor For Residential (Part Refuge Area)</t>
  </si>
  <si>
    <t>Refuge Area</t>
  </si>
  <si>
    <t>16th to 19th Floor</t>
  </si>
  <si>
    <t>9th to 14th Floor</t>
  </si>
  <si>
    <t>15th Floor For Residential (Part Refuge Area)</t>
  </si>
  <si>
    <t>22nd Floor For Residential (Part Refuge Area)</t>
  </si>
  <si>
    <t>20th, 21st, 23rd to 28th Floor</t>
  </si>
  <si>
    <t>29th Floor For Residential (Part Refuge Area)</t>
  </si>
  <si>
    <t>36th Floor For Residential (Part Refuge Area)</t>
  </si>
  <si>
    <t>Flats = 198</t>
  </si>
  <si>
    <t>We considered Gross carpet area = Net carpet +Deck</t>
  </si>
  <si>
    <t xml:space="preserve"> On Site, we meet Mr Abhishek (sales) - 9152122372.</t>
  </si>
  <si>
    <t>Hafeez Contractors</t>
  </si>
  <si>
    <t>30th to 35th &amp; 37th to 39th Floor</t>
  </si>
  <si>
    <t>From 3rd Floor</t>
  </si>
  <si>
    <t>Other Charges</t>
  </si>
  <si>
    <t>To 39th Floor</t>
  </si>
  <si>
    <t>Extra stage given as per rushab he given architech certificate on mail. on 04/09/2024 (half plinth completed only but we are given full plinth complete 04/09/2024</t>
  </si>
  <si>
    <t>Rahul Salve</t>
  </si>
  <si>
    <t>STAGE</t>
  </si>
  <si>
    <t>PROPOSED STRUCTURE</t>
  </si>
  <si>
    <t>RATE/ BOX PRICE</t>
  </si>
  <si>
    <t>10SLABS</t>
  </si>
  <si>
    <t>2B + G + 1ST TO 5TH POD + 6TH TO 39TH FLOORS</t>
  </si>
  <si>
    <t>Construction Work is active at the time of visit. Internal visit not allowed.</t>
  </si>
  <si>
    <t xml:space="preserve">Construction details were taken from Mr Pramod 8657955945. </t>
  </si>
  <si>
    <t xml:space="preserve">CHE/A-3016/BP(WS)/AR/FCC/10/Amend
Date : 06/12/2024
</t>
  </si>
  <si>
    <t>Validity of CC is expired on 28/03/2025, Please provide revised approved CC.</t>
  </si>
  <si>
    <t>We have updated revised approved CC from MCGM site on 11/04/2025.</t>
  </si>
  <si>
    <t>Shruti Tathare</t>
  </si>
  <si>
    <t>Valid Upto Date: 28/03/2026
Valid Upto: This C.C. extended further for work of Tower 3 comprising of 2 level basement + Ground floor + 1st level podium + 2nd to 4th (part) podiums for parking &amp; (part) Residential floors + 5th to 35th upper residential floors and re-endorsed for Tower 1 &amp; 2 comprising of 2 level basement + Ground floor + 1st level podium + 2nd to 4th (part) podium for parking &amp; (part) for Residential floors + 5th to 39th upper residential floors as per approved amended plans dtd. 18.03.2024.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</si>
</sst>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Book Antiqua"/>
      <family val="1"/>
    </font>
    <font>
      <sz val="9"/>
      <color rgb="FF000000"/>
      <name val="Garamond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9"/>
      <color indexed="8"/>
      <name val="Garamond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12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Garamond"/>
      <family val="1"/>
    </font>
    <font>
      <b/>
      <sz val="11"/>
      <color theme="1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11"/>
      <name val="Garamond"/>
      <family val="1"/>
    </font>
    <font>
      <b/>
      <sz val="9"/>
      <name val="Garamond"/>
      <family val="1"/>
    </font>
    <font>
      <b/>
      <sz val="11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sz val="11"/>
      <name val="Calibri"/>
      <family val="2"/>
      <scheme val="minor"/>
    </font>
    <font>
      <b/>
      <sz val="10"/>
      <name val="Garamond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14" fillId="0" borderId="0"/>
    <xf numFmtId="0" fontId="20" fillId="0" borderId="0" applyNumberFormat="0" applyFill="0" applyBorder="0" applyAlignment="0" applyProtection="0"/>
  </cellStyleXfs>
  <cellXfs count="330">
    <xf numFmtId="0" fontId="0" fillId="0" borderId="0" xfId="0"/>
    <xf numFmtId="0" fontId="6" fillId="0" borderId="0" xfId="0" applyFont="1"/>
    <xf numFmtId="0" fontId="6" fillId="0" borderId="13" xfId="2" applyFont="1" applyBorder="1" applyProtection="1">
      <protection hidden="1"/>
    </xf>
    <xf numFmtId="0" fontId="6" fillId="0" borderId="14" xfId="2" applyFont="1" applyBorder="1" applyProtection="1">
      <protection hidden="1"/>
    </xf>
    <xf numFmtId="0" fontId="6" fillId="0" borderId="0" xfId="2" applyFont="1" applyProtection="1">
      <protection hidden="1"/>
    </xf>
    <xf numFmtId="0" fontId="6" fillId="0" borderId="1" xfId="2" applyFont="1" applyBorder="1" applyProtection="1">
      <protection hidden="1"/>
    </xf>
    <xf numFmtId="0" fontId="7" fillId="0" borderId="0" xfId="0" applyFont="1" applyProtection="1">
      <protection hidden="1"/>
    </xf>
    <xf numFmtId="0" fontId="6" fillId="0" borderId="1" xfId="2" applyFont="1" applyBorder="1"/>
    <xf numFmtId="0" fontId="7" fillId="0" borderId="1" xfId="0" applyFont="1" applyBorder="1" applyProtection="1">
      <protection hidden="1"/>
    </xf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7" fillId="0" borderId="18" xfId="0" applyFont="1" applyBorder="1" applyProtection="1">
      <protection hidden="1"/>
    </xf>
    <xf numFmtId="1" fontId="6" fillId="0" borderId="17" xfId="0" applyNumberFormat="1" applyFont="1" applyBorder="1"/>
    <xf numFmtId="0" fontId="9" fillId="0" borderId="13" xfId="2" applyFont="1" applyBorder="1" applyProtection="1">
      <protection hidden="1"/>
    </xf>
    <xf numFmtId="0" fontId="9" fillId="0" borderId="14" xfId="2" applyFont="1" applyBorder="1" applyProtection="1">
      <protection hidden="1"/>
    </xf>
    <xf numFmtId="0" fontId="9" fillId="0" borderId="4" xfId="2" applyFont="1" applyBorder="1" applyAlignment="1" applyProtection="1">
      <alignment horizontal="center" vertical="top"/>
      <protection locked="0"/>
    </xf>
    <xf numFmtId="0" fontId="9" fillId="0" borderId="5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1" xfId="2" applyFont="1" applyBorder="1" applyProtection="1">
      <protection hidden="1"/>
    </xf>
    <xf numFmtId="0" fontId="9" fillId="0" borderId="5" xfId="2" applyFont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hidden="1"/>
    </xf>
    <xf numFmtId="0" fontId="9" fillId="0" borderId="1" xfId="2" applyFont="1" applyBorder="1"/>
    <xf numFmtId="0" fontId="9" fillId="0" borderId="5" xfId="2" applyFont="1" applyBorder="1" applyAlignment="1" applyProtection="1">
      <alignment horizontal="center" wrapText="1"/>
      <protection locked="0"/>
    </xf>
    <xf numFmtId="9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Protection="1">
      <protection hidden="1"/>
    </xf>
    <xf numFmtId="1" fontId="9" fillId="0" borderId="5" xfId="2" applyNumberFormat="1" applyFont="1" applyBorder="1" applyAlignment="1" applyProtection="1">
      <alignment horizontal="center" wrapText="1"/>
      <protection locked="0"/>
    </xf>
    <xf numFmtId="1" fontId="11" fillId="0" borderId="1" xfId="0" applyNumberFormat="1" applyFont="1" applyBorder="1"/>
    <xf numFmtId="1" fontId="11" fillId="0" borderId="1" xfId="0" applyNumberFormat="1" applyFont="1" applyBorder="1" applyAlignment="1">
      <alignment horizontal="right"/>
    </xf>
    <xf numFmtId="0" fontId="9" fillId="0" borderId="16" xfId="2" applyFont="1" applyBorder="1" applyAlignment="1" applyProtection="1">
      <alignment horizontal="center" wrapText="1"/>
      <protection locked="0"/>
    </xf>
    <xf numFmtId="9" fontId="9" fillId="3" borderId="16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0" applyFont="1" applyBorder="1" applyProtection="1">
      <protection hidden="1"/>
    </xf>
    <xf numFmtId="1" fontId="11" fillId="0" borderId="17" xfId="0" applyNumberFormat="1" applyFont="1" applyBorder="1"/>
    <xf numFmtId="0" fontId="9" fillId="0" borderId="8" xfId="2" applyFont="1" applyBorder="1" applyAlignment="1" applyProtection="1">
      <alignment vertical="top"/>
      <protection locked="0"/>
    </xf>
    <xf numFmtId="0" fontId="9" fillId="0" borderId="3" xfId="2" applyFont="1" applyBorder="1" applyAlignment="1" applyProtection="1">
      <alignment vertical="top"/>
      <protection locked="0"/>
    </xf>
    <xf numFmtId="0" fontId="9" fillId="0" borderId="2" xfId="2" applyFont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3" fillId="0" borderId="0" xfId="3" applyFont="1"/>
    <xf numFmtId="0" fontId="9" fillId="0" borderId="0" xfId="2" applyFont="1"/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top"/>
      <protection locked="0"/>
    </xf>
    <xf numFmtId="1" fontId="12" fillId="0" borderId="0" xfId="2" applyNumberFormat="1" applyFont="1" applyAlignment="1" applyProtection="1">
      <alignment vertical="center" wrapText="1"/>
      <protection locked="0"/>
    </xf>
    <xf numFmtId="0" fontId="15" fillId="0" borderId="0" xfId="0" applyFont="1"/>
    <xf numFmtId="0" fontId="5" fillId="2" borderId="5" xfId="1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>
      <alignment horizontal="left" vertical="top" wrapText="1"/>
    </xf>
    <xf numFmtId="0" fontId="2" fillId="4" borderId="5" xfId="1" applyFont="1" applyFill="1" applyBorder="1" applyAlignment="1">
      <alignment vertical="center" wrapText="1"/>
    </xf>
    <xf numFmtId="1" fontId="1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5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4" borderId="0" xfId="0" applyFont="1" applyFill="1" applyBorder="1" applyAlignment="1">
      <alignment vertical="top" wrapText="1"/>
    </xf>
    <xf numFmtId="1" fontId="9" fillId="0" borderId="0" xfId="2" applyNumberFormat="1" applyFont="1" applyBorder="1" applyAlignment="1">
      <alignment horizontal="center" vertical="center"/>
    </xf>
    <xf numFmtId="2" fontId="9" fillId="0" borderId="0" xfId="2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2" applyFont="1" applyBorder="1" applyAlignment="1">
      <alignment horizontal="center" vertical="center"/>
    </xf>
    <xf numFmtId="0" fontId="13" fillId="0" borderId="0" xfId="3" applyFont="1" applyBorder="1"/>
    <xf numFmtId="0" fontId="9" fillId="0" borderId="0" xfId="2" applyFont="1" applyBorder="1"/>
    <xf numFmtId="0" fontId="2" fillId="0" borderId="0" xfId="0" applyFont="1" applyBorder="1" applyAlignment="1">
      <alignment vertical="top" wrapText="1"/>
    </xf>
    <xf numFmtId="0" fontId="21" fillId="4" borderId="5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19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5" xfId="1" applyNumberFormat="1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>
      <alignment horizontal="left" vertical="center" wrapText="1"/>
    </xf>
    <xf numFmtId="0" fontId="3" fillId="4" borderId="11" xfId="2" applyFont="1" applyFill="1" applyBorder="1" applyAlignment="1" applyProtection="1">
      <alignment horizontal="center" vertical="center"/>
      <protection locked="0"/>
    </xf>
    <xf numFmtId="0" fontId="3" fillId="4" borderId="12" xfId="2" applyFont="1" applyFill="1" applyBorder="1" applyAlignment="1" applyProtection="1">
      <alignment horizontal="center" vertical="center"/>
      <protection locked="0"/>
    </xf>
    <xf numFmtId="0" fontId="3" fillId="4" borderId="5" xfId="2" applyFont="1" applyFill="1" applyBorder="1" applyAlignment="1" applyProtection="1">
      <alignment horizontal="center" vertical="center"/>
      <protection locked="0"/>
    </xf>
    <xf numFmtId="0" fontId="3" fillId="4" borderId="6" xfId="2" applyFont="1" applyFill="1" applyBorder="1" applyAlignment="1" applyProtection="1">
      <alignment horizontal="center" vertical="center"/>
      <protection locked="0"/>
    </xf>
    <xf numFmtId="0" fontId="3" fillId="4" borderId="4" xfId="2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>
      <alignment horizontal="center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9" fontId="3" fillId="4" borderId="5" xfId="0" applyNumberFormat="1" applyFont="1" applyFill="1" applyBorder="1" applyAlignment="1">
      <alignment horizontal="center" vertical="center"/>
    </xf>
    <xf numFmtId="0" fontId="3" fillId="4" borderId="5" xfId="2" applyFont="1" applyFill="1" applyBorder="1" applyAlignment="1" applyProtection="1">
      <alignment horizontal="center" wrapText="1"/>
      <protection locked="0"/>
    </xf>
    <xf numFmtId="1" fontId="3" fillId="4" borderId="5" xfId="2" applyNumberFormat="1" applyFont="1" applyFill="1" applyBorder="1" applyAlignment="1" applyProtection="1">
      <alignment horizontal="center" wrapText="1"/>
      <protection locked="0"/>
    </xf>
    <xf numFmtId="1" fontId="29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5" xfId="0" applyNumberFormat="1" applyFont="1" applyBorder="1" applyAlignment="1" applyProtection="1">
      <alignment horizontal="center" vertical="center" wrapText="1"/>
      <protection locked="0"/>
    </xf>
    <xf numFmtId="1" fontId="30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4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/>
    <xf numFmtId="0" fontId="32" fillId="4" borderId="5" xfId="0" applyFont="1" applyFill="1" applyBorder="1" applyAlignment="1">
      <alignment horizontal="left" vertical="top" wrapText="1"/>
    </xf>
    <xf numFmtId="0" fontId="32" fillId="4" borderId="5" xfId="0" applyFont="1" applyFill="1" applyBorder="1" applyAlignment="1">
      <alignment horizontal="center" vertical="center" wrapText="1"/>
    </xf>
    <xf numFmtId="1" fontId="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3" fillId="0" borderId="0" xfId="0" applyFont="1"/>
    <xf numFmtId="0" fontId="33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center" vertical="center"/>
    </xf>
    <xf numFmtId="1" fontId="30" fillId="0" borderId="5" xfId="0" applyNumberFormat="1" applyFont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top" wrapText="1"/>
    </xf>
    <xf numFmtId="0" fontId="28" fillId="4" borderId="4" xfId="0" applyFont="1" applyFill="1" applyBorder="1" applyAlignment="1">
      <alignment horizontal="left" vertical="top"/>
    </xf>
    <xf numFmtId="0" fontId="3" fillId="4" borderId="15" xfId="2" applyFont="1" applyFill="1" applyBorder="1" applyAlignment="1" applyProtection="1">
      <alignment horizontal="left" vertical="top" wrapText="1"/>
      <protection locked="0"/>
    </xf>
    <xf numFmtId="9" fontId="3" fillId="4" borderId="16" xfId="0" applyNumberFormat="1" applyFont="1" applyFill="1" applyBorder="1" applyAlignment="1">
      <alignment horizontal="center" vertical="center"/>
    </xf>
    <xf numFmtId="0" fontId="3" fillId="4" borderId="16" xfId="2" applyFont="1" applyFill="1" applyBorder="1" applyAlignment="1" applyProtection="1">
      <alignment horizontal="center" wrapText="1"/>
      <protection locked="0"/>
    </xf>
    <xf numFmtId="1" fontId="3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1" fontId="29" fillId="0" borderId="5" xfId="2" applyNumberFormat="1" applyFont="1" applyBorder="1" applyAlignment="1" applyProtection="1">
      <alignment horizontal="center" vertical="center" wrapText="1"/>
      <protection locked="0"/>
    </xf>
    <xf numFmtId="1" fontId="3" fillId="0" borderId="5" xfId="2" applyNumberFormat="1" applyFont="1" applyBorder="1" applyAlignment="1">
      <alignment horizontal="center" vertical="center"/>
    </xf>
    <xf numFmtId="1" fontId="19" fillId="0" borderId="9" xfId="2" applyNumberFormat="1" applyFont="1" applyBorder="1" applyAlignment="1" applyProtection="1">
      <alignment horizontal="center" vertical="center" wrapText="1"/>
      <protection locked="0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/>
    <xf numFmtId="0" fontId="27" fillId="0" borderId="5" xfId="0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4" fontId="5" fillId="2" borderId="5" xfId="1" applyNumberFormat="1" applyFont="1" applyFill="1" applyBorder="1" applyAlignment="1" applyProtection="1">
      <alignment horizontal="left" vertical="center" wrapText="1"/>
      <protection locked="0"/>
    </xf>
    <xf numFmtId="14" fontId="34" fillId="2" borderId="5" xfId="1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top"/>
    </xf>
    <xf numFmtId="9" fontId="32" fillId="0" borderId="7" xfId="2" applyNumberFormat="1" applyFont="1" applyBorder="1" applyAlignment="1" applyProtection="1">
      <alignment horizontal="center" vertical="center" wrapText="1"/>
      <protection locked="0"/>
    </xf>
    <xf numFmtId="0" fontId="38" fillId="4" borderId="5" xfId="0" applyFont="1" applyFill="1" applyBorder="1" applyAlignment="1">
      <alignment horizontal="center" vertical="center" wrapText="1"/>
    </xf>
    <xf numFmtId="2" fontId="0" fillId="0" borderId="0" xfId="0" applyNumberFormat="1" applyBorder="1"/>
    <xf numFmtId="3" fontId="21" fillId="4" borderId="5" xfId="0" applyNumberFormat="1" applyFont="1" applyFill="1" applyBorder="1" applyAlignment="1">
      <alignment horizontal="center" vertical="center" wrapText="1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0" fontId="28" fillId="4" borderId="4" xfId="2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protection hidden="1"/>
    </xf>
    <xf numFmtId="0" fontId="3" fillId="4" borderId="4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Protection="1">
      <protection hidden="1"/>
    </xf>
    <xf numFmtId="0" fontId="28" fillId="4" borderId="4" xfId="0" applyFont="1" applyFill="1" applyBorder="1" applyAlignment="1">
      <alignment horizontal="center" vertical="top"/>
    </xf>
    <xf numFmtId="0" fontId="33" fillId="7" borderId="4" xfId="2" applyFont="1" applyFill="1" applyBorder="1" applyAlignment="1" applyProtection="1">
      <alignment horizontal="center" vertical="center" wrapText="1"/>
      <protection locked="0"/>
    </xf>
    <xf numFmtId="0" fontId="33" fillId="7" borderId="5" xfId="0" applyFont="1" applyFill="1" applyBorder="1" applyAlignment="1">
      <alignment horizontal="center" vertical="center" wrapText="1"/>
    </xf>
    <xf numFmtId="0" fontId="33" fillId="7" borderId="5" xfId="2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hidden="1"/>
    </xf>
    <xf numFmtId="0" fontId="40" fillId="0" borderId="1" xfId="2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4" borderId="4" xfId="2" applyFont="1" applyFill="1" applyBorder="1" applyAlignment="1" applyProtection="1">
      <alignment horizontal="center" vertical="top" wrapText="1"/>
      <protection locked="0"/>
    </xf>
    <xf numFmtId="0" fontId="3" fillId="4" borderId="15" xfId="2" applyFont="1" applyFill="1" applyBorder="1" applyAlignment="1" applyProtection="1">
      <alignment horizontal="center" vertical="top" wrapText="1"/>
      <protection locked="0"/>
    </xf>
    <xf numFmtId="0" fontId="41" fillId="0" borderId="34" xfId="0" applyFont="1" applyBorder="1" applyAlignment="1" applyProtection="1">
      <alignment vertical="center"/>
      <protection hidden="1"/>
    </xf>
    <xf numFmtId="0" fontId="41" fillId="0" borderId="0" xfId="0" applyFont="1" applyBorder="1" applyAlignment="1" applyProtection="1">
      <alignment vertical="center"/>
      <protection hidden="1"/>
    </xf>
    <xf numFmtId="0" fontId="39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center"/>
    </xf>
    <xf numFmtId="1" fontId="13" fillId="0" borderId="0" xfId="2" applyNumberFormat="1" applyFont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1" fontId="30" fillId="0" borderId="5" xfId="2" applyNumberFormat="1" applyFont="1" applyBorder="1" applyAlignment="1" applyProtection="1">
      <alignment horizontal="center" vertical="center" wrapText="1"/>
      <protection locked="0"/>
    </xf>
    <xf numFmtId="1" fontId="29" fillId="0" borderId="25" xfId="2" applyNumberFormat="1" applyFont="1" applyBorder="1" applyAlignment="1" applyProtection="1">
      <alignment horizontal="center" vertical="center" wrapText="1"/>
      <protection locked="0"/>
    </xf>
    <xf numFmtId="1" fontId="29" fillId="0" borderId="26" xfId="2" applyNumberFormat="1" applyFont="1" applyBorder="1" applyAlignment="1" applyProtection="1">
      <alignment horizontal="center" vertical="center" wrapText="1"/>
      <protection locked="0"/>
    </xf>
    <xf numFmtId="1" fontId="29" fillId="0" borderId="27" xfId="2" applyNumberFormat="1" applyFont="1" applyBorder="1" applyAlignment="1" applyProtection="1">
      <alignment horizontal="center" vertical="center" wrapText="1"/>
      <protection locked="0"/>
    </xf>
    <xf numFmtId="1" fontId="29" fillId="0" borderId="31" xfId="2" applyNumberFormat="1" applyFont="1" applyBorder="1" applyAlignment="1" applyProtection="1">
      <alignment horizontal="center" vertical="center" wrapText="1"/>
      <protection locked="0"/>
    </xf>
    <xf numFmtId="1" fontId="29" fillId="0" borderId="0" xfId="2" applyNumberFormat="1" applyFont="1" applyBorder="1" applyAlignment="1" applyProtection="1">
      <alignment horizontal="center" vertical="center" wrapText="1"/>
      <protection locked="0"/>
    </xf>
    <xf numFmtId="1" fontId="29" fillId="0" borderId="32" xfId="2" applyNumberFormat="1" applyFont="1" applyBorder="1" applyAlignment="1" applyProtection="1">
      <alignment horizontal="center" vertical="center" wrapText="1"/>
      <protection locked="0"/>
    </xf>
    <xf numFmtId="1" fontId="29" fillId="0" borderId="28" xfId="2" applyNumberFormat="1" applyFont="1" applyBorder="1" applyAlignment="1" applyProtection="1">
      <alignment horizontal="center" vertical="center" wrapText="1"/>
      <protection locked="0"/>
    </xf>
    <xf numFmtId="1" fontId="29" fillId="0" borderId="29" xfId="2" applyNumberFormat="1" applyFont="1" applyBorder="1" applyAlignment="1" applyProtection="1">
      <alignment horizontal="center" vertical="center" wrapText="1"/>
      <protection locked="0"/>
    </xf>
    <xf numFmtId="1" fontId="29" fillId="0" borderId="30" xfId="2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1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36" fillId="0" borderId="11" xfId="0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8" fillId="4" borderId="10" xfId="2" applyFont="1" applyFill="1" applyBorder="1" applyAlignment="1" applyProtection="1">
      <alignment horizontal="left" vertical="top" wrapText="1"/>
      <protection locked="0"/>
    </xf>
    <xf numFmtId="0" fontId="28" fillId="4" borderId="11" xfId="2" applyFont="1" applyFill="1" applyBorder="1" applyAlignment="1" applyProtection="1">
      <alignment horizontal="left" vertical="top" wrapText="1"/>
      <protection locked="0"/>
    </xf>
    <xf numFmtId="0" fontId="28" fillId="4" borderId="4" xfId="2" applyFont="1" applyFill="1" applyBorder="1" applyAlignment="1" applyProtection="1">
      <alignment horizontal="left" vertical="top" wrapText="1"/>
      <protection locked="0"/>
    </xf>
    <xf numFmtId="0" fontId="28" fillId="4" borderId="5" xfId="2" applyFont="1" applyFill="1" applyBorder="1" applyAlignment="1" applyProtection="1">
      <alignment horizontal="left" vertical="top" wrapText="1"/>
      <protection locked="0"/>
    </xf>
    <xf numFmtId="0" fontId="28" fillId="4" borderId="6" xfId="2" applyFont="1" applyFill="1" applyBorder="1" applyAlignment="1" applyProtection="1">
      <alignment horizontal="left" vertical="top" wrapText="1"/>
      <protection locked="0"/>
    </xf>
    <xf numFmtId="0" fontId="3" fillId="4" borderId="5" xfId="2" applyFont="1" applyFill="1" applyBorder="1" applyAlignment="1" applyProtection="1">
      <alignment horizontal="center" vertical="center" wrapText="1"/>
      <protection locked="0"/>
    </xf>
    <xf numFmtId="0" fontId="3" fillId="4" borderId="6" xfId="2" applyFont="1" applyFill="1" applyBorder="1" applyAlignment="1" applyProtection="1">
      <alignment horizontal="center" vertical="center" wrapText="1"/>
      <protection locked="0"/>
    </xf>
    <xf numFmtId="0" fontId="24" fillId="3" borderId="5" xfId="0" applyFont="1" applyFill="1" applyBorder="1" applyAlignment="1">
      <alignment horizontal="center" vertical="top" wrapText="1"/>
    </xf>
    <xf numFmtId="1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27" fillId="3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0" fillId="0" borderId="5" xfId="4" applyBorder="1" applyAlignment="1">
      <alignment horizontal="left" vertical="center"/>
    </xf>
    <xf numFmtId="9" fontId="27" fillId="3" borderId="5" xfId="0" applyNumberFormat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center" wrapText="1"/>
    </xf>
    <xf numFmtId="0" fontId="2" fillId="4" borderId="5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" fontId="12" fillId="0" borderId="0" xfId="2" applyNumberFormat="1" applyFont="1" applyAlignment="1" applyProtection="1">
      <alignment horizontal="center" vertical="top" wrapText="1"/>
      <protection locked="0"/>
    </xf>
    <xf numFmtId="0" fontId="17" fillId="6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top"/>
    </xf>
    <xf numFmtId="0" fontId="2" fillId="5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20" fillId="4" borderId="5" xfId="4" applyFill="1" applyBorder="1" applyAlignment="1">
      <alignment horizontal="left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18" fillId="5" borderId="10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1" fontId="29" fillId="0" borderId="8" xfId="2" applyNumberFormat="1" applyFont="1" applyBorder="1" applyAlignment="1" applyProtection="1">
      <alignment horizontal="center" vertical="center" wrapText="1"/>
      <protection locked="0"/>
    </xf>
    <xf numFmtId="1" fontId="29" fillId="0" borderId="3" xfId="2" applyNumberFormat="1" applyFont="1" applyBorder="1" applyAlignment="1" applyProtection="1">
      <alignment horizontal="center" vertical="center" wrapText="1"/>
      <protection locked="0"/>
    </xf>
    <xf numFmtId="1" fontId="29" fillId="0" borderId="33" xfId="2" applyNumberFormat="1" applyFont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/>
    </xf>
    <xf numFmtId="0" fontId="37" fillId="0" borderId="5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/>
    </xf>
    <xf numFmtId="0" fontId="21" fillId="4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1" fontId="28" fillId="0" borderId="5" xfId="0" applyNumberFormat="1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1" fontId="28" fillId="0" borderId="5" xfId="0" applyNumberFormat="1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1" fontId="28" fillId="0" borderId="16" xfId="0" applyNumberFormat="1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1" fontId="19" fillId="0" borderId="5" xfId="2" applyNumberFormat="1" applyFont="1" applyBorder="1" applyAlignment="1" applyProtection="1">
      <alignment horizontal="center" vertical="center" wrapText="1"/>
      <protection locked="0"/>
    </xf>
    <xf numFmtId="1" fontId="19" fillId="0" borderId="8" xfId="2" applyNumberFormat="1" applyFont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/>
    </xf>
    <xf numFmtId="0" fontId="32" fillId="4" borderId="5" xfId="0" applyFont="1" applyFill="1" applyBorder="1" applyAlignment="1">
      <alignment horizontal="center" vertical="top" wrapText="1"/>
    </xf>
    <xf numFmtId="0" fontId="31" fillId="3" borderId="5" xfId="0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/>
    </xf>
    <xf numFmtId="0" fontId="31" fillId="0" borderId="9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35" fillId="0" borderId="5" xfId="1" applyFont="1" applyBorder="1" applyAlignment="1" applyProtection="1">
      <alignment horizontal="center" vertical="top"/>
      <protection locked="0"/>
    </xf>
    <xf numFmtId="0" fontId="2" fillId="4" borderId="6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top" wrapText="1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6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24" xfId="2" applyNumberFormat="1" applyFont="1" applyFill="1" applyBorder="1" applyAlignment="1" applyProtection="1">
      <alignment horizontal="center" vertical="center" wrapText="1"/>
      <protection hidden="1"/>
    </xf>
    <xf numFmtId="0" fontId="32" fillId="8" borderId="10" xfId="0" applyFont="1" applyFill="1" applyBorder="1" applyAlignment="1">
      <alignment horizontal="center" vertical="top" wrapText="1"/>
    </xf>
    <xf numFmtId="0" fontId="32" fillId="8" borderId="11" xfId="0" applyFont="1" applyFill="1" applyBorder="1" applyAlignment="1">
      <alignment horizontal="center" vertical="top" wrapText="1"/>
    </xf>
    <xf numFmtId="0" fontId="28" fillId="4" borderId="5" xfId="2" applyFont="1" applyFill="1" applyBorder="1" applyAlignment="1" applyProtection="1">
      <alignment horizontal="left" wrapText="1"/>
      <protection locked="0"/>
    </xf>
    <xf numFmtId="0" fontId="3" fillId="4" borderId="5" xfId="2" applyFont="1" applyFill="1" applyBorder="1" applyAlignment="1" applyProtection="1">
      <alignment horizontal="center" vertical="center"/>
      <protection locked="0"/>
    </xf>
    <xf numFmtId="0" fontId="33" fillId="7" borderId="5" xfId="2" applyFont="1" applyFill="1" applyBorder="1" applyAlignment="1" applyProtection="1">
      <alignment horizontal="center" vertical="center" wrapText="1"/>
      <protection locked="0"/>
    </xf>
    <xf numFmtId="1" fontId="19" fillId="5" borderId="10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1" fontId="19" fillId="7" borderId="10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11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2" applyFont="1" applyFill="1" applyBorder="1" applyAlignment="1" applyProtection="1">
      <alignment horizontal="center" vertical="center"/>
      <protection locked="0"/>
    </xf>
    <xf numFmtId="0" fontId="30" fillId="4" borderId="5" xfId="2" applyFont="1" applyFill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left" vertical="top" wrapText="1"/>
      <protection locked="0"/>
    </xf>
    <xf numFmtId="0" fontId="8" fillId="0" borderId="20" xfId="2" applyFont="1" applyBorder="1" applyAlignment="1" applyProtection="1">
      <alignment horizontal="left" vertical="top" wrapText="1"/>
      <protection locked="0"/>
    </xf>
    <xf numFmtId="0" fontId="8" fillId="0" borderId="21" xfId="2" applyFont="1" applyBorder="1" applyAlignment="1" applyProtection="1">
      <alignment horizontal="left" vertical="top" wrapText="1"/>
      <protection locked="0"/>
    </xf>
    <xf numFmtId="0" fontId="8" fillId="0" borderId="22" xfId="2" applyFont="1" applyBorder="1" applyAlignment="1" applyProtection="1">
      <alignment horizontal="left" vertical="top" wrapText="1"/>
      <protection locked="0"/>
    </xf>
    <xf numFmtId="0" fontId="8" fillId="0" borderId="23" xfId="2" applyFont="1" applyBorder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left" vertical="top"/>
      <protection locked="0"/>
    </xf>
    <xf numFmtId="0" fontId="8" fillId="0" borderId="5" xfId="2" applyFont="1" applyBorder="1" applyAlignment="1" applyProtection="1">
      <alignment horizontal="left" vertical="top"/>
      <protection locked="0"/>
    </xf>
    <xf numFmtId="0" fontId="8" fillId="0" borderId="5" xfId="2" applyFont="1" applyBorder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left" vertical="top" wrapText="1"/>
      <protection locked="0"/>
    </xf>
    <xf numFmtId="0" fontId="9" fillId="0" borderId="4" xfId="2" applyFont="1" applyBorder="1" applyAlignment="1" applyProtection="1">
      <alignment horizontal="center" vertical="top" wrapText="1"/>
      <protection locked="0"/>
    </xf>
    <xf numFmtId="0" fontId="9" fillId="0" borderId="5" xfId="2" applyFont="1" applyBorder="1" applyAlignment="1" applyProtection="1">
      <alignment horizontal="center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  <xf numFmtId="0" fontId="9" fillId="0" borderId="15" xfId="2" applyFont="1" applyBorder="1" applyAlignment="1" applyProtection="1">
      <alignment horizontal="center" vertical="top" wrapText="1"/>
      <protection locked="0"/>
    </xf>
    <xf numFmtId="0" fontId="9" fillId="0" borderId="16" xfId="2" applyFont="1" applyBorder="1" applyAlignment="1" applyProtection="1">
      <alignment horizontal="center" vertical="top" wrapText="1"/>
      <protection locked="0"/>
    </xf>
    <xf numFmtId="9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16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6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24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Border="1" applyAlignment="1" applyProtection="1">
      <alignment horizontal="center" vertical="top"/>
      <protection locked="0"/>
    </xf>
    <xf numFmtId="0" fontId="9" fillId="0" borderId="5" xfId="2" applyFont="1" applyBorder="1" applyAlignment="1" applyProtection="1">
      <alignment horizontal="center" vertical="top"/>
      <protection locked="0"/>
    </xf>
  </cellXfs>
  <cellStyles count="5">
    <cellStyle name="Excel Built-in Normal" xfId="3"/>
    <cellStyle name="Hyperlink" xfId="4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92</xdr:row>
      <xdr:rowOff>190530</xdr:rowOff>
    </xdr:from>
    <xdr:to>
      <xdr:col>11</xdr:col>
      <xdr:colOff>581475</xdr:colOff>
      <xdr:row>96</xdr:row>
      <xdr:rowOff>115181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3917305"/>
          <a:ext cx="5544000" cy="182965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400050</xdr:colOff>
      <xdr:row>171</xdr:row>
      <xdr:rowOff>163582</xdr:rowOff>
    </xdr:from>
    <xdr:to>
      <xdr:col>11</xdr:col>
      <xdr:colOff>234735</xdr:colOff>
      <xdr:row>184</xdr:row>
      <xdr:rowOff>172945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3180" y="41410973"/>
          <a:ext cx="3669533" cy="12848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</xdr:col>
      <xdr:colOff>238125</xdr:colOff>
      <xdr:row>82</xdr:row>
      <xdr:rowOff>409576</xdr:rowOff>
    </xdr:from>
    <xdr:to>
      <xdr:col>8</xdr:col>
      <xdr:colOff>1428300</xdr:colOff>
      <xdr:row>85</xdr:row>
      <xdr:rowOff>318474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8050" y="20754976"/>
          <a:ext cx="3600000" cy="11757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257175</xdr:colOff>
      <xdr:row>86</xdr:row>
      <xdr:rowOff>28575</xdr:rowOff>
    </xdr:from>
    <xdr:to>
      <xdr:col>9</xdr:col>
      <xdr:colOff>599529</xdr:colOff>
      <xdr:row>87</xdr:row>
      <xdr:rowOff>552339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77100" y="22040850"/>
          <a:ext cx="4371429" cy="8857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390525</xdr:colOff>
      <xdr:row>62</xdr:row>
      <xdr:rowOff>57151</xdr:rowOff>
    </xdr:from>
    <xdr:to>
      <xdr:col>8</xdr:col>
      <xdr:colOff>908325</xdr:colOff>
      <xdr:row>67</xdr:row>
      <xdr:rowOff>310716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0450" y="14478001"/>
          <a:ext cx="2880000" cy="12060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171450</xdr:colOff>
      <xdr:row>368</xdr:row>
      <xdr:rowOff>38100</xdr:rowOff>
    </xdr:from>
    <xdr:to>
      <xdr:col>5</xdr:col>
      <xdr:colOff>1145401</xdr:colOff>
      <xdr:row>404</xdr:row>
      <xdr:rowOff>100588</xdr:rowOff>
    </xdr:to>
    <xdr:grpSp>
      <xdr:nvGrpSpPr>
        <xdr:cNvPr id="25" name="Group 24"/>
        <xdr:cNvGrpSpPr/>
      </xdr:nvGrpSpPr>
      <xdr:grpSpPr>
        <a:xfrm>
          <a:off x="171450" y="76361925"/>
          <a:ext cx="6260326" cy="6920488"/>
          <a:chOff x="95250" y="212952"/>
          <a:chExt cx="6650851" cy="6920488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420250" y="212952"/>
            <a:ext cx="3325851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95250" y="212952"/>
            <a:ext cx="308481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8" name="Rectangle 27"/>
          <xdr:cNvSpPr/>
        </xdr:nvSpPr>
        <xdr:spPr>
          <a:xfrm>
            <a:off x="2198688" y="463550"/>
            <a:ext cx="781050" cy="89535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9" name="TextBox 4"/>
          <xdr:cNvSpPr txBox="1"/>
        </xdr:nvSpPr>
        <xdr:spPr>
          <a:xfrm>
            <a:off x="1481138" y="1352030"/>
            <a:ext cx="93833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Tower 2</a:t>
            </a:r>
          </a:p>
        </xdr:txBody>
      </xdr:sp>
      <xdr:sp macro="" textlink="">
        <xdr:nvSpPr>
          <xdr:cNvPr id="30" name="Rectangle 29"/>
          <xdr:cNvSpPr/>
        </xdr:nvSpPr>
        <xdr:spPr>
          <a:xfrm>
            <a:off x="3910656" y="2210254"/>
            <a:ext cx="1016000" cy="11557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647958" y="4063550"/>
            <a:ext cx="3600000" cy="30698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Rectangle 31"/>
          <xdr:cNvSpPr/>
        </xdr:nvSpPr>
        <xdr:spPr>
          <a:xfrm>
            <a:off x="4967287" y="2302329"/>
            <a:ext cx="995363" cy="97155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3" name="TextBox 9"/>
          <xdr:cNvSpPr txBox="1"/>
        </xdr:nvSpPr>
        <xdr:spPr>
          <a:xfrm>
            <a:off x="5166839" y="2061324"/>
            <a:ext cx="859531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00" b="1">
                <a:solidFill>
                  <a:srgbClr val="FF0000"/>
                </a:solidFill>
              </a:rPr>
              <a:t>Wintergreen</a:t>
            </a:r>
          </a:p>
        </xdr:txBody>
      </xdr:sp>
      <xdr:sp macro="" textlink="">
        <xdr:nvSpPr>
          <xdr:cNvPr id="34" name="TextBox 10"/>
          <xdr:cNvSpPr txBox="1"/>
        </xdr:nvSpPr>
        <xdr:spPr>
          <a:xfrm>
            <a:off x="4267227" y="1900289"/>
            <a:ext cx="654266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Site</a:t>
            </a:r>
          </a:p>
        </xdr:txBody>
      </xdr:sp>
    </xdr:grpSp>
    <xdr:clientData/>
  </xdr:twoCellAnchor>
  <xdr:twoCellAnchor>
    <xdr:from>
      <xdr:col>0</xdr:col>
      <xdr:colOff>990600</xdr:colOff>
      <xdr:row>414</xdr:row>
      <xdr:rowOff>38100</xdr:rowOff>
    </xdr:from>
    <xdr:to>
      <xdr:col>5</xdr:col>
      <xdr:colOff>323850</xdr:colOff>
      <xdr:row>453</xdr:row>
      <xdr:rowOff>28575</xdr:rowOff>
    </xdr:to>
    <xdr:grpSp>
      <xdr:nvGrpSpPr>
        <xdr:cNvPr id="39" name="Group 38"/>
        <xdr:cNvGrpSpPr/>
      </xdr:nvGrpSpPr>
      <xdr:grpSpPr>
        <a:xfrm>
          <a:off x="990600" y="85124925"/>
          <a:ext cx="4619625" cy="7419975"/>
          <a:chOff x="0" y="86667975"/>
          <a:chExt cx="5400000" cy="8057537"/>
        </a:xfrm>
      </xdr:grpSpPr>
      <xdr:pic>
        <xdr:nvPicPr>
          <xdr:cNvPr id="35" name="Picture 34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80000" y="86667975"/>
            <a:ext cx="5040000" cy="4221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6" name="Group 35"/>
          <xdr:cNvGrpSpPr/>
        </xdr:nvGrpSpPr>
        <xdr:grpSpPr>
          <a:xfrm>
            <a:off x="0" y="91067448"/>
            <a:ext cx="5400000" cy="3658064"/>
            <a:chOff x="750565" y="4554749"/>
            <a:chExt cx="5400000" cy="3658064"/>
          </a:xfrm>
        </xdr:grpSpPr>
        <xdr:pic>
          <xdr:nvPicPr>
            <xdr:cNvPr id="37" name="Picture 36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50565" y="4554749"/>
              <a:ext cx="5400000" cy="365806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8" name="Rectangle 37"/>
            <xdr:cNvSpPr/>
          </xdr:nvSpPr>
          <xdr:spPr>
            <a:xfrm rot="21184192">
              <a:off x="1880558" y="5840316"/>
              <a:ext cx="948906" cy="1086928"/>
            </a:xfrm>
            <a:prstGeom prst="rect">
              <a:avLst/>
            </a:prstGeom>
            <a:noFill/>
            <a:ln w="571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 editAs="oneCell">
    <xdr:from>
      <xdr:col>6</xdr:col>
      <xdr:colOff>304800</xdr:colOff>
      <xdr:row>16</xdr:row>
      <xdr:rowOff>9525</xdr:rowOff>
    </xdr:from>
    <xdr:to>
      <xdr:col>11</xdr:col>
      <xdr:colOff>361275</xdr:colOff>
      <xdr:row>21</xdr:row>
      <xdr:rowOff>51274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4725" y="3743325"/>
          <a:ext cx="5400000" cy="13276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742950</xdr:colOff>
      <xdr:row>321</xdr:row>
      <xdr:rowOff>57149</xdr:rowOff>
    </xdr:from>
    <xdr:to>
      <xdr:col>14</xdr:col>
      <xdr:colOff>57150</xdr:colOff>
      <xdr:row>347</xdr:row>
      <xdr:rowOff>124674</xdr:rowOff>
    </xdr:to>
    <xdr:grpSp>
      <xdr:nvGrpSpPr>
        <xdr:cNvPr id="53" name="Group 52"/>
        <xdr:cNvGrpSpPr/>
      </xdr:nvGrpSpPr>
      <xdr:grpSpPr>
        <a:xfrm>
          <a:off x="7277100" y="67427474"/>
          <a:ext cx="6086475" cy="5020525"/>
          <a:chOff x="-141921" y="429597"/>
          <a:chExt cx="7130548" cy="5372950"/>
        </a:xfrm>
      </xdr:grpSpPr>
      <xdr:grpSp>
        <xdr:nvGrpSpPr>
          <xdr:cNvPr id="54" name="Group 53"/>
          <xdr:cNvGrpSpPr/>
        </xdr:nvGrpSpPr>
        <xdr:grpSpPr>
          <a:xfrm>
            <a:off x="-141921" y="429597"/>
            <a:ext cx="7130548" cy="5372950"/>
            <a:chOff x="-141921" y="429597"/>
            <a:chExt cx="7130548" cy="5372950"/>
          </a:xfrm>
        </xdr:grpSpPr>
        <xdr:pic>
          <xdr:nvPicPr>
            <xdr:cNvPr id="56" name="Picture 55"/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866" y="429597"/>
              <a:ext cx="2436778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/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78579" y="429597"/>
              <a:ext cx="4298082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/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41921" y="3806773"/>
              <a:ext cx="1489142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/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6455" y="3806773"/>
              <a:ext cx="263633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/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2022" y="3822547"/>
              <a:ext cx="262660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5" name="TextBox 11"/>
          <xdr:cNvSpPr txBox="1"/>
        </xdr:nvSpPr>
        <xdr:spPr>
          <a:xfrm>
            <a:off x="1357420" y="429597"/>
            <a:ext cx="1111845" cy="4004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Tower 2</a:t>
            </a:r>
          </a:p>
        </xdr:txBody>
      </xdr:sp>
    </xdr:grpSp>
    <xdr:clientData/>
  </xdr:twoCellAnchor>
  <xdr:oneCellAnchor>
    <xdr:from>
      <xdr:col>6</xdr:col>
      <xdr:colOff>257175</xdr:colOff>
      <xdr:row>88</xdr:row>
      <xdr:rowOff>28575</xdr:rowOff>
    </xdr:from>
    <xdr:ext cx="4066629" cy="885714"/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91325" y="21774150"/>
          <a:ext cx="4066629" cy="8857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0</xdr:col>
      <xdr:colOff>295275</xdr:colOff>
      <xdr:row>321</xdr:row>
      <xdr:rowOff>47625</xdr:rowOff>
    </xdr:from>
    <xdr:to>
      <xdr:col>5</xdr:col>
      <xdr:colOff>1000125</xdr:colOff>
      <xdr:row>365</xdr:row>
      <xdr:rowOff>67675</xdr:rowOff>
    </xdr:to>
    <xdr:grpSp>
      <xdr:nvGrpSpPr>
        <xdr:cNvPr id="70" name="Group 69"/>
        <xdr:cNvGrpSpPr/>
      </xdr:nvGrpSpPr>
      <xdr:grpSpPr>
        <a:xfrm>
          <a:off x="295275" y="67417950"/>
          <a:ext cx="5991225" cy="8402050"/>
          <a:chOff x="295275" y="67417950"/>
          <a:chExt cx="5991225" cy="8402050"/>
        </a:xfrm>
      </xdr:grpSpPr>
      <xdr:grpSp>
        <xdr:nvGrpSpPr>
          <xdr:cNvPr id="19" name="Group 18"/>
          <xdr:cNvGrpSpPr/>
        </xdr:nvGrpSpPr>
        <xdr:grpSpPr>
          <a:xfrm>
            <a:off x="295275" y="67417950"/>
            <a:ext cx="5991225" cy="8402050"/>
            <a:chOff x="295275" y="67417950"/>
            <a:chExt cx="5991225" cy="8402050"/>
          </a:xfrm>
        </xdr:grpSpPr>
        <xdr:pic>
          <xdr:nvPicPr>
            <xdr:cNvPr id="62" name="Picture 61" descr="https://vsjcllp.vsjadon.com/upload/insp-243607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43275" y="73660000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" name="Picture 62" descr="https://vsjcllp.vsjadon.com/upload/insp-243607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5275" y="67417950"/>
              <a:ext cx="2943225" cy="391338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" name="Picture 63" descr="https://vsjcllp.vsjadon.com/upload/insp-243607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43275" y="67417950"/>
              <a:ext cx="2943225" cy="391338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" name="Picture 64" descr="https://vsjcllp.vsjadon.com/upload/insp-243607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33750" y="71421625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" name="Picture 65" descr="https://vsjcllp.vsjadon.com/upload/insp-243607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1000" y="71421625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" name="Picture 66" descr="https://vsjcllp.vsjadon.com/upload/insp-243607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1000" y="73658412"/>
              <a:ext cx="287599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9" name="TextBox 11"/>
          <xdr:cNvSpPr txBox="1"/>
        </xdr:nvSpPr>
        <xdr:spPr>
          <a:xfrm>
            <a:off x="333375" y="67417950"/>
            <a:ext cx="949046" cy="374141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Tower 2</a:t>
            </a:r>
          </a:p>
        </xdr:txBody>
      </xdr:sp>
      <xdr:cxnSp macro="">
        <xdr:nvCxnSpPr>
          <xdr:cNvPr id="20" name="Straight Arrow Connector 19"/>
          <xdr:cNvCxnSpPr/>
        </xdr:nvCxnSpPr>
        <xdr:spPr>
          <a:xfrm>
            <a:off x="1028700" y="67837050"/>
            <a:ext cx="600075" cy="7143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maps.app.goo.gl/oHYbDe4YzRSBXJ6G6" TargetMode="External"/><Relationship Id="rId1" Type="http://schemas.openxmlformats.org/officeDocument/2006/relationships/hyperlink" Target="mailto:vsjc.apf@gmail.com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55"/>
  <sheetViews>
    <sheetView tabSelected="1" view="pageBreakPreview" zoomScaleNormal="100" zoomScaleSheetLayoutView="100" workbookViewId="0">
      <selection activeCell="K165" sqref="K165"/>
    </sheetView>
  </sheetViews>
  <sheetFormatPr defaultRowHeight="15" x14ac:dyDescent="0.25"/>
  <cols>
    <col min="1" max="1" width="18.28515625" style="52" customWidth="1"/>
    <col min="2" max="2" width="16.28515625" customWidth="1"/>
    <col min="3" max="3" width="13.140625" style="103" customWidth="1"/>
    <col min="4" max="4" width="17.28515625" customWidth="1"/>
    <col min="5" max="5" width="14.28515625" customWidth="1"/>
    <col min="6" max="6" width="18.7109375" customWidth="1"/>
    <col min="7" max="7" width="16.7109375" customWidth="1"/>
    <col min="8" max="8" width="15.5703125" customWidth="1"/>
    <col min="9" max="9" width="23.5703125" customWidth="1"/>
  </cols>
  <sheetData>
    <row r="1" spans="1:12" x14ac:dyDescent="0.25">
      <c r="A1" s="238" t="s">
        <v>0</v>
      </c>
      <c r="B1" s="238"/>
      <c r="C1" s="238"/>
      <c r="D1" s="238"/>
      <c r="E1" s="238"/>
      <c r="F1" s="238"/>
      <c r="G1" s="61"/>
      <c r="H1" s="61"/>
      <c r="I1" s="61"/>
      <c r="J1" s="61"/>
      <c r="K1" s="61"/>
      <c r="L1" s="61"/>
    </row>
    <row r="2" spans="1:12" ht="29.25" customHeight="1" x14ac:dyDescent="0.25">
      <c r="A2" s="67" t="s">
        <v>64</v>
      </c>
      <c r="B2" s="239" t="s">
        <v>287</v>
      </c>
      <c r="C2" s="239"/>
      <c r="D2" s="239"/>
      <c r="E2" s="66" t="s">
        <v>1</v>
      </c>
      <c r="F2" s="105" t="s">
        <v>288</v>
      </c>
      <c r="G2" s="61"/>
      <c r="H2" s="61"/>
      <c r="I2" s="61"/>
      <c r="J2" s="61"/>
      <c r="K2" s="61"/>
      <c r="L2" s="61"/>
    </row>
    <row r="3" spans="1:12" x14ac:dyDescent="0.25">
      <c r="A3" s="240" t="s">
        <v>65</v>
      </c>
      <c r="B3" s="240"/>
      <c r="C3" s="240"/>
      <c r="D3" s="240"/>
      <c r="E3" s="240"/>
      <c r="F3" s="240"/>
      <c r="G3" s="61"/>
      <c r="H3" s="61"/>
      <c r="I3" s="61"/>
      <c r="J3" s="61"/>
      <c r="K3" s="61"/>
      <c r="L3" s="61"/>
    </row>
    <row r="4" spans="1:12" ht="15" customHeight="1" x14ac:dyDescent="0.25">
      <c r="A4" s="241" t="s">
        <v>71</v>
      </c>
      <c r="B4" s="241"/>
      <c r="C4" s="227" t="s">
        <v>240</v>
      </c>
      <c r="D4" s="227"/>
      <c r="E4" s="227"/>
      <c r="F4" s="227"/>
      <c r="G4" s="61"/>
      <c r="H4" s="61"/>
      <c r="I4" s="61"/>
      <c r="J4" s="61"/>
      <c r="K4" s="61"/>
      <c r="L4" s="61"/>
    </row>
    <row r="5" spans="1:12" ht="15" customHeight="1" x14ac:dyDescent="0.25">
      <c r="A5" s="228" t="s">
        <v>66</v>
      </c>
      <c r="B5" s="228"/>
      <c r="C5" s="227" t="s">
        <v>241</v>
      </c>
      <c r="D5" s="227"/>
      <c r="E5" s="227"/>
      <c r="F5" s="227"/>
      <c r="G5" s="61"/>
      <c r="H5" s="61"/>
      <c r="I5" s="61"/>
      <c r="J5" s="61"/>
      <c r="K5" s="61"/>
      <c r="L5" s="61"/>
    </row>
    <row r="6" spans="1:12" ht="15" customHeight="1" x14ac:dyDescent="0.25">
      <c r="A6" s="228" t="s">
        <v>67</v>
      </c>
      <c r="B6" s="228"/>
      <c r="C6" s="244" t="s">
        <v>242</v>
      </c>
      <c r="D6" s="244"/>
      <c r="E6" s="244"/>
      <c r="F6" s="244"/>
      <c r="G6" s="61"/>
      <c r="H6" s="61"/>
      <c r="I6" s="61"/>
      <c r="J6" s="61"/>
      <c r="K6" s="61"/>
      <c r="L6" s="61"/>
    </row>
    <row r="7" spans="1:12" ht="15" customHeight="1" x14ac:dyDescent="0.25">
      <c r="A7" s="228" t="s">
        <v>70</v>
      </c>
      <c r="B7" s="228"/>
      <c r="C7" s="227" t="s">
        <v>243</v>
      </c>
      <c r="D7" s="227"/>
      <c r="E7" s="227"/>
      <c r="F7" s="227"/>
      <c r="G7" s="61"/>
      <c r="H7" s="61"/>
      <c r="I7" s="61"/>
      <c r="J7" s="61"/>
      <c r="K7" s="61"/>
      <c r="L7" s="61"/>
    </row>
    <row r="8" spans="1:12" ht="15" customHeight="1" x14ac:dyDescent="0.25">
      <c r="A8" s="228" t="s">
        <v>68</v>
      </c>
      <c r="B8" s="228"/>
      <c r="C8" s="227"/>
      <c r="D8" s="227"/>
      <c r="E8" s="227"/>
      <c r="F8" s="227"/>
      <c r="G8" s="61"/>
      <c r="H8" s="61"/>
      <c r="I8" s="61"/>
      <c r="J8" s="61"/>
      <c r="K8" s="61"/>
      <c r="L8" s="61"/>
    </row>
    <row r="9" spans="1:12" ht="33" customHeight="1" x14ac:dyDescent="0.25">
      <c r="A9" s="228" t="s">
        <v>69</v>
      </c>
      <c r="B9" s="228"/>
      <c r="C9" s="227" t="s">
        <v>282</v>
      </c>
      <c r="D9" s="227"/>
      <c r="E9" s="227"/>
      <c r="F9" s="227"/>
      <c r="G9" s="61"/>
      <c r="H9" s="61"/>
      <c r="I9" s="90"/>
      <c r="J9" s="90"/>
      <c r="K9" s="90"/>
      <c r="L9" s="90"/>
    </row>
    <row r="10" spans="1:12" x14ac:dyDescent="0.25">
      <c r="A10" s="240" t="s">
        <v>72</v>
      </c>
      <c r="B10" s="240"/>
      <c r="C10" s="240"/>
      <c r="D10" s="240"/>
      <c r="E10" s="240"/>
      <c r="F10" s="240"/>
      <c r="G10" s="61"/>
      <c r="H10" s="61"/>
      <c r="I10" s="90"/>
      <c r="J10" s="90"/>
      <c r="K10" s="90"/>
      <c r="L10" s="90"/>
    </row>
    <row r="11" spans="1:12" ht="24" x14ac:dyDescent="0.25">
      <c r="A11" s="47" t="s">
        <v>76</v>
      </c>
      <c r="B11" s="133">
        <v>45880</v>
      </c>
      <c r="C11" s="47" t="s">
        <v>88</v>
      </c>
      <c r="D11" s="45" t="s">
        <v>289</v>
      </c>
      <c r="E11" s="47" t="s">
        <v>275</v>
      </c>
      <c r="F11" s="134">
        <v>45349</v>
      </c>
      <c r="G11" s="61"/>
      <c r="H11" s="61"/>
      <c r="I11" s="91"/>
      <c r="J11" s="91"/>
      <c r="K11" s="91"/>
      <c r="L11" s="91"/>
    </row>
    <row r="12" spans="1:12" x14ac:dyDescent="0.25">
      <c r="A12" s="47" t="s">
        <v>77</v>
      </c>
      <c r="B12" s="133">
        <v>45883</v>
      </c>
      <c r="C12" s="241" t="s">
        <v>89</v>
      </c>
      <c r="D12" s="241"/>
      <c r="E12" s="245" t="s">
        <v>374</v>
      </c>
      <c r="F12" s="245"/>
      <c r="G12" s="61"/>
      <c r="H12" s="61"/>
      <c r="I12" s="217"/>
      <c r="J12" s="217"/>
      <c r="K12" s="91"/>
      <c r="L12" s="91"/>
    </row>
    <row r="13" spans="1:12" x14ac:dyDescent="0.25">
      <c r="A13" s="47" t="s">
        <v>78</v>
      </c>
      <c r="B13" s="73" t="str">
        <f ca="1">TEXT(TODAY(),"DD/MM/YYYY")</f>
        <v>16/08/2025</v>
      </c>
      <c r="C13" s="241" t="s">
        <v>90</v>
      </c>
      <c r="D13" s="241"/>
      <c r="E13" s="245" t="s">
        <v>385</v>
      </c>
      <c r="F13" s="245"/>
      <c r="G13" s="61"/>
      <c r="H13" s="61"/>
      <c r="I13" s="217"/>
      <c r="J13" s="217"/>
      <c r="K13" s="91"/>
      <c r="L13" s="91"/>
    </row>
    <row r="14" spans="1:12" x14ac:dyDescent="0.25">
      <c r="A14" s="219" t="s">
        <v>73</v>
      </c>
      <c r="B14" s="219"/>
      <c r="C14" s="219"/>
      <c r="D14" s="219"/>
      <c r="E14" s="219"/>
      <c r="F14" s="219"/>
      <c r="G14" s="61"/>
      <c r="H14" s="61"/>
      <c r="I14" s="90"/>
      <c r="J14" s="90"/>
      <c r="K14" s="90"/>
      <c r="L14" s="90"/>
    </row>
    <row r="15" spans="1:12" ht="27.75" customHeight="1" x14ac:dyDescent="0.25">
      <c r="A15" s="182" t="s">
        <v>74</v>
      </c>
      <c r="B15" s="182"/>
      <c r="C15" s="229" t="s">
        <v>290</v>
      </c>
      <c r="D15" s="215"/>
      <c r="E15" s="215"/>
      <c r="F15" s="215"/>
      <c r="G15" s="61"/>
      <c r="H15" s="61"/>
      <c r="I15" s="90"/>
      <c r="J15" s="90"/>
      <c r="K15" s="90"/>
      <c r="L15" s="90"/>
    </row>
    <row r="16" spans="1:12" x14ac:dyDescent="0.25">
      <c r="A16" s="219" t="s">
        <v>75</v>
      </c>
      <c r="B16" s="219"/>
      <c r="C16" s="219"/>
      <c r="D16" s="219"/>
      <c r="E16" s="219"/>
      <c r="F16" s="219"/>
      <c r="G16" s="61"/>
      <c r="H16" s="61"/>
      <c r="I16" s="90"/>
      <c r="J16" s="90"/>
      <c r="K16" s="90"/>
      <c r="L16" s="90"/>
    </row>
    <row r="17" spans="1:12" x14ac:dyDescent="0.25">
      <c r="A17" s="74" t="s">
        <v>64</v>
      </c>
      <c r="B17" s="224" t="s">
        <v>287</v>
      </c>
      <c r="C17" s="224"/>
      <c r="D17" s="224"/>
      <c r="E17" s="224"/>
      <c r="F17" s="224"/>
      <c r="G17" s="61"/>
      <c r="H17" s="61"/>
      <c r="I17" s="90"/>
      <c r="J17" s="90"/>
      <c r="K17" s="90"/>
      <c r="L17" s="90"/>
    </row>
    <row r="18" spans="1:12" ht="41.25" customHeight="1" x14ac:dyDescent="0.25">
      <c r="A18" s="74" t="s">
        <v>283</v>
      </c>
      <c r="B18" s="236" t="str">
        <f>CONCATENATE((IF(OR(B2="",B2="NA"),"",B2)),", ",(IF(OR(A19="",A19="NA"),"",A19)),".",(IF(OR(B19="",B19="NA"),"",B19)),", near ",(IF(OR(E21="",E21="NA"),"",E21)),", ",(IF(OR(B20="",B20="NA"),"",B20)),", ",(IF(OR(B21="",B21="NA"),"",B21)),", ",(IF(OR(E19="",E19="NA"),"",E19)),", ",(IF(OR(E20="",E20="NA"),"",E20)),", ",(IF(OR(B22="",B22="NA"),"",B22)),", ",(IF(OR(E22="",E22="NA"),"",E22))," - ",(IF(OR(B24="",B24="NA"),"",B24)),".")</f>
        <v>Rivali Park Stargaze Tower 2, CTS No..165 &amp; 163/A, near Magathane Metro Station, Westren Express Highway, Magathane, Siddharth Nagar, Borivali East, Borivali, Mumbai - 400066.</v>
      </c>
      <c r="C18" s="236"/>
      <c r="D18" s="236"/>
      <c r="E18" s="236"/>
      <c r="F18" s="236"/>
      <c r="G18" s="61"/>
      <c r="H18" s="61"/>
      <c r="I18" s="90"/>
      <c r="J18" s="92"/>
      <c r="K18" s="90"/>
      <c r="L18" s="90"/>
    </row>
    <row r="19" spans="1:12" x14ac:dyDescent="0.25">
      <c r="A19" s="74" t="s">
        <v>291</v>
      </c>
      <c r="B19" s="224" t="s">
        <v>292</v>
      </c>
      <c r="C19" s="224"/>
      <c r="D19" s="74" t="s">
        <v>284</v>
      </c>
      <c r="E19" s="224" t="s">
        <v>296</v>
      </c>
      <c r="F19" s="224"/>
      <c r="G19" s="61"/>
      <c r="H19" s="61"/>
      <c r="I19" s="90"/>
      <c r="J19" s="92"/>
      <c r="K19" s="90"/>
      <c r="L19" s="90"/>
    </row>
    <row r="20" spans="1:12" x14ac:dyDescent="0.25">
      <c r="A20" s="74" t="s">
        <v>79</v>
      </c>
      <c r="B20" s="224" t="s">
        <v>297</v>
      </c>
      <c r="C20" s="224"/>
      <c r="D20" s="74" t="s">
        <v>246</v>
      </c>
      <c r="E20" s="224" t="s">
        <v>299</v>
      </c>
      <c r="F20" s="224"/>
      <c r="G20" s="61"/>
      <c r="H20" s="61"/>
      <c r="I20" s="90"/>
      <c r="J20" s="92"/>
      <c r="K20" s="90"/>
      <c r="L20" s="90"/>
    </row>
    <row r="21" spans="1:12" x14ac:dyDescent="0.25">
      <c r="A21" s="74" t="s">
        <v>247</v>
      </c>
      <c r="B21" s="224" t="s">
        <v>293</v>
      </c>
      <c r="C21" s="224"/>
      <c r="D21" s="74" t="s">
        <v>83</v>
      </c>
      <c r="E21" s="224" t="s">
        <v>300</v>
      </c>
      <c r="F21" s="224"/>
      <c r="G21" s="61"/>
      <c r="H21" s="61"/>
      <c r="I21" s="90"/>
      <c r="J21" s="92"/>
      <c r="K21" s="90"/>
      <c r="L21" s="61"/>
    </row>
    <row r="22" spans="1:12" x14ac:dyDescent="0.25">
      <c r="A22" s="74" t="s">
        <v>245</v>
      </c>
      <c r="B22" s="224" t="s">
        <v>298</v>
      </c>
      <c r="C22" s="224"/>
      <c r="D22" s="74" t="s">
        <v>84</v>
      </c>
      <c r="E22" s="224" t="s">
        <v>301</v>
      </c>
      <c r="F22" s="224"/>
      <c r="G22" s="61"/>
      <c r="H22" s="61"/>
      <c r="I22" s="90"/>
      <c r="J22" s="92"/>
      <c r="K22" s="90"/>
      <c r="L22" s="61"/>
    </row>
    <row r="23" spans="1:12" x14ac:dyDescent="0.25">
      <c r="A23" s="74" t="s">
        <v>80</v>
      </c>
      <c r="B23" s="224" t="s">
        <v>237</v>
      </c>
      <c r="C23" s="224"/>
      <c r="D23" s="74" t="s">
        <v>85</v>
      </c>
      <c r="E23" s="224" t="s">
        <v>238</v>
      </c>
      <c r="F23" s="224"/>
      <c r="G23" s="61"/>
      <c r="H23" s="61"/>
      <c r="I23" s="90"/>
      <c r="J23" s="92"/>
      <c r="K23" s="90"/>
      <c r="L23" s="61"/>
    </row>
    <row r="24" spans="1:12" x14ac:dyDescent="0.25">
      <c r="A24" s="74" t="s">
        <v>81</v>
      </c>
      <c r="B24" s="224">
        <v>400066</v>
      </c>
      <c r="C24" s="224"/>
      <c r="D24" s="74" t="s">
        <v>86</v>
      </c>
      <c r="E24" s="224" t="s">
        <v>295</v>
      </c>
      <c r="F24" s="224"/>
      <c r="G24" s="61"/>
      <c r="H24" s="61"/>
      <c r="I24" s="90"/>
      <c r="J24" s="92"/>
      <c r="K24" s="90"/>
      <c r="L24" s="61"/>
    </row>
    <row r="25" spans="1:12" x14ac:dyDescent="0.25">
      <c r="A25" s="74" t="s">
        <v>250</v>
      </c>
      <c r="B25" s="225" t="s">
        <v>294</v>
      </c>
      <c r="C25" s="224"/>
      <c r="D25" s="224"/>
      <c r="E25" s="224"/>
      <c r="F25" s="224"/>
      <c r="G25" s="61"/>
      <c r="H25" s="61"/>
      <c r="I25" s="90"/>
      <c r="J25" s="92"/>
      <c r="K25" s="90"/>
      <c r="L25" s="61"/>
    </row>
    <row r="26" spans="1:12" ht="36.75" thickBot="1" x14ac:dyDescent="0.3">
      <c r="A26" s="108" t="s">
        <v>82</v>
      </c>
      <c r="B26" s="230" t="s">
        <v>302</v>
      </c>
      <c r="C26" s="230"/>
      <c r="D26" s="108" t="s">
        <v>87</v>
      </c>
      <c r="E26" s="231" t="s">
        <v>303</v>
      </c>
      <c r="F26" s="231"/>
      <c r="G26" s="61"/>
      <c r="H26" s="61"/>
      <c r="I26" s="90"/>
      <c r="J26" s="92"/>
      <c r="K26" s="90"/>
      <c r="L26" s="61"/>
    </row>
    <row r="27" spans="1:12" x14ac:dyDescent="0.25">
      <c r="A27" s="220" t="s">
        <v>97</v>
      </c>
      <c r="B27" s="221"/>
      <c r="C27" s="221"/>
      <c r="D27" s="221"/>
      <c r="E27" s="221"/>
      <c r="F27" s="222"/>
      <c r="G27" s="61"/>
      <c r="H27" s="61"/>
      <c r="I27" s="90"/>
      <c r="J27" s="90"/>
      <c r="K27" s="90"/>
      <c r="L27" s="61"/>
    </row>
    <row r="28" spans="1:12" x14ac:dyDescent="0.25">
      <c r="A28" s="232"/>
      <c r="B28" s="233"/>
      <c r="C28" s="49" t="s">
        <v>91</v>
      </c>
      <c r="D28" s="49" t="s">
        <v>92</v>
      </c>
      <c r="E28" s="49" t="s">
        <v>93</v>
      </c>
      <c r="F28" s="109" t="s">
        <v>94</v>
      </c>
      <c r="G28" s="61"/>
      <c r="H28" s="61"/>
      <c r="I28" s="90"/>
      <c r="J28" s="90"/>
      <c r="K28" s="90"/>
      <c r="L28" s="61"/>
    </row>
    <row r="29" spans="1:12" ht="30" customHeight="1" x14ac:dyDescent="0.25">
      <c r="A29" s="232" t="s">
        <v>95</v>
      </c>
      <c r="B29" s="233"/>
      <c r="C29" s="101" t="s">
        <v>244</v>
      </c>
      <c r="D29" s="101" t="s">
        <v>244</v>
      </c>
      <c r="E29" s="101" t="s">
        <v>244</v>
      </c>
      <c r="F29" s="110" t="s">
        <v>244</v>
      </c>
      <c r="G29" s="181"/>
      <c r="H29" s="181"/>
      <c r="I29" s="90"/>
      <c r="J29" s="90"/>
      <c r="K29" s="90"/>
      <c r="L29" s="61"/>
    </row>
    <row r="30" spans="1:12" ht="51" customHeight="1" x14ac:dyDescent="0.25">
      <c r="A30" s="232" t="s">
        <v>248</v>
      </c>
      <c r="B30" s="233"/>
      <c r="C30" s="135" t="s">
        <v>304</v>
      </c>
      <c r="D30" s="135" t="s">
        <v>305</v>
      </c>
      <c r="E30" s="135" t="s">
        <v>306</v>
      </c>
      <c r="F30" s="136" t="s">
        <v>307</v>
      </c>
      <c r="G30" s="181"/>
      <c r="H30" s="181"/>
      <c r="I30" s="90"/>
      <c r="J30" s="61"/>
      <c r="K30" s="61"/>
      <c r="L30" s="61"/>
    </row>
    <row r="31" spans="1:12" ht="52.5" customHeight="1" thickBot="1" x14ac:dyDescent="0.3">
      <c r="A31" s="234" t="s">
        <v>96</v>
      </c>
      <c r="B31" s="235"/>
      <c r="C31" s="70" t="s">
        <v>310</v>
      </c>
      <c r="D31" s="137" t="s">
        <v>309</v>
      </c>
      <c r="E31" s="135" t="s">
        <v>306</v>
      </c>
      <c r="F31" s="71" t="s">
        <v>308</v>
      </c>
      <c r="G31" s="181"/>
      <c r="H31" s="181"/>
      <c r="I31" s="90"/>
      <c r="J31" s="61"/>
      <c r="K31" s="61"/>
      <c r="L31" s="61"/>
    </row>
    <row r="32" spans="1:12" x14ac:dyDescent="0.25">
      <c r="A32" s="223" t="s">
        <v>98</v>
      </c>
      <c r="B32" s="223"/>
      <c r="C32" s="223"/>
      <c r="D32" s="223"/>
      <c r="E32" s="223"/>
      <c r="F32" s="223"/>
      <c r="G32" s="181"/>
      <c r="H32" s="181"/>
      <c r="I32" s="90"/>
      <c r="J32" s="61"/>
      <c r="K32" s="61"/>
      <c r="L32" s="61"/>
    </row>
    <row r="33" spans="1:12" x14ac:dyDescent="0.25">
      <c r="A33" s="182" t="s">
        <v>99</v>
      </c>
      <c r="B33" s="182"/>
      <c r="C33" s="214" t="s">
        <v>311</v>
      </c>
      <c r="D33" s="214"/>
      <c r="E33" s="214"/>
      <c r="F33" s="214"/>
      <c r="G33" s="218" t="s">
        <v>249</v>
      </c>
      <c r="H33" s="218"/>
      <c r="I33" s="61"/>
      <c r="J33" s="61"/>
      <c r="K33" s="61"/>
      <c r="L33" s="61"/>
    </row>
    <row r="34" spans="1:12" ht="15" customHeight="1" x14ac:dyDescent="0.25">
      <c r="A34" s="182" t="s">
        <v>100</v>
      </c>
      <c r="B34" s="182"/>
      <c r="C34" s="214" t="str">
        <f>C33</f>
        <v>Municipal Corporation Of Greater Mumbai (MCGM)</v>
      </c>
      <c r="D34" s="214"/>
      <c r="E34" s="214"/>
      <c r="F34" s="214"/>
      <c r="G34" s="218"/>
      <c r="H34" s="218"/>
      <c r="I34" s="61"/>
      <c r="J34" s="61"/>
      <c r="K34" s="61"/>
      <c r="L34" s="61"/>
    </row>
    <row r="35" spans="1:12" ht="15" customHeight="1" x14ac:dyDescent="0.25">
      <c r="A35" s="182" t="s">
        <v>101</v>
      </c>
      <c r="B35" s="182"/>
      <c r="C35" s="214" t="s">
        <v>306</v>
      </c>
      <c r="D35" s="214"/>
      <c r="E35" s="214"/>
      <c r="F35" s="214"/>
      <c r="G35" s="181"/>
      <c r="H35" s="181"/>
      <c r="I35" s="61"/>
      <c r="J35" s="61"/>
      <c r="K35" s="61"/>
      <c r="L35" s="61"/>
    </row>
    <row r="36" spans="1:12" x14ac:dyDescent="0.25">
      <c r="A36" s="182" t="s">
        <v>102</v>
      </c>
      <c r="B36" s="182"/>
      <c r="C36" s="214" t="str">
        <f>IF(AND(E22="Mumbai"),"Developed","Developing")</f>
        <v>Developed</v>
      </c>
      <c r="D36" s="214"/>
      <c r="E36" s="214"/>
      <c r="F36" s="214"/>
      <c r="G36" s="181"/>
      <c r="H36" s="181"/>
      <c r="I36" s="61"/>
      <c r="J36" s="61"/>
      <c r="K36" s="61"/>
      <c r="L36" s="61"/>
    </row>
    <row r="37" spans="1:12" ht="15" customHeight="1" x14ac:dyDescent="0.25">
      <c r="A37" s="182" t="s">
        <v>103</v>
      </c>
      <c r="B37" s="182"/>
      <c r="C37" s="214" t="s">
        <v>251</v>
      </c>
      <c r="D37" s="214"/>
      <c r="E37" s="214"/>
      <c r="F37" s="214"/>
      <c r="G37" s="181"/>
      <c r="H37" s="181"/>
      <c r="I37" s="61"/>
      <c r="J37" s="61"/>
      <c r="K37" s="61"/>
      <c r="L37" s="61"/>
    </row>
    <row r="38" spans="1:12" x14ac:dyDescent="0.25">
      <c r="A38" s="182" t="s">
        <v>104</v>
      </c>
      <c r="B38" s="182"/>
      <c r="C38" s="226">
        <f ca="1">E170</f>
        <v>0.60384615384615392</v>
      </c>
      <c r="D38" s="214"/>
      <c r="E38" s="214"/>
      <c r="F38" s="214"/>
      <c r="G38" s="181"/>
      <c r="H38" s="181"/>
      <c r="I38" s="61"/>
      <c r="J38" s="61"/>
      <c r="K38" s="61"/>
      <c r="L38" s="61"/>
    </row>
    <row r="39" spans="1:12" ht="15" customHeight="1" x14ac:dyDescent="0.25">
      <c r="A39" s="182" t="s">
        <v>105</v>
      </c>
      <c r="B39" s="182"/>
      <c r="C39" s="214" t="s">
        <v>252</v>
      </c>
      <c r="D39" s="214"/>
      <c r="E39" s="214"/>
      <c r="F39" s="214"/>
      <c r="G39" s="181"/>
      <c r="H39" s="181"/>
      <c r="I39" s="61"/>
      <c r="J39" s="61"/>
      <c r="K39" s="61"/>
      <c r="L39" s="61"/>
    </row>
    <row r="40" spans="1:12" x14ac:dyDescent="0.25">
      <c r="A40" s="182" t="s">
        <v>106</v>
      </c>
      <c r="B40" s="182"/>
      <c r="C40" s="214" t="s">
        <v>252</v>
      </c>
      <c r="D40" s="214"/>
      <c r="E40" s="214"/>
      <c r="F40" s="214"/>
      <c r="G40" s="181"/>
      <c r="H40" s="181"/>
      <c r="I40" s="61"/>
      <c r="J40" s="61"/>
      <c r="K40" s="61"/>
      <c r="L40" s="61"/>
    </row>
    <row r="41" spans="1:12" x14ac:dyDescent="0.25">
      <c r="A41" s="182" t="s">
        <v>107</v>
      </c>
      <c r="B41" s="182"/>
      <c r="C41" s="214" t="s">
        <v>368</v>
      </c>
      <c r="D41" s="214"/>
      <c r="E41" s="214"/>
      <c r="F41" s="214"/>
      <c r="G41" s="181"/>
      <c r="H41" s="181"/>
      <c r="I41" s="61"/>
      <c r="J41" s="61"/>
      <c r="K41" s="61"/>
      <c r="L41" s="61"/>
    </row>
    <row r="42" spans="1:12" x14ac:dyDescent="0.25">
      <c r="A42" s="219" t="s">
        <v>109</v>
      </c>
      <c r="B42" s="219"/>
      <c r="C42" s="219"/>
      <c r="D42" s="219"/>
      <c r="E42" s="219"/>
      <c r="F42" s="219"/>
      <c r="G42" s="181"/>
      <c r="H42" s="181"/>
      <c r="I42" s="61"/>
      <c r="J42" s="61"/>
      <c r="K42" s="61"/>
      <c r="L42" s="61"/>
    </row>
    <row r="43" spans="1:12" x14ac:dyDescent="0.25">
      <c r="A43" s="182" t="s">
        <v>110</v>
      </c>
      <c r="B43" s="182"/>
      <c r="C43" s="182" t="s">
        <v>108</v>
      </c>
      <c r="D43" s="182"/>
      <c r="E43" s="182"/>
      <c r="F43" s="182"/>
      <c r="G43" s="181"/>
      <c r="H43" s="181"/>
      <c r="I43" s="61"/>
      <c r="J43" s="61"/>
      <c r="K43" s="61"/>
      <c r="L43" s="61"/>
    </row>
    <row r="44" spans="1:12" x14ac:dyDescent="0.25">
      <c r="A44" s="182" t="s">
        <v>111</v>
      </c>
      <c r="B44" s="182"/>
      <c r="C44" s="215">
        <v>151327.9</v>
      </c>
      <c r="D44" s="215"/>
      <c r="E44" s="215"/>
      <c r="F44" s="215"/>
      <c r="G44" s="181"/>
      <c r="H44" s="181"/>
      <c r="I44" s="61"/>
      <c r="J44" s="61"/>
      <c r="K44" s="61"/>
      <c r="L44" s="61"/>
    </row>
    <row r="45" spans="1:12" x14ac:dyDescent="0.25">
      <c r="A45" s="182" t="s">
        <v>316</v>
      </c>
      <c r="B45" s="182"/>
      <c r="C45" s="215">
        <v>114312.07</v>
      </c>
      <c r="D45" s="215"/>
      <c r="E45" s="215"/>
      <c r="F45" s="215"/>
      <c r="G45" s="181"/>
      <c r="H45" s="181"/>
      <c r="I45" s="61"/>
      <c r="J45" s="61"/>
      <c r="K45" s="61"/>
      <c r="L45" s="61"/>
    </row>
    <row r="46" spans="1:12" x14ac:dyDescent="0.25">
      <c r="A46" s="182" t="s">
        <v>112</v>
      </c>
      <c r="B46" s="182"/>
      <c r="C46" s="215">
        <v>226568.2</v>
      </c>
      <c r="D46" s="215"/>
      <c r="E46" s="215"/>
      <c r="F46" s="215"/>
      <c r="G46" s="181"/>
      <c r="H46" s="181"/>
      <c r="I46" s="61"/>
      <c r="J46" s="61"/>
      <c r="K46" s="61"/>
      <c r="L46" s="61"/>
    </row>
    <row r="47" spans="1:12" x14ac:dyDescent="0.25">
      <c r="A47" s="182" t="s">
        <v>113</v>
      </c>
      <c r="B47" s="182"/>
      <c r="C47" s="215">
        <f>C46</f>
        <v>226568.2</v>
      </c>
      <c r="D47" s="215"/>
      <c r="E47" s="215"/>
      <c r="F47" s="215"/>
      <c r="G47" s="181"/>
      <c r="H47" s="181"/>
      <c r="I47" s="61"/>
      <c r="J47" s="61"/>
      <c r="K47" s="61"/>
      <c r="L47" s="61"/>
    </row>
    <row r="48" spans="1:12" x14ac:dyDescent="0.25">
      <c r="A48" s="182" t="s">
        <v>312</v>
      </c>
      <c r="B48" s="182"/>
      <c r="C48" s="215">
        <v>19977.7</v>
      </c>
      <c r="D48" s="215"/>
      <c r="E48" s="215"/>
      <c r="F48" s="215"/>
      <c r="G48" s="181"/>
      <c r="H48" s="181"/>
      <c r="I48" s="61"/>
      <c r="J48" s="61"/>
      <c r="K48" s="61"/>
      <c r="L48" s="61"/>
    </row>
    <row r="49" spans="1:14" x14ac:dyDescent="0.25">
      <c r="A49" s="182" t="s">
        <v>114</v>
      </c>
      <c r="B49" s="182"/>
      <c r="C49" s="215" t="s">
        <v>318</v>
      </c>
      <c r="D49" s="215"/>
      <c r="E49" s="215"/>
      <c r="F49" s="215"/>
      <c r="G49" s="181"/>
      <c r="H49" s="181"/>
      <c r="I49" s="61"/>
      <c r="J49" s="61"/>
      <c r="K49" s="61"/>
      <c r="L49" s="61"/>
    </row>
    <row r="50" spans="1:14" x14ac:dyDescent="0.25">
      <c r="A50" s="182" t="s">
        <v>115</v>
      </c>
      <c r="B50" s="182"/>
      <c r="C50" s="215" t="s">
        <v>318</v>
      </c>
      <c r="D50" s="215"/>
      <c r="E50" s="215"/>
      <c r="F50" s="215"/>
      <c r="G50" s="181"/>
      <c r="H50" s="181"/>
      <c r="I50" s="61"/>
      <c r="J50" s="61"/>
      <c r="K50" s="61"/>
      <c r="L50" s="61"/>
    </row>
    <row r="51" spans="1:14" x14ac:dyDescent="0.25">
      <c r="A51" s="182" t="s">
        <v>317</v>
      </c>
      <c r="B51" s="182"/>
      <c r="C51" s="215">
        <v>3931.91</v>
      </c>
      <c r="D51" s="215"/>
      <c r="E51" s="215"/>
      <c r="F51" s="215"/>
      <c r="G51" s="181"/>
      <c r="H51" s="181"/>
      <c r="I51" s="61"/>
      <c r="J51" s="61"/>
      <c r="K51" s="61"/>
      <c r="L51" s="61"/>
    </row>
    <row r="52" spans="1:14" x14ac:dyDescent="0.25">
      <c r="A52" s="182" t="s">
        <v>315</v>
      </c>
      <c r="B52" s="182"/>
      <c r="C52" s="215">
        <v>155.65</v>
      </c>
      <c r="D52" s="215"/>
      <c r="E52" s="215"/>
      <c r="F52" s="215"/>
      <c r="G52" s="181"/>
      <c r="H52" s="181"/>
      <c r="I52" s="61"/>
      <c r="J52" s="61"/>
      <c r="K52" s="61"/>
      <c r="L52" s="61"/>
    </row>
    <row r="53" spans="1:14" x14ac:dyDescent="0.25">
      <c r="A53" s="182" t="s">
        <v>116</v>
      </c>
      <c r="B53" s="182"/>
      <c r="C53" s="215">
        <v>39319.46</v>
      </c>
      <c r="D53" s="215"/>
      <c r="E53" s="215"/>
      <c r="F53" s="215"/>
      <c r="G53" s="181"/>
      <c r="H53" s="181"/>
      <c r="I53" s="61"/>
      <c r="J53" s="61"/>
      <c r="K53" s="61"/>
      <c r="L53" s="61"/>
    </row>
    <row r="54" spans="1:14" x14ac:dyDescent="0.25">
      <c r="A54" s="280" t="s">
        <v>117</v>
      </c>
      <c r="B54" s="280"/>
      <c r="C54" s="280"/>
      <c r="D54" s="280"/>
      <c r="E54" s="280"/>
      <c r="F54" s="280"/>
      <c r="G54" s="181"/>
      <c r="H54" s="181"/>
      <c r="I54" s="61"/>
      <c r="J54" s="61"/>
      <c r="K54" s="61"/>
      <c r="L54" s="61"/>
    </row>
    <row r="55" spans="1:14" x14ac:dyDescent="0.25">
      <c r="A55" s="182" t="s">
        <v>118</v>
      </c>
      <c r="B55" s="182"/>
      <c r="C55" s="216">
        <f>114312.07/C45</f>
        <v>1</v>
      </c>
      <c r="D55" s="216"/>
      <c r="E55" s="216"/>
      <c r="F55" s="216"/>
      <c r="G55" s="142">
        <f>114312.07/C45</f>
        <v>1</v>
      </c>
      <c r="H55" s="61"/>
      <c r="L55" s="61"/>
    </row>
    <row r="56" spans="1:14" x14ac:dyDescent="0.25">
      <c r="A56" s="182" t="s">
        <v>119</v>
      </c>
      <c r="B56" s="182"/>
      <c r="C56" s="216">
        <f>51813.38/C45</f>
        <v>0.45326254699088203</v>
      </c>
      <c r="D56" s="216"/>
      <c r="E56" s="216"/>
      <c r="F56" s="216"/>
      <c r="G56" s="142">
        <f>57156.04/C45</f>
        <v>0.50000004373991302</v>
      </c>
      <c r="H56" s="61"/>
      <c r="L56" s="61"/>
    </row>
    <row r="57" spans="1:14" x14ac:dyDescent="0.25">
      <c r="A57" s="182" t="s">
        <v>2</v>
      </c>
      <c r="B57" s="182"/>
      <c r="C57" s="216">
        <f>32945.14/C45</f>
        <v>0.2882035116676655</v>
      </c>
      <c r="D57" s="216"/>
      <c r="E57" s="216"/>
      <c r="F57" s="216"/>
      <c r="G57" s="142">
        <f>114312.07/C45</f>
        <v>1</v>
      </c>
      <c r="H57" s="61"/>
      <c r="L57" s="61"/>
    </row>
    <row r="58" spans="1:14" x14ac:dyDescent="0.25">
      <c r="A58" s="182" t="s">
        <v>120</v>
      </c>
      <c r="B58" s="182"/>
      <c r="C58" s="216">
        <f>34437.38/C45</f>
        <v>0.30125760123143597</v>
      </c>
      <c r="D58" s="216"/>
      <c r="E58" s="216"/>
      <c r="F58" s="216"/>
      <c r="G58" s="142">
        <f>G55+G56+G57</f>
        <v>2.500000043739913</v>
      </c>
      <c r="H58" s="61">
        <f>285780.18/C45</f>
        <v>2.500000043739913</v>
      </c>
      <c r="L58" s="61"/>
    </row>
    <row r="59" spans="1:14" ht="24" customHeight="1" x14ac:dyDescent="0.25">
      <c r="A59" s="182" t="s">
        <v>121</v>
      </c>
      <c r="B59" s="182"/>
      <c r="C59" s="215" t="s">
        <v>318</v>
      </c>
      <c r="D59" s="215"/>
      <c r="E59" s="215"/>
      <c r="F59" s="215"/>
      <c r="G59" s="181"/>
      <c r="H59" s="181"/>
      <c r="I59" s="61"/>
      <c r="J59" s="61"/>
      <c r="K59" s="61"/>
      <c r="L59" s="61"/>
    </row>
    <row r="60" spans="1:14" ht="21" hidden="1" customHeight="1" x14ac:dyDescent="0.25">
      <c r="A60" s="182" t="s">
        <v>122</v>
      </c>
      <c r="B60" s="182"/>
      <c r="C60" s="215"/>
      <c r="D60" s="215"/>
      <c r="E60" s="215"/>
      <c r="F60" s="215"/>
      <c r="G60" s="181"/>
      <c r="H60" s="181"/>
      <c r="I60" s="61"/>
      <c r="J60" s="61"/>
      <c r="K60" s="61"/>
      <c r="L60" s="61"/>
    </row>
    <row r="61" spans="1:14" x14ac:dyDescent="0.25">
      <c r="A61" s="182" t="s">
        <v>123</v>
      </c>
      <c r="B61" s="182"/>
      <c r="C61" s="273">
        <f>SUM(C55:F60)</f>
        <v>2.0427236598899836</v>
      </c>
      <c r="D61" s="273"/>
      <c r="E61" s="273"/>
      <c r="F61" s="273"/>
      <c r="G61" s="274">
        <f>C46/C45</f>
        <v>1.9820146726413055</v>
      </c>
      <c r="H61" s="274"/>
      <c r="I61" s="61"/>
      <c r="J61" s="61"/>
      <c r="K61" s="61"/>
      <c r="L61" s="61"/>
    </row>
    <row r="62" spans="1:14" x14ac:dyDescent="0.25">
      <c r="A62" s="182" t="s">
        <v>124</v>
      </c>
      <c r="B62" s="182"/>
      <c r="C62" s="215" t="s">
        <v>318</v>
      </c>
      <c r="D62" s="215"/>
      <c r="E62" s="215"/>
      <c r="F62" s="215"/>
      <c r="G62" s="181"/>
      <c r="H62" s="181"/>
      <c r="I62" s="61"/>
      <c r="J62" s="61"/>
      <c r="K62" s="61"/>
      <c r="L62" s="61"/>
    </row>
    <row r="63" spans="1:14" x14ac:dyDescent="0.25">
      <c r="A63" s="272"/>
      <c r="B63" s="272"/>
      <c r="C63" s="272"/>
      <c r="D63" s="272"/>
      <c r="E63" s="272"/>
      <c r="F63" s="272"/>
      <c r="G63" s="61"/>
      <c r="H63" s="61"/>
      <c r="I63" s="61"/>
      <c r="J63" s="61"/>
      <c r="K63" s="61"/>
      <c r="L63" s="61"/>
      <c r="M63" s="61"/>
      <c r="N63" s="61"/>
    </row>
    <row r="64" spans="1:14" x14ac:dyDescent="0.25">
      <c r="A64" s="182" t="s">
        <v>125</v>
      </c>
      <c r="B64" s="182"/>
      <c r="C64" s="283" t="str">
        <f>D120</f>
        <v>Flats = 198</v>
      </c>
      <c r="D64" s="283"/>
      <c r="E64" s="283"/>
      <c r="F64" s="283"/>
      <c r="G64" s="181"/>
      <c r="H64" s="181"/>
      <c r="I64" s="93"/>
      <c r="J64" s="93"/>
      <c r="K64" s="90"/>
      <c r="L64" s="90"/>
      <c r="M64" s="61"/>
      <c r="N64" s="61"/>
    </row>
    <row r="65" spans="1:14" x14ac:dyDescent="0.25">
      <c r="A65" s="182" t="s">
        <v>126</v>
      </c>
      <c r="B65" s="182"/>
      <c r="C65" s="283" t="s">
        <v>313</v>
      </c>
      <c r="D65" s="283"/>
      <c r="E65" s="283"/>
      <c r="F65" s="283"/>
      <c r="G65" s="181"/>
      <c r="H65" s="181"/>
      <c r="I65" s="90"/>
      <c r="J65" s="90"/>
      <c r="K65" s="90"/>
      <c r="L65" s="90"/>
      <c r="M65" s="61"/>
      <c r="N65" s="61"/>
    </row>
    <row r="66" spans="1:14" x14ac:dyDescent="0.25">
      <c r="A66" s="182" t="s">
        <v>127</v>
      </c>
      <c r="B66" s="182"/>
      <c r="C66" s="284" t="s">
        <v>314</v>
      </c>
      <c r="D66" s="284"/>
      <c r="E66" s="284"/>
      <c r="F66" s="284"/>
      <c r="G66" s="275" t="s">
        <v>285</v>
      </c>
      <c r="H66" s="275"/>
      <c r="I66" s="129" t="s">
        <v>286</v>
      </c>
      <c r="J66" s="90"/>
      <c r="K66" s="90"/>
      <c r="L66" s="90"/>
      <c r="M66" s="61"/>
      <c r="N66" s="61"/>
    </row>
    <row r="67" spans="1:14" x14ac:dyDescent="0.25">
      <c r="A67" s="219" t="s">
        <v>128</v>
      </c>
      <c r="B67" s="219"/>
      <c r="C67" s="219"/>
      <c r="D67" s="219"/>
      <c r="E67" s="219"/>
      <c r="F67" s="219"/>
      <c r="G67" s="181"/>
      <c r="H67" s="181"/>
      <c r="I67" s="90"/>
      <c r="J67" s="90"/>
      <c r="K67" s="90"/>
      <c r="L67" s="90"/>
      <c r="M67" s="61"/>
      <c r="N67" s="61"/>
    </row>
    <row r="68" spans="1:14" ht="39" customHeight="1" x14ac:dyDescent="0.25">
      <c r="A68" s="101"/>
      <c r="B68" s="49" t="s">
        <v>129</v>
      </c>
      <c r="C68" s="49" t="s">
        <v>130</v>
      </c>
      <c r="D68" s="49" t="s">
        <v>135</v>
      </c>
      <c r="E68" s="49" t="s">
        <v>131</v>
      </c>
      <c r="F68" s="49" t="s">
        <v>134</v>
      </c>
      <c r="G68" s="94"/>
      <c r="H68" s="94"/>
      <c r="I68" s="94"/>
      <c r="J68" s="94"/>
      <c r="K68" s="94"/>
      <c r="L68" s="94"/>
      <c r="M68" s="94" t="str">
        <f t="shared" ref="M68" si="0">PROPER(G68)</f>
        <v/>
      </c>
      <c r="N68" s="61"/>
    </row>
    <row r="69" spans="1:14" ht="46.5" customHeight="1" x14ac:dyDescent="0.25">
      <c r="A69" s="49" t="s">
        <v>132</v>
      </c>
      <c r="B69" s="135" t="s">
        <v>320</v>
      </c>
      <c r="C69" s="135" t="s">
        <v>321</v>
      </c>
      <c r="D69" s="135" t="s">
        <v>323</v>
      </c>
      <c r="E69" s="101" t="s">
        <v>325</v>
      </c>
      <c r="F69" s="135" t="s">
        <v>342</v>
      </c>
      <c r="G69" s="94"/>
      <c r="H69" s="90"/>
      <c r="I69" s="90"/>
      <c r="J69" s="90"/>
      <c r="K69" s="90"/>
      <c r="L69" s="90"/>
      <c r="M69" s="90"/>
      <c r="N69" s="61"/>
    </row>
    <row r="70" spans="1:14" ht="57.75" customHeight="1" x14ac:dyDescent="0.25">
      <c r="A70" s="49" t="s">
        <v>133</v>
      </c>
      <c r="B70" s="101" t="s">
        <v>319</v>
      </c>
      <c r="C70" s="101" t="s">
        <v>322</v>
      </c>
      <c r="D70" s="101" t="s">
        <v>324</v>
      </c>
      <c r="E70" s="101" t="s">
        <v>326</v>
      </c>
      <c r="F70" s="101" t="s">
        <v>343</v>
      </c>
      <c r="G70" s="94"/>
      <c r="H70" s="90"/>
      <c r="I70" s="90"/>
      <c r="J70" s="90"/>
      <c r="K70" s="90"/>
      <c r="L70" s="90"/>
      <c r="M70" s="95"/>
    </row>
    <row r="71" spans="1:14" x14ac:dyDescent="0.25">
      <c r="A71" s="219" t="s">
        <v>136</v>
      </c>
      <c r="B71" s="219"/>
      <c r="C71" s="219"/>
      <c r="D71" s="219"/>
      <c r="E71" s="219"/>
      <c r="F71" s="219"/>
      <c r="G71" s="94"/>
      <c r="H71" s="90"/>
      <c r="I71" s="90"/>
      <c r="J71" s="90"/>
      <c r="K71" s="90"/>
      <c r="L71" s="90"/>
      <c r="M71" s="95"/>
    </row>
    <row r="72" spans="1:14" ht="47.25" customHeight="1" x14ac:dyDescent="0.25">
      <c r="A72" s="101"/>
      <c r="B72" s="49" t="s">
        <v>137</v>
      </c>
      <c r="C72" s="49" t="s">
        <v>138</v>
      </c>
      <c r="D72" s="49" t="s">
        <v>139</v>
      </c>
      <c r="E72" s="49" t="s">
        <v>140</v>
      </c>
      <c r="F72" s="49" t="s">
        <v>141</v>
      </c>
      <c r="G72" s="94"/>
      <c r="H72" s="94"/>
      <c r="I72" s="94"/>
      <c r="J72" s="94"/>
      <c r="K72" s="94"/>
      <c r="L72" s="94"/>
      <c r="M72" s="95"/>
    </row>
    <row r="73" spans="1:14" ht="25.5" customHeight="1" x14ac:dyDescent="0.25">
      <c r="A73" s="49" t="s">
        <v>142</v>
      </c>
      <c r="B73" s="138" t="s">
        <v>276</v>
      </c>
      <c r="C73" s="138" t="s">
        <v>239</v>
      </c>
      <c r="D73" s="138" t="s">
        <v>239</v>
      </c>
      <c r="E73" s="138" t="s">
        <v>239</v>
      </c>
      <c r="F73" s="138" t="s">
        <v>239</v>
      </c>
      <c r="G73" s="94"/>
      <c r="H73" s="94"/>
      <c r="I73" s="94"/>
      <c r="J73" s="94"/>
      <c r="K73" s="94"/>
      <c r="L73" s="94"/>
      <c r="M73" s="95"/>
    </row>
    <row r="74" spans="1:14" ht="42.75" customHeight="1" x14ac:dyDescent="0.25">
      <c r="A74" s="101"/>
      <c r="B74" s="97" t="s">
        <v>143</v>
      </c>
      <c r="C74" s="97" t="s">
        <v>144</v>
      </c>
      <c r="D74" s="97" t="s">
        <v>145</v>
      </c>
      <c r="E74" s="97" t="s">
        <v>146</v>
      </c>
      <c r="F74" s="97" t="s">
        <v>147</v>
      </c>
      <c r="G74" s="94"/>
      <c r="H74" s="94"/>
      <c r="I74" s="94"/>
      <c r="J74" s="94"/>
      <c r="K74" s="94"/>
      <c r="L74" s="94"/>
      <c r="M74" s="95"/>
    </row>
    <row r="75" spans="1:14" x14ac:dyDescent="0.25">
      <c r="A75" s="49" t="s">
        <v>142</v>
      </c>
      <c r="B75" s="138" t="s">
        <v>239</v>
      </c>
      <c r="C75" s="138" t="s">
        <v>239</v>
      </c>
      <c r="D75" s="138" t="s">
        <v>239</v>
      </c>
      <c r="E75" s="138" t="s">
        <v>239</v>
      </c>
      <c r="F75" s="138" t="s">
        <v>239</v>
      </c>
      <c r="G75" s="94"/>
      <c r="H75" s="94"/>
      <c r="I75" s="94"/>
      <c r="J75" s="94"/>
      <c r="K75" s="94"/>
      <c r="L75" s="94"/>
      <c r="M75" s="95"/>
    </row>
    <row r="76" spans="1:14" hidden="1" x14ac:dyDescent="0.25">
      <c r="A76" s="46" t="s">
        <v>3</v>
      </c>
      <c r="B76" s="139"/>
      <c r="C76" s="139"/>
      <c r="D76" s="139"/>
      <c r="E76" s="139"/>
      <c r="F76" s="139"/>
      <c r="G76" s="94"/>
      <c r="H76" s="94"/>
      <c r="I76" s="94"/>
      <c r="J76" s="94"/>
      <c r="K76" s="94"/>
      <c r="L76" s="94"/>
      <c r="M76" s="95"/>
    </row>
    <row r="77" spans="1:14" x14ac:dyDescent="0.25">
      <c r="A77" s="101"/>
      <c r="B77" s="97" t="s">
        <v>148</v>
      </c>
      <c r="C77" s="97" t="s">
        <v>149</v>
      </c>
      <c r="D77" s="97" t="s">
        <v>150</v>
      </c>
      <c r="E77" s="97" t="s">
        <v>151</v>
      </c>
      <c r="F77" s="97" t="s">
        <v>152</v>
      </c>
      <c r="G77" s="94"/>
      <c r="H77" s="94"/>
      <c r="I77" s="94"/>
      <c r="J77" s="94"/>
      <c r="K77" s="94"/>
      <c r="L77" s="94"/>
      <c r="M77" s="95"/>
    </row>
    <row r="78" spans="1:14" x14ac:dyDescent="0.25">
      <c r="A78" s="49" t="s">
        <v>142</v>
      </c>
      <c r="B78" s="138" t="s">
        <v>239</v>
      </c>
      <c r="C78" s="138" t="s">
        <v>239</v>
      </c>
      <c r="D78" s="138" t="s">
        <v>239</v>
      </c>
      <c r="E78" s="138" t="s">
        <v>239</v>
      </c>
      <c r="F78" s="138" t="s">
        <v>239</v>
      </c>
      <c r="G78" s="94"/>
      <c r="H78" s="94"/>
      <c r="I78" s="94"/>
      <c r="J78" s="94"/>
      <c r="K78" s="94"/>
      <c r="L78" s="94"/>
      <c r="M78" s="95"/>
    </row>
    <row r="79" spans="1:14" hidden="1" x14ac:dyDescent="0.25">
      <c r="A79" s="46" t="s">
        <v>3</v>
      </c>
      <c r="B79" s="100"/>
      <c r="C79" s="100"/>
      <c r="D79" s="100"/>
      <c r="E79" s="100"/>
      <c r="F79" s="100"/>
      <c r="G79" s="94"/>
      <c r="H79" s="90"/>
      <c r="I79" s="90"/>
      <c r="J79" s="90"/>
      <c r="K79" s="90"/>
      <c r="L79" s="90"/>
      <c r="M79" s="95"/>
    </row>
    <row r="80" spans="1:14" x14ac:dyDescent="0.25">
      <c r="A80" s="215"/>
      <c r="B80" s="215"/>
      <c r="C80" s="215"/>
      <c r="D80" s="215"/>
      <c r="E80" s="215"/>
      <c r="F80" s="215"/>
      <c r="G80" s="94"/>
      <c r="H80" s="90"/>
      <c r="I80" s="90"/>
      <c r="J80" s="90"/>
      <c r="K80" s="90"/>
      <c r="L80" s="90"/>
      <c r="M80" s="95"/>
    </row>
    <row r="81" spans="1:13" ht="42.75" customHeight="1" thickBot="1" x14ac:dyDescent="0.3">
      <c r="A81" s="111" t="s">
        <v>153</v>
      </c>
      <c r="B81" s="282" t="s">
        <v>327</v>
      </c>
      <c r="C81" s="282"/>
      <c r="D81" s="282"/>
      <c r="E81" s="282"/>
      <c r="F81" s="282"/>
      <c r="G81" s="94"/>
      <c r="H81" s="90"/>
      <c r="I81" s="90"/>
      <c r="J81" s="90"/>
      <c r="K81" s="90"/>
      <c r="L81" s="90"/>
      <c r="M81" s="95"/>
    </row>
    <row r="82" spans="1:13" x14ac:dyDescent="0.25">
      <c r="A82" s="220" t="s">
        <v>154</v>
      </c>
      <c r="B82" s="221"/>
      <c r="C82" s="221"/>
      <c r="D82" s="221"/>
      <c r="E82" s="221"/>
      <c r="F82" s="222"/>
      <c r="G82" s="94"/>
      <c r="H82" s="61"/>
      <c r="I82" s="61"/>
      <c r="J82" s="61"/>
      <c r="K82" s="61"/>
      <c r="L82" s="61"/>
    </row>
    <row r="83" spans="1:13" ht="36.75" customHeight="1" x14ac:dyDescent="0.25">
      <c r="A83" s="112" t="s">
        <v>166</v>
      </c>
      <c r="B83" s="242" t="str">
        <f>C33</f>
        <v>Municipal Corporation Of Greater Mumbai (MCGM)</v>
      </c>
      <c r="C83" s="242"/>
      <c r="D83" s="242"/>
      <c r="E83" s="242"/>
      <c r="F83" s="243"/>
      <c r="G83" s="94"/>
      <c r="H83" s="90"/>
      <c r="I83" s="90"/>
      <c r="J83" s="90"/>
      <c r="K83" s="90"/>
      <c r="L83" s="90"/>
    </row>
    <row r="84" spans="1:13" ht="31.5" customHeight="1" x14ac:dyDescent="0.25">
      <c r="A84" s="113" t="s">
        <v>155</v>
      </c>
      <c r="B84" s="49" t="s">
        <v>167</v>
      </c>
      <c r="C84" s="49" t="s">
        <v>168</v>
      </c>
      <c r="D84" s="182" t="s">
        <v>169</v>
      </c>
      <c r="E84" s="182"/>
      <c r="F84" s="286"/>
      <c r="G84" s="94"/>
      <c r="H84" s="94"/>
      <c r="I84" s="94"/>
      <c r="J84" s="181"/>
      <c r="K84" s="181"/>
      <c r="L84" s="181"/>
    </row>
    <row r="85" spans="1:13" ht="31.5" customHeight="1" x14ac:dyDescent="0.25">
      <c r="A85" s="113" t="s">
        <v>156</v>
      </c>
      <c r="B85" s="102" t="s">
        <v>331</v>
      </c>
      <c r="C85" s="102" t="s">
        <v>332</v>
      </c>
      <c r="D85" s="163" t="s">
        <v>328</v>
      </c>
      <c r="E85" s="163"/>
      <c r="F85" s="164"/>
      <c r="G85" s="94"/>
      <c r="H85" s="90"/>
      <c r="I85" s="90"/>
      <c r="J85" s="90"/>
      <c r="K85" s="90"/>
      <c r="L85" s="90"/>
    </row>
    <row r="86" spans="1:13" ht="31.5" customHeight="1" x14ac:dyDescent="0.25">
      <c r="A86" s="113" t="s">
        <v>157</v>
      </c>
      <c r="B86" s="102" t="s">
        <v>331</v>
      </c>
      <c r="C86" s="102" t="s">
        <v>332</v>
      </c>
      <c r="D86" s="163" t="s">
        <v>328</v>
      </c>
      <c r="E86" s="163"/>
      <c r="F86" s="164"/>
      <c r="G86" s="94"/>
      <c r="H86" s="90"/>
      <c r="I86" s="90"/>
      <c r="J86" s="90"/>
      <c r="K86" s="90"/>
      <c r="L86" s="90"/>
    </row>
    <row r="87" spans="1:13" ht="29.1" customHeight="1" x14ac:dyDescent="0.25">
      <c r="A87" s="232" t="s">
        <v>158</v>
      </c>
      <c r="B87" s="162" t="s">
        <v>331</v>
      </c>
      <c r="C87" s="162" t="s">
        <v>332</v>
      </c>
      <c r="D87" s="163" t="s">
        <v>329</v>
      </c>
      <c r="E87" s="163"/>
      <c r="F87" s="164"/>
      <c r="G87" s="94"/>
      <c r="H87" s="90"/>
      <c r="I87" s="90"/>
      <c r="J87" s="90"/>
      <c r="K87" s="90"/>
      <c r="L87" s="90"/>
    </row>
    <row r="88" spans="1:13" ht="53.25" customHeight="1" x14ac:dyDescent="0.25">
      <c r="A88" s="232"/>
      <c r="B88" s="162"/>
      <c r="C88" s="162"/>
      <c r="D88" s="163" t="s">
        <v>330</v>
      </c>
      <c r="E88" s="163"/>
      <c r="F88" s="164"/>
      <c r="G88" s="94"/>
      <c r="H88" s="90"/>
      <c r="I88" s="90"/>
      <c r="J88" s="90"/>
      <c r="K88" s="90"/>
      <c r="L88" s="90"/>
    </row>
    <row r="89" spans="1:13" ht="30.75" customHeight="1" x14ac:dyDescent="0.25">
      <c r="A89" s="232" t="s">
        <v>158</v>
      </c>
      <c r="B89" s="162" t="s">
        <v>331</v>
      </c>
      <c r="C89" s="162" t="s">
        <v>332</v>
      </c>
      <c r="D89" s="163" t="s">
        <v>382</v>
      </c>
      <c r="E89" s="163"/>
      <c r="F89" s="164"/>
      <c r="G89" s="94"/>
      <c r="H89" s="90"/>
      <c r="I89" s="90"/>
      <c r="J89" s="90"/>
      <c r="K89" s="90"/>
      <c r="L89" s="90"/>
    </row>
    <row r="90" spans="1:13" ht="154.5" customHeight="1" x14ac:dyDescent="0.25">
      <c r="A90" s="232"/>
      <c r="B90" s="162"/>
      <c r="C90" s="162"/>
      <c r="D90" s="163" t="s">
        <v>386</v>
      </c>
      <c r="E90" s="163"/>
      <c r="F90" s="164"/>
      <c r="G90" s="94"/>
      <c r="H90" s="90"/>
      <c r="I90" s="90"/>
      <c r="J90" s="90"/>
      <c r="K90" s="90"/>
      <c r="L90" s="90"/>
    </row>
    <row r="91" spans="1:13" ht="54" customHeight="1" x14ac:dyDescent="0.25">
      <c r="A91" s="113" t="s">
        <v>159</v>
      </c>
      <c r="B91" s="102" t="s">
        <v>333</v>
      </c>
      <c r="C91" s="102" t="s">
        <v>244</v>
      </c>
      <c r="D91" s="162" t="s">
        <v>244</v>
      </c>
      <c r="E91" s="162"/>
      <c r="F91" s="279"/>
      <c r="G91" s="94"/>
      <c r="H91" s="90"/>
      <c r="I91" s="90"/>
      <c r="J91" s="90"/>
      <c r="K91" s="90"/>
      <c r="L91" s="61"/>
    </row>
    <row r="92" spans="1:13" ht="35.450000000000003" customHeight="1" x14ac:dyDescent="0.25">
      <c r="A92" s="113" t="s">
        <v>160</v>
      </c>
      <c r="B92" s="102" t="s">
        <v>333</v>
      </c>
      <c r="C92" s="102" t="s">
        <v>244</v>
      </c>
      <c r="D92" s="162" t="s">
        <v>244</v>
      </c>
      <c r="E92" s="162"/>
      <c r="F92" s="279"/>
      <c r="G92" s="94"/>
      <c r="H92" s="90"/>
      <c r="I92" s="90"/>
      <c r="J92" s="90"/>
      <c r="K92" s="90"/>
      <c r="L92" s="61"/>
    </row>
    <row r="93" spans="1:13" ht="29.1" customHeight="1" x14ac:dyDescent="0.25">
      <c r="A93" s="113" t="s">
        <v>161</v>
      </c>
      <c r="B93" s="102" t="s">
        <v>333</v>
      </c>
      <c r="C93" s="102" t="s">
        <v>244</v>
      </c>
      <c r="D93" s="162" t="s">
        <v>244</v>
      </c>
      <c r="E93" s="162"/>
      <c r="F93" s="279"/>
      <c r="G93" s="94"/>
      <c r="H93" s="90"/>
      <c r="I93" s="90"/>
      <c r="J93" s="90"/>
      <c r="K93" s="90"/>
      <c r="L93" s="61"/>
    </row>
    <row r="94" spans="1:13" ht="29.45" customHeight="1" x14ac:dyDescent="0.25">
      <c r="A94" s="113" t="s">
        <v>162</v>
      </c>
      <c r="B94" s="102" t="s">
        <v>333</v>
      </c>
      <c r="C94" s="102" t="s">
        <v>244</v>
      </c>
      <c r="D94" s="162" t="s">
        <v>244</v>
      </c>
      <c r="E94" s="162"/>
      <c r="F94" s="279"/>
      <c r="G94" s="94"/>
      <c r="H94" s="90"/>
      <c r="I94" s="90"/>
      <c r="J94" s="90"/>
      <c r="K94" s="90"/>
      <c r="L94" s="61"/>
    </row>
    <row r="95" spans="1:13" ht="60.75" customHeight="1" x14ac:dyDescent="0.25">
      <c r="A95" s="113" t="s">
        <v>253</v>
      </c>
      <c r="B95" s="102" t="s">
        <v>331</v>
      </c>
      <c r="C95" s="102" t="s">
        <v>335</v>
      </c>
      <c r="D95" s="163" t="s">
        <v>336</v>
      </c>
      <c r="E95" s="163"/>
      <c r="F95" s="164"/>
      <c r="G95" s="94"/>
      <c r="H95" s="90"/>
      <c r="I95" s="90"/>
      <c r="J95" s="90"/>
      <c r="K95" s="90"/>
      <c r="L95" s="61"/>
    </row>
    <row r="96" spans="1:13" ht="31.5" customHeight="1" x14ac:dyDescent="0.25">
      <c r="A96" s="113" t="s">
        <v>254</v>
      </c>
      <c r="B96" s="130" t="s">
        <v>334</v>
      </c>
      <c r="C96" s="130" t="s">
        <v>244</v>
      </c>
      <c r="D96" s="162" t="s">
        <v>244</v>
      </c>
      <c r="E96" s="162"/>
      <c r="F96" s="279"/>
      <c r="G96" s="94"/>
      <c r="H96" s="90"/>
      <c r="I96" s="90"/>
      <c r="J96" s="90"/>
      <c r="K96" s="90"/>
      <c r="L96" s="61"/>
    </row>
    <row r="97" spans="1:12" ht="40.5" customHeight="1" x14ac:dyDescent="0.25">
      <c r="A97" s="113" t="s">
        <v>255</v>
      </c>
      <c r="B97" s="102" t="s">
        <v>337</v>
      </c>
      <c r="C97" s="102" t="s">
        <v>244</v>
      </c>
      <c r="D97" s="162" t="s">
        <v>244</v>
      </c>
      <c r="E97" s="162"/>
      <c r="F97" s="279"/>
      <c r="G97" s="94"/>
      <c r="H97" s="90"/>
      <c r="I97" s="90"/>
      <c r="J97" s="90"/>
      <c r="K97" s="90"/>
      <c r="L97" s="61"/>
    </row>
    <row r="98" spans="1:12" ht="31.5" customHeight="1" x14ac:dyDescent="0.25">
      <c r="A98" s="113" t="s">
        <v>163</v>
      </c>
      <c r="B98" s="102" t="s">
        <v>331</v>
      </c>
      <c r="C98" s="102" t="s">
        <v>244</v>
      </c>
      <c r="D98" s="163" t="s">
        <v>338</v>
      </c>
      <c r="E98" s="163"/>
      <c r="F98" s="164"/>
      <c r="G98" s="94"/>
      <c r="H98" s="90"/>
      <c r="I98" s="90"/>
      <c r="J98" s="90"/>
      <c r="K98" s="90"/>
      <c r="L98" s="61"/>
    </row>
    <row r="99" spans="1:12" ht="36" hidden="1" customHeight="1" x14ac:dyDescent="0.25">
      <c r="A99" s="113" t="s">
        <v>164</v>
      </c>
      <c r="B99" s="102"/>
      <c r="C99" s="102"/>
      <c r="D99" s="163"/>
      <c r="E99" s="163"/>
      <c r="F99" s="164"/>
      <c r="G99" s="94"/>
      <c r="H99" s="90"/>
      <c r="I99" s="90"/>
      <c r="J99" s="90"/>
      <c r="K99" s="90"/>
      <c r="L99" s="61"/>
    </row>
    <row r="100" spans="1:12" ht="24.75" thickBot="1" x14ac:dyDescent="0.3">
      <c r="A100" s="114" t="s">
        <v>165</v>
      </c>
      <c r="B100" s="302"/>
      <c r="C100" s="302"/>
      <c r="D100" s="302"/>
      <c r="E100" s="302"/>
      <c r="F100" s="303"/>
      <c r="G100" s="94"/>
      <c r="H100" s="90"/>
      <c r="I100" s="90"/>
      <c r="J100" s="90"/>
      <c r="K100" s="90"/>
      <c r="L100" s="61"/>
    </row>
    <row r="101" spans="1:12" x14ac:dyDescent="0.25">
      <c r="A101" s="223" t="s">
        <v>170</v>
      </c>
      <c r="B101" s="223"/>
      <c r="C101" s="223"/>
      <c r="D101" s="223"/>
      <c r="E101" s="223"/>
      <c r="F101" s="223"/>
      <c r="G101" s="94"/>
      <c r="H101" s="90"/>
      <c r="I101" s="94"/>
      <c r="J101" s="90"/>
      <c r="K101" s="90"/>
      <c r="L101" s="61"/>
    </row>
    <row r="102" spans="1:12" ht="48" x14ac:dyDescent="0.25">
      <c r="A102" s="49" t="s">
        <v>171</v>
      </c>
      <c r="B102" s="106" t="s">
        <v>239</v>
      </c>
      <c r="C102" s="97" t="s">
        <v>175</v>
      </c>
      <c r="D102" s="106" t="s">
        <v>256</v>
      </c>
      <c r="E102" s="104" t="s">
        <v>172</v>
      </c>
      <c r="F102" s="106" t="s">
        <v>339</v>
      </c>
      <c r="G102" s="94"/>
      <c r="H102" s="90"/>
      <c r="I102" s="90"/>
      <c r="J102" s="94"/>
      <c r="K102" s="90"/>
      <c r="L102" s="61"/>
    </row>
    <row r="103" spans="1:12" ht="24" x14ac:dyDescent="0.25">
      <c r="A103" s="46" t="s">
        <v>173</v>
      </c>
      <c r="B103" s="281">
        <v>45240</v>
      </c>
      <c r="C103" s="215"/>
      <c r="D103" s="46" t="s">
        <v>176</v>
      </c>
      <c r="E103" s="281">
        <v>47422</v>
      </c>
      <c r="F103" s="215"/>
      <c r="G103" s="94"/>
      <c r="H103" s="90"/>
      <c r="I103" s="90"/>
      <c r="J103" s="94"/>
      <c r="K103" s="90"/>
      <c r="L103" s="61"/>
    </row>
    <row r="104" spans="1:12" ht="36.75" customHeight="1" x14ac:dyDescent="0.25">
      <c r="A104" s="46" t="s">
        <v>174</v>
      </c>
      <c r="B104" s="276" t="s">
        <v>252</v>
      </c>
      <c r="C104" s="276"/>
      <c r="D104" s="96" t="s">
        <v>177</v>
      </c>
      <c r="E104" s="276" t="s">
        <v>244</v>
      </c>
      <c r="F104" s="276"/>
      <c r="G104" s="94"/>
      <c r="H104" s="90"/>
      <c r="I104" s="90"/>
      <c r="J104" s="94"/>
      <c r="K104" s="90"/>
      <c r="L104" s="61"/>
    </row>
    <row r="105" spans="1:12" x14ac:dyDescent="0.25">
      <c r="A105" s="219" t="s">
        <v>178</v>
      </c>
      <c r="B105" s="219"/>
      <c r="C105" s="219"/>
      <c r="D105" s="219"/>
      <c r="E105" s="219"/>
      <c r="F105" s="219"/>
      <c r="G105" s="94"/>
      <c r="H105" s="90"/>
      <c r="I105" s="94"/>
      <c r="J105" s="90"/>
      <c r="K105" s="90"/>
      <c r="L105" s="61"/>
    </row>
    <row r="106" spans="1:12" x14ac:dyDescent="0.25">
      <c r="A106" s="96" t="s">
        <v>185</v>
      </c>
      <c r="B106" s="285" t="s">
        <v>257</v>
      </c>
      <c r="C106" s="285"/>
      <c r="D106" s="96" t="s">
        <v>179</v>
      </c>
      <c r="E106" s="276" t="s">
        <v>252</v>
      </c>
      <c r="F106" s="276"/>
      <c r="G106" s="94"/>
      <c r="H106" s="90"/>
      <c r="I106" s="90"/>
      <c r="J106" s="94"/>
      <c r="K106" s="90"/>
      <c r="L106" s="61"/>
    </row>
    <row r="107" spans="1:12" ht="24" x14ac:dyDescent="0.25">
      <c r="A107" s="96" t="s">
        <v>186</v>
      </c>
      <c r="B107" s="276" t="s">
        <v>239</v>
      </c>
      <c r="C107" s="276"/>
      <c r="D107" s="96" t="s">
        <v>180</v>
      </c>
      <c r="E107" s="285" t="s">
        <v>258</v>
      </c>
      <c r="F107" s="285"/>
      <c r="G107" s="94"/>
      <c r="H107" s="90"/>
      <c r="I107" s="90"/>
      <c r="J107" s="94"/>
      <c r="K107" s="90"/>
      <c r="L107" s="61"/>
    </row>
    <row r="108" spans="1:12" ht="36" x14ac:dyDescent="0.25">
      <c r="A108" s="96" t="s">
        <v>187</v>
      </c>
      <c r="B108" s="276" t="s">
        <v>252</v>
      </c>
      <c r="C108" s="276"/>
      <c r="D108" s="96" t="s">
        <v>181</v>
      </c>
      <c r="E108" s="276" t="s">
        <v>252</v>
      </c>
      <c r="F108" s="276"/>
      <c r="G108" s="94"/>
      <c r="H108" s="90"/>
      <c r="I108" s="90"/>
      <c r="J108" s="94"/>
      <c r="K108" s="90"/>
      <c r="L108" s="61"/>
    </row>
    <row r="109" spans="1:12" ht="24" customHeight="1" x14ac:dyDescent="0.25">
      <c r="A109" s="96" t="s">
        <v>188</v>
      </c>
      <c r="B109" s="276" t="s">
        <v>252</v>
      </c>
      <c r="C109" s="276"/>
      <c r="D109" s="96" t="s">
        <v>182</v>
      </c>
      <c r="E109" s="276" t="s">
        <v>252</v>
      </c>
      <c r="F109" s="276"/>
      <c r="G109" s="94"/>
      <c r="H109" s="90"/>
      <c r="I109" s="90"/>
      <c r="J109" s="94"/>
      <c r="K109" s="90"/>
      <c r="L109" s="61"/>
    </row>
    <row r="110" spans="1:12" ht="36" x14ac:dyDescent="0.25">
      <c r="A110" s="96" t="s">
        <v>189</v>
      </c>
      <c r="B110" s="276" t="s">
        <v>252</v>
      </c>
      <c r="C110" s="276"/>
      <c r="D110" s="96" t="s">
        <v>183</v>
      </c>
      <c r="E110" s="276" t="s">
        <v>252</v>
      </c>
      <c r="F110" s="276"/>
      <c r="G110" s="94"/>
      <c r="H110" s="90"/>
      <c r="I110" s="90"/>
      <c r="J110" s="94"/>
      <c r="K110" s="90"/>
      <c r="L110" s="61"/>
    </row>
    <row r="111" spans="1:12" x14ac:dyDescent="0.25">
      <c r="A111" s="96" t="s">
        <v>190</v>
      </c>
      <c r="B111" s="276" t="s">
        <v>252</v>
      </c>
      <c r="C111" s="276"/>
      <c r="D111" s="96" t="s">
        <v>184</v>
      </c>
      <c r="E111" s="276" t="s">
        <v>252</v>
      </c>
      <c r="F111" s="276"/>
      <c r="G111" s="94"/>
      <c r="H111" s="90"/>
      <c r="I111" s="90"/>
      <c r="J111" s="94"/>
      <c r="K111" s="90"/>
      <c r="L111" s="61"/>
    </row>
    <row r="112" spans="1:12" x14ac:dyDescent="0.25">
      <c r="A112" s="277" t="s">
        <v>191</v>
      </c>
      <c r="B112" s="277"/>
      <c r="C112" s="278" t="s">
        <v>239</v>
      </c>
      <c r="D112" s="278"/>
      <c r="E112" s="278"/>
      <c r="F112" s="278"/>
      <c r="G112" s="181"/>
      <c r="H112" s="181"/>
      <c r="I112" s="90"/>
      <c r="J112" s="90"/>
      <c r="K112" s="90"/>
      <c r="L112" s="61"/>
    </row>
    <row r="113" spans="1:12" ht="30" customHeight="1" x14ac:dyDescent="0.25">
      <c r="A113" s="182" t="s">
        <v>192</v>
      </c>
      <c r="B113" s="182"/>
      <c r="C113" s="278" t="s">
        <v>252</v>
      </c>
      <c r="D113" s="278"/>
      <c r="E113" s="278"/>
      <c r="F113" s="278"/>
      <c r="G113" s="181"/>
      <c r="H113" s="181"/>
      <c r="I113" s="90"/>
      <c r="J113" s="90"/>
      <c r="K113" s="90"/>
      <c r="L113" s="61"/>
    </row>
    <row r="114" spans="1:12" x14ac:dyDescent="0.25">
      <c r="A114" s="219" t="s">
        <v>193</v>
      </c>
      <c r="B114" s="219"/>
      <c r="C114" s="219"/>
      <c r="D114" s="219"/>
      <c r="E114" s="219"/>
      <c r="F114" s="219"/>
      <c r="G114" s="94"/>
      <c r="H114" s="90"/>
      <c r="I114" s="90"/>
      <c r="J114" s="90"/>
      <c r="K114" s="90"/>
      <c r="L114" s="61"/>
    </row>
    <row r="115" spans="1:12" ht="36" customHeight="1" x14ac:dyDescent="0.25">
      <c r="A115" s="288" t="s">
        <v>195</v>
      </c>
      <c r="B115" s="288"/>
      <c r="C115" s="288"/>
      <c r="D115" s="288"/>
      <c r="E115" s="288" t="s">
        <v>194</v>
      </c>
      <c r="F115" s="288"/>
      <c r="G115" s="94"/>
      <c r="H115" s="94"/>
      <c r="I115" s="94"/>
      <c r="J115" s="94"/>
      <c r="K115" s="94"/>
      <c r="L115" s="65"/>
    </row>
    <row r="116" spans="1:12" x14ac:dyDescent="0.25">
      <c r="A116" s="287" t="s">
        <v>244</v>
      </c>
      <c r="B116" s="287"/>
      <c r="C116" s="287"/>
      <c r="D116" s="287"/>
      <c r="E116" s="276" t="s">
        <v>252</v>
      </c>
      <c r="F116" s="276"/>
      <c r="G116" s="90"/>
      <c r="H116" s="90"/>
      <c r="I116" s="90"/>
      <c r="J116" s="90"/>
      <c r="K116" s="90"/>
      <c r="L116" s="61"/>
    </row>
    <row r="117" spans="1:12" hidden="1" x14ac:dyDescent="0.25">
      <c r="A117" s="287"/>
      <c r="B117" s="287"/>
      <c r="C117" s="287"/>
      <c r="D117" s="287"/>
      <c r="E117" s="287"/>
      <c r="F117" s="287"/>
      <c r="G117" s="61"/>
      <c r="H117" s="61"/>
      <c r="I117" s="61"/>
      <c r="J117" s="61"/>
      <c r="K117" s="61"/>
      <c r="L117" s="61"/>
    </row>
    <row r="118" spans="1:12" x14ac:dyDescent="0.25">
      <c r="A118" s="215"/>
      <c r="B118" s="215"/>
      <c r="C118" s="215"/>
      <c r="D118" s="215"/>
      <c r="E118" s="215"/>
      <c r="F118" s="215"/>
      <c r="G118" s="61"/>
      <c r="H118" s="61"/>
      <c r="I118" s="61"/>
      <c r="J118" s="61"/>
      <c r="K118" s="61"/>
      <c r="L118" s="61"/>
    </row>
    <row r="119" spans="1:12" ht="36" x14ac:dyDescent="0.25">
      <c r="A119" s="49" t="s">
        <v>196</v>
      </c>
      <c r="B119" s="49" t="s">
        <v>197</v>
      </c>
      <c r="C119" s="49" t="s">
        <v>198</v>
      </c>
      <c r="D119" s="49" t="s">
        <v>199</v>
      </c>
      <c r="E119" s="49" t="s">
        <v>200</v>
      </c>
      <c r="F119" s="49" t="s">
        <v>201</v>
      </c>
      <c r="G119" s="94"/>
      <c r="H119" s="94"/>
      <c r="I119" s="65"/>
      <c r="J119" s="65"/>
      <c r="K119" s="65"/>
      <c r="L119" s="65"/>
    </row>
    <row r="120" spans="1:12" ht="45.75" customHeight="1" x14ac:dyDescent="0.25">
      <c r="A120" s="101">
        <f t="shared" ref="A120:F120" si="1">A174</f>
        <v>1</v>
      </c>
      <c r="B120" s="101">
        <f t="shared" si="1"/>
        <v>1</v>
      </c>
      <c r="C120" s="101">
        <f t="shared" si="1"/>
        <v>1</v>
      </c>
      <c r="D120" s="101" t="str">
        <f t="shared" si="1"/>
        <v>Flats = 198</v>
      </c>
      <c r="E120" s="101" t="str">
        <f t="shared" si="1"/>
        <v>-</v>
      </c>
      <c r="F120" s="101">
        <f t="shared" si="1"/>
        <v>198</v>
      </c>
      <c r="G120" s="95"/>
      <c r="H120" s="95"/>
    </row>
    <row r="121" spans="1:12" x14ac:dyDescent="0.25">
      <c r="A121" s="182" t="s">
        <v>259</v>
      </c>
      <c r="B121" s="182"/>
      <c r="C121" s="278" t="s">
        <v>340</v>
      </c>
      <c r="D121" s="278"/>
      <c r="E121" s="278"/>
      <c r="F121" s="278"/>
      <c r="G121" s="181"/>
      <c r="H121" s="181"/>
    </row>
    <row r="122" spans="1:12" x14ac:dyDescent="0.25">
      <c r="A122" s="182" t="s">
        <v>260</v>
      </c>
      <c r="B122" s="182"/>
      <c r="C122" s="278" t="s">
        <v>340</v>
      </c>
      <c r="D122" s="278"/>
      <c r="E122" s="278"/>
      <c r="F122" s="278"/>
      <c r="G122" s="181"/>
      <c r="H122" s="181"/>
    </row>
    <row r="123" spans="1:12" hidden="1" x14ac:dyDescent="0.25">
      <c r="A123" s="182"/>
      <c r="B123" s="182"/>
      <c r="C123" s="211" t="s">
        <v>279</v>
      </c>
      <c r="D123" s="211"/>
      <c r="E123" s="211"/>
      <c r="F123" s="211"/>
      <c r="G123" s="181"/>
      <c r="H123" s="181"/>
    </row>
    <row r="124" spans="1:12" hidden="1" x14ac:dyDescent="0.25">
      <c r="A124" s="182"/>
      <c r="B124" s="182"/>
      <c r="C124" s="211"/>
      <c r="D124" s="211"/>
      <c r="E124" s="211"/>
      <c r="F124" s="211"/>
      <c r="G124" s="181"/>
      <c r="H124" s="181"/>
    </row>
    <row r="125" spans="1:12" x14ac:dyDescent="0.25">
      <c r="A125" s="182" t="s">
        <v>202</v>
      </c>
      <c r="B125" s="182"/>
      <c r="C125" s="278" t="s">
        <v>239</v>
      </c>
      <c r="D125" s="278"/>
      <c r="E125" s="278"/>
      <c r="F125" s="278"/>
      <c r="G125" s="181"/>
      <c r="H125" s="181"/>
    </row>
    <row r="126" spans="1:12" x14ac:dyDescent="0.25">
      <c r="A126" s="182" t="s">
        <v>203</v>
      </c>
      <c r="B126" s="182"/>
      <c r="C126" s="278" t="s">
        <v>239</v>
      </c>
      <c r="D126" s="278"/>
      <c r="E126" s="278"/>
      <c r="F126" s="278"/>
      <c r="G126" s="181"/>
      <c r="H126" s="181"/>
    </row>
    <row r="127" spans="1:12" ht="26.1" customHeight="1" x14ac:dyDescent="0.25">
      <c r="A127" s="182" t="s">
        <v>204</v>
      </c>
      <c r="B127" s="182"/>
      <c r="C127" s="215" t="s">
        <v>341</v>
      </c>
      <c r="D127" s="215"/>
      <c r="E127" s="215"/>
      <c r="F127" s="215"/>
      <c r="G127" s="181"/>
      <c r="H127" s="181"/>
    </row>
    <row r="128" spans="1:12" ht="62.25" customHeight="1" thickBot="1" x14ac:dyDescent="0.3">
      <c r="A128" s="182" t="s">
        <v>205</v>
      </c>
      <c r="B128" s="182"/>
      <c r="C128" s="289" t="s">
        <v>344</v>
      </c>
      <c r="D128" s="276"/>
      <c r="E128" s="276"/>
      <c r="F128" s="276"/>
      <c r="G128" s="181"/>
      <c r="H128" s="181"/>
    </row>
    <row r="129" spans="1:12" ht="15" hidden="1" customHeight="1" x14ac:dyDescent="0.25">
      <c r="A129" s="204" t="str">
        <f>C123</f>
        <v>Building No. 1 = Gr. + 1st to 17th Floor</v>
      </c>
      <c r="B129" s="205"/>
      <c r="C129" s="75" t="s">
        <v>5</v>
      </c>
      <c r="D129" s="75" t="s">
        <v>6</v>
      </c>
      <c r="E129" s="75" t="s">
        <v>7</v>
      </c>
      <c r="F129" s="76" t="s">
        <v>8</v>
      </c>
      <c r="G129" s="2" t="str">
        <f ca="1">(IF(E133&gt;99%,"All work completed. Please provide OC.",IF(E133&gt;89.8%,"Plinth, RCC, Brick, Plaster, Flooring, Painting work Completed. Finishing work is in process.",IF(E133&lt;94%,(IF(C133=0,"Work not yet Started.",IF(C133=H134,"Excavation Work in process",IF(C133=H135,"Foudation Work in process",IF(C133=H136,"1st Basement Completed",IF(C133=H137,"1st &amp; 2nd Basement Completed",IF(C133=H138,"1st to 3rd Basement Completed",IF(C133=H139,"1st to 4th Basement Completed",IF(C133=H140,"Plinth work is process",IF(C133=H141,"Plinth work completed","0"))))))))))))&amp;(IF(C134=(D130+E130+F130),", RCC Slab",IF(C134&gt;0,", RCC upto "&amp;C134&amp;" Slab",""))&amp;(IF(C135=F130,", Brickwork",IF(C135&gt;0,", Brickwork upto "&amp;C135&amp;" Floor",""))&amp;(IF(C136=F130,", Internal Plaster",IF(C136&gt;0,", Internal Plaster upto "&amp;C136&amp;" Floor",""))&amp;(IF(C137=F130,", External Plaster",IF(C137&gt;0,", External Plaster upto "&amp;C137&amp;" Floor",""))&amp;(IF(C138=F130,", Flooring",IF(C138&gt;0,", Flooring upto "&amp;C138&amp;" Floor",""))&amp;(IF(C139=F130,", Painting",IF(C139&gt;0,", Painting upto "&amp;C139&amp;" Floor",""))&amp;(IF(C140&gt;0,", Finishing upto "&amp;C140&amp;" Floor","")&amp;(IF(C134&gt;0.5," Completed","")))))))))))</f>
        <v>Work not yet Started.</v>
      </c>
      <c r="H129" s="3"/>
    </row>
    <row r="130" spans="1:12" hidden="1" x14ac:dyDescent="0.25">
      <c r="A130" s="206"/>
      <c r="B130" s="207"/>
      <c r="C130" s="77">
        <v>0</v>
      </c>
      <c r="D130" s="77">
        <v>1</v>
      </c>
      <c r="E130" s="77">
        <v>0</v>
      </c>
      <c r="F130" s="78">
        <f ca="1">--TRIM(RIGHT(SUBSTITUTE(LEFT(A129,_xlfn.AGGREGATE(16,6,FIND({0,1,2,3,4,5,6,7,8,9},A129,ROW(INDIRECT("1:"&amp;LEN(A129)))),1))," ",REPT(" ",LEN(A129))),LEN(A129)))</f>
        <v>17</v>
      </c>
      <c r="G130" s="4"/>
      <c r="H130" s="5"/>
      <c r="L130" t="s">
        <v>208</v>
      </c>
    </row>
    <row r="131" spans="1:12" ht="15" hidden="1" customHeight="1" x14ac:dyDescent="0.25">
      <c r="A131" s="115" t="s">
        <v>9</v>
      </c>
      <c r="B131" s="207" t="str">
        <f ca="1">G129</f>
        <v>Work not yet Started.</v>
      </c>
      <c r="C131" s="207"/>
      <c r="D131" s="207"/>
      <c r="E131" s="207"/>
      <c r="F131" s="208"/>
      <c r="G131" s="4" t="s">
        <v>10</v>
      </c>
      <c r="H131" s="5"/>
      <c r="L131" t="s">
        <v>206</v>
      </c>
    </row>
    <row r="132" spans="1:12" hidden="1" x14ac:dyDescent="0.25">
      <c r="A132" s="79" t="s">
        <v>11</v>
      </c>
      <c r="B132" s="80" t="s">
        <v>12</v>
      </c>
      <c r="C132" s="81" t="s">
        <v>13</v>
      </c>
      <c r="D132" s="81" t="s">
        <v>14</v>
      </c>
      <c r="E132" s="209" t="s">
        <v>37</v>
      </c>
      <c r="F132" s="210"/>
      <c r="G132" s="6"/>
      <c r="H132" s="7"/>
      <c r="L132" t="s">
        <v>207</v>
      </c>
    </row>
    <row r="133" spans="1:12" hidden="1" x14ac:dyDescent="0.25">
      <c r="A133" s="79" t="s">
        <v>19</v>
      </c>
      <c r="B133" s="82">
        <v>0.35</v>
      </c>
      <c r="C133" s="84">
        <f>H137</f>
        <v>0</v>
      </c>
      <c r="D133" s="127">
        <f ca="1">((100/F130)*C133)/100</f>
        <v>0</v>
      </c>
      <c r="E133" s="290">
        <f ca="1">((((C133/F130)*35)+(35/(F130+E130+D130)*C134)+(5/F130*C135)+(5/F130*C136)+(5/F130*C137)+(5/F130*C138)+(5/F130*C139)+(2.5/F130*C140)+(2.5/F130*C141))/100)</f>
        <v>0</v>
      </c>
      <c r="F133" s="291"/>
      <c r="G133" s="6"/>
      <c r="H133" s="8"/>
    </row>
    <row r="134" spans="1:12" ht="30" hidden="1" x14ac:dyDescent="0.25">
      <c r="A134" s="79" t="s">
        <v>21</v>
      </c>
      <c r="B134" s="82">
        <v>0.35</v>
      </c>
      <c r="C134" s="98">
        <v>0</v>
      </c>
      <c r="D134" s="127">
        <f ca="1">((100/(D130+E130+F130))*C134)/100</f>
        <v>0</v>
      </c>
      <c r="E134" s="290"/>
      <c r="F134" s="291"/>
      <c r="G134" s="6" t="s">
        <v>277</v>
      </c>
      <c r="H134" s="9">
        <f ca="1">F130/7</f>
        <v>2.4285714285714284</v>
      </c>
    </row>
    <row r="135" spans="1:12" hidden="1" x14ac:dyDescent="0.25">
      <c r="A135" s="79" t="s">
        <v>23</v>
      </c>
      <c r="B135" s="82">
        <v>0.05</v>
      </c>
      <c r="C135" s="83">
        <v>0</v>
      </c>
      <c r="D135" s="127">
        <f ca="1">((100/F130)*C135)/100</f>
        <v>0</v>
      </c>
      <c r="E135" s="290"/>
      <c r="F135" s="291"/>
      <c r="G135" s="6" t="s">
        <v>278</v>
      </c>
      <c r="H135" s="9">
        <f ca="1">(IF(C130&gt;1,(F130/(C130+2)),F130/3.5))</f>
        <v>4.8571428571428568</v>
      </c>
    </row>
    <row r="136" spans="1:12" hidden="1" x14ac:dyDescent="0.25">
      <c r="A136" s="79" t="s">
        <v>38</v>
      </c>
      <c r="B136" s="82">
        <v>0.05</v>
      </c>
      <c r="C136" s="83">
        <v>0</v>
      </c>
      <c r="D136" s="127">
        <f ca="1">((100/F130)*C136)/100</f>
        <v>0</v>
      </c>
      <c r="E136" s="290"/>
      <c r="F136" s="291"/>
      <c r="G136" s="6" t="s">
        <v>26</v>
      </c>
      <c r="H136" s="9">
        <f>(IF(C130&gt;1,(F130/(C130+2)+H135),0))</f>
        <v>0</v>
      </c>
    </row>
    <row r="137" spans="1:12" hidden="1" x14ac:dyDescent="0.25">
      <c r="A137" s="79" t="s">
        <v>29</v>
      </c>
      <c r="B137" s="82">
        <v>0.05</v>
      </c>
      <c r="C137" s="83">
        <v>0</v>
      </c>
      <c r="D137" s="127">
        <f ca="1">((100/(F130))*C137)/100</f>
        <v>0</v>
      </c>
      <c r="E137" s="290"/>
      <c r="F137" s="291"/>
      <c r="G137" s="6" t="s">
        <v>28</v>
      </c>
      <c r="H137" s="9">
        <f>(IF(C130&gt;2,(F130/(C130+2)+H136),0))</f>
        <v>0</v>
      </c>
    </row>
    <row r="138" spans="1:12" ht="30" hidden="1" x14ac:dyDescent="0.25">
      <c r="A138" s="79" t="s">
        <v>39</v>
      </c>
      <c r="B138" s="82">
        <v>0.05</v>
      </c>
      <c r="C138" s="83">
        <v>0</v>
      </c>
      <c r="D138" s="127">
        <f ca="1">((100/F130)*C138)/100</f>
        <v>0</v>
      </c>
      <c r="E138" s="290"/>
      <c r="F138" s="291"/>
      <c r="G138" s="6" t="s">
        <v>30</v>
      </c>
      <c r="H138" s="10">
        <f>(IF(C130&gt;3,(F130/(C130+2)+H137),0))</f>
        <v>0</v>
      </c>
    </row>
    <row r="139" spans="1:12" hidden="1" x14ac:dyDescent="0.25">
      <c r="A139" s="79" t="s">
        <v>31</v>
      </c>
      <c r="B139" s="82">
        <v>0.05</v>
      </c>
      <c r="C139" s="83">
        <v>0</v>
      </c>
      <c r="D139" s="127">
        <f ca="1">((100/F130)*C139)/100</f>
        <v>0</v>
      </c>
      <c r="E139" s="290"/>
      <c r="F139" s="291"/>
      <c r="G139" s="6" t="s">
        <v>32</v>
      </c>
      <c r="H139" s="9">
        <f>(IF(C130&gt;4,(F130/(C130+2)+H138),0))</f>
        <v>0</v>
      </c>
    </row>
    <row r="140" spans="1:12" hidden="1" x14ac:dyDescent="0.25">
      <c r="A140" s="79" t="s">
        <v>40</v>
      </c>
      <c r="B140" s="82">
        <v>2.5000000000000001E-2</v>
      </c>
      <c r="C140" s="83">
        <v>0</v>
      </c>
      <c r="D140" s="127">
        <f ca="1">((100/(F130))*C140)/100</f>
        <v>0</v>
      </c>
      <c r="E140" s="290"/>
      <c r="F140" s="291"/>
      <c r="G140" s="6" t="s">
        <v>34</v>
      </c>
      <c r="H140" s="9">
        <f ca="1">(IF(C130=1,(F130/(C130+3)+H135),IF(C130=0,(F130*2/7+H135),IF(C130&gt;1,0))))</f>
        <v>9.7142857142857135</v>
      </c>
    </row>
    <row r="141" spans="1:12" ht="15.75" hidden="1" thickBot="1" x14ac:dyDescent="0.3">
      <c r="A141" s="116" t="s">
        <v>35</v>
      </c>
      <c r="B141" s="117">
        <v>2.5000000000000001E-2</v>
      </c>
      <c r="C141" s="118">
        <v>0</v>
      </c>
      <c r="D141" s="128">
        <f ca="1">((100/(F130))*C141)/100</f>
        <v>0</v>
      </c>
      <c r="E141" s="292"/>
      <c r="F141" s="293"/>
      <c r="G141" s="11" t="s">
        <v>36</v>
      </c>
      <c r="H141" s="12">
        <f ca="1">F130</f>
        <v>17</v>
      </c>
    </row>
    <row r="142" spans="1:12" hidden="1" x14ac:dyDescent="0.25">
      <c r="A142" s="204">
        <f>C124</f>
        <v>0</v>
      </c>
      <c r="B142" s="205"/>
      <c r="C142" s="75" t="s">
        <v>5</v>
      </c>
      <c r="D142" s="75" t="s">
        <v>6</v>
      </c>
      <c r="E142" s="75" t="s">
        <v>7</v>
      </c>
      <c r="F142" s="76" t="s">
        <v>8</v>
      </c>
      <c r="G142" s="2" t="e">
        <f ca="1">(IF(E146&gt;99%,"All work completed. Please provide OC.",IF(E146&gt;89.8%,"Plinth, RCC, Brick, Plaster, Flooring, Painting work Completed. Finishing work is in process.",IF(E146&lt;94%,(IF(C146=0,"Work not yet Started.",IF(C146=H147,"Excavation Work in process",IF(C146=H148,"Foudation Work in process",IF(C146=H149,"1st Basement Completed",IF(C146=H150,"1st &amp; 2nd Basement Completed",IF(C146=H151,"1st to 3rd Basement Completed",IF(C146=H152,"1st to 4th Basement Completed",IF(C146=H153,"Plinth work is process",IF(C146=H154,"Plinth work completed","0"))))))))))))&amp;(IF(C147=(D143+E143+F143),", RCC Slab",IF(C147&gt;0,", RCC upto "&amp;C147&amp;" Slab",""))&amp;(IF(C148=F143,", Brickwork",IF(C148&gt;0,", Brickwork upto "&amp;C148&amp;" Floor",""))&amp;(IF(C149=F143,", Internal Plaster",IF(C149&gt;0,", Internal Plaster upto "&amp;C149&amp;" Floor",""))&amp;(IF(C150=F143,", External Plaster",IF(C150&gt;0,", External Plaster upto "&amp;C150&amp;" Floor",""))&amp;(IF(C151=F143,", Flooring",IF(C151&gt;0,", Flooring upto "&amp;C151&amp;" Floor",""))&amp;(IF(C152=F143,", Painting",IF(C152&gt;0,", Painting upto "&amp;C152&amp;" Floor",""))&amp;(IF(C153&gt;0,", Finishing upto "&amp;C153&amp;" Floor","")&amp;(IF(C147&gt;0.5," Completed","")))))))))))</f>
        <v>#DIV/0!</v>
      </c>
      <c r="H142" s="3"/>
    </row>
    <row r="143" spans="1:12" hidden="1" x14ac:dyDescent="0.25">
      <c r="A143" s="206"/>
      <c r="B143" s="207"/>
      <c r="C143" s="77">
        <v>0</v>
      </c>
      <c r="D143" s="77">
        <v>1</v>
      </c>
      <c r="E143" s="77">
        <v>0</v>
      </c>
      <c r="F143" s="78">
        <f ca="1">--TRIM(RIGHT(SUBSTITUTE(LEFT(A142,_xlfn.AGGREGATE(16,6,FIND({0,1,2,3,4,5,6,7,8,9},A142,ROW(INDIRECT("1:"&amp;LEN(A142)))),1))," ",REPT(" ",LEN(A142))),LEN(A142)))</f>
        <v>0</v>
      </c>
      <c r="G143" s="4"/>
      <c r="H143" s="5"/>
      <c r="L143" t="s">
        <v>208</v>
      </c>
    </row>
    <row r="144" spans="1:12" hidden="1" x14ac:dyDescent="0.25">
      <c r="A144" s="115" t="s">
        <v>9</v>
      </c>
      <c r="B144" s="207" t="e">
        <f ca="1">G142</f>
        <v>#DIV/0!</v>
      </c>
      <c r="C144" s="207"/>
      <c r="D144" s="207"/>
      <c r="E144" s="207"/>
      <c r="F144" s="208"/>
      <c r="G144" s="4" t="s">
        <v>10</v>
      </c>
      <c r="H144" s="5"/>
      <c r="L144" t="s">
        <v>206</v>
      </c>
    </row>
    <row r="145" spans="1:12" hidden="1" x14ac:dyDescent="0.25">
      <c r="A145" s="79" t="s">
        <v>11</v>
      </c>
      <c r="B145" s="80" t="s">
        <v>12</v>
      </c>
      <c r="C145" s="81" t="s">
        <v>13</v>
      </c>
      <c r="D145" s="81" t="s">
        <v>14</v>
      </c>
      <c r="E145" s="209" t="s">
        <v>37</v>
      </c>
      <c r="F145" s="210"/>
      <c r="G145" s="6"/>
      <c r="H145" s="7"/>
      <c r="L145" t="s">
        <v>207</v>
      </c>
    </row>
    <row r="146" spans="1:12" hidden="1" x14ac:dyDescent="0.25">
      <c r="A146" s="79" t="s">
        <v>19</v>
      </c>
      <c r="B146" s="82">
        <v>0.35</v>
      </c>
      <c r="C146" s="84">
        <f>H150</f>
        <v>0</v>
      </c>
      <c r="D146" s="127" t="e">
        <f ca="1">((100/F143)*C146)/100</f>
        <v>#DIV/0!</v>
      </c>
      <c r="E146" s="290" t="e">
        <f ca="1">((((C146/F143)*35)+(35/(F143+E143+D143)*C147)+(5/F143*C148)+(5/F143*C149)+(5/F143*C150)+(5/F143*C151)+(5/F143*C152)+(2.5/F143*C153)+(2.5/F143*C154))/100)</f>
        <v>#DIV/0!</v>
      </c>
      <c r="F146" s="291"/>
      <c r="G146" s="6"/>
      <c r="H146" s="8"/>
    </row>
    <row r="147" spans="1:12" ht="30" hidden="1" x14ac:dyDescent="0.25">
      <c r="A147" s="79" t="s">
        <v>21</v>
      </c>
      <c r="B147" s="82">
        <v>0.35</v>
      </c>
      <c r="C147" s="98">
        <v>0</v>
      </c>
      <c r="D147" s="127">
        <f ca="1">((100/(D143+E143+F143))*C147)/100</f>
        <v>0</v>
      </c>
      <c r="E147" s="290"/>
      <c r="F147" s="291"/>
      <c r="G147" s="6" t="s">
        <v>277</v>
      </c>
      <c r="H147" s="9">
        <f ca="1">F143/7</f>
        <v>0</v>
      </c>
    </row>
    <row r="148" spans="1:12" hidden="1" x14ac:dyDescent="0.25">
      <c r="A148" s="79" t="s">
        <v>23</v>
      </c>
      <c r="B148" s="82">
        <v>0.05</v>
      </c>
      <c r="C148" s="83">
        <v>0</v>
      </c>
      <c r="D148" s="127" t="e">
        <f ca="1">((100/F143)*C148)/100</f>
        <v>#DIV/0!</v>
      </c>
      <c r="E148" s="290"/>
      <c r="F148" s="291"/>
      <c r="G148" s="6" t="s">
        <v>278</v>
      </c>
      <c r="H148" s="9">
        <f ca="1">(IF(C143&gt;1,(F143/(C143+2)),F143/3.5))</f>
        <v>0</v>
      </c>
    </row>
    <row r="149" spans="1:12" hidden="1" x14ac:dyDescent="0.25">
      <c r="A149" s="79" t="s">
        <v>38</v>
      </c>
      <c r="B149" s="82">
        <v>0.05</v>
      </c>
      <c r="C149" s="83">
        <v>0</v>
      </c>
      <c r="D149" s="127" t="e">
        <f ca="1">((100/F143)*C149)/100</f>
        <v>#DIV/0!</v>
      </c>
      <c r="E149" s="290"/>
      <c r="F149" s="291"/>
      <c r="G149" s="6" t="s">
        <v>26</v>
      </c>
      <c r="H149" s="9">
        <f>(IF(C143&gt;1,(F143/(C143+2)+H148),0))</f>
        <v>0</v>
      </c>
    </row>
    <row r="150" spans="1:12" hidden="1" x14ac:dyDescent="0.25">
      <c r="A150" s="79" t="s">
        <v>29</v>
      </c>
      <c r="B150" s="82">
        <v>0.05</v>
      </c>
      <c r="C150" s="83">
        <v>0</v>
      </c>
      <c r="D150" s="127" t="e">
        <f ca="1">((100/(F143))*C150)/100</f>
        <v>#DIV/0!</v>
      </c>
      <c r="E150" s="290"/>
      <c r="F150" s="291"/>
      <c r="G150" s="6" t="s">
        <v>28</v>
      </c>
      <c r="H150" s="9">
        <f>(IF(C143&gt;2,(F143/(C143+2)+H149),0))</f>
        <v>0</v>
      </c>
    </row>
    <row r="151" spans="1:12" ht="30" hidden="1" x14ac:dyDescent="0.25">
      <c r="A151" s="79" t="s">
        <v>39</v>
      </c>
      <c r="B151" s="82">
        <v>0.05</v>
      </c>
      <c r="C151" s="83">
        <v>0</v>
      </c>
      <c r="D151" s="127" t="e">
        <f ca="1">((100/F143)*C151)/100</f>
        <v>#DIV/0!</v>
      </c>
      <c r="E151" s="290"/>
      <c r="F151" s="291"/>
      <c r="G151" s="6" t="s">
        <v>30</v>
      </c>
      <c r="H151" s="10">
        <f>(IF(C143&gt;3,(F143/(C143+2)+H150),0))</f>
        <v>0</v>
      </c>
    </row>
    <row r="152" spans="1:12" hidden="1" x14ac:dyDescent="0.25">
      <c r="A152" s="79" t="s">
        <v>31</v>
      </c>
      <c r="B152" s="82">
        <v>0.05</v>
      </c>
      <c r="C152" s="83">
        <v>0</v>
      </c>
      <c r="D152" s="127" t="e">
        <f ca="1">((100/F143)*C152)/100</f>
        <v>#DIV/0!</v>
      </c>
      <c r="E152" s="290"/>
      <c r="F152" s="291"/>
      <c r="G152" s="6" t="s">
        <v>32</v>
      </c>
      <c r="H152" s="9">
        <f>(IF(C143&gt;4,(F143/(C143+2)+H151),0))</f>
        <v>0</v>
      </c>
    </row>
    <row r="153" spans="1:12" hidden="1" x14ac:dyDescent="0.25">
      <c r="A153" s="79" t="s">
        <v>40</v>
      </c>
      <c r="B153" s="82">
        <v>2.5000000000000001E-2</v>
      </c>
      <c r="C153" s="83">
        <v>0</v>
      </c>
      <c r="D153" s="127" t="e">
        <f ca="1">((100/(F143))*C153)/100</f>
        <v>#DIV/0!</v>
      </c>
      <c r="E153" s="290"/>
      <c r="F153" s="291"/>
      <c r="G153" s="6" t="s">
        <v>34</v>
      </c>
      <c r="H153" s="9">
        <f ca="1">(IF(C143=1,(F143/(C143+3)+H148),IF(C143=0,(F143*2/7+H148),IF(C143&gt;1,0))))</f>
        <v>0</v>
      </c>
    </row>
    <row r="154" spans="1:12" ht="15.75" hidden="1" thickBot="1" x14ac:dyDescent="0.3">
      <c r="A154" s="116" t="s">
        <v>35</v>
      </c>
      <c r="B154" s="117">
        <v>2.5000000000000001E-2</v>
      </c>
      <c r="C154" s="118">
        <v>0</v>
      </c>
      <c r="D154" s="128" t="e">
        <f ca="1">((100/(F143))*C154)/100</f>
        <v>#DIV/0!</v>
      </c>
      <c r="E154" s="292"/>
      <c r="F154" s="293"/>
      <c r="G154" s="11" t="s">
        <v>36</v>
      </c>
      <c r="H154" s="12">
        <f ca="1">F143</f>
        <v>0</v>
      </c>
    </row>
    <row r="155" spans="1:12" x14ac:dyDescent="0.25">
      <c r="A155" s="294" t="s">
        <v>4</v>
      </c>
      <c r="B155" s="295"/>
      <c r="C155" s="295"/>
      <c r="D155" s="295"/>
      <c r="E155" s="295"/>
      <c r="F155" s="295"/>
      <c r="G155" s="1"/>
      <c r="H155" s="1"/>
    </row>
    <row r="156" spans="1:12" s="44" customFormat="1" ht="15" customHeight="1" x14ac:dyDescent="0.25">
      <c r="A156" s="146" t="s">
        <v>4</v>
      </c>
      <c r="B156" s="296" t="str">
        <f>C122</f>
        <v>Tower 2 = 2B + GR + 5P + 6th to 39th Floor</v>
      </c>
      <c r="C156" s="296"/>
      <c r="D156" s="296"/>
      <c r="E156" s="296"/>
      <c r="F156" s="296"/>
      <c r="G156" s="147"/>
      <c r="H156" s="147"/>
    </row>
    <row r="157" spans="1:12" x14ac:dyDescent="0.25">
      <c r="A157" s="148" t="s">
        <v>5</v>
      </c>
      <c r="B157" s="297" t="s">
        <v>6</v>
      </c>
      <c r="C157" s="297"/>
      <c r="D157" s="297" t="s">
        <v>7</v>
      </c>
      <c r="E157" s="297"/>
      <c r="F157" s="77" t="s">
        <v>8</v>
      </c>
      <c r="G157" s="149" t="str">
        <f ca="1">(IF(E161&gt;99%,"All work completed. Please provide OC.",IF(E161&gt;98%,"Plinth, RCC, Brick, Plaster, Flooring, Painting work Completed. Finishing work is in process.",IF(E161&lt;98%,(IF(C161=0,"Work not yet Started.",IF(C161=H162,"Excavation Work in process",IF(C161=H163,"Foudation Work in process",IF(C161=H164,"1st Basement Completed",IF(C161=H165,"1st &amp; 2nd Basement Completed",IF(C161=H166,"1st to 3rd Basement Completed",IF(C161=H167,"1st to 4th Basement Completed",IF(C161=H168,"Plinth work is process",IF(C161=H169,"Plinth work completed","0"))))))))))))&amp;(IF(C162=(B158+D158+F158),", RCC Slab",IF(C162&gt;0,", RCC upto "&amp;C162&amp;" Slab",""))&amp;(IF(C163=F158,", Brickwork",IF(C163&gt;0,", Brickwork upto "&amp;C163&amp;" Floor",""))&amp;(IF(C164=F158,", Plaster",IF(C164&gt;0,", Plaster upto "&amp;C164&amp;" Floor",""))&amp;(IF(C165=F158,", Flooring",IF(C165&gt;0,", Flooring upto "&amp;C165&amp;" Floor",""))&amp;(IF(C166=F158,", Plumbing",IF(C166&gt;0,", Plumbing upto "&amp;C166&amp;" Floor",""))&amp;(IF(C167=F158,", Painting",IF(C167&gt;0,", Painting upto "&amp;C167&amp;" Floor",""))&amp;(IF(C168&gt;0,", Finishing upto "&amp;C168&amp;" Floor","")&amp;(IF(C162&gt;0.5," Completed","")))))))))))</f>
        <v>Plinth work completed, RCC upto 24 Slab, Brickwork upto 19 Floor, Plaster upto 15.2 Floor Completed</v>
      </c>
      <c r="H157" s="5"/>
    </row>
    <row r="158" spans="1:12" x14ac:dyDescent="0.25">
      <c r="A158" s="148">
        <f>IF(AND(ISNUMBER(SEARCH("1B",B156))),1,IF(AND(ISNUMBER(SEARCH("2B",B156))),2,IF(AND(ISNUMBER(SEARCH("3B",B156))),3,IF(AND(ISNUMBER(SEARCH("4B",B156))),4,IF(ISNUMBER(SEARCH("5B",B156)),5,0)))))</f>
        <v>2</v>
      </c>
      <c r="B158" s="297">
        <v>1</v>
      </c>
      <c r="C158" s="297"/>
      <c r="D158" s="297">
        <v>0</v>
      </c>
      <c r="E158" s="297"/>
      <c r="F158" s="77">
        <f ca="1">--TRIM(RIGHT(SUBSTITUTE(LEFT(B156,_xlfn.AGGREGATE(16,6,FIND({0,1,2,3,4,5,6,7,8,9},B156,ROW(INDIRECT("1:"&amp;LEN(B156)))),1))," ",REPT(" ",LEN(B156))),LEN(B156)))</f>
        <v>39</v>
      </c>
      <c r="G158" s="4"/>
      <c r="H158" s="5"/>
      <c r="L158" t="s">
        <v>208</v>
      </c>
    </row>
    <row r="159" spans="1:12" ht="32.25" customHeight="1" x14ac:dyDescent="0.25">
      <c r="A159" s="150" t="s">
        <v>9</v>
      </c>
      <c r="B159" s="207" t="str">
        <f ca="1">G157</f>
        <v>Plinth work completed, RCC upto 24 Slab, Brickwork upto 19 Floor, Plaster upto 15.2 Floor Completed</v>
      </c>
      <c r="C159" s="207"/>
      <c r="D159" s="207"/>
      <c r="E159" s="207"/>
      <c r="F159" s="207"/>
      <c r="G159" s="4" t="s">
        <v>10</v>
      </c>
      <c r="H159" s="5"/>
      <c r="L159" t="s">
        <v>206</v>
      </c>
    </row>
    <row r="160" spans="1:12" s="156" customFormat="1" ht="30" x14ac:dyDescent="0.25">
      <c r="A160" s="151" t="s">
        <v>11</v>
      </c>
      <c r="B160" s="152" t="s">
        <v>12</v>
      </c>
      <c r="C160" s="153" t="s">
        <v>13</v>
      </c>
      <c r="D160" s="153" t="s">
        <v>14</v>
      </c>
      <c r="E160" s="298" t="s">
        <v>37</v>
      </c>
      <c r="F160" s="298"/>
      <c r="G160" s="154"/>
      <c r="H160" s="155"/>
      <c r="L160" s="156" t="s">
        <v>207</v>
      </c>
    </row>
    <row r="161" spans="1:17" x14ac:dyDescent="0.25">
      <c r="A161" s="157" t="s">
        <v>19</v>
      </c>
      <c r="B161" s="82">
        <v>0.35</v>
      </c>
      <c r="C161" s="84">
        <f ca="1">H169</f>
        <v>39</v>
      </c>
      <c r="D161" s="144">
        <f ca="1">((100/F158)*C161)/100</f>
        <v>1.0000000000000002</v>
      </c>
      <c r="E161" s="290">
        <f ca="1">((((C161/F158)*35)+(35/(F158+D158+B158)*C162)+(5/F158*C163)+(5/F158*C164)+(5/F158*C165)+(5/F158*C166)+(5/F158*C167)+(2.5/F158*C168)+(2.5/F158*C169))/100)</f>
        <v>0.60384615384615392</v>
      </c>
      <c r="F161" s="290"/>
      <c r="G161" s="6"/>
      <c r="H161" s="8"/>
    </row>
    <row r="162" spans="1:17" ht="15" customHeight="1" x14ac:dyDescent="0.25">
      <c r="A162" s="157" t="s">
        <v>21</v>
      </c>
      <c r="B162" s="82">
        <v>0.35</v>
      </c>
      <c r="C162" s="98">
        <v>24</v>
      </c>
      <c r="D162" s="144">
        <f ca="1">((100/(B158+D158+F158))*C162)/100</f>
        <v>0.6</v>
      </c>
      <c r="E162" s="290"/>
      <c r="F162" s="290"/>
      <c r="G162" s="6" t="s">
        <v>277</v>
      </c>
      <c r="H162" s="9">
        <f ca="1">F158/7</f>
        <v>5.5714285714285712</v>
      </c>
    </row>
    <row r="163" spans="1:17" x14ac:dyDescent="0.25">
      <c r="A163" s="157" t="s">
        <v>23</v>
      </c>
      <c r="B163" s="82">
        <v>0.05</v>
      </c>
      <c r="C163" s="84">
        <f>C162-5</f>
        <v>19</v>
      </c>
      <c r="D163" s="144">
        <f ca="1">((100/F158)*C163)/100</f>
        <v>0.48717948717948723</v>
      </c>
      <c r="E163" s="290"/>
      <c r="F163" s="290"/>
      <c r="G163" s="6" t="s">
        <v>278</v>
      </c>
      <c r="H163" s="9">
        <f ca="1">(IF(A158&gt;1,(F158/(A158+2)),F158/3.5))</f>
        <v>9.75</v>
      </c>
    </row>
    <row r="164" spans="1:17" x14ac:dyDescent="0.25">
      <c r="A164" s="157" t="s">
        <v>38</v>
      </c>
      <c r="B164" s="82">
        <v>0.05</v>
      </c>
      <c r="C164" s="84">
        <f>C163*0.8</f>
        <v>15.200000000000001</v>
      </c>
      <c r="D164" s="144">
        <f ca="1">((100/F158)*C164)/100</f>
        <v>0.3897435897435898</v>
      </c>
      <c r="E164" s="290"/>
      <c r="F164" s="290"/>
      <c r="G164" s="6" t="s">
        <v>26</v>
      </c>
      <c r="H164" s="9">
        <f ca="1">(IF(A158&gt;1,(F158/(A158+2)+H163),0))</f>
        <v>19.5</v>
      </c>
    </row>
    <row r="165" spans="1:17" ht="15" customHeight="1" x14ac:dyDescent="0.25">
      <c r="A165" s="157" t="s">
        <v>29</v>
      </c>
      <c r="B165" s="82">
        <v>0.05</v>
      </c>
      <c r="C165" s="84">
        <v>0</v>
      </c>
      <c r="D165" s="144">
        <f ca="1">((100/(F158))*C165)/100</f>
        <v>0</v>
      </c>
      <c r="E165" s="290"/>
      <c r="F165" s="290"/>
      <c r="G165" s="6" t="s">
        <v>28</v>
      </c>
      <c r="H165" s="9">
        <f>(IF(A158&gt;2,(F158/(A158+2)+H164),0))</f>
        <v>0</v>
      </c>
    </row>
    <row r="166" spans="1:17" ht="15" customHeight="1" x14ac:dyDescent="0.25">
      <c r="A166" s="157" t="s">
        <v>39</v>
      </c>
      <c r="B166" s="82">
        <v>0.05</v>
      </c>
      <c r="C166" s="83">
        <v>0</v>
      </c>
      <c r="D166" s="144">
        <f ca="1">((100/F158)*C166)/100</f>
        <v>0</v>
      </c>
      <c r="E166" s="290"/>
      <c r="F166" s="290"/>
      <c r="G166" s="6" t="s">
        <v>30</v>
      </c>
      <c r="H166" s="10">
        <f>(IF(A158&gt;3,(F158/(A158+2)+H165),0))</f>
        <v>0</v>
      </c>
    </row>
    <row r="167" spans="1:17" ht="15" customHeight="1" x14ac:dyDescent="0.25">
      <c r="A167" s="157" t="s">
        <v>31</v>
      </c>
      <c r="B167" s="82">
        <v>0.05</v>
      </c>
      <c r="C167" s="83">
        <v>0</v>
      </c>
      <c r="D167" s="144">
        <f ca="1">((100/F158)*C167)/100</f>
        <v>0</v>
      </c>
      <c r="E167" s="290"/>
      <c r="F167" s="290"/>
      <c r="G167" s="6" t="s">
        <v>32</v>
      </c>
      <c r="H167" s="9">
        <f>(IF(A158&gt;4,(F158/(A158+2)+H166),0))</f>
        <v>0</v>
      </c>
    </row>
    <row r="168" spans="1:17" x14ac:dyDescent="0.25">
      <c r="A168" s="157" t="s">
        <v>40</v>
      </c>
      <c r="B168" s="82">
        <v>2.5000000000000001E-2</v>
      </c>
      <c r="C168" s="83">
        <v>0</v>
      </c>
      <c r="D168" s="144">
        <f ca="1">((100/(F158))*C168)/100</f>
        <v>0</v>
      </c>
      <c r="E168" s="290"/>
      <c r="F168" s="290"/>
      <c r="G168" s="6" t="s">
        <v>34</v>
      </c>
      <c r="H168" s="9">
        <f>(IF(A158=1,(F158/(A158+3)+H163),IF(A158=0,(F158*2/7+H163),IF(A158&gt;1,0))))</f>
        <v>0</v>
      </c>
    </row>
    <row r="169" spans="1:17" ht="15.75" thickBot="1" x14ac:dyDescent="0.3">
      <c r="A169" s="158" t="s">
        <v>35</v>
      </c>
      <c r="B169" s="117">
        <v>2.5000000000000001E-2</v>
      </c>
      <c r="C169" s="118">
        <v>0</v>
      </c>
      <c r="D169" s="145">
        <f ca="1">((100/(F158))*C169)/100</f>
        <v>0</v>
      </c>
      <c r="E169" s="292"/>
      <c r="F169" s="292"/>
      <c r="G169" s="11" t="s">
        <v>36</v>
      </c>
      <c r="H169" s="12">
        <f ca="1">F158</f>
        <v>39</v>
      </c>
    </row>
    <row r="170" spans="1:17" s="68" customFormat="1" x14ac:dyDescent="0.25">
      <c r="A170" s="196" t="s">
        <v>104</v>
      </c>
      <c r="B170" s="197"/>
      <c r="C170" s="197"/>
      <c r="D170" s="197"/>
      <c r="E170" s="200">
        <f ca="1">AVERAGE(E161)</f>
        <v>0.60384615384615392</v>
      </c>
      <c r="F170" s="201"/>
    </row>
    <row r="171" spans="1:17" s="68" customFormat="1" ht="15.75" thickBot="1" x14ac:dyDescent="0.3">
      <c r="A171" s="198"/>
      <c r="B171" s="199"/>
      <c r="C171" s="199"/>
      <c r="D171" s="199"/>
      <c r="E171" s="202"/>
      <c r="F171" s="203"/>
      <c r="G171" s="159" t="s">
        <v>373</v>
      </c>
      <c r="H171" s="160"/>
      <c r="I171" s="160"/>
      <c r="J171" s="160"/>
      <c r="K171" s="160"/>
      <c r="L171" s="160"/>
      <c r="M171" s="161"/>
      <c r="N171" s="161"/>
      <c r="O171" s="161"/>
      <c r="P171" s="161"/>
      <c r="Q171" s="161"/>
    </row>
    <row r="172" spans="1:17" x14ac:dyDescent="0.25">
      <c r="A172" s="304" t="s">
        <v>45</v>
      </c>
      <c r="B172" s="305"/>
      <c r="C172" s="305"/>
      <c r="D172" s="305"/>
      <c r="E172" s="305"/>
      <c r="F172" s="306"/>
    </row>
    <row r="173" spans="1:17" ht="36" x14ac:dyDescent="0.25">
      <c r="A173" s="113" t="s">
        <v>196</v>
      </c>
      <c r="B173" s="49" t="s">
        <v>197</v>
      </c>
      <c r="C173" s="49" t="s">
        <v>198</v>
      </c>
      <c r="D173" s="49" t="s">
        <v>199</v>
      </c>
      <c r="E173" s="49" t="s">
        <v>200</v>
      </c>
      <c r="F173" s="109" t="s">
        <v>201</v>
      </c>
    </row>
    <row r="174" spans="1:17" ht="49.5" customHeight="1" thickBot="1" x14ac:dyDescent="0.3">
      <c r="A174" s="69">
        <v>1</v>
      </c>
      <c r="B174" s="70">
        <v>1</v>
      </c>
      <c r="C174" s="70">
        <v>1</v>
      </c>
      <c r="D174" s="70" t="s">
        <v>365</v>
      </c>
      <c r="E174" s="70" t="s">
        <v>318</v>
      </c>
      <c r="F174" s="71">
        <v>198</v>
      </c>
    </row>
    <row r="175" spans="1:17" s="35" customFormat="1" ht="15.75" hidden="1" customHeight="1" x14ac:dyDescent="0.25">
      <c r="A175" s="299" t="s">
        <v>261</v>
      </c>
      <c r="B175" s="300"/>
      <c r="C175" s="300"/>
      <c r="D175" s="300"/>
      <c r="E175" s="300"/>
      <c r="F175" s="301"/>
      <c r="G175" s="41"/>
      <c r="H175" s="41"/>
      <c r="I175"/>
      <c r="J175"/>
      <c r="K175"/>
      <c r="L175"/>
      <c r="M175"/>
    </row>
    <row r="176" spans="1:17" s="35" customFormat="1" ht="15.75" hidden="1" customHeight="1" x14ac:dyDescent="0.25">
      <c r="A176" s="72" t="s">
        <v>46</v>
      </c>
      <c r="B176" s="48" t="s">
        <v>47</v>
      </c>
      <c r="C176" s="186" t="s">
        <v>48</v>
      </c>
      <c r="D176" s="186"/>
      <c r="E176" s="187" t="s">
        <v>49</v>
      </c>
      <c r="F176" s="188"/>
      <c r="G176" s="189"/>
      <c r="H176" s="189"/>
      <c r="I176" s="190"/>
      <c r="J176" s="190"/>
      <c r="K176" s="190"/>
      <c r="L176" s="190"/>
    </row>
    <row r="177" spans="1:13" s="35" customFormat="1" ht="15.75" hidden="1" x14ac:dyDescent="0.25">
      <c r="A177" s="85" t="s">
        <v>262</v>
      </c>
      <c r="B177" s="86"/>
      <c r="C177" s="191"/>
      <c r="D177" s="192"/>
      <c r="E177" s="191"/>
      <c r="F177" s="193"/>
      <c r="G177" s="194"/>
      <c r="H177" s="195"/>
      <c r="I177" s="190"/>
      <c r="J177" s="190"/>
      <c r="K177" s="190"/>
      <c r="L177" s="190"/>
    </row>
    <row r="178" spans="1:13" s="35" customFormat="1" ht="15.75" hidden="1" customHeight="1" x14ac:dyDescent="0.25">
      <c r="A178" s="85" t="s">
        <v>263</v>
      </c>
      <c r="B178" s="86"/>
      <c r="C178" s="191"/>
      <c r="D178" s="192"/>
      <c r="E178" s="191"/>
      <c r="F178" s="193"/>
      <c r="G178" s="194"/>
      <c r="H178" s="195"/>
    </row>
    <row r="179" spans="1:13" s="35" customFormat="1" ht="15.75" hidden="1" x14ac:dyDescent="0.25">
      <c r="A179" s="119" t="s">
        <v>50</v>
      </c>
      <c r="B179" s="107">
        <f>SUM(B177:B178)</f>
        <v>0</v>
      </c>
      <c r="C179" s="262">
        <f>SUM(C177:C178)</f>
        <v>0</v>
      </c>
      <c r="D179" s="263"/>
      <c r="E179" s="264">
        <f>SUM(E177:E178)</f>
        <v>0</v>
      </c>
      <c r="F179" s="265"/>
      <c r="G179" s="212"/>
      <c r="H179" s="213"/>
      <c r="J179" s="36"/>
    </row>
    <row r="180" spans="1:13" s="35" customFormat="1" ht="15.75" hidden="1" customHeight="1" x14ac:dyDescent="0.25">
      <c r="A180" s="183" t="s">
        <v>264</v>
      </c>
      <c r="B180" s="184"/>
      <c r="C180" s="184"/>
      <c r="D180" s="184"/>
      <c r="E180" s="184"/>
      <c r="F180" s="185"/>
      <c r="G180" s="41"/>
      <c r="H180" s="41"/>
      <c r="I180"/>
      <c r="J180"/>
      <c r="K180"/>
      <c r="L180"/>
      <c r="M180"/>
    </row>
    <row r="181" spans="1:13" s="35" customFormat="1" ht="15.75" hidden="1" customHeight="1" x14ac:dyDescent="0.25">
      <c r="A181" s="72" t="s">
        <v>46</v>
      </c>
      <c r="B181" s="48" t="s">
        <v>47</v>
      </c>
      <c r="C181" s="186" t="s">
        <v>48</v>
      </c>
      <c r="D181" s="186"/>
      <c r="E181" s="187" t="s">
        <v>49</v>
      </c>
      <c r="F181" s="188"/>
      <c r="G181" s="189"/>
      <c r="H181" s="189"/>
      <c r="I181" s="190"/>
      <c r="J181" s="190"/>
      <c r="K181" s="190"/>
      <c r="L181" s="190"/>
    </row>
    <row r="182" spans="1:13" s="35" customFormat="1" ht="15.75" hidden="1" x14ac:dyDescent="0.25">
      <c r="A182" s="85" t="s">
        <v>263</v>
      </c>
      <c r="B182" s="86"/>
      <c r="C182" s="191"/>
      <c r="D182" s="192"/>
      <c r="E182" s="191"/>
      <c r="F182" s="193"/>
      <c r="G182" s="194"/>
      <c r="H182" s="195"/>
      <c r="I182" s="190"/>
      <c r="J182" s="190"/>
      <c r="K182" s="190"/>
      <c r="L182" s="190"/>
    </row>
    <row r="183" spans="1:13" s="35" customFormat="1" ht="15.75" hidden="1" customHeight="1" x14ac:dyDescent="0.25">
      <c r="A183" s="85" t="s">
        <v>265</v>
      </c>
      <c r="B183" s="86"/>
      <c r="C183" s="191"/>
      <c r="D183" s="192"/>
      <c r="E183" s="191"/>
      <c r="F183" s="193"/>
      <c r="G183" s="194"/>
      <c r="H183" s="195"/>
    </row>
    <row r="184" spans="1:13" s="35" customFormat="1" ht="15.75" hidden="1" x14ac:dyDescent="0.25">
      <c r="A184" s="119" t="s">
        <v>50</v>
      </c>
      <c r="B184" s="107">
        <f>SUM(B182:B183)</f>
        <v>0</v>
      </c>
      <c r="C184" s="262">
        <f>SUM(C182:C183)</f>
        <v>0</v>
      </c>
      <c r="D184" s="263"/>
      <c r="E184" s="264">
        <f>SUM(E182:E183)</f>
        <v>0</v>
      </c>
      <c r="F184" s="265"/>
      <c r="G184" s="212"/>
      <c r="H184" s="213"/>
      <c r="J184" s="36"/>
    </row>
    <row r="185" spans="1:13" s="35" customFormat="1" ht="15.75" customHeight="1" x14ac:dyDescent="0.25">
      <c r="A185" s="183" t="s">
        <v>267</v>
      </c>
      <c r="B185" s="184"/>
      <c r="C185" s="184"/>
      <c r="D185" s="184"/>
      <c r="E185" s="184"/>
      <c r="F185" s="185"/>
      <c r="G185" s="41"/>
      <c r="H185" s="41"/>
    </row>
    <row r="186" spans="1:13" s="35" customFormat="1" ht="15.75" customHeight="1" x14ac:dyDescent="0.25">
      <c r="A186" s="72" t="s">
        <v>46</v>
      </c>
      <c r="B186" s="48" t="s">
        <v>47</v>
      </c>
      <c r="C186" s="186" t="s">
        <v>48</v>
      </c>
      <c r="D186" s="186"/>
      <c r="E186" s="187" t="s">
        <v>49</v>
      </c>
      <c r="F186" s="188"/>
      <c r="G186" s="189"/>
      <c r="H186" s="189"/>
    </row>
    <row r="187" spans="1:13" s="35" customFormat="1" ht="29.25" customHeight="1" x14ac:dyDescent="0.25">
      <c r="A187" s="85" t="s">
        <v>345</v>
      </c>
      <c r="B187" s="86">
        <f>COUNT(C200:C203)*4+COUNT(C207:C210)+COUNT(C214:C217)+COUNT(C225:C226)+COUNT(C228:C233)*6+COUNT(C239:C240)+COUNT(C242:C247)*4+COUNT(C249:C254)*8+COUNT(C260:C261)+COUNT(C267:C268)+COUNT(C270:C275)*9+COUNT(C278:C279,C281:C282)</f>
        <v>198</v>
      </c>
      <c r="C187" s="191">
        <f>SUM(C200:C203)*4+SUM(C207:C210)+SUM(C214:C217)+SUM(C225:C226)+SUM(C228:C233)*6+SUM(C239:C240)+SUM(C242:C247)*4+SUM(C249:C254)*8+SUM(C260:C261)+SUM(C267:C268)+SUM(C270:C275)*9+SUM(C278:C279,C281:C282)</f>
        <v>185645.83826880003</v>
      </c>
      <c r="D187" s="192"/>
      <c r="E187" s="191">
        <f>SUM(F200:F203)*4+SUM(F207:F210)+SUM(F214:F217)+SUM(F225:F226)+SUM(F228:F233)*6+SUM(F239:F240)+SUM(F242:F247)*4+SUM(F249:F254)*8+SUM(F260:F261)+SUM(F267:F268)+SUM(F270:F275)*9+SUM(F278:F279,F281:F282)</f>
        <v>278468.75740320003</v>
      </c>
      <c r="F187" s="192"/>
      <c r="G187" s="194" t="s">
        <v>375</v>
      </c>
      <c r="H187" s="194"/>
      <c r="I187" s="35" t="s">
        <v>378</v>
      </c>
    </row>
    <row r="188" spans="1:13" s="35" customFormat="1" ht="15.75" hidden="1" x14ac:dyDescent="0.25">
      <c r="A188" s="119" t="s">
        <v>50</v>
      </c>
      <c r="B188" s="107">
        <f>SUM(B187:B187)</f>
        <v>198</v>
      </c>
      <c r="C188" s="262">
        <f>SUM(C187:C187)</f>
        <v>185645.83826880003</v>
      </c>
      <c r="D188" s="263"/>
      <c r="E188" s="264">
        <f>SUM(E187:E187)</f>
        <v>278468.75740320003</v>
      </c>
      <c r="F188" s="265"/>
      <c r="G188" s="212"/>
      <c r="H188" s="213"/>
    </row>
    <row r="189" spans="1:13" s="35" customFormat="1" ht="16.5" hidden="1" thickBot="1" x14ac:dyDescent="0.3">
      <c r="A189" s="87" t="s">
        <v>266</v>
      </c>
      <c r="B189" s="88">
        <f>SUM(B179,B184,B188)</f>
        <v>198</v>
      </c>
      <c r="C189" s="266">
        <f>SUM(C179,C184,C188)</f>
        <v>185645.83826880003</v>
      </c>
      <c r="D189" s="309"/>
      <c r="E189" s="266">
        <f>SUM(E179,E184,E188)</f>
        <v>278468.75740320003</v>
      </c>
      <c r="F189" s="267"/>
      <c r="G189" s="212"/>
      <c r="H189" s="213"/>
    </row>
    <row r="190" spans="1:13" s="37" customFormat="1" ht="15.75" x14ac:dyDescent="0.25">
      <c r="A190" s="307" t="s">
        <v>51</v>
      </c>
      <c r="B190" s="307"/>
      <c r="C190" s="307"/>
      <c r="D190" s="307"/>
      <c r="E190" s="307"/>
      <c r="F190" s="307"/>
      <c r="G190" s="42" t="s">
        <v>376</v>
      </c>
      <c r="H190" s="42"/>
      <c r="I190" s="37" t="s">
        <v>379</v>
      </c>
    </row>
    <row r="191" spans="1:13" s="38" customFormat="1" ht="15.75" x14ac:dyDescent="0.25">
      <c r="A191" s="268" t="s">
        <v>52</v>
      </c>
      <c r="B191" s="268"/>
      <c r="C191" s="268"/>
      <c r="D191" s="268"/>
      <c r="E191" s="268"/>
      <c r="F191" s="269"/>
      <c r="G191" s="42" t="s">
        <v>377</v>
      </c>
      <c r="H191" s="42"/>
      <c r="I191" s="38">
        <v>30000</v>
      </c>
    </row>
    <row r="192" spans="1:13" s="38" customFormat="1" ht="27.6" customHeight="1" x14ac:dyDescent="0.25">
      <c r="A192" s="270" t="s">
        <v>268</v>
      </c>
      <c r="B192" s="270" t="s">
        <v>53</v>
      </c>
      <c r="C192" s="270" t="s">
        <v>54</v>
      </c>
      <c r="D192" s="270" t="s">
        <v>56</v>
      </c>
      <c r="E192" s="271" t="s">
        <v>55</v>
      </c>
      <c r="F192" s="126" t="s">
        <v>281</v>
      </c>
      <c r="G192" s="237"/>
      <c r="H192" s="237"/>
      <c r="I192" s="237"/>
      <c r="J192" s="237"/>
      <c r="K192" s="237"/>
    </row>
    <row r="193" spans="1:14" s="38" customFormat="1" ht="15.75" x14ac:dyDescent="0.25">
      <c r="A193" s="270"/>
      <c r="B193" s="270"/>
      <c r="C193" s="270"/>
      <c r="D193" s="270"/>
      <c r="E193" s="271"/>
      <c r="F193" s="140">
        <v>0.5</v>
      </c>
      <c r="G193" s="237"/>
      <c r="H193" s="237"/>
      <c r="I193" s="64"/>
      <c r="J193" s="64"/>
      <c r="K193" s="61"/>
    </row>
    <row r="194" spans="1:14" s="37" customFormat="1" ht="15.75" x14ac:dyDescent="0.25">
      <c r="A194" s="308" t="s">
        <v>345</v>
      </c>
      <c r="B194" s="308"/>
      <c r="C194" s="308"/>
      <c r="D194" s="308"/>
      <c r="E194" s="308"/>
      <c r="F194" s="308"/>
      <c r="G194" s="42"/>
      <c r="H194" s="42"/>
      <c r="J194" s="124">
        <v>10.763999999999999</v>
      </c>
      <c r="K194" s="63"/>
      <c r="L194" s="63"/>
      <c r="M194" s="63"/>
    </row>
    <row r="195" spans="1:14" s="132" customFormat="1" ht="15.75" customHeight="1" x14ac:dyDescent="0.25">
      <c r="A195" s="168" t="s">
        <v>346</v>
      </c>
      <c r="B195" s="168"/>
      <c r="C195" s="168"/>
      <c r="D195" s="168"/>
      <c r="E195" s="168"/>
      <c r="F195" s="168"/>
      <c r="G195" s="43"/>
      <c r="H195" s="43"/>
      <c r="J195" s="131"/>
      <c r="K195" s="59"/>
      <c r="L195" s="131"/>
      <c r="M195" s="131"/>
    </row>
    <row r="196" spans="1:14" s="132" customFormat="1" ht="15.75" customHeight="1" x14ac:dyDescent="0.25">
      <c r="A196" s="168" t="s">
        <v>347</v>
      </c>
      <c r="B196" s="168"/>
      <c r="C196" s="168"/>
      <c r="D196" s="168"/>
      <c r="E196" s="168"/>
      <c r="F196" s="168"/>
      <c r="G196" s="43"/>
      <c r="H196" s="43"/>
      <c r="J196" s="131"/>
      <c r="K196" s="59"/>
      <c r="L196" s="131"/>
      <c r="M196" s="131"/>
    </row>
    <row r="197" spans="1:14" s="132" customFormat="1" ht="15.75" customHeight="1" x14ac:dyDescent="0.25">
      <c r="A197" s="168" t="s">
        <v>348</v>
      </c>
      <c r="B197" s="168"/>
      <c r="C197" s="168"/>
      <c r="D197" s="168"/>
      <c r="E197" s="168"/>
      <c r="F197" s="168"/>
      <c r="G197" s="43"/>
      <c r="H197" s="43"/>
      <c r="J197" s="131"/>
      <c r="K197" s="59"/>
      <c r="L197" s="131"/>
      <c r="M197" s="131"/>
    </row>
    <row r="198" spans="1:14" s="132" customFormat="1" ht="15.75" customHeight="1" x14ac:dyDescent="0.25">
      <c r="A198" s="168" t="s">
        <v>349</v>
      </c>
      <c r="B198" s="168"/>
      <c r="C198" s="168"/>
      <c r="D198" s="168"/>
      <c r="E198" s="168"/>
      <c r="F198" s="168"/>
      <c r="G198" s="43">
        <v>1</v>
      </c>
      <c r="H198" s="43"/>
      <c r="J198" s="131"/>
      <c r="K198" s="59"/>
      <c r="L198" s="131"/>
      <c r="M198" s="131"/>
    </row>
    <row r="199" spans="1:14" s="39" customFormat="1" ht="15.75" customHeight="1" x14ac:dyDescent="0.25">
      <c r="A199" s="168" t="s">
        <v>352</v>
      </c>
      <c r="B199" s="168"/>
      <c r="C199" s="168"/>
      <c r="D199" s="168"/>
      <c r="E199" s="168"/>
      <c r="F199" s="168"/>
      <c r="G199" s="43">
        <v>4</v>
      </c>
      <c r="H199" s="43"/>
      <c r="J199" s="62"/>
      <c r="K199" s="59"/>
      <c r="L199" s="62"/>
      <c r="M199" s="62"/>
    </row>
    <row r="200" spans="1:14" s="39" customFormat="1" ht="15.75" x14ac:dyDescent="0.25">
      <c r="A200" s="124">
        <v>1</v>
      </c>
      <c r="B200" s="124" t="s">
        <v>350</v>
      </c>
      <c r="C200" s="124">
        <f>(66.64+3.08*1.47)*10.764</f>
        <v>766.04804639999986</v>
      </c>
      <c r="D200" s="125">
        <f>C200*1.2</f>
        <v>919.25765567999986</v>
      </c>
      <c r="E200" s="124">
        <v>0</v>
      </c>
      <c r="F200" s="124">
        <f>(C200+E200)*(($F$193)+1)</f>
        <v>1149.0720695999998</v>
      </c>
      <c r="G200" s="166"/>
      <c r="H200" s="166"/>
      <c r="I200" s="40"/>
      <c r="J200" s="60"/>
      <c r="K200" s="62"/>
      <c r="L200" s="167"/>
      <c r="M200" s="167"/>
      <c r="N200" s="40"/>
    </row>
    <row r="201" spans="1:14" x14ac:dyDescent="0.25">
      <c r="A201" s="124">
        <f>A200+1</f>
        <v>2</v>
      </c>
      <c r="B201" s="124" t="s">
        <v>351</v>
      </c>
      <c r="C201" s="124">
        <f>(88.76+3.08*1.47)*10.764</f>
        <v>1004.1477263999999</v>
      </c>
      <c r="D201" s="125">
        <f t="shared" ref="D201:D203" si="2">C201*1.2</f>
        <v>1204.9772716799998</v>
      </c>
      <c r="E201" s="124">
        <v>0</v>
      </c>
      <c r="F201" s="124">
        <f>(C201+E201)*(($F$193)+1)</f>
        <v>1506.2215895999998</v>
      </c>
      <c r="J201" s="61"/>
      <c r="K201" s="61"/>
      <c r="L201" s="61"/>
      <c r="M201" s="61"/>
    </row>
    <row r="202" spans="1:14" x14ac:dyDescent="0.25">
      <c r="A202" s="124">
        <f t="shared" ref="A202:A205" si="3">A201+1</f>
        <v>3</v>
      </c>
      <c r="B202" s="124" t="s">
        <v>351</v>
      </c>
      <c r="C202" s="124">
        <f>(89.5+3.08*1.47)*10.764</f>
        <v>1012.1130864</v>
      </c>
      <c r="D202" s="125">
        <f t="shared" si="2"/>
        <v>1214.5357036800001</v>
      </c>
      <c r="E202" s="124">
        <v>0</v>
      </c>
      <c r="F202" s="124">
        <f>(C202+E202)*(($F$193)+1)</f>
        <v>1518.1696296</v>
      </c>
    </row>
    <row r="203" spans="1:14" x14ac:dyDescent="0.25">
      <c r="A203" s="124">
        <f t="shared" si="3"/>
        <v>4</v>
      </c>
      <c r="B203" s="124" t="s">
        <v>351</v>
      </c>
      <c r="C203" s="124">
        <f>(91.22+1.47*3.08)*10.764</f>
        <v>1030.6271664000001</v>
      </c>
      <c r="D203" s="125">
        <f t="shared" si="2"/>
        <v>1236.75259968</v>
      </c>
      <c r="E203" s="124">
        <v>0</v>
      </c>
      <c r="F203" s="124">
        <f>(C203+E203)*(($F$193)+1)</f>
        <v>1545.9407496000001</v>
      </c>
    </row>
    <row r="204" spans="1:14" x14ac:dyDescent="0.25">
      <c r="A204" s="124">
        <f t="shared" si="3"/>
        <v>5</v>
      </c>
      <c r="B204" s="169" t="s">
        <v>355</v>
      </c>
      <c r="C204" s="170"/>
      <c r="D204" s="170"/>
      <c r="E204" s="170"/>
      <c r="F204" s="171"/>
    </row>
    <row r="205" spans="1:14" x14ac:dyDescent="0.25">
      <c r="A205" s="124">
        <f t="shared" si="3"/>
        <v>6</v>
      </c>
      <c r="B205" s="175"/>
      <c r="C205" s="176"/>
      <c r="D205" s="176"/>
      <c r="E205" s="176"/>
      <c r="F205" s="177"/>
    </row>
    <row r="206" spans="1:14" s="132" customFormat="1" ht="15.75" customHeight="1" x14ac:dyDescent="0.25">
      <c r="A206" s="168" t="s">
        <v>353</v>
      </c>
      <c r="B206" s="168"/>
      <c r="C206" s="168"/>
      <c r="D206" s="168"/>
      <c r="E206" s="168"/>
      <c r="F206" s="168"/>
      <c r="G206" s="43">
        <v>1</v>
      </c>
      <c r="H206" s="43"/>
      <c r="J206" s="131"/>
      <c r="K206" s="59"/>
      <c r="L206" s="131"/>
      <c r="M206" s="131"/>
    </row>
    <row r="207" spans="1:14" s="132" customFormat="1" ht="15.75" x14ac:dyDescent="0.25">
      <c r="A207" s="124">
        <v>1</v>
      </c>
      <c r="B207" s="124" t="s">
        <v>350</v>
      </c>
      <c r="C207" s="124">
        <f>(66.64+3.08*1.47)*10.764</f>
        <v>766.04804639999986</v>
      </c>
      <c r="D207" s="125">
        <f>C207*1.2</f>
        <v>919.25765567999986</v>
      </c>
      <c r="E207" s="124">
        <v>0</v>
      </c>
      <c r="F207" s="124">
        <f t="shared" ref="F207:F210" si="4">(C207+E207)*(($F$193)+1)</f>
        <v>1149.0720695999998</v>
      </c>
      <c r="G207" s="166"/>
      <c r="H207" s="166"/>
      <c r="I207" s="40"/>
      <c r="J207" s="60"/>
      <c r="K207" s="131"/>
      <c r="L207" s="167"/>
      <c r="M207" s="167"/>
      <c r="N207" s="40"/>
    </row>
    <row r="208" spans="1:14" x14ac:dyDescent="0.25">
      <c r="A208" s="124">
        <f>A207+1</f>
        <v>2</v>
      </c>
      <c r="B208" s="124" t="s">
        <v>351</v>
      </c>
      <c r="C208" s="124">
        <f>(88.76+3.08*1.47)*10.764</f>
        <v>1004.1477263999999</v>
      </c>
      <c r="D208" s="125">
        <f t="shared" ref="D208:D210" si="5">C208*1.2</f>
        <v>1204.9772716799998</v>
      </c>
      <c r="E208" s="124">
        <v>0</v>
      </c>
      <c r="F208" s="124">
        <f t="shared" si="4"/>
        <v>1506.2215895999998</v>
      </c>
      <c r="J208" s="61"/>
      <c r="K208" s="61"/>
      <c r="L208" s="61"/>
      <c r="M208" s="61"/>
    </row>
    <row r="209" spans="1:14" x14ac:dyDescent="0.25">
      <c r="A209" s="124">
        <f t="shared" ref="A209:A212" si="6">A208+1</f>
        <v>3</v>
      </c>
      <c r="B209" s="124" t="s">
        <v>351</v>
      </c>
      <c r="C209" s="124">
        <f>(89.5+3.08*1.47)*10.764</f>
        <v>1012.1130864</v>
      </c>
      <c r="D209" s="125">
        <f t="shared" si="5"/>
        <v>1214.5357036800001</v>
      </c>
      <c r="E209" s="124">
        <v>0</v>
      </c>
      <c r="F209" s="124">
        <f t="shared" si="4"/>
        <v>1518.1696296</v>
      </c>
    </row>
    <row r="210" spans="1:14" x14ac:dyDescent="0.25">
      <c r="A210" s="124">
        <f t="shared" si="6"/>
        <v>4</v>
      </c>
      <c r="B210" s="124" t="s">
        <v>351</v>
      </c>
      <c r="C210" s="124">
        <f>(91.22+1.47*3.08)*10.764</f>
        <v>1030.6271664000001</v>
      </c>
      <c r="D210" s="125">
        <f t="shared" si="5"/>
        <v>1236.75259968</v>
      </c>
      <c r="E210" s="124">
        <v>0</v>
      </c>
      <c r="F210" s="124">
        <f t="shared" si="4"/>
        <v>1545.9407496000001</v>
      </c>
    </row>
    <row r="211" spans="1:14" x14ac:dyDescent="0.25">
      <c r="A211" s="124">
        <f t="shared" si="6"/>
        <v>5</v>
      </c>
      <c r="B211" s="169" t="s">
        <v>355</v>
      </c>
      <c r="C211" s="170"/>
      <c r="D211" s="170"/>
      <c r="E211" s="170"/>
      <c r="F211" s="171"/>
    </row>
    <row r="212" spans="1:14" x14ac:dyDescent="0.25">
      <c r="A212" s="124">
        <f t="shared" si="6"/>
        <v>6</v>
      </c>
      <c r="B212" s="175"/>
      <c r="C212" s="176"/>
      <c r="D212" s="176"/>
      <c r="E212" s="176"/>
      <c r="F212" s="177"/>
    </row>
    <row r="213" spans="1:14" s="132" customFormat="1" ht="15.75" customHeight="1" x14ac:dyDescent="0.25">
      <c r="A213" s="168" t="s">
        <v>354</v>
      </c>
      <c r="B213" s="168"/>
      <c r="C213" s="168"/>
      <c r="D213" s="168"/>
      <c r="E213" s="168"/>
      <c r="F213" s="168"/>
      <c r="G213" s="43">
        <v>1</v>
      </c>
      <c r="H213" s="43"/>
      <c r="J213" s="131"/>
      <c r="K213" s="59"/>
      <c r="L213" s="131"/>
      <c r="M213" s="131"/>
    </row>
    <row r="214" spans="1:14" s="132" customFormat="1" ht="15.75" x14ac:dyDescent="0.25">
      <c r="A214" s="124">
        <v>1</v>
      </c>
      <c r="B214" s="124" t="s">
        <v>350</v>
      </c>
      <c r="C214" s="124">
        <f>(66.64+3.08*1.47)*10.764</f>
        <v>766.04804639999986</v>
      </c>
      <c r="D214" s="125">
        <f>C214*1.2</f>
        <v>919.25765567999986</v>
      </c>
      <c r="E214" s="124">
        <v>0</v>
      </c>
      <c r="F214" s="124">
        <f t="shared" ref="F214:F217" si="7">(C214+E214)*(($F$193)+1)</f>
        <v>1149.0720695999998</v>
      </c>
      <c r="G214" s="166"/>
      <c r="H214" s="166"/>
      <c r="I214" s="40"/>
      <c r="J214" s="60"/>
      <c r="K214" s="131"/>
      <c r="L214" s="167"/>
      <c r="M214" s="167"/>
      <c r="N214" s="40"/>
    </row>
    <row r="215" spans="1:14" x14ac:dyDescent="0.25">
      <c r="A215" s="124">
        <f>A214+1</f>
        <v>2</v>
      </c>
      <c r="B215" s="124" t="s">
        <v>351</v>
      </c>
      <c r="C215" s="124">
        <f>(88.76+3.08*1.47)*10.764</f>
        <v>1004.1477263999999</v>
      </c>
      <c r="D215" s="125">
        <f t="shared" ref="D215:D217" si="8">C215*1.2</f>
        <v>1204.9772716799998</v>
      </c>
      <c r="E215" s="124">
        <v>0</v>
      </c>
      <c r="F215" s="124">
        <f t="shared" si="7"/>
        <v>1506.2215895999998</v>
      </c>
      <c r="J215" s="61"/>
      <c r="K215" s="61"/>
      <c r="L215" s="61"/>
      <c r="M215" s="61"/>
    </row>
    <row r="216" spans="1:14" x14ac:dyDescent="0.25">
      <c r="A216" s="124">
        <f t="shared" ref="A216" si="9">A215+1</f>
        <v>3</v>
      </c>
      <c r="B216" s="124" t="s">
        <v>351</v>
      </c>
      <c r="C216" s="124">
        <f>(89.5+3.08*1.47)*10.764</f>
        <v>1012.1130864</v>
      </c>
      <c r="D216" s="125">
        <f t="shared" si="8"/>
        <v>1214.5357036800001</v>
      </c>
      <c r="E216" s="124">
        <v>0</v>
      </c>
      <c r="F216" s="124">
        <f t="shared" si="7"/>
        <v>1518.1696296</v>
      </c>
    </row>
    <row r="217" spans="1:14" x14ac:dyDescent="0.25">
      <c r="A217" s="124">
        <f>A216+1</f>
        <v>4</v>
      </c>
      <c r="B217" s="124" t="s">
        <v>351</v>
      </c>
      <c r="C217" s="124">
        <f>(91.22+1.47*3.08)*10.764</f>
        <v>1030.6271664000001</v>
      </c>
      <c r="D217" s="125">
        <f t="shared" si="8"/>
        <v>1236.75259968</v>
      </c>
      <c r="E217" s="124">
        <v>0</v>
      </c>
      <c r="F217" s="124">
        <f t="shared" si="7"/>
        <v>1545.9407496000001</v>
      </c>
    </row>
    <row r="218" spans="1:14" x14ac:dyDescent="0.25">
      <c r="A218" s="124">
        <f t="shared" ref="A218:A219" si="10">A217+1</f>
        <v>5</v>
      </c>
      <c r="B218" s="169" t="s">
        <v>355</v>
      </c>
      <c r="C218" s="170"/>
      <c r="D218" s="170"/>
      <c r="E218" s="170"/>
      <c r="F218" s="171"/>
    </row>
    <row r="219" spans="1:14" x14ac:dyDescent="0.25">
      <c r="A219" s="124">
        <f t="shared" si="10"/>
        <v>6</v>
      </c>
      <c r="B219" s="175"/>
      <c r="C219" s="176"/>
      <c r="D219" s="176"/>
      <c r="E219" s="176"/>
      <c r="F219" s="177"/>
    </row>
    <row r="220" spans="1:14" s="132" customFormat="1" ht="15.75" customHeight="1" x14ac:dyDescent="0.25">
      <c r="A220" s="168" t="s">
        <v>356</v>
      </c>
      <c r="B220" s="168"/>
      <c r="C220" s="168"/>
      <c r="D220" s="168"/>
      <c r="E220" s="168"/>
      <c r="F220" s="168"/>
      <c r="G220" s="43">
        <v>1</v>
      </c>
      <c r="H220" s="43"/>
      <c r="J220" s="131"/>
      <c r="K220" s="59"/>
      <c r="L220" s="131"/>
      <c r="M220" s="131"/>
    </row>
    <row r="221" spans="1:14" s="132" customFormat="1" ht="15.75" x14ac:dyDescent="0.25">
      <c r="A221" s="124">
        <v>1</v>
      </c>
      <c r="B221" s="169" t="s">
        <v>357</v>
      </c>
      <c r="C221" s="170"/>
      <c r="D221" s="170"/>
      <c r="E221" s="170"/>
      <c r="F221" s="171"/>
      <c r="G221" s="166"/>
      <c r="H221" s="166"/>
      <c r="I221" s="40"/>
      <c r="J221" s="60"/>
      <c r="K221" s="131"/>
      <c r="L221" s="167"/>
      <c r="M221" s="167"/>
      <c r="N221" s="40"/>
    </row>
    <row r="222" spans="1:14" x14ac:dyDescent="0.25">
      <c r="A222" s="124">
        <f>A221+1</f>
        <v>2</v>
      </c>
      <c r="B222" s="172"/>
      <c r="C222" s="173"/>
      <c r="D222" s="173"/>
      <c r="E222" s="173"/>
      <c r="F222" s="174"/>
      <c r="J222" s="61"/>
      <c r="K222" s="61"/>
      <c r="L222" s="61"/>
      <c r="M222" s="61"/>
    </row>
    <row r="223" spans="1:14" x14ac:dyDescent="0.25">
      <c r="A223" s="124">
        <f t="shared" ref="A223" si="11">A222+1</f>
        <v>3</v>
      </c>
      <c r="B223" s="172"/>
      <c r="C223" s="173"/>
      <c r="D223" s="173"/>
      <c r="E223" s="173"/>
      <c r="F223" s="174"/>
    </row>
    <row r="224" spans="1:14" x14ac:dyDescent="0.25">
      <c r="A224" s="124">
        <f>A223+1</f>
        <v>4</v>
      </c>
      <c r="B224" s="175"/>
      <c r="C224" s="176"/>
      <c r="D224" s="176"/>
      <c r="E224" s="176"/>
      <c r="F224" s="177"/>
    </row>
    <row r="225" spans="1:14" x14ac:dyDescent="0.25">
      <c r="A225" s="124">
        <f t="shared" ref="A225:A226" si="12">A224+1</f>
        <v>5</v>
      </c>
      <c r="B225" s="124" t="s">
        <v>351</v>
      </c>
      <c r="C225" s="124">
        <f>(98.74)*10.764</f>
        <v>1062.83736</v>
      </c>
      <c r="D225" s="125">
        <f t="shared" ref="D225:D226" si="13">C225*1.2</f>
        <v>1275.4048319999999</v>
      </c>
      <c r="E225" s="124">
        <v>0</v>
      </c>
      <c r="F225" s="124">
        <f t="shared" ref="F225:F226" si="14">(C225+E225)*(($F$193)+1)</f>
        <v>1594.25604</v>
      </c>
    </row>
    <row r="226" spans="1:14" x14ac:dyDescent="0.25">
      <c r="A226" s="124">
        <f t="shared" si="12"/>
        <v>6</v>
      </c>
      <c r="B226" s="124" t="s">
        <v>350</v>
      </c>
      <c r="C226" s="124">
        <f>(74.53)*10.764</f>
        <v>802.24091999999996</v>
      </c>
      <c r="D226" s="125">
        <f t="shared" si="13"/>
        <v>962.68910399999993</v>
      </c>
      <c r="E226" s="124">
        <v>0</v>
      </c>
      <c r="F226" s="124">
        <f t="shared" si="14"/>
        <v>1203.3613799999998</v>
      </c>
    </row>
    <row r="227" spans="1:14" s="132" customFormat="1" ht="15.75" customHeight="1" x14ac:dyDescent="0.25">
      <c r="A227" s="168" t="s">
        <v>359</v>
      </c>
      <c r="B227" s="168"/>
      <c r="C227" s="168"/>
      <c r="D227" s="168"/>
      <c r="E227" s="168"/>
      <c r="F227" s="168"/>
      <c r="G227" s="43">
        <v>6</v>
      </c>
      <c r="H227" s="43"/>
      <c r="J227" s="131"/>
      <c r="K227" s="59"/>
      <c r="L227" s="131"/>
      <c r="M227" s="131"/>
    </row>
    <row r="228" spans="1:14" s="132" customFormat="1" ht="15.75" x14ac:dyDescent="0.25">
      <c r="A228" s="124">
        <v>1</v>
      </c>
      <c r="B228" s="124" t="s">
        <v>350</v>
      </c>
      <c r="C228" s="124">
        <f>(66.64)*10.764</f>
        <v>717.31295999999998</v>
      </c>
      <c r="D228" s="125">
        <f>C228*1.2</f>
        <v>860.77555199999995</v>
      </c>
      <c r="E228" s="124">
        <v>0</v>
      </c>
      <c r="F228" s="124">
        <f t="shared" ref="F228:F233" si="15">(C228+E228)*(($F$193)+1)</f>
        <v>1075.9694399999998</v>
      </c>
      <c r="G228" s="166"/>
      <c r="H228" s="166"/>
      <c r="I228" s="40">
        <f>17500000/F228</f>
        <v>16264.402453660769</v>
      </c>
      <c r="J228" s="60"/>
      <c r="K228" s="131"/>
      <c r="L228" s="167"/>
      <c r="M228" s="167"/>
      <c r="N228" s="40"/>
    </row>
    <row r="229" spans="1:14" x14ac:dyDescent="0.25">
      <c r="A229" s="124">
        <f>A228+1</f>
        <v>2</v>
      </c>
      <c r="B229" s="124" t="s">
        <v>351</v>
      </c>
      <c r="C229" s="124">
        <f>(88.76)*10.764</f>
        <v>955.41264000000001</v>
      </c>
      <c r="D229" s="125">
        <f t="shared" ref="D229:D233" si="16">C229*1.2</f>
        <v>1146.4951679999999</v>
      </c>
      <c r="E229" s="124">
        <v>0</v>
      </c>
      <c r="F229" s="124">
        <f t="shared" si="15"/>
        <v>1433.11896</v>
      </c>
      <c r="J229" s="61"/>
      <c r="K229" s="61"/>
      <c r="L229" s="61"/>
      <c r="M229" s="61"/>
    </row>
    <row r="230" spans="1:14" x14ac:dyDescent="0.25">
      <c r="A230" s="124">
        <f t="shared" ref="A230" si="17">A229+1</f>
        <v>3</v>
      </c>
      <c r="B230" s="124" t="s">
        <v>351</v>
      </c>
      <c r="C230" s="124">
        <f>(89.5)*10.764</f>
        <v>963.37799999999993</v>
      </c>
      <c r="D230" s="125">
        <f t="shared" si="16"/>
        <v>1156.0536</v>
      </c>
      <c r="E230" s="124">
        <v>0</v>
      </c>
      <c r="F230" s="124">
        <f t="shared" si="15"/>
        <v>1445.067</v>
      </c>
    </row>
    <row r="231" spans="1:14" x14ac:dyDescent="0.25">
      <c r="A231" s="124">
        <f>A230+1</f>
        <v>4</v>
      </c>
      <c r="B231" s="124" t="s">
        <v>351</v>
      </c>
      <c r="C231" s="124">
        <f>(91.22)*10.764</f>
        <v>981.89207999999996</v>
      </c>
      <c r="D231" s="125">
        <f t="shared" si="16"/>
        <v>1178.2704959999999</v>
      </c>
      <c r="E231" s="124">
        <v>0</v>
      </c>
      <c r="F231" s="124">
        <f t="shared" si="15"/>
        <v>1472.8381199999999</v>
      </c>
    </row>
    <row r="232" spans="1:14" x14ac:dyDescent="0.25">
      <c r="A232" s="124">
        <f t="shared" ref="A232:A233" si="18">A231+1</f>
        <v>5</v>
      </c>
      <c r="B232" s="124" t="s">
        <v>351</v>
      </c>
      <c r="C232" s="124">
        <f>(98.74)*10.764</f>
        <v>1062.83736</v>
      </c>
      <c r="D232" s="125">
        <f t="shared" si="16"/>
        <v>1275.4048319999999</v>
      </c>
      <c r="E232" s="124">
        <v>0</v>
      </c>
      <c r="F232" s="124">
        <f t="shared" si="15"/>
        <v>1594.25604</v>
      </c>
    </row>
    <row r="233" spans="1:14" x14ac:dyDescent="0.25">
      <c r="A233" s="124">
        <f t="shared" si="18"/>
        <v>6</v>
      </c>
      <c r="B233" s="124" t="s">
        <v>350</v>
      </c>
      <c r="C233" s="124">
        <f>(74.53)*10.764</f>
        <v>802.24091999999996</v>
      </c>
      <c r="D233" s="125">
        <f t="shared" si="16"/>
        <v>962.68910399999993</v>
      </c>
      <c r="E233" s="124">
        <v>0</v>
      </c>
      <c r="F233" s="124">
        <f t="shared" si="15"/>
        <v>1203.3613799999998</v>
      </c>
    </row>
    <row r="234" spans="1:14" s="132" customFormat="1" ht="15.75" customHeight="1" x14ac:dyDescent="0.25">
      <c r="A234" s="168" t="s">
        <v>360</v>
      </c>
      <c r="B234" s="168"/>
      <c r="C234" s="168"/>
      <c r="D234" s="168"/>
      <c r="E234" s="168"/>
      <c r="F234" s="168"/>
      <c r="G234" s="43">
        <v>1</v>
      </c>
      <c r="H234" s="43"/>
      <c r="J234" s="131"/>
      <c r="K234" s="59"/>
      <c r="L234" s="131"/>
      <c r="M234" s="131"/>
    </row>
    <row r="235" spans="1:14" s="132" customFormat="1" ht="15.75" x14ac:dyDescent="0.25">
      <c r="A235" s="124">
        <v>1</v>
      </c>
      <c r="B235" s="169" t="s">
        <v>357</v>
      </c>
      <c r="C235" s="170"/>
      <c r="D235" s="170"/>
      <c r="E235" s="170"/>
      <c r="F235" s="171"/>
      <c r="G235" s="166"/>
      <c r="H235" s="166"/>
      <c r="I235" s="40"/>
      <c r="J235" s="60"/>
      <c r="K235" s="131"/>
      <c r="L235" s="167"/>
      <c r="M235" s="167"/>
      <c r="N235" s="40"/>
    </row>
    <row r="236" spans="1:14" x14ac:dyDescent="0.25">
      <c r="A236" s="124">
        <f>A235+1</f>
        <v>2</v>
      </c>
      <c r="B236" s="172"/>
      <c r="C236" s="173"/>
      <c r="D236" s="173"/>
      <c r="E236" s="173"/>
      <c r="F236" s="174"/>
      <c r="J236" s="61"/>
      <c r="K236" s="61"/>
      <c r="L236" s="61"/>
      <c r="M236" s="61"/>
    </row>
    <row r="237" spans="1:14" x14ac:dyDescent="0.25">
      <c r="A237" s="124">
        <f t="shared" ref="A237" si="19">A236+1</f>
        <v>3</v>
      </c>
      <c r="B237" s="172"/>
      <c r="C237" s="173"/>
      <c r="D237" s="173"/>
      <c r="E237" s="173"/>
      <c r="F237" s="174"/>
    </row>
    <row r="238" spans="1:14" x14ac:dyDescent="0.25">
      <c r="A238" s="124">
        <f>A237+1</f>
        <v>4</v>
      </c>
      <c r="B238" s="175"/>
      <c r="C238" s="176"/>
      <c r="D238" s="176"/>
      <c r="E238" s="176"/>
      <c r="F238" s="177"/>
    </row>
    <row r="239" spans="1:14" x14ac:dyDescent="0.25">
      <c r="A239" s="124">
        <f t="shared" ref="A239:A240" si="20">A238+1</f>
        <v>5</v>
      </c>
      <c r="B239" s="124" t="s">
        <v>351</v>
      </c>
      <c r="C239" s="124">
        <f>(98.74)*10.764</f>
        <v>1062.83736</v>
      </c>
      <c r="D239" s="125">
        <f t="shared" ref="D239:D240" si="21">C239*1.2</f>
        <v>1275.4048319999999</v>
      </c>
      <c r="E239" s="124">
        <v>0</v>
      </c>
      <c r="F239" s="124">
        <f t="shared" ref="F239:F240" si="22">(C239+E239)*(($F$193)+1)</f>
        <v>1594.25604</v>
      </c>
    </row>
    <row r="240" spans="1:14" x14ac:dyDescent="0.25">
      <c r="A240" s="124">
        <f t="shared" si="20"/>
        <v>6</v>
      </c>
      <c r="B240" s="124" t="s">
        <v>350</v>
      </c>
      <c r="C240" s="124">
        <f>(74.53)*10.764</f>
        <v>802.24091999999996</v>
      </c>
      <c r="D240" s="125">
        <f t="shared" si="21"/>
        <v>962.68910399999993</v>
      </c>
      <c r="E240" s="124">
        <v>0</v>
      </c>
      <c r="F240" s="124">
        <f t="shared" si="22"/>
        <v>1203.3613799999998</v>
      </c>
    </row>
    <row r="241" spans="1:14" s="132" customFormat="1" ht="15.75" customHeight="1" x14ac:dyDescent="0.25">
      <c r="A241" s="168" t="s">
        <v>358</v>
      </c>
      <c r="B241" s="168"/>
      <c r="C241" s="168"/>
      <c r="D241" s="168"/>
      <c r="E241" s="168"/>
      <c r="F241" s="168"/>
      <c r="G241" s="43">
        <v>4</v>
      </c>
      <c r="H241" s="43"/>
      <c r="J241" s="131"/>
      <c r="K241" s="59"/>
      <c r="L241" s="131"/>
      <c r="M241" s="131"/>
    </row>
    <row r="242" spans="1:14" s="132" customFormat="1" ht="15.75" x14ac:dyDescent="0.25">
      <c r="A242" s="124">
        <v>1</v>
      </c>
      <c r="B242" s="124" t="s">
        <v>350</v>
      </c>
      <c r="C242" s="124">
        <f>(66.64)*10.764</f>
        <v>717.31295999999998</v>
      </c>
      <c r="D242" s="125">
        <f>C242*1.2</f>
        <v>860.77555199999995</v>
      </c>
      <c r="E242" s="124">
        <v>0</v>
      </c>
      <c r="F242" s="124">
        <f t="shared" ref="F242:F247" si="23">(C242+E242)*(($F$193)+1)</f>
        <v>1075.9694399999998</v>
      </c>
      <c r="G242" s="166">
        <f>17500000/F242</f>
        <v>16264.402453660769</v>
      </c>
      <c r="H242" s="166"/>
      <c r="I242" s="40"/>
      <c r="J242" s="60"/>
      <c r="K242" s="131"/>
      <c r="L242" s="167"/>
      <c r="M242" s="167"/>
      <c r="N242" s="40"/>
    </row>
    <row r="243" spans="1:14" x14ac:dyDescent="0.25">
      <c r="A243" s="124">
        <f>A242+1</f>
        <v>2</v>
      </c>
      <c r="B243" s="124" t="s">
        <v>351</v>
      </c>
      <c r="C243" s="124">
        <f>(88.76)*10.764</f>
        <v>955.41264000000001</v>
      </c>
      <c r="D243" s="125">
        <f t="shared" ref="D243:D247" si="24">C243*1.2</f>
        <v>1146.4951679999999</v>
      </c>
      <c r="E243" s="124">
        <v>0</v>
      </c>
      <c r="F243" s="124">
        <f t="shared" si="23"/>
        <v>1433.11896</v>
      </c>
      <c r="J243" s="61"/>
      <c r="K243" s="61"/>
      <c r="L243" s="61"/>
      <c r="M243" s="61"/>
    </row>
    <row r="244" spans="1:14" x14ac:dyDescent="0.25">
      <c r="A244" s="124">
        <f t="shared" ref="A244" si="25">A243+1</f>
        <v>3</v>
      </c>
      <c r="B244" s="124" t="s">
        <v>351</v>
      </c>
      <c r="C244" s="124">
        <f>(89.5)*10.764</f>
        <v>963.37799999999993</v>
      </c>
      <c r="D244" s="125">
        <f t="shared" si="24"/>
        <v>1156.0536</v>
      </c>
      <c r="E244" s="124">
        <v>0</v>
      </c>
      <c r="F244" s="124">
        <f t="shared" si="23"/>
        <v>1445.067</v>
      </c>
    </row>
    <row r="245" spans="1:14" x14ac:dyDescent="0.25">
      <c r="A245" s="124">
        <f>A244+1</f>
        <v>4</v>
      </c>
      <c r="B245" s="124" t="s">
        <v>351</v>
      </c>
      <c r="C245" s="124">
        <f>(91.22)*10.764</f>
        <v>981.89207999999996</v>
      </c>
      <c r="D245" s="125">
        <f t="shared" si="24"/>
        <v>1178.2704959999999</v>
      </c>
      <c r="E245" s="124">
        <v>0</v>
      </c>
      <c r="F245" s="124">
        <f t="shared" si="23"/>
        <v>1472.8381199999999</v>
      </c>
    </row>
    <row r="246" spans="1:14" x14ac:dyDescent="0.25">
      <c r="A246" s="124">
        <f t="shared" ref="A246:A247" si="26">A245+1</f>
        <v>5</v>
      </c>
      <c r="B246" s="124" t="s">
        <v>351</v>
      </c>
      <c r="C246" s="124">
        <f>(98.74)*10.764</f>
        <v>1062.83736</v>
      </c>
      <c r="D246" s="125">
        <f t="shared" si="24"/>
        <v>1275.4048319999999</v>
      </c>
      <c r="E246" s="124">
        <v>0</v>
      </c>
      <c r="F246" s="124">
        <f t="shared" si="23"/>
        <v>1594.25604</v>
      </c>
    </row>
    <row r="247" spans="1:14" x14ac:dyDescent="0.25">
      <c r="A247" s="124">
        <f t="shared" si="26"/>
        <v>6</v>
      </c>
      <c r="B247" s="124" t="s">
        <v>350</v>
      </c>
      <c r="C247" s="124">
        <f>(74.53)*10.764</f>
        <v>802.24091999999996</v>
      </c>
      <c r="D247" s="125">
        <f t="shared" si="24"/>
        <v>962.68910399999993</v>
      </c>
      <c r="E247" s="124">
        <v>0</v>
      </c>
      <c r="F247" s="124">
        <f t="shared" si="23"/>
        <v>1203.3613799999998</v>
      </c>
    </row>
    <row r="248" spans="1:14" s="132" customFormat="1" ht="15.75" customHeight="1" x14ac:dyDescent="0.25">
      <c r="A248" s="168" t="s">
        <v>362</v>
      </c>
      <c r="B248" s="168"/>
      <c r="C248" s="168"/>
      <c r="D248" s="168"/>
      <c r="E248" s="168"/>
      <c r="F248" s="168"/>
      <c r="G248" s="43">
        <f>2+6</f>
        <v>8</v>
      </c>
      <c r="H248" s="43"/>
      <c r="J248" s="131"/>
      <c r="K248" s="59"/>
      <c r="L248" s="131"/>
      <c r="M248" s="131"/>
    </row>
    <row r="249" spans="1:14" s="132" customFormat="1" ht="15.75" x14ac:dyDescent="0.25">
      <c r="A249" s="124">
        <v>1</v>
      </c>
      <c r="B249" s="124" t="s">
        <v>350</v>
      </c>
      <c r="C249" s="124">
        <f>(66.64)*10.764</f>
        <v>717.31295999999998</v>
      </c>
      <c r="D249" s="125">
        <f>C249*1.2</f>
        <v>860.77555199999995</v>
      </c>
      <c r="E249" s="124">
        <v>0</v>
      </c>
      <c r="F249" s="124">
        <f t="shared" ref="F249:F254" si="27">(C249+E249)*(($F$193)+1)</f>
        <v>1075.9694399999998</v>
      </c>
      <c r="G249" s="166"/>
      <c r="H249" s="166"/>
      <c r="I249" s="40"/>
      <c r="J249" s="60"/>
      <c r="K249" s="131"/>
      <c r="L249" s="167"/>
      <c r="M249" s="167"/>
      <c r="N249" s="40"/>
    </row>
    <row r="250" spans="1:14" x14ac:dyDescent="0.25">
      <c r="A250" s="124">
        <f>A249+1</f>
        <v>2</v>
      </c>
      <c r="B250" s="124" t="s">
        <v>351</v>
      </c>
      <c r="C250" s="124">
        <f>(88.76)*10.764</f>
        <v>955.41264000000001</v>
      </c>
      <c r="D250" s="125">
        <f t="shared" ref="D250:D254" si="28">C250*1.2</f>
        <v>1146.4951679999999</v>
      </c>
      <c r="E250" s="124">
        <v>0</v>
      </c>
      <c r="F250" s="124">
        <f t="shared" si="27"/>
        <v>1433.11896</v>
      </c>
      <c r="J250" s="61"/>
      <c r="K250" s="61"/>
      <c r="L250" s="61"/>
      <c r="M250" s="61"/>
    </row>
    <row r="251" spans="1:14" x14ac:dyDescent="0.25">
      <c r="A251" s="124">
        <f t="shared" ref="A251" si="29">A250+1</f>
        <v>3</v>
      </c>
      <c r="B251" s="124" t="s">
        <v>351</v>
      </c>
      <c r="C251" s="124">
        <f>(89.5)*10.764</f>
        <v>963.37799999999993</v>
      </c>
      <c r="D251" s="125">
        <f t="shared" si="28"/>
        <v>1156.0536</v>
      </c>
      <c r="E251" s="124">
        <v>0</v>
      </c>
      <c r="F251" s="124">
        <f t="shared" si="27"/>
        <v>1445.067</v>
      </c>
    </row>
    <row r="252" spans="1:14" x14ac:dyDescent="0.25">
      <c r="A252" s="124">
        <f>A251+1</f>
        <v>4</v>
      </c>
      <c r="B252" s="124" t="s">
        <v>351</v>
      </c>
      <c r="C252" s="124">
        <f>(91.22)*10.764</f>
        <v>981.89207999999996</v>
      </c>
      <c r="D252" s="125">
        <f t="shared" si="28"/>
        <v>1178.2704959999999</v>
      </c>
      <c r="E252" s="124">
        <v>0</v>
      </c>
      <c r="F252" s="124">
        <f t="shared" si="27"/>
        <v>1472.8381199999999</v>
      </c>
    </row>
    <row r="253" spans="1:14" x14ac:dyDescent="0.25">
      <c r="A253" s="124">
        <f t="shared" ref="A253:A254" si="30">A252+1</f>
        <v>5</v>
      </c>
      <c r="B253" s="124" t="s">
        <v>351</v>
      </c>
      <c r="C253" s="124">
        <f>(98.74+1.38*1.35+1.17*1.58)*10.764</f>
        <v>1102.7890224</v>
      </c>
      <c r="D253" s="125">
        <f t="shared" si="28"/>
        <v>1323.34682688</v>
      </c>
      <c r="E253" s="124">
        <v>0</v>
      </c>
      <c r="F253" s="124">
        <f t="shared" si="27"/>
        <v>1654.1835335999999</v>
      </c>
    </row>
    <row r="254" spans="1:14" x14ac:dyDescent="0.25">
      <c r="A254" s="124">
        <f t="shared" si="30"/>
        <v>6</v>
      </c>
      <c r="B254" s="124" t="s">
        <v>350</v>
      </c>
      <c r="C254" s="124">
        <f>(74.53+1.39*1.56+1.43*1.18)*10.764</f>
        <v>843.7447512</v>
      </c>
      <c r="D254" s="125">
        <f t="shared" si="28"/>
        <v>1012.49370144</v>
      </c>
      <c r="E254" s="124">
        <v>0</v>
      </c>
      <c r="F254" s="124">
        <f t="shared" si="27"/>
        <v>1265.6171268000001</v>
      </c>
    </row>
    <row r="255" spans="1:14" s="132" customFormat="1" ht="15.75" customHeight="1" x14ac:dyDescent="0.25">
      <c r="A255" s="168" t="s">
        <v>361</v>
      </c>
      <c r="B255" s="168"/>
      <c r="C255" s="168"/>
      <c r="D255" s="168"/>
      <c r="E255" s="168"/>
      <c r="F255" s="168"/>
      <c r="G255" s="43">
        <v>1</v>
      </c>
      <c r="H255" s="43"/>
      <c r="J255" s="131"/>
      <c r="K255" s="59"/>
      <c r="L255" s="131"/>
      <c r="M255" s="131"/>
    </row>
    <row r="256" spans="1:14" s="132" customFormat="1" ht="15.75" x14ac:dyDescent="0.25">
      <c r="A256" s="124">
        <v>1</v>
      </c>
      <c r="B256" s="169" t="s">
        <v>357</v>
      </c>
      <c r="C256" s="170"/>
      <c r="D256" s="170"/>
      <c r="E256" s="170"/>
      <c r="F256" s="171"/>
      <c r="G256" s="166"/>
      <c r="H256" s="166"/>
      <c r="I256" s="40"/>
      <c r="J256" s="60"/>
      <c r="K256" s="131"/>
      <c r="L256" s="167"/>
      <c r="M256" s="167"/>
      <c r="N256" s="40"/>
    </row>
    <row r="257" spans="1:14" x14ac:dyDescent="0.25">
      <c r="A257" s="124">
        <f>A256+1</f>
        <v>2</v>
      </c>
      <c r="B257" s="172"/>
      <c r="C257" s="173"/>
      <c r="D257" s="173"/>
      <c r="E257" s="173"/>
      <c r="F257" s="174"/>
      <c r="J257" s="61"/>
      <c r="K257" s="61"/>
      <c r="L257" s="61"/>
      <c r="M257" s="61"/>
    </row>
    <row r="258" spans="1:14" x14ac:dyDescent="0.25">
      <c r="A258" s="124">
        <f t="shared" ref="A258" si="31">A257+1</f>
        <v>3</v>
      </c>
      <c r="B258" s="172"/>
      <c r="C258" s="173"/>
      <c r="D258" s="173"/>
      <c r="E258" s="173"/>
      <c r="F258" s="174"/>
    </row>
    <row r="259" spans="1:14" x14ac:dyDescent="0.25">
      <c r="A259" s="124">
        <f>A258+1</f>
        <v>4</v>
      </c>
      <c r="B259" s="175"/>
      <c r="C259" s="176"/>
      <c r="D259" s="176"/>
      <c r="E259" s="176"/>
      <c r="F259" s="177"/>
    </row>
    <row r="260" spans="1:14" x14ac:dyDescent="0.25">
      <c r="A260" s="124">
        <f t="shared" ref="A260:A261" si="32">A259+1</f>
        <v>5</v>
      </c>
      <c r="B260" s="124" t="s">
        <v>351</v>
      </c>
      <c r="C260" s="124">
        <f>(98.74+1.38*1.35+1.17*1.58)*10.764</f>
        <v>1102.7890224</v>
      </c>
      <c r="D260" s="125">
        <f t="shared" ref="D260:D261" si="33">C260*1.2</f>
        <v>1323.34682688</v>
      </c>
      <c r="E260" s="124">
        <v>0</v>
      </c>
      <c r="F260" s="124">
        <f t="shared" ref="F260:F261" si="34">(C260+E260)*(($F$193)+1)</f>
        <v>1654.1835335999999</v>
      </c>
    </row>
    <row r="261" spans="1:14" x14ac:dyDescent="0.25">
      <c r="A261" s="124">
        <f t="shared" si="32"/>
        <v>6</v>
      </c>
      <c r="B261" s="124" t="s">
        <v>350</v>
      </c>
      <c r="C261" s="124">
        <f>(74.53+1.39*1.56+1.43*1.18)*10.764</f>
        <v>843.7447512</v>
      </c>
      <c r="D261" s="125">
        <f t="shared" si="33"/>
        <v>1012.49370144</v>
      </c>
      <c r="E261" s="124">
        <v>0</v>
      </c>
      <c r="F261" s="124">
        <f t="shared" si="34"/>
        <v>1265.6171268000001</v>
      </c>
    </row>
    <row r="262" spans="1:14" s="132" customFormat="1" ht="15.75" customHeight="1" x14ac:dyDescent="0.25">
      <c r="A262" s="168" t="s">
        <v>363</v>
      </c>
      <c r="B262" s="168"/>
      <c r="C262" s="168"/>
      <c r="D262" s="168"/>
      <c r="E262" s="168"/>
      <c r="F262" s="168"/>
      <c r="G262" s="43">
        <v>1</v>
      </c>
      <c r="H262" s="43"/>
      <c r="J262" s="131"/>
      <c r="K262" s="59"/>
      <c r="L262" s="131"/>
      <c r="M262" s="131"/>
    </row>
    <row r="263" spans="1:14" s="132" customFormat="1" ht="15.75" x14ac:dyDescent="0.25">
      <c r="A263" s="124">
        <v>1</v>
      </c>
      <c r="B263" s="169" t="s">
        <v>357</v>
      </c>
      <c r="C263" s="170"/>
      <c r="D263" s="170"/>
      <c r="E263" s="170"/>
      <c r="F263" s="171"/>
      <c r="G263" s="166"/>
      <c r="H263" s="166"/>
      <c r="I263" s="40"/>
      <c r="J263" s="60"/>
      <c r="K263" s="131"/>
      <c r="L263" s="167"/>
      <c r="M263" s="167"/>
      <c r="N263" s="40"/>
    </row>
    <row r="264" spans="1:14" x14ac:dyDescent="0.25">
      <c r="A264" s="124">
        <f>A263+1</f>
        <v>2</v>
      </c>
      <c r="B264" s="172"/>
      <c r="C264" s="173"/>
      <c r="D264" s="173"/>
      <c r="E264" s="173"/>
      <c r="F264" s="174"/>
      <c r="J264" s="61"/>
      <c r="K264" s="61"/>
      <c r="L264" s="61"/>
      <c r="M264" s="61"/>
    </row>
    <row r="265" spans="1:14" x14ac:dyDescent="0.25">
      <c r="A265" s="124">
        <f t="shared" ref="A265" si="35">A264+1</f>
        <v>3</v>
      </c>
      <c r="B265" s="172"/>
      <c r="C265" s="173"/>
      <c r="D265" s="173"/>
      <c r="E265" s="173"/>
      <c r="F265" s="174"/>
    </row>
    <row r="266" spans="1:14" x14ac:dyDescent="0.25">
      <c r="A266" s="124">
        <f>A265+1</f>
        <v>4</v>
      </c>
      <c r="B266" s="175"/>
      <c r="C266" s="176"/>
      <c r="D266" s="176"/>
      <c r="E266" s="176"/>
      <c r="F266" s="177"/>
    </row>
    <row r="267" spans="1:14" x14ac:dyDescent="0.25">
      <c r="A267" s="124">
        <f t="shared" ref="A267:A268" si="36">A266+1</f>
        <v>5</v>
      </c>
      <c r="B267" s="124" t="s">
        <v>351</v>
      </c>
      <c r="C267" s="124">
        <f>(98.74+1.38*1.35+1.17*1.58)*10.764</f>
        <v>1102.7890224</v>
      </c>
      <c r="D267" s="125">
        <f t="shared" ref="D267:D268" si="37">C267*1.2</f>
        <v>1323.34682688</v>
      </c>
      <c r="E267" s="124">
        <v>0</v>
      </c>
      <c r="F267" s="124">
        <f t="shared" ref="F267:F268" si="38">(C267+E267)*(($F$193)+1)</f>
        <v>1654.1835335999999</v>
      </c>
    </row>
    <row r="268" spans="1:14" x14ac:dyDescent="0.25">
      <c r="A268" s="124">
        <f t="shared" si="36"/>
        <v>6</v>
      </c>
      <c r="B268" s="124" t="s">
        <v>350</v>
      </c>
      <c r="C268" s="124">
        <f>(74.53+1.39*1.56+1.43*1.18)*10.764</f>
        <v>843.7447512</v>
      </c>
      <c r="D268" s="125">
        <f t="shared" si="37"/>
        <v>1012.49370144</v>
      </c>
      <c r="E268" s="124">
        <v>0</v>
      </c>
      <c r="F268" s="124">
        <f t="shared" si="38"/>
        <v>1265.6171268000001</v>
      </c>
    </row>
    <row r="269" spans="1:14" s="132" customFormat="1" ht="15.75" customHeight="1" x14ac:dyDescent="0.25">
      <c r="A269" s="168" t="s">
        <v>369</v>
      </c>
      <c r="B269" s="168"/>
      <c r="C269" s="168"/>
      <c r="D269" s="168"/>
      <c r="E269" s="168"/>
      <c r="F269" s="168"/>
      <c r="G269" s="43">
        <f>6+3</f>
        <v>9</v>
      </c>
      <c r="H269" s="43"/>
      <c r="J269" s="131"/>
      <c r="K269" s="59"/>
      <c r="L269" s="131"/>
      <c r="M269" s="131"/>
    </row>
    <row r="270" spans="1:14" s="132" customFormat="1" ht="15.75" x14ac:dyDescent="0.25">
      <c r="A270" s="124">
        <v>1</v>
      </c>
      <c r="B270" s="124" t="s">
        <v>350</v>
      </c>
      <c r="C270" s="124">
        <f>(66.64+3.08*1.47)*10.764</f>
        <v>766.04804639999986</v>
      </c>
      <c r="D270" s="125">
        <f>C270*1.2</f>
        <v>919.25765567999986</v>
      </c>
      <c r="E270" s="124">
        <v>0</v>
      </c>
      <c r="F270" s="124">
        <f t="shared" ref="F270:F275" si="39">(C270+E270)*(($F$193)+1)</f>
        <v>1149.0720695999998</v>
      </c>
      <c r="G270" s="166"/>
      <c r="H270" s="166"/>
      <c r="I270" s="40"/>
      <c r="J270" s="60"/>
      <c r="K270" s="131"/>
      <c r="L270" s="167"/>
      <c r="M270" s="167"/>
      <c r="N270" s="40"/>
    </row>
    <row r="271" spans="1:14" x14ac:dyDescent="0.25">
      <c r="A271" s="124">
        <f>A270+1</f>
        <v>2</v>
      </c>
      <c r="B271" s="124" t="s">
        <v>351</v>
      </c>
      <c r="C271" s="124">
        <f>(88.76+3.08*1.47)*10.764</f>
        <v>1004.1477263999999</v>
      </c>
      <c r="D271" s="125">
        <f t="shared" ref="D271:D275" si="40">C271*1.2</f>
        <v>1204.9772716799998</v>
      </c>
      <c r="E271" s="124">
        <v>0</v>
      </c>
      <c r="F271" s="124">
        <f t="shared" si="39"/>
        <v>1506.2215895999998</v>
      </c>
      <c r="J271" s="61"/>
      <c r="K271" s="61"/>
      <c r="L271" s="61"/>
      <c r="M271" s="61"/>
    </row>
    <row r="272" spans="1:14" x14ac:dyDescent="0.25">
      <c r="A272" s="124">
        <f t="shared" ref="A272" si="41">A271+1</f>
        <v>3</v>
      </c>
      <c r="B272" s="124" t="s">
        <v>351</v>
      </c>
      <c r="C272" s="124">
        <f>(89.5+3.08*1.47)*10.764</f>
        <v>1012.1130864</v>
      </c>
      <c r="D272" s="125">
        <f t="shared" si="40"/>
        <v>1214.5357036800001</v>
      </c>
      <c r="E272" s="124">
        <v>0</v>
      </c>
      <c r="F272" s="124">
        <f t="shared" si="39"/>
        <v>1518.1696296</v>
      </c>
    </row>
    <row r="273" spans="1:14" x14ac:dyDescent="0.25">
      <c r="A273" s="124">
        <f>A272+1</f>
        <v>4</v>
      </c>
      <c r="B273" s="124" t="s">
        <v>351</v>
      </c>
      <c r="C273" s="124">
        <f>(91.22+1.47*3.08)*10.764</f>
        <v>1030.6271664000001</v>
      </c>
      <c r="D273" s="125">
        <f t="shared" si="40"/>
        <v>1236.75259968</v>
      </c>
      <c r="E273" s="124">
        <v>0</v>
      </c>
      <c r="F273" s="124">
        <f t="shared" si="39"/>
        <v>1545.9407496000001</v>
      </c>
    </row>
    <row r="274" spans="1:14" x14ac:dyDescent="0.25">
      <c r="A274" s="124">
        <f t="shared" ref="A274:A275" si="42">A273+1</f>
        <v>5</v>
      </c>
      <c r="B274" s="124" t="s">
        <v>351</v>
      </c>
      <c r="C274" s="124">
        <f>(98.74+1.38*1.35+1.17*1.58)*10.764</f>
        <v>1102.7890224</v>
      </c>
      <c r="D274" s="125">
        <f t="shared" si="40"/>
        <v>1323.34682688</v>
      </c>
      <c r="E274" s="124">
        <v>0</v>
      </c>
      <c r="F274" s="124">
        <f t="shared" si="39"/>
        <v>1654.1835335999999</v>
      </c>
    </row>
    <row r="275" spans="1:14" x14ac:dyDescent="0.25">
      <c r="A275" s="124">
        <f t="shared" si="42"/>
        <v>6</v>
      </c>
      <c r="B275" s="124" t="s">
        <v>350</v>
      </c>
      <c r="C275" s="124">
        <f>(74.53+1.39*1.56+1.43*1.18)*10.764</f>
        <v>843.7447512</v>
      </c>
      <c r="D275" s="125">
        <f t="shared" si="40"/>
        <v>1012.49370144</v>
      </c>
      <c r="E275" s="124">
        <v>0</v>
      </c>
      <c r="F275" s="124">
        <f t="shared" si="39"/>
        <v>1265.6171268000001</v>
      </c>
    </row>
    <row r="276" spans="1:14" s="132" customFormat="1" ht="15.75" customHeight="1" x14ac:dyDescent="0.25">
      <c r="A276" s="168" t="s">
        <v>364</v>
      </c>
      <c r="B276" s="168"/>
      <c r="C276" s="168"/>
      <c r="D276" s="168"/>
      <c r="E276" s="168"/>
      <c r="F276" s="168"/>
      <c r="G276" s="43">
        <v>1</v>
      </c>
      <c r="H276" s="43"/>
      <c r="J276" s="131"/>
      <c r="K276" s="59"/>
      <c r="L276" s="131"/>
      <c r="M276" s="131"/>
    </row>
    <row r="277" spans="1:14" s="132" customFormat="1" ht="15.75" x14ac:dyDescent="0.25">
      <c r="A277" s="124">
        <v>1</v>
      </c>
      <c r="B277" s="249" t="s">
        <v>357</v>
      </c>
      <c r="C277" s="250"/>
      <c r="D277" s="250"/>
      <c r="E277" s="250"/>
      <c r="F277" s="251"/>
      <c r="G277" s="166"/>
      <c r="H277" s="166"/>
      <c r="I277" s="40"/>
      <c r="J277" s="60"/>
      <c r="K277" s="131"/>
      <c r="L277" s="167"/>
      <c r="M277" s="167"/>
      <c r="N277" s="40"/>
    </row>
    <row r="278" spans="1:14" x14ac:dyDescent="0.25">
      <c r="A278" s="124">
        <f>A277+1</f>
        <v>2</v>
      </c>
      <c r="B278" s="124" t="s">
        <v>351</v>
      </c>
      <c r="C278" s="124">
        <f>(88.76+3.08*1.47)*10.764</f>
        <v>1004.1477263999999</v>
      </c>
      <c r="D278" s="125">
        <f t="shared" ref="D278:D282" si="43">C278*1.2</f>
        <v>1204.9772716799998</v>
      </c>
      <c r="E278" s="124">
        <v>0</v>
      </c>
      <c r="F278" s="124">
        <f>(C278+E278)*(($F$193)+1)</f>
        <v>1506.2215895999998</v>
      </c>
      <c r="J278" s="61"/>
      <c r="K278" s="61"/>
      <c r="L278" s="61"/>
      <c r="M278" s="61"/>
    </row>
    <row r="279" spans="1:14" x14ac:dyDescent="0.25">
      <c r="A279" s="124">
        <f t="shared" ref="A279" si="44">A278+1</f>
        <v>3</v>
      </c>
      <c r="B279" s="124" t="s">
        <v>351</v>
      </c>
      <c r="C279" s="124">
        <f>(89.5+3.08*1.47)*10.764</f>
        <v>1012.1130864</v>
      </c>
      <c r="D279" s="125">
        <f t="shared" si="43"/>
        <v>1214.5357036800001</v>
      </c>
      <c r="E279" s="124">
        <v>0</v>
      </c>
      <c r="F279" s="124">
        <f>(C279+E279)*(($F$193)+1)</f>
        <v>1518.1696296</v>
      </c>
    </row>
    <row r="280" spans="1:14" x14ac:dyDescent="0.25">
      <c r="A280" s="124">
        <f>A279+1</f>
        <v>4</v>
      </c>
      <c r="B280" s="249" t="s">
        <v>357</v>
      </c>
      <c r="C280" s="250"/>
      <c r="D280" s="250"/>
      <c r="E280" s="250"/>
      <c r="F280" s="251"/>
    </row>
    <row r="281" spans="1:14" x14ac:dyDescent="0.25">
      <c r="A281" s="124">
        <f t="shared" ref="A281:A282" si="45">A280+1</f>
        <v>5</v>
      </c>
      <c r="B281" s="124" t="s">
        <v>351</v>
      </c>
      <c r="C281" s="124">
        <f>(98.74+1.38*1.35+1.17*1.58)*10.764</f>
        <v>1102.7890224</v>
      </c>
      <c r="D281" s="125">
        <f t="shared" si="43"/>
        <v>1323.34682688</v>
      </c>
      <c r="E281" s="124">
        <v>0</v>
      </c>
      <c r="F281" s="124">
        <f>(C281+E281)*(($F$193)+1)</f>
        <v>1654.1835335999999</v>
      </c>
    </row>
    <row r="282" spans="1:14" ht="15.75" thickBot="1" x14ac:dyDescent="0.3">
      <c r="A282" s="124">
        <f t="shared" si="45"/>
        <v>6</v>
      </c>
      <c r="B282" s="124" t="s">
        <v>350</v>
      </c>
      <c r="C282" s="124">
        <f>(74.53+1.39*1.56+1.43*1.18)*10.764</f>
        <v>843.7447512</v>
      </c>
      <c r="D282" s="125">
        <f t="shared" si="43"/>
        <v>1012.49370144</v>
      </c>
      <c r="E282" s="124">
        <v>0</v>
      </c>
      <c r="F282" s="124">
        <f>(C282+E282)*(($F$193)+1)</f>
        <v>1265.6171268000001</v>
      </c>
    </row>
    <row r="283" spans="1:14" x14ac:dyDescent="0.25">
      <c r="A283" s="246" t="s">
        <v>57</v>
      </c>
      <c r="B283" s="247"/>
      <c r="C283" s="247"/>
      <c r="D283" s="247"/>
      <c r="E283" s="247"/>
      <c r="F283" s="248"/>
      <c r="I283" s="61"/>
      <c r="J283" s="61"/>
      <c r="K283" s="56"/>
    </row>
    <row r="284" spans="1:14" s="1" customFormat="1" ht="32.25" customHeight="1" x14ac:dyDescent="0.2">
      <c r="A284" s="113" t="s">
        <v>209</v>
      </c>
      <c r="B284" s="233" t="s">
        <v>269</v>
      </c>
      <c r="C284" s="233"/>
      <c r="D284" s="49" t="s">
        <v>210</v>
      </c>
      <c r="E284" s="233" t="s">
        <v>270</v>
      </c>
      <c r="F284" s="261"/>
      <c r="G284" s="53"/>
      <c r="H284" s="178"/>
      <c r="I284" s="178"/>
      <c r="J284" s="53"/>
      <c r="L284" s="55"/>
    </row>
    <row r="285" spans="1:14" s="1" customFormat="1" ht="12.75" x14ac:dyDescent="0.2">
      <c r="A285" s="113">
        <v>1</v>
      </c>
      <c r="B285" s="179" t="s">
        <v>345</v>
      </c>
      <c r="C285" s="179"/>
      <c r="D285" s="89">
        <v>18000</v>
      </c>
      <c r="E285" s="179" t="s">
        <v>271</v>
      </c>
      <c r="F285" s="180"/>
    </row>
    <row r="286" spans="1:14" s="1" customFormat="1" ht="12.75" hidden="1" x14ac:dyDescent="0.2">
      <c r="A286" s="113">
        <v>2</v>
      </c>
      <c r="B286" s="179"/>
      <c r="C286" s="179"/>
      <c r="D286" s="89"/>
      <c r="E286" s="179" t="s">
        <v>271</v>
      </c>
      <c r="F286" s="180"/>
      <c r="K286" s="54"/>
    </row>
    <row r="287" spans="1:14" s="1" customFormat="1" ht="12.75" hidden="1" x14ac:dyDescent="0.2">
      <c r="A287" s="113">
        <v>3</v>
      </c>
      <c r="B287" s="179"/>
      <c r="C287" s="179"/>
      <c r="D287" s="89"/>
      <c r="E287" s="179" t="s">
        <v>271</v>
      </c>
      <c r="F287" s="180"/>
    </row>
    <row r="288" spans="1:14" s="1" customFormat="1" ht="12.75" hidden="1" x14ac:dyDescent="0.2">
      <c r="A288" s="113">
        <v>4</v>
      </c>
      <c r="B288" s="179"/>
      <c r="C288" s="179"/>
      <c r="D288" s="89"/>
      <c r="E288" s="179" t="s">
        <v>271</v>
      </c>
      <c r="F288" s="180"/>
    </row>
    <row r="289" spans="1:12" s="1" customFormat="1" ht="12.75" hidden="1" x14ac:dyDescent="0.2">
      <c r="A289" s="113">
        <v>5</v>
      </c>
      <c r="B289" s="179"/>
      <c r="C289" s="179"/>
      <c r="D289" s="89"/>
      <c r="E289" s="179" t="s">
        <v>271</v>
      </c>
      <c r="F289" s="180"/>
      <c r="G289" s="56"/>
      <c r="H289" s="56"/>
      <c r="I289" s="56"/>
      <c r="J289" s="56"/>
      <c r="K289" s="56"/>
      <c r="L289" s="56"/>
    </row>
    <row r="290" spans="1:12" s="1" customFormat="1" ht="12.75" hidden="1" x14ac:dyDescent="0.2">
      <c r="A290" s="113">
        <v>6</v>
      </c>
      <c r="B290" s="179"/>
      <c r="C290" s="179"/>
      <c r="D290" s="89"/>
      <c r="E290" s="179" t="s">
        <v>271</v>
      </c>
      <c r="F290" s="180"/>
      <c r="G290" s="56"/>
      <c r="H290" s="56"/>
      <c r="I290" s="56"/>
      <c r="J290" s="56"/>
      <c r="K290" s="57"/>
      <c r="L290" s="56"/>
    </row>
    <row r="291" spans="1:12" s="1" customFormat="1" ht="61.5" customHeight="1" x14ac:dyDescent="0.2">
      <c r="A291" s="113" t="s">
        <v>211</v>
      </c>
      <c r="B291" s="49" t="s">
        <v>212</v>
      </c>
      <c r="C291" s="49" t="s">
        <v>213</v>
      </c>
      <c r="D291" s="49" t="s">
        <v>214</v>
      </c>
      <c r="E291" s="49" t="s">
        <v>215</v>
      </c>
      <c r="F291" s="109" t="s">
        <v>216</v>
      </c>
      <c r="G291" s="58"/>
      <c r="H291" s="58"/>
      <c r="I291" s="58"/>
      <c r="J291" s="58"/>
      <c r="K291" s="56"/>
      <c r="L291" s="58"/>
    </row>
    <row r="292" spans="1:12" s="1" customFormat="1" ht="12.75" x14ac:dyDescent="0.2">
      <c r="A292" s="113" t="s">
        <v>217</v>
      </c>
      <c r="B292" s="89">
        <v>50</v>
      </c>
      <c r="C292" s="89" t="s">
        <v>244</v>
      </c>
      <c r="D292" s="89" t="s">
        <v>370</v>
      </c>
      <c r="E292" s="89" t="s">
        <v>372</v>
      </c>
      <c r="F292" s="120"/>
      <c r="G292" s="56"/>
      <c r="H292" s="56"/>
      <c r="I292" s="56"/>
      <c r="J292" s="56"/>
      <c r="K292" s="56"/>
      <c r="L292" s="56"/>
    </row>
    <row r="293" spans="1:12" s="1" customFormat="1" ht="12.75" hidden="1" x14ac:dyDescent="0.2">
      <c r="A293" s="113" t="s">
        <v>218</v>
      </c>
      <c r="B293" s="89"/>
      <c r="C293" s="89"/>
      <c r="D293" s="89"/>
      <c r="E293" s="89"/>
      <c r="F293" s="120"/>
      <c r="G293" s="56"/>
      <c r="H293" s="56"/>
      <c r="I293" s="56"/>
      <c r="J293" s="56"/>
      <c r="K293" s="56"/>
      <c r="L293" s="56"/>
    </row>
    <row r="294" spans="1:12" s="1" customFormat="1" ht="12.75" hidden="1" x14ac:dyDescent="0.2">
      <c r="A294" s="113" t="s">
        <v>219</v>
      </c>
      <c r="B294" s="89"/>
      <c r="C294" s="89"/>
      <c r="D294" s="89"/>
      <c r="E294" s="89"/>
      <c r="F294" s="120"/>
    </row>
    <row r="295" spans="1:12" s="1" customFormat="1" ht="12.75" hidden="1" x14ac:dyDescent="0.2">
      <c r="A295" s="113" t="s">
        <v>220</v>
      </c>
      <c r="B295" s="89"/>
      <c r="C295" s="89"/>
      <c r="D295" s="89"/>
      <c r="E295" s="89"/>
      <c r="F295" s="120"/>
    </row>
    <row r="296" spans="1:12" s="1" customFormat="1" ht="60.75" customHeight="1" x14ac:dyDescent="0.2">
      <c r="A296" s="113" t="s">
        <v>221</v>
      </c>
      <c r="B296" s="49" t="s">
        <v>212</v>
      </c>
      <c r="C296" s="49" t="s">
        <v>213</v>
      </c>
      <c r="D296" s="233" t="s">
        <v>222</v>
      </c>
      <c r="E296" s="233"/>
      <c r="F296" s="109" t="s">
        <v>223</v>
      </c>
      <c r="G296" s="54"/>
      <c r="H296" s="54"/>
      <c r="I296" s="54"/>
      <c r="J296" s="54"/>
      <c r="L296" s="54"/>
    </row>
    <row r="297" spans="1:12" s="1" customFormat="1" ht="12.75" x14ac:dyDescent="0.2">
      <c r="A297" s="113" t="s">
        <v>224</v>
      </c>
      <c r="B297" s="89" t="s">
        <v>244</v>
      </c>
      <c r="C297" s="89" t="s">
        <v>244</v>
      </c>
      <c r="D297" s="179"/>
      <c r="E297" s="179"/>
      <c r="F297" s="120"/>
    </row>
    <row r="298" spans="1:12" s="1" customFormat="1" ht="12.75" hidden="1" x14ac:dyDescent="0.2">
      <c r="A298" s="113" t="s">
        <v>225</v>
      </c>
      <c r="B298" s="89"/>
      <c r="C298" s="89"/>
      <c r="D298" s="179"/>
      <c r="E298" s="179"/>
      <c r="F298" s="120"/>
    </row>
    <row r="299" spans="1:12" s="1" customFormat="1" ht="12.75" hidden="1" x14ac:dyDescent="0.2">
      <c r="A299" s="113" t="s">
        <v>226</v>
      </c>
      <c r="B299" s="89"/>
      <c r="C299" s="89"/>
      <c r="D299" s="179"/>
      <c r="E299" s="179"/>
      <c r="F299" s="120"/>
    </row>
    <row r="300" spans="1:12" s="1" customFormat="1" ht="60.75" customHeight="1" x14ac:dyDescent="0.25">
      <c r="A300" s="113" t="s">
        <v>227</v>
      </c>
      <c r="B300" s="49" t="s">
        <v>212</v>
      </c>
      <c r="C300" s="49" t="s">
        <v>213</v>
      </c>
      <c r="D300" s="233" t="s">
        <v>228</v>
      </c>
      <c r="E300" s="233"/>
      <c r="F300" s="109" t="s">
        <v>229</v>
      </c>
      <c r="G300" s="53"/>
      <c r="H300" s="53"/>
      <c r="I300" s="53"/>
      <c r="J300" s="55"/>
      <c r="K300" s="44"/>
      <c r="L300" s="53"/>
    </row>
    <row r="301" spans="1:12" s="1" customFormat="1" x14ac:dyDescent="0.25">
      <c r="A301" s="113" t="s">
        <v>147</v>
      </c>
      <c r="B301" s="89" t="s">
        <v>244</v>
      </c>
      <c r="C301" s="89">
        <v>1000000</v>
      </c>
      <c r="D301" s="179"/>
      <c r="E301" s="179"/>
      <c r="F301" s="120"/>
      <c r="G301" s="53"/>
      <c r="K301"/>
    </row>
    <row r="302" spans="1:12" s="1" customFormat="1" x14ac:dyDescent="0.25">
      <c r="A302" s="113" t="s">
        <v>371</v>
      </c>
      <c r="B302" s="89" t="s">
        <v>244</v>
      </c>
      <c r="C302" s="143">
        <v>1300000</v>
      </c>
      <c r="D302" s="179"/>
      <c r="E302" s="179"/>
      <c r="F302" s="120"/>
      <c r="G302" s="53"/>
      <c r="K302" s="44"/>
    </row>
    <row r="303" spans="1:12" s="1" customFormat="1" ht="24" hidden="1" x14ac:dyDescent="0.25">
      <c r="A303" s="113" t="s">
        <v>230</v>
      </c>
      <c r="B303" s="89"/>
      <c r="C303" s="89"/>
      <c r="D303" s="179"/>
      <c r="E303" s="179"/>
      <c r="F303" s="120"/>
      <c r="G303" s="53"/>
      <c r="K303"/>
    </row>
    <row r="304" spans="1:12" s="1" customFormat="1" hidden="1" x14ac:dyDescent="0.25">
      <c r="A304" s="113" t="s">
        <v>231</v>
      </c>
      <c r="B304" s="89"/>
      <c r="C304" s="89"/>
      <c r="D304" s="179"/>
      <c r="E304" s="179"/>
      <c r="F304" s="120"/>
      <c r="G304" s="53"/>
      <c r="K304"/>
    </row>
    <row r="305" spans="1:11" s="1" customFormat="1" hidden="1" x14ac:dyDescent="0.25">
      <c r="A305" s="113" t="s">
        <v>232</v>
      </c>
      <c r="B305" s="89"/>
      <c r="C305" s="89"/>
      <c r="D305" s="179"/>
      <c r="E305" s="179"/>
      <c r="F305" s="120"/>
      <c r="G305" s="53"/>
      <c r="K305"/>
    </row>
    <row r="306" spans="1:11" s="1" customFormat="1" hidden="1" x14ac:dyDescent="0.25">
      <c r="A306" s="113" t="s">
        <v>233</v>
      </c>
      <c r="B306" s="89"/>
      <c r="C306" s="89"/>
      <c r="D306" s="179"/>
      <c r="E306" s="179"/>
      <c r="F306" s="120"/>
      <c r="G306" s="53"/>
      <c r="K306"/>
    </row>
    <row r="307" spans="1:11" s="1" customFormat="1" ht="30" hidden="1" customHeight="1" x14ac:dyDescent="0.25">
      <c r="A307" s="113" t="s">
        <v>234</v>
      </c>
      <c r="B307" s="89"/>
      <c r="C307" s="89"/>
      <c r="D307" s="179"/>
      <c r="E307" s="179"/>
      <c r="F307" s="120"/>
      <c r="G307" s="53"/>
      <c r="K307"/>
    </row>
    <row r="308" spans="1:11" s="1" customFormat="1" ht="30" hidden="1" customHeight="1" x14ac:dyDescent="0.25">
      <c r="A308" s="113" t="s">
        <v>235</v>
      </c>
      <c r="B308" s="89"/>
      <c r="C308" s="89"/>
      <c r="D308" s="179"/>
      <c r="E308" s="179"/>
      <c r="F308" s="120"/>
      <c r="G308" s="53"/>
      <c r="K308"/>
    </row>
    <row r="309" spans="1:11" s="1" customFormat="1" ht="30" hidden="1" customHeight="1" thickBot="1" x14ac:dyDescent="0.3">
      <c r="A309" s="121" t="s">
        <v>236</v>
      </c>
      <c r="B309" s="122"/>
      <c r="C309" s="122"/>
      <c r="D309" s="257"/>
      <c r="E309" s="257"/>
      <c r="F309" s="123"/>
      <c r="G309" s="53"/>
      <c r="K309"/>
    </row>
    <row r="310" spans="1:11" s="44" customFormat="1" x14ac:dyDescent="0.25">
      <c r="A310" s="254" t="s">
        <v>58</v>
      </c>
      <c r="B310" s="254"/>
      <c r="C310" s="254"/>
      <c r="D310" s="254"/>
      <c r="E310" s="254"/>
      <c r="F310" s="254"/>
      <c r="K310"/>
    </row>
    <row r="311" spans="1:11" s="44" customFormat="1" x14ac:dyDescent="0.25">
      <c r="A311" s="99">
        <v>1</v>
      </c>
      <c r="B311" s="165" t="s">
        <v>380</v>
      </c>
      <c r="C311" s="165"/>
      <c r="D311" s="165"/>
      <c r="E311" s="165"/>
      <c r="F311" s="165"/>
      <c r="K311"/>
    </row>
    <row r="312" spans="1:11" s="44" customFormat="1" x14ac:dyDescent="0.25">
      <c r="A312" s="99">
        <f t="shared" ref="A312:A318" si="46">A311+1</f>
        <v>2</v>
      </c>
      <c r="B312" s="165" t="s">
        <v>280</v>
      </c>
      <c r="C312" s="165"/>
      <c r="D312" s="165"/>
      <c r="E312" s="165"/>
      <c r="F312" s="165"/>
      <c r="K312"/>
    </row>
    <row r="313" spans="1:11" s="44" customFormat="1" x14ac:dyDescent="0.25">
      <c r="A313" s="99">
        <f t="shared" si="46"/>
        <v>3</v>
      </c>
      <c r="B313" s="255" t="str">
        <f>(IF(F192="Saleable area Loading :","We have considered Saleable area of Flats as per our Calculation.","We considered Saleable area of Flat as per Builder area Sheet."))</f>
        <v>We have considered Saleable area of Flats as per our Calculation.</v>
      </c>
      <c r="C313" s="256"/>
      <c r="D313" s="256"/>
      <c r="E313" s="256"/>
      <c r="F313" s="256"/>
      <c r="K313"/>
    </row>
    <row r="314" spans="1:11" s="44" customFormat="1" x14ac:dyDescent="0.25">
      <c r="A314" s="99">
        <f t="shared" si="46"/>
        <v>4</v>
      </c>
      <c r="B314" s="256" t="s">
        <v>366</v>
      </c>
      <c r="C314" s="256"/>
      <c r="D314" s="256"/>
      <c r="E314" s="256"/>
      <c r="F314" s="256"/>
      <c r="K314"/>
    </row>
    <row r="315" spans="1:11" s="44" customFormat="1" x14ac:dyDescent="0.25">
      <c r="A315" s="99">
        <f t="shared" si="46"/>
        <v>5</v>
      </c>
      <c r="B315" s="165" t="s">
        <v>272</v>
      </c>
      <c r="C315" s="165"/>
      <c r="D315" s="165"/>
      <c r="E315" s="165"/>
      <c r="F315" s="165"/>
      <c r="K315"/>
    </row>
    <row r="316" spans="1:11" s="44" customFormat="1" x14ac:dyDescent="0.25">
      <c r="A316" s="99">
        <f t="shared" si="46"/>
        <v>6</v>
      </c>
      <c r="B316" s="256" t="s">
        <v>381</v>
      </c>
      <c r="C316" s="256"/>
      <c r="D316" s="256"/>
      <c r="E316" s="256"/>
      <c r="F316" s="256"/>
      <c r="G316" s="256" t="s">
        <v>367</v>
      </c>
      <c r="H316" s="256"/>
      <c r="I316" s="256"/>
      <c r="J316" s="256"/>
      <c r="K316" s="256"/>
    </row>
    <row r="317" spans="1:11" s="44" customFormat="1" x14ac:dyDescent="0.25">
      <c r="A317" s="99">
        <f t="shared" si="46"/>
        <v>7</v>
      </c>
      <c r="B317" s="165" t="s">
        <v>273</v>
      </c>
      <c r="C317" s="165"/>
      <c r="D317" s="165"/>
      <c r="E317" s="165"/>
      <c r="F317" s="165"/>
      <c r="K317"/>
    </row>
    <row r="318" spans="1:11" s="44" customFormat="1" ht="30" hidden="1" customHeight="1" x14ac:dyDescent="0.25">
      <c r="A318" s="99">
        <f t="shared" si="46"/>
        <v>8</v>
      </c>
      <c r="B318" s="260" t="s">
        <v>274</v>
      </c>
      <c r="C318" s="260"/>
      <c r="D318" s="260"/>
      <c r="E318" s="260"/>
      <c r="F318" s="260"/>
      <c r="K318"/>
    </row>
    <row r="319" spans="1:11" s="44" customFormat="1" x14ac:dyDescent="0.25">
      <c r="A319" s="99">
        <v>8</v>
      </c>
      <c r="B319" s="165" t="s">
        <v>384</v>
      </c>
      <c r="C319" s="165"/>
      <c r="D319" s="165"/>
      <c r="E319" s="165"/>
      <c r="F319" s="165"/>
      <c r="K319"/>
    </row>
    <row r="320" spans="1:11" s="44" customFormat="1" x14ac:dyDescent="0.25">
      <c r="A320" s="99">
        <v>9</v>
      </c>
      <c r="B320" s="165" t="s">
        <v>383</v>
      </c>
      <c r="C320" s="165"/>
      <c r="D320" s="165"/>
      <c r="E320" s="165"/>
      <c r="F320" s="165"/>
      <c r="K320"/>
    </row>
    <row r="321" spans="1:6" x14ac:dyDescent="0.25">
      <c r="A321" s="258" t="s">
        <v>59</v>
      </c>
      <c r="B321" s="258"/>
      <c r="C321" s="259" t="str">
        <f>B2</f>
        <v>Rivali Park Stargaze Tower 2</v>
      </c>
      <c r="D321" s="259"/>
      <c r="E321" s="259"/>
      <c r="F321" s="259"/>
    </row>
    <row r="367" spans="1:1" x14ac:dyDescent="0.25">
      <c r="A367" s="50" t="s">
        <v>60</v>
      </c>
    </row>
    <row r="413" spans="1:1" x14ac:dyDescent="0.25">
      <c r="A413" s="50" t="s">
        <v>61</v>
      </c>
    </row>
    <row r="414" spans="1:1" x14ac:dyDescent="0.25">
      <c r="A414" s="50"/>
    </row>
    <row r="455" spans="1:6" ht="57" customHeight="1" x14ac:dyDescent="0.25">
      <c r="A455" s="51" t="s">
        <v>62</v>
      </c>
      <c r="B455" s="141" t="s">
        <v>374</v>
      </c>
      <c r="C455" s="252" t="s">
        <v>63</v>
      </c>
      <c r="D455" s="252"/>
      <c r="E455" s="253"/>
      <c r="F455" s="253"/>
    </row>
  </sheetData>
  <dataConsolidate/>
  <mergeCells count="397">
    <mergeCell ref="G316:K316"/>
    <mergeCell ref="B320:F320"/>
    <mergeCell ref="G188:H188"/>
    <mergeCell ref="A190:F190"/>
    <mergeCell ref="G189:H189"/>
    <mergeCell ref="C186:D186"/>
    <mergeCell ref="E186:F186"/>
    <mergeCell ref="G186:H186"/>
    <mergeCell ref="C187:D187"/>
    <mergeCell ref="E187:F187"/>
    <mergeCell ref="B286:C286"/>
    <mergeCell ref="E286:F286"/>
    <mergeCell ref="B287:C287"/>
    <mergeCell ref="E287:F287"/>
    <mergeCell ref="A194:F194"/>
    <mergeCell ref="A199:F199"/>
    <mergeCell ref="C189:D189"/>
    <mergeCell ref="A195:F195"/>
    <mergeCell ref="A196:F196"/>
    <mergeCell ref="A197:F197"/>
    <mergeCell ref="A198:F198"/>
    <mergeCell ref="B218:F219"/>
    <mergeCell ref="A220:F220"/>
    <mergeCell ref="A248:F248"/>
    <mergeCell ref="G52:H52"/>
    <mergeCell ref="G176:H176"/>
    <mergeCell ref="A175:F175"/>
    <mergeCell ref="G187:H187"/>
    <mergeCell ref="G177:H177"/>
    <mergeCell ref="C178:D178"/>
    <mergeCell ref="E178:F178"/>
    <mergeCell ref="G178:H178"/>
    <mergeCell ref="C183:D183"/>
    <mergeCell ref="E183:F183"/>
    <mergeCell ref="G183:H183"/>
    <mergeCell ref="C184:D184"/>
    <mergeCell ref="E184:F184"/>
    <mergeCell ref="G184:H184"/>
    <mergeCell ref="E108:F108"/>
    <mergeCell ref="B100:F100"/>
    <mergeCell ref="A101:F101"/>
    <mergeCell ref="A105:F105"/>
    <mergeCell ref="B104:C104"/>
    <mergeCell ref="E104:F104"/>
    <mergeCell ref="E107:F107"/>
    <mergeCell ref="A172:F172"/>
    <mergeCell ref="A52:B52"/>
    <mergeCell ref="A155:F155"/>
    <mergeCell ref="B156:F156"/>
    <mergeCell ref="B157:C157"/>
    <mergeCell ref="D157:E157"/>
    <mergeCell ref="B158:C158"/>
    <mergeCell ref="D158:E158"/>
    <mergeCell ref="B159:F159"/>
    <mergeCell ref="E160:F160"/>
    <mergeCell ref="E161:F169"/>
    <mergeCell ref="A118:F118"/>
    <mergeCell ref="A121:B121"/>
    <mergeCell ref="C121:F121"/>
    <mergeCell ref="A127:B127"/>
    <mergeCell ref="A128:B128"/>
    <mergeCell ref="C127:F127"/>
    <mergeCell ref="C128:F128"/>
    <mergeCell ref="E133:F141"/>
    <mergeCell ref="E146:F154"/>
    <mergeCell ref="B131:F131"/>
    <mergeCell ref="E132:F132"/>
    <mergeCell ref="G112:H112"/>
    <mergeCell ref="G113:H113"/>
    <mergeCell ref="G125:H125"/>
    <mergeCell ref="G126:H126"/>
    <mergeCell ref="G127:H127"/>
    <mergeCell ref="G128:H128"/>
    <mergeCell ref="C113:F113"/>
    <mergeCell ref="A125:B125"/>
    <mergeCell ref="C125:F125"/>
    <mergeCell ref="A117:D117"/>
    <mergeCell ref="A126:B126"/>
    <mergeCell ref="C126:F126"/>
    <mergeCell ref="A114:F114"/>
    <mergeCell ref="A115:D115"/>
    <mergeCell ref="E115:F115"/>
    <mergeCell ref="A116:D116"/>
    <mergeCell ref="E116:F116"/>
    <mergeCell ref="A113:B113"/>
    <mergeCell ref="G121:H121"/>
    <mergeCell ref="C122:F122"/>
    <mergeCell ref="G122:H122"/>
    <mergeCell ref="C123:F123"/>
    <mergeCell ref="G123:H123"/>
    <mergeCell ref="E117:F117"/>
    <mergeCell ref="D92:F92"/>
    <mergeCell ref="A71:F71"/>
    <mergeCell ref="B81:F81"/>
    <mergeCell ref="A65:B65"/>
    <mergeCell ref="A66:B66"/>
    <mergeCell ref="C64:F64"/>
    <mergeCell ref="C65:F65"/>
    <mergeCell ref="C66:F66"/>
    <mergeCell ref="B109:C109"/>
    <mergeCell ref="E109:F109"/>
    <mergeCell ref="B107:C107"/>
    <mergeCell ref="B106:C106"/>
    <mergeCell ref="E106:F106"/>
    <mergeCell ref="B108:C108"/>
    <mergeCell ref="D84:F84"/>
    <mergeCell ref="D85:F85"/>
    <mergeCell ref="D86:F86"/>
    <mergeCell ref="D87:F87"/>
    <mergeCell ref="D91:F91"/>
    <mergeCell ref="D88:F88"/>
    <mergeCell ref="A87:A88"/>
    <mergeCell ref="B87:B88"/>
    <mergeCell ref="C87:C88"/>
    <mergeCell ref="A89:A90"/>
    <mergeCell ref="E110:F110"/>
    <mergeCell ref="B110:C110"/>
    <mergeCell ref="A112:B112"/>
    <mergeCell ref="C112:F112"/>
    <mergeCell ref="G50:H50"/>
    <mergeCell ref="G51:H51"/>
    <mergeCell ref="B111:C111"/>
    <mergeCell ref="D93:F93"/>
    <mergeCell ref="A64:B64"/>
    <mergeCell ref="C60:F60"/>
    <mergeCell ref="C56:F56"/>
    <mergeCell ref="A54:F54"/>
    <mergeCell ref="A55:B55"/>
    <mergeCell ref="C55:F55"/>
    <mergeCell ref="A56:B56"/>
    <mergeCell ref="B103:C103"/>
    <mergeCell ref="E103:F103"/>
    <mergeCell ref="D94:F94"/>
    <mergeCell ref="D95:F95"/>
    <mergeCell ref="D96:F96"/>
    <mergeCell ref="D97:F97"/>
    <mergeCell ref="D98:F98"/>
    <mergeCell ref="D99:F99"/>
    <mergeCell ref="E111:F111"/>
    <mergeCell ref="J84:L84"/>
    <mergeCell ref="A67:F67"/>
    <mergeCell ref="A63:F63"/>
    <mergeCell ref="A61:B61"/>
    <mergeCell ref="C61:F61"/>
    <mergeCell ref="G53:H53"/>
    <mergeCell ref="G54:H54"/>
    <mergeCell ref="G59:H59"/>
    <mergeCell ref="G60:H60"/>
    <mergeCell ref="G61:H61"/>
    <mergeCell ref="G62:H62"/>
    <mergeCell ref="G64:H64"/>
    <mergeCell ref="G65:H65"/>
    <mergeCell ref="G66:H66"/>
    <mergeCell ref="G67:H67"/>
    <mergeCell ref="A80:F80"/>
    <mergeCell ref="A62:B62"/>
    <mergeCell ref="C62:F62"/>
    <mergeCell ref="C188:D188"/>
    <mergeCell ref="E188:F188"/>
    <mergeCell ref="C179:D179"/>
    <mergeCell ref="E179:F179"/>
    <mergeCell ref="E177:F177"/>
    <mergeCell ref="A206:F206"/>
    <mergeCell ref="B316:F316"/>
    <mergeCell ref="B317:F317"/>
    <mergeCell ref="E189:F189"/>
    <mergeCell ref="B288:C288"/>
    <mergeCell ref="A191:F191"/>
    <mergeCell ref="A192:A193"/>
    <mergeCell ref="B192:B193"/>
    <mergeCell ref="C192:C193"/>
    <mergeCell ref="D192:D193"/>
    <mergeCell ref="E192:E193"/>
    <mergeCell ref="A185:F185"/>
    <mergeCell ref="A321:B321"/>
    <mergeCell ref="C321:F321"/>
    <mergeCell ref="B318:F318"/>
    <mergeCell ref="B289:C289"/>
    <mergeCell ref="E289:F289"/>
    <mergeCell ref="E284:F284"/>
    <mergeCell ref="B285:C285"/>
    <mergeCell ref="E285:F285"/>
    <mergeCell ref="A262:F262"/>
    <mergeCell ref="B284:C284"/>
    <mergeCell ref="C455:D455"/>
    <mergeCell ref="E455:F455"/>
    <mergeCell ref="D305:E305"/>
    <mergeCell ref="D306:E306"/>
    <mergeCell ref="B290:C290"/>
    <mergeCell ref="E290:F290"/>
    <mergeCell ref="A310:F310"/>
    <mergeCell ref="B311:F311"/>
    <mergeCell ref="B312:F312"/>
    <mergeCell ref="B313:F313"/>
    <mergeCell ref="B314:F314"/>
    <mergeCell ref="B315:F315"/>
    <mergeCell ref="D301:E301"/>
    <mergeCell ref="D303:E303"/>
    <mergeCell ref="D304:E304"/>
    <mergeCell ref="D307:E307"/>
    <mergeCell ref="D308:E308"/>
    <mergeCell ref="D309:E309"/>
    <mergeCell ref="D296:E296"/>
    <mergeCell ref="D300:E300"/>
    <mergeCell ref="D297:E297"/>
    <mergeCell ref="D298:E298"/>
    <mergeCell ref="D299:E299"/>
    <mergeCell ref="D302:E302"/>
    <mergeCell ref="G207:H207"/>
    <mergeCell ref="L207:M207"/>
    <mergeCell ref="A213:F213"/>
    <mergeCell ref="G214:H214"/>
    <mergeCell ref="L214:M214"/>
    <mergeCell ref="B204:F205"/>
    <mergeCell ref="B211:F212"/>
    <mergeCell ref="A283:F283"/>
    <mergeCell ref="L200:M200"/>
    <mergeCell ref="G221:H221"/>
    <mergeCell ref="L221:M221"/>
    <mergeCell ref="A227:F227"/>
    <mergeCell ref="G228:H228"/>
    <mergeCell ref="L228:M228"/>
    <mergeCell ref="B221:F224"/>
    <mergeCell ref="A241:F241"/>
    <mergeCell ref="G242:H242"/>
    <mergeCell ref="L242:M242"/>
    <mergeCell ref="L277:M277"/>
    <mergeCell ref="B277:F277"/>
    <mergeCell ref="B280:F280"/>
    <mergeCell ref="G249:H249"/>
    <mergeCell ref="L249:M249"/>
    <mergeCell ref="A269:F269"/>
    <mergeCell ref="G193:H193"/>
    <mergeCell ref="G200:H200"/>
    <mergeCell ref="G192:K192"/>
    <mergeCell ref="A1:F1"/>
    <mergeCell ref="B2:D2"/>
    <mergeCell ref="A3:F3"/>
    <mergeCell ref="A10:F10"/>
    <mergeCell ref="A4:B4"/>
    <mergeCell ref="A82:F82"/>
    <mergeCell ref="B83:F83"/>
    <mergeCell ref="A42:F42"/>
    <mergeCell ref="C4:F4"/>
    <mergeCell ref="A5:B5"/>
    <mergeCell ref="A6:B6"/>
    <mergeCell ref="C5:F5"/>
    <mergeCell ref="C6:F6"/>
    <mergeCell ref="A7:B7"/>
    <mergeCell ref="A14:F14"/>
    <mergeCell ref="C12:D12"/>
    <mergeCell ref="E12:F12"/>
    <mergeCell ref="C13:D13"/>
    <mergeCell ref="E13:F13"/>
    <mergeCell ref="A37:B37"/>
    <mergeCell ref="A33:B33"/>
    <mergeCell ref="A39:B39"/>
    <mergeCell ref="C39:F39"/>
    <mergeCell ref="E24:F24"/>
    <mergeCell ref="C33:F33"/>
    <mergeCell ref="A34:B34"/>
    <mergeCell ref="C34:F34"/>
    <mergeCell ref="A8:B8"/>
    <mergeCell ref="B24:C24"/>
    <mergeCell ref="C37:F37"/>
    <mergeCell ref="A36:B36"/>
    <mergeCell ref="C36:F36"/>
    <mergeCell ref="A28:B28"/>
    <mergeCell ref="A29:B29"/>
    <mergeCell ref="A30:B30"/>
    <mergeCell ref="A31:B31"/>
    <mergeCell ref="B18:F18"/>
    <mergeCell ref="C51:F51"/>
    <mergeCell ref="A46:B46"/>
    <mergeCell ref="A48:B48"/>
    <mergeCell ref="C52:F52"/>
    <mergeCell ref="C48:F48"/>
    <mergeCell ref="C7:F7"/>
    <mergeCell ref="C8:F8"/>
    <mergeCell ref="A9:B9"/>
    <mergeCell ref="C9:F9"/>
    <mergeCell ref="A15:B15"/>
    <mergeCell ref="A44:B44"/>
    <mergeCell ref="C44:F44"/>
    <mergeCell ref="A43:B43"/>
    <mergeCell ref="C43:F43"/>
    <mergeCell ref="C15:F15"/>
    <mergeCell ref="B26:C26"/>
    <mergeCell ref="E26:F26"/>
    <mergeCell ref="B21:C21"/>
    <mergeCell ref="E21:F21"/>
    <mergeCell ref="E20:F20"/>
    <mergeCell ref="B22:C22"/>
    <mergeCell ref="E22:F22"/>
    <mergeCell ref="B23:C23"/>
    <mergeCell ref="E23:F23"/>
    <mergeCell ref="A40:B40"/>
    <mergeCell ref="C40:F40"/>
    <mergeCell ref="A41:B41"/>
    <mergeCell ref="C46:F46"/>
    <mergeCell ref="A47:B47"/>
    <mergeCell ref="C47:F47"/>
    <mergeCell ref="A49:B49"/>
    <mergeCell ref="C49:F49"/>
    <mergeCell ref="A50:B50"/>
    <mergeCell ref="C50:F50"/>
    <mergeCell ref="A16:F16"/>
    <mergeCell ref="A27:F27"/>
    <mergeCell ref="A32:F32"/>
    <mergeCell ref="B17:F17"/>
    <mergeCell ref="B19:C19"/>
    <mergeCell ref="E19:F19"/>
    <mergeCell ref="B20:C20"/>
    <mergeCell ref="B25:F25"/>
    <mergeCell ref="A38:B38"/>
    <mergeCell ref="C38:F38"/>
    <mergeCell ref="A35:B35"/>
    <mergeCell ref="C35:F35"/>
    <mergeCell ref="I12:J12"/>
    <mergeCell ref="I13:J13"/>
    <mergeCell ref="G29:H29"/>
    <mergeCell ref="G30:H30"/>
    <mergeCell ref="G31:H31"/>
    <mergeCell ref="G32:H32"/>
    <mergeCell ref="G35:H35"/>
    <mergeCell ref="G33:H34"/>
    <mergeCell ref="G45:H45"/>
    <mergeCell ref="G36:H36"/>
    <mergeCell ref="G37:H37"/>
    <mergeCell ref="G38:H38"/>
    <mergeCell ref="G39:H39"/>
    <mergeCell ref="G40:H40"/>
    <mergeCell ref="G41:H41"/>
    <mergeCell ref="G42:H42"/>
    <mergeCell ref="G48:H48"/>
    <mergeCell ref="G43:H43"/>
    <mergeCell ref="G44:H44"/>
    <mergeCell ref="A142:B143"/>
    <mergeCell ref="B144:F144"/>
    <mergeCell ref="E145:F145"/>
    <mergeCell ref="C124:F124"/>
    <mergeCell ref="G179:H179"/>
    <mergeCell ref="I176:L177"/>
    <mergeCell ref="C177:D177"/>
    <mergeCell ref="A129:B130"/>
    <mergeCell ref="C41:F41"/>
    <mergeCell ref="A53:B53"/>
    <mergeCell ref="C53:F53"/>
    <mergeCell ref="A59:B59"/>
    <mergeCell ref="C59:F59"/>
    <mergeCell ref="A60:B60"/>
    <mergeCell ref="A57:B57"/>
    <mergeCell ref="C57:F57"/>
    <mergeCell ref="G46:H46"/>
    <mergeCell ref="G47:H47"/>
    <mergeCell ref="G49:H49"/>
    <mergeCell ref="A45:B45"/>
    <mergeCell ref="C45:F45"/>
    <mergeCell ref="A58:B58"/>
    <mergeCell ref="C58:F58"/>
    <mergeCell ref="A51:B51"/>
    <mergeCell ref="A180:F180"/>
    <mergeCell ref="C181:D181"/>
    <mergeCell ref="E181:F181"/>
    <mergeCell ref="G181:H181"/>
    <mergeCell ref="I181:L182"/>
    <mergeCell ref="C182:D182"/>
    <mergeCell ref="E182:F182"/>
    <mergeCell ref="G182:H182"/>
    <mergeCell ref="A170:D171"/>
    <mergeCell ref="E170:F171"/>
    <mergeCell ref="E176:F176"/>
    <mergeCell ref="C176:D176"/>
    <mergeCell ref="B89:B90"/>
    <mergeCell ref="C89:C90"/>
    <mergeCell ref="D89:F89"/>
    <mergeCell ref="D90:F90"/>
    <mergeCell ref="B319:F319"/>
    <mergeCell ref="G270:H270"/>
    <mergeCell ref="L270:M270"/>
    <mergeCell ref="A234:F234"/>
    <mergeCell ref="B235:F238"/>
    <mergeCell ref="G235:H235"/>
    <mergeCell ref="L235:M235"/>
    <mergeCell ref="A255:F255"/>
    <mergeCell ref="B256:F259"/>
    <mergeCell ref="G256:H256"/>
    <mergeCell ref="L256:M256"/>
    <mergeCell ref="B263:F266"/>
    <mergeCell ref="G263:H263"/>
    <mergeCell ref="L263:M263"/>
    <mergeCell ref="H284:I284"/>
    <mergeCell ref="E288:F288"/>
    <mergeCell ref="A276:F276"/>
    <mergeCell ref="G277:H277"/>
    <mergeCell ref="G124:H124"/>
    <mergeCell ref="A122:B124"/>
  </mergeCells>
  <dataValidations count="18">
    <dataValidation type="list" allowBlank="1" showInputMessage="1" showErrorMessage="1" sqref="B40:B41 B37:B38 B34:B35">
      <formula1>$C$325:$C$330</formula1>
    </dataValidation>
    <dataValidation type="list" allowBlank="1" showInputMessage="1" showErrorMessage="1" sqref="F34:F35 F37:F38 F41">
      <formula1>$G$321:$G$323</formula1>
    </dataValidation>
    <dataValidation type="list" allowBlank="1" showInputMessage="1" showErrorMessage="1" sqref="F2">
      <formula1>"Airoli,Goregaon"</formula1>
    </dataValidation>
    <dataValidation type="list" allowBlank="1" showInputMessage="1" showErrorMessage="1" sqref="D11">
      <formula1>"Mr. Abhishek Manjrekar,Mr. Rushabh Kakade,Miss. Bharti,Mr. Ajinkya Oturkar"</formula1>
    </dataValidation>
    <dataValidation type="list" allowBlank="1" showInputMessage="1" showErrorMessage="1" sqref="E13:F13">
      <formula1>"Shruti Tathare,Gaurav Panchal,Kunal Kadam,Sachin Sawant,Shruti Fule,Hitakshi Mhatre,Anjali Kamble,Sonali Kumbhar,Pooja Kawale,Mansee Mohite"</formula1>
    </dataValidation>
    <dataValidation type="list" allowBlank="1" showInputMessage="1" showErrorMessage="1" sqref="A19">
      <formula1>"Plot No.,Survey No.,CTS No.,Gut No."</formula1>
    </dataValidation>
    <dataValidation type="list" allowBlank="1" showInputMessage="1" showErrorMessage="1" sqref="D20">
      <formula1>"Ward No.,Existing Builidng Name &amp; No.,City"</formula1>
    </dataValidation>
    <dataValidation type="list" allowBlank="1" showInputMessage="1" showErrorMessage="1" sqref="E22:F22">
      <formula1>"Mumbai,Thane,Palghar,Raigad,Pune"</formula1>
    </dataValidation>
    <dataValidation type="list" allowBlank="1" showInputMessage="1" showErrorMessage="1" sqref="C125:F126 B102 C73:F73 B75:F75 B78:F78 B107:C111 E108:F111 E106:F106 B104:C104 C112:F113">
      <formula1>"Yes,No"</formula1>
    </dataValidation>
    <dataValidation type="list" allowBlank="1" showInputMessage="1" showErrorMessage="1" sqref="B85:B87 B91:B94 B97:B99 B89">
      <formula1>"Applicable and Received,Applicable and Not Received,Not Applicable"</formula1>
    </dataValidation>
    <dataValidation type="list" allowBlank="1" showInputMessage="1" showErrorMessage="1" sqref="D102">
      <formula1>"Registered,Not Registered"</formula1>
    </dataValidation>
    <dataValidation type="list" allowBlank="1" showInputMessage="1" showErrorMessage="1" sqref="B106:C106">
      <formula1>"Zone II,Zone III,Zone IV,Zone V"</formula1>
    </dataValidation>
    <dataValidation type="list" allowBlank="1" showInputMessage="1" showErrorMessage="1" sqref="E107:F107">
      <formula1>"Not Appicable,Zone I,Zone II,Zone III,Zone IV"</formula1>
    </dataValidation>
    <dataValidation type="list" allowBlank="1" showInputMessage="1" showErrorMessage="1" sqref="E285:F290">
      <formula1>"Carpet Area,Buildup Area,Saleable Area"</formula1>
    </dataValidation>
    <dataValidation type="list" allowBlank="1" showInputMessage="1" showErrorMessage="1" sqref="B311:F311">
      <formula1>"Construction Work is active at the time of visit. Internal visit not allowed.,Construction Work is not active at the time of visit.,Work not yet Started, All work Completed"</formula1>
    </dataValidation>
    <dataValidation type="list" allowBlank="1" showInputMessage="1" showErrorMessage="1" sqref="B73">
      <formula1>"Yes &amp; 0.15m, No"</formula1>
    </dataValidation>
    <dataValidation type="list" allowBlank="1" showInputMessage="1" showErrorMessage="1" sqref="B95">
      <formula1>"Applicable and Received,Applicable and Not Received,Not Applicable,To be obtained"</formula1>
    </dataValidation>
    <dataValidation type="list" allowBlank="1" showInputMessage="1" showErrorMessage="1" sqref="B96">
      <formula1>"To be obtained,Applicable and Received,Applicable and Not Received,Not Applicable"</formula1>
    </dataValidation>
  </dataValidations>
  <hyperlinks>
    <hyperlink ref="C6" r:id="rId1"/>
    <hyperlink ref="B25" r:id="rId2"/>
  </hyperlinks>
  <pageMargins left="0.39370078740157483" right="0.39370078740157483" top="0.78740157480314965" bottom="0.78740157480314965" header="0.31496062992125984" footer="0.31496062992125984"/>
  <pageSetup fitToHeight="0" orientation="portrait" r:id="rId3"/>
  <headerFooter>
    <oddHeader>&amp;C&amp;G</oddHeader>
    <oddFooter>&amp;L&amp;"-,Bold"Ref No: &amp;F&amp;R&amp;"-,Bold"&amp;P</oddFooter>
  </headerFooter>
  <rowBreaks count="4" manualBreakCount="4">
    <brk id="189" max="5" man="1"/>
    <brk id="320" max="16383" man="1"/>
    <brk id="366" max="16383" man="1"/>
    <brk id="412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K131"/>
  <sheetViews>
    <sheetView topLeftCell="A123" workbookViewId="0">
      <selection activeCell="B124" sqref="B124"/>
    </sheetView>
  </sheetViews>
  <sheetFormatPr defaultRowHeight="15" x14ac:dyDescent="0.25"/>
  <sheetData>
    <row r="104" spans="2:11" ht="15.75" thickBot="1" x14ac:dyDescent="0.3"/>
    <row r="105" spans="2:11" ht="15.75" x14ac:dyDescent="0.25">
      <c r="B105" s="310" t="s">
        <v>4</v>
      </c>
      <c r="C105" s="311"/>
      <c r="D105" s="312" t="s">
        <v>44</v>
      </c>
      <c r="E105" s="313"/>
      <c r="F105" s="313"/>
      <c r="G105" s="313"/>
      <c r="H105" s="313"/>
      <c r="I105" s="314"/>
      <c r="J105" s="13" t="str">
        <f ca="1">(IF(F109&gt;99%,"All work completed. Please provide OC.",IF(F109&gt;89.8%,"Plinth, RCC, Brick, Plaster, Flooring, Painting work Completed. Finishing work is in process.",IF(F109&lt;94%,(IF(D109=0,"Work not yet Started.",IF(E109=25%,"Piling work in process",IF(E109=50%,"Excavation work in process",IF(E109=100%,"Excavation work Completed. ","0")))&amp;(IF(D110=0%,"",IF(D110=K111,"Footing work is process",IF(D110=K112,"Footing work Completed",IF(D110=K113,"1st Basement Completed",IF(D110=K114,"1st &amp; 2nd Basement Completed",IF(D110=K115,"1st to 3rd Basement Completed",IF(D110=K116,"1st to 4th Basement Completed",IF(D110=K117,"Plinth work is process",IF(D110=K118,"Plinth work completed","0")))))))))))&amp;(IF(D111=(D106+E106+F106),", RCC Slab",IF(D111&gt;0,", RCC upto "&amp;D111&amp;" Slab",""))&amp;(IF(D112=F106,", Brickwork",IF(D112&gt;0,", Brickwork upto "&amp;D112&amp;" Floor",""))&amp;(IF(D113=F106,", Internal Plaster",IF(D113&gt;0,", Internal Plaster upto "&amp;D113&amp;" Floor",""))&amp;(IF(D114=F106,", External Plaster",IF(D114&gt;0,", External Plaster upto "&amp;D114&amp;" Floor",""))&amp;(IF(D115=F106,", Flooring",IF(D115&gt;0,", Flooring upto "&amp;D115&amp;" Floor",""))&amp;(IF(D116=F106,", Painting",IF(D116&gt;0,", Painting upto "&amp;D116&amp;" Floor",""))&amp;(IF(D117&gt;0,", Finishing upto "&amp;D117&amp;" Floor","")&amp;(IF(D111&gt;0.5," Completed",""))))))))))))))</f>
        <v>All work completed. Please provide OC.</v>
      </c>
      <c r="K105" s="14"/>
    </row>
    <row r="106" spans="2:11" ht="15.75" x14ac:dyDescent="0.25">
      <c r="B106" s="15" t="s">
        <v>5</v>
      </c>
      <c r="C106" s="16">
        <v>0</v>
      </c>
      <c r="D106" s="32">
        <v>1</v>
      </c>
      <c r="E106" s="33">
        <v>0</v>
      </c>
      <c r="F106" s="33">
        <f ca="1">--TRIM(RIGHT(SUBSTITUTE(LEFT(D105,_xlfn.AGGREGATE(16,6,FIND({0,1,2,3,4,5,6,7,8,9},D105,ROW(INDIRECT("1:"&amp;LEN(D105)))),1))," ",REPT(" ",LEN(D105))),LEN(D105)))</f>
        <v>7</v>
      </c>
      <c r="G106" s="33"/>
      <c r="H106" s="33"/>
      <c r="I106" s="34"/>
      <c r="J106" s="17"/>
      <c r="K106" s="18"/>
    </row>
    <row r="107" spans="2:11" ht="15.75" x14ac:dyDescent="0.25">
      <c r="B107" s="315" t="s">
        <v>9</v>
      </c>
      <c r="C107" s="316"/>
      <c r="D107" s="317" t="str">
        <f>J107</f>
        <v>All work Completed. OC Received.</v>
      </c>
      <c r="E107" s="317"/>
      <c r="F107" s="317"/>
      <c r="G107" s="317"/>
      <c r="H107" s="317"/>
      <c r="I107" s="318"/>
      <c r="J107" s="17" t="s">
        <v>10</v>
      </c>
      <c r="K107" s="18"/>
    </row>
    <row r="108" spans="2:11" ht="31.5" x14ac:dyDescent="0.25">
      <c r="B108" s="319" t="s">
        <v>11</v>
      </c>
      <c r="C108" s="320"/>
      <c r="D108" s="19" t="s">
        <v>13</v>
      </c>
      <c r="E108" s="19" t="s">
        <v>14</v>
      </c>
      <c r="F108" s="320" t="s">
        <v>15</v>
      </c>
      <c r="G108" s="320"/>
      <c r="H108" s="320" t="s">
        <v>41</v>
      </c>
      <c r="I108" s="321"/>
      <c r="J108" s="20" t="s">
        <v>16</v>
      </c>
      <c r="K108" s="21">
        <f ca="1">F106*25%</f>
        <v>1.75</v>
      </c>
    </row>
    <row r="109" spans="2:11" ht="15.75" x14ac:dyDescent="0.25">
      <c r="B109" s="319" t="s">
        <v>17</v>
      </c>
      <c r="C109" s="320"/>
      <c r="D109" s="22">
        <f ca="1">K110</f>
        <v>7</v>
      </c>
      <c r="E109" s="23">
        <f ca="1">((100/F106)*D109)/100</f>
        <v>1</v>
      </c>
      <c r="F109" s="324">
        <f ca="1">(((D110/F106*10)+(40/(D106+E106+F106)*D111)+(7.5/(F106)*D112)+(7.5/(F106)*D113)+(10/F106*D114)+(10/F106*D115)+(5/F106*D116)+(5/F106*D117)+(5/F106*D118))/100)</f>
        <v>1</v>
      </c>
      <c r="G109" s="324"/>
      <c r="H109" s="324">
        <f ca="1">((((D109/F106)*20)+((D110/F106)*25)+(30/(F106+E106+D106)*D111)+(5/F106*D112)+(5/F106*D113)+(5/F106*D114)+(5/F106*D115)+(0/F106*D116)+(0/F106*D117)+(5/F106*D118))/100)</f>
        <v>1</v>
      </c>
      <c r="I109" s="326"/>
      <c r="J109" s="20" t="s">
        <v>18</v>
      </c>
      <c r="K109" s="24">
        <f ca="1">F106*50%</f>
        <v>3.5</v>
      </c>
    </row>
    <row r="110" spans="2:11" ht="15.75" x14ac:dyDescent="0.25">
      <c r="B110" s="319" t="s">
        <v>19</v>
      </c>
      <c r="C110" s="320"/>
      <c r="D110" s="25">
        <f ca="1">K118</f>
        <v>7</v>
      </c>
      <c r="E110" s="23">
        <f ca="1">((100/F106)*D110)/100</f>
        <v>1</v>
      </c>
      <c r="F110" s="324"/>
      <c r="G110" s="324"/>
      <c r="H110" s="324"/>
      <c r="I110" s="326"/>
      <c r="J110" s="20" t="s">
        <v>20</v>
      </c>
      <c r="K110" s="24">
        <f ca="1">F106</f>
        <v>7</v>
      </c>
    </row>
    <row r="111" spans="2:11" ht="15.75" x14ac:dyDescent="0.25">
      <c r="B111" s="328" t="s">
        <v>21</v>
      </c>
      <c r="C111" s="329"/>
      <c r="D111" s="25">
        <v>8</v>
      </c>
      <c r="E111" s="23">
        <f ca="1">((100/(D106+E106+F106))*D111)/100</f>
        <v>1</v>
      </c>
      <c r="F111" s="324"/>
      <c r="G111" s="324"/>
      <c r="H111" s="324"/>
      <c r="I111" s="326"/>
      <c r="J111" s="20" t="s">
        <v>22</v>
      </c>
      <c r="K111" s="26">
        <f ca="1">(IF(C106&gt;1,(F106/(C106+2)),F106/4))</f>
        <v>1.75</v>
      </c>
    </row>
    <row r="112" spans="2:11" ht="15.75" x14ac:dyDescent="0.25">
      <c r="B112" s="319" t="s">
        <v>23</v>
      </c>
      <c r="C112" s="320" t="s">
        <v>42</v>
      </c>
      <c r="D112" s="22">
        <v>7</v>
      </c>
      <c r="E112" s="23">
        <f ca="1">((100/F106)*D112)/100</f>
        <v>1</v>
      </c>
      <c r="F112" s="324"/>
      <c r="G112" s="324"/>
      <c r="H112" s="324"/>
      <c r="I112" s="326"/>
      <c r="J112" s="20" t="s">
        <v>24</v>
      </c>
      <c r="K112" s="26">
        <f ca="1">(IF(C106&gt;1,(F106/(C106+2)+K111),F106/4+K111))</f>
        <v>3.5</v>
      </c>
    </row>
    <row r="113" spans="2:11" ht="15.75" x14ac:dyDescent="0.25">
      <c r="B113" s="319" t="s">
        <v>25</v>
      </c>
      <c r="C113" s="320" t="s">
        <v>42</v>
      </c>
      <c r="D113" s="22">
        <v>7</v>
      </c>
      <c r="E113" s="23">
        <f ca="1">((100/F106)*D113)/100</f>
        <v>1</v>
      </c>
      <c r="F113" s="324"/>
      <c r="G113" s="324"/>
      <c r="H113" s="324"/>
      <c r="I113" s="326"/>
      <c r="J113" s="20" t="s">
        <v>26</v>
      </c>
      <c r="K113" s="26">
        <f>(IF(C106&gt;1,(F106/(C106+2)+K112),0))</f>
        <v>0</v>
      </c>
    </row>
    <row r="114" spans="2:11" ht="15.75" x14ac:dyDescent="0.25">
      <c r="B114" s="319" t="s">
        <v>27</v>
      </c>
      <c r="C114" s="320" t="s">
        <v>43</v>
      </c>
      <c r="D114" s="22">
        <v>7</v>
      </c>
      <c r="E114" s="23">
        <f ca="1">((100/(F106))*D114)/100</f>
        <v>1</v>
      </c>
      <c r="F114" s="324"/>
      <c r="G114" s="324"/>
      <c r="H114" s="324"/>
      <c r="I114" s="326"/>
      <c r="J114" s="20" t="s">
        <v>28</v>
      </c>
      <c r="K114" s="26">
        <f>(IF(C106&gt;2,(F106/(C106+2)+K113),0))</f>
        <v>0</v>
      </c>
    </row>
    <row r="115" spans="2:11" ht="15.75" x14ac:dyDescent="0.25">
      <c r="B115" s="319" t="s">
        <v>29</v>
      </c>
      <c r="C115" s="320" t="s">
        <v>29</v>
      </c>
      <c r="D115" s="22">
        <v>7</v>
      </c>
      <c r="E115" s="23">
        <f ca="1">((100/F106)*D115)/100</f>
        <v>1</v>
      </c>
      <c r="F115" s="324"/>
      <c r="G115" s="324"/>
      <c r="H115" s="324"/>
      <c r="I115" s="326"/>
      <c r="J115" s="20" t="s">
        <v>30</v>
      </c>
      <c r="K115" s="27">
        <f>(IF(C106&gt;3,(F106/(C106+2)+K114),0))</f>
        <v>0</v>
      </c>
    </row>
    <row r="116" spans="2:11" ht="15.75" x14ac:dyDescent="0.25">
      <c r="B116" s="319" t="s">
        <v>31</v>
      </c>
      <c r="C116" s="320"/>
      <c r="D116" s="22">
        <v>7</v>
      </c>
      <c r="E116" s="23">
        <f ca="1">((100/F106)*D116)/100</f>
        <v>1</v>
      </c>
      <c r="F116" s="324"/>
      <c r="G116" s="324"/>
      <c r="H116" s="324"/>
      <c r="I116" s="326"/>
      <c r="J116" s="20" t="s">
        <v>32</v>
      </c>
      <c r="K116" s="26">
        <f>(IF(C106&gt;4,(F106/(C106+2)+K115),0))</f>
        <v>0</v>
      </c>
    </row>
    <row r="117" spans="2:11" ht="15.75" x14ac:dyDescent="0.25">
      <c r="B117" s="319" t="s">
        <v>33</v>
      </c>
      <c r="C117" s="320" t="s">
        <v>33</v>
      </c>
      <c r="D117" s="22">
        <v>7</v>
      </c>
      <c r="E117" s="23">
        <f ca="1">((100/(F106))*D117)/100</f>
        <v>1</v>
      </c>
      <c r="F117" s="324"/>
      <c r="G117" s="324"/>
      <c r="H117" s="324"/>
      <c r="I117" s="326"/>
      <c r="J117" s="20" t="s">
        <v>34</v>
      </c>
      <c r="K117" s="26">
        <f ca="1">(IF(C106=1,(F106/(C106+3)+K112),IF(C106=0,(F106/4+K112),IF(C106&gt;1,0))))</f>
        <v>5.25</v>
      </c>
    </row>
    <row r="118" spans="2:11" ht="16.5" thickBot="1" x14ac:dyDescent="0.3">
      <c r="B118" s="322" t="s">
        <v>35</v>
      </c>
      <c r="C118" s="323"/>
      <c r="D118" s="28">
        <v>7</v>
      </c>
      <c r="E118" s="29">
        <f ca="1">((100/(F106))*D118)/100</f>
        <v>1</v>
      </c>
      <c r="F118" s="325"/>
      <c r="G118" s="325"/>
      <c r="H118" s="325"/>
      <c r="I118" s="327"/>
      <c r="J118" s="30" t="s">
        <v>36</v>
      </c>
      <c r="K118" s="31">
        <f ca="1">(IF(C106&gt;1.5,(F106/(C106+2)+K112+MAX(0,K113-K112)+MAX(0,K114-K113)+MAX(0,K115-K114)+MAX(0,K116-K115)+MAX(0,K117-K116)),IF(C106=1,(F106/(C106+3)+K117),IF(C106=0,F106/4+K117))))</f>
        <v>7</v>
      </c>
    </row>
    <row r="124" spans="2:11" x14ac:dyDescent="0.25">
      <c r="B124" t="str">
        <f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","0")))&amp;(IF(C126=0%,"",IF(C126=H127,"Footing work is process",IF(C126=H128,"Footing work Completed",IF(C126=H129,"1st Basement Completed",IF(C126=H130,"1st &amp; 2nd Basement Completed",IF(C126=H131,"1st to 3rd Basement Completed",IF(C126=H132,"1st to 4th Basement Completed",IF(C126=H133,"Plinth work is process",IF(C126=H134,"Plinth work completed","0")))))))))))&amp;(IF(C127=(D122+E122+F122),", RCC Slab",IF(C127&gt;0,", RCC upto "&amp;C127&amp;" Slab",""))&amp;(IF(C128=F122,", Brickwork",IF(C128&gt;0,", Brickwork upto "&amp;C128&amp;" Floor",""))&amp;(IF(C129=F122,", Internal Plaster",IF(C129&gt;0,", Internal Plaster upto "&amp;C129&amp;" Floor",""))&amp;(IF(C130=F122,", External Plaster",IF(C130&gt;0,", External Plaster upto "&amp;C130&amp;" Floor",""))&amp;(IF(C131=F122,", Flooring",IF(C131&gt;0,", Flooring upto "&amp;C131&amp;" Floor",""))&amp;(IF(C132=F122,", Painting",IF(C132&gt;0,", Painting upto "&amp;C132&amp;" Floor",""))&amp;(IF(C133&gt;0,", Finishing upto "&amp;C133&amp;" Floor","")&amp;(IF(C127&gt;0.5," Completed",""))))))))))))))</f>
        <v>Work not yet Started., RCC Slab, Brickwork, Internal Plaster, External Plaster, Flooring, Painting</v>
      </c>
    </row>
    <row r="131" spans="2:2" x14ac:dyDescent="0.25">
      <c r="B131" t="str">
        <f>(IF(E128&gt;99%,"All work completed. Please provide OC.",IF(E128&gt;89.8%,"Plinth, RCC, Brick, Plaster, Flooring, Painting work Completed. Finishing work is in process.",IF(E128&lt;94%,(IF(C128=0,"Work not yet Started.",IF(D128=25%,"Piling work in process",IF(D128=50%,"Excavation work in process",IF(D128=100%,"Excavation work Completed. ","0")))&amp;(IF(C129=0%,"",IF(C129=H130,"Footing work is process",IF(C129=H131,"Footing work Completed",IF(C129=H132,"1st Basement Completed",IF(C129=H133,"1st &amp; 2nd Basement Completed",IF(C129=H134,"1st to 3rd Basement Completed",IF(C129=H135,"1st to 4th Basement Completed",IF(C129=H136,"Plinth work is process",IF(C129=H137,"Plinth work completed","0")))))))))))&amp;(IF(C130=(D125+E125+F125),", RCC Slab",IF(C130&gt;0,", RCC upto "&amp;C130&amp;" Slab",""))&amp;(IF(C131=F125,", Brickwork",IF(C131&gt;0,", Brickwork upto "&amp;C131&amp;" Floor",""))&amp;(IF(C132=F125,", Internal Plaster",IF(C132&gt;0,", Internal Plaster upto "&amp;C132&amp;" Floor",""))&amp;(IF(C133=F125,", External Plaster",IF(C133&gt;0,", External Plaster upto "&amp;C133&amp;" Floor",""))&amp;(IF(C134=F125,", Flooring",IF(C134&gt;0,", Flooring upto "&amp;C134&amp;" Floor",""))&amp;(IF(C135=F125,", Painting",IF(C135&gt;0,", Painting upto "&amp;C135&amp;" Floor",""))&amp;(IF(C136&gt;0,", Finishing upto "&amp;C136&amp;" Floor","")&amp;(IF(C130&gt;0.5," Completed",""))))))))))))))</f>
        <v>Work not yet Started., RCC Slab, Brickwork, Internal Plaster, External Plaster, Flooring, Painting</v>
      </c>
    </row>
  </sheetData>
  <mergeCells count="19">
    <mergeCell ref="B117:C117"/>
    <mergeCell ref="B118:C118"/>
    <mergeCell ref="B109:C109"/>
    <mergeCell ref="F109:G118"/>
    <mergeCell ref="H109:I118"/>
    <mergeCell ref="B110:C110"/>
    <mergeCell ref="B111:C111"/>
    <mergeCell ref="B112:C112"/>
    <mergeCell ref="B113:C113"/>
    <mergeCell ref="B114:C114"/>
    <mergeCell ref="B115:C115"/>
    <mergeCell ref="B116:C116"/>
    <mergeCell ref="B105:C105"/>
    <mergeCell ref="D105:I105"/>
    <mergeCell ref="B107:C107"/>
    <mergeCell ref="D107:I107"/>
    <mergeCell ref="B108:C108"/>
    <mergeCell ref="F108:G108"/>
    <mergeCell ref="H108:I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VSJC</cp:lastModifiedBy>
  <cp:lastPrinted>2025-08-16T08:47:24Z</cp:lastPrinted>
  <dcterms:created xsi:type="dcterms:W3CDTF">2023-05-19T08:34:56Z</dcterms:created>
  <dcterms:modified xsi:type="dcterms:W3CDTF">2025-08-16T08:56:09Z</dcterms:modified>
</cp:coreProperties>
</file>