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Axis Dump\"/>
    </mc:Choice>
  </mc:AlternateContent>
  <xr:revisionPtr revIDLastSave="0" documentId="13_ncr:1_{7C0E6EC9-A29A-41A0-85BB-0C5813D1E18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F11" i="5"/>
  <c r="F10" i="5"/>
  <c r="G10" i="5" s="1"/>
  <c r="F9" i="5"/>
  <c r="G9" i="5" s="1"/>
  <c r="F8" i="5"/>
  <c r="G8" i="5" s="1"/>
  <c r="G7" i="5"/>
  <c r="F7" i="5"/>
  <c r="F6" i="5"/>
  <c r="G6" i="5" s="1"/>
  <c r="F5" i="5"/>
  <c r="G5" i="5" s="1"/>
  <c r="G12" i="5" s="1"/>
  <c r="D190" i="1"/>
  <c r="B171" i="1"/>
  <c r="B170" i="1"/>
  <c r="E167" i="1"/>
  <c r="D167" i="1"/>
  <c r="F167" i="1" s="1"/>
  <c r="E166" i="1"/>
  <c r="D166" i="1"/>
  <c r="F166" i="1" s="1"/>
  <c r="E165" i="1"/>
  <c r="D165" i="1"/>
  <c r="F165" i="1" s="1"/>
  <c r="J164" i="1"/>
  <c r="J165" i="1" s="1"/>
  <c r="G164" i="1"/>
  <c r="E164" i="1"/>
  <c r="D164" i="1"/>
  <c r="F164" i="1" s="1"/>
  <c r="E162" i="1"/>
  <c r="D162" i="1"/>
  <c r="F162" i="1" s="1"/>
  <c r="E161" i="1"/>
  <c r="D161" i="1"/>
  <c r="E160" i="1"/>
  <c r="D160" i="1"/>
  <c r="G159" i="1"/>
  <c r="E159" i="1"/>
  <c r="D159" i="1"/>
  <c r="F159" i="1" s="1"/>
  <c r="E157" i="1"/>
  <c r="D157" i="1"/>
  <c r="E156" i="1"/>
  <c r="D156" i="1"/>
  <c r="F156" i="1" s="1"/>
  <c r="E155" i="1"/>
  <c r="D155" i="1"/>
  <c r="G154" i="1"/>
  <c r="F154" i="1"/>
  <c r="E154" i="1"/>
  <c r="D154" i="1"/>
  <c r="E152" i="1"/>
  <c r="D152" i="1"/>
  <c r="F152" i="1" s="1"/>
  <c r="E151" i="1"/>
  <c r="D151" i="1"/>
  <c r="F151" i="1" s="1"/>
  <c r="E150" i="1"/>
  <c r="D150" i="1"/>
  <c r="G149" i="1"/>
  <c r="E149" i="1"/>
  <c r="D149" i="1"/>
  <c r="F149" i="1" s="1"/>
  <c r="F147" i="1"/>
  <c r="E147" i="1"/>
  <c r="D147" i="1"/>
  <c r="F146" i="1"/>
  <c r="E146" i="1"/>
  <c r="D146" i="1"/>
  <c r="E145" i="1"/>
  <c r="D145" i="1"/>
  <c r="F145" i="1" s="1"/>
  <c r="G144" i="1"/>
  <c r="E144" i="1"/>
  <c r="D144" i="1"/>
  <c r="E142" i="1"/>
  <c r="D142" i="1"/>
  <c r="F142" i="1" s="1"/>
  <c r="K141" i="1"/>
  <c r="J141" i="1"/>
  <c r="F141" i="1"/>
  <c r="L141" i="1" s="1"/>
  <c r="E141" i="1"/>
  <c r="D141" i="1"/>
  <c r="E140" i="1"/>
  <c r="D140" i="1"/>
  <c r="J139" i="1"/>
  <c r="G139" i="1"/>
  <c r="E139" i="1"/>
  <c r="D139" i="1"/>
  <c r="E99" i="1" s="1"/>
  <c r="E137" i="1"/>
  <c r="D137" i="1"/>
  <c r="F137" i="1" s="1"/>
  <c r="E136" i="1"/>
  <c r="D136" i="1"/>
  <c r="F136" i="1" s="1"/>
  <c r="E135" i="1"/>
  <c r="D135" i="1"/>
  <c r="F135" i="1" s="1"/>
  <c r="K134" i="1"/>
  <c r="G134" i="1"/>
  <c r="F134" i="1"/>
  <c r="E134" i="1"/>
  <c r="D134" i="1"/>
  <c r="E132" i="1"/>
  <c r="D132" i="1"/>
  <c r="F132" i="1" s="1"/>
  <c r="P131" i="1"/>
  <c r="E131" i="1"/>
  <c r="D131" i="1"/>
  <c r="P130" i="1"/>
  <c r="E130" i="1"/>
  <c r="D130" i="1"/>
  <c r="F130" i="1" s="1"/>
  <c r="P129" i="1"/>
  <c r="G129" i="1"/>
  <c r="F129" i="1"/>
  <c r="E129" i="1"/>
  <c r="D129" i="1"/>
  <c r="P128" i="1"/>
  <c r="K128" i="1"/>
  <c r="P127" i="1"/>
  <c r="E127" i="1"/>
  <c r="D127" i="1"/>
  <c r="F127" i="1" s="1"/>
  <c r="P126" i="1"/>
  <c r="E126" i="1"/>
  <c r="D126" i="1"/>
  <c r="F126" i="1" s="1"/>
  <c r="P125" i="1"/>
  <c r="K125" i="1"/>
  <c r="E125" i="1"/>
  <c r="D125" i="1"/>
  <c r="P124" i="1"/>
  <c r="O124" i="1"/>
  <c r="K124" i="1"/>
  <c r="G124" i="1"/>
  <c r="E124" i="1"/>
  <c r="D124" i="1"/>
  <c r="F124" i="1" s="1"/>
  <c r="P123" i="1"/>
  <c r="O123" i="1"/>
  <c r="P122" i="1"/>
  <c r="O122" i="1"/>
  <c r="D122" i="1"/>
  <c r="F122" i="1" s="1"/>
  <c r="P121" i="1"/>
  <c r="D121" i="1"/>
  <c r="F121" i="1" s="1"/>
  <c r="P120" i="1"/>
  <c r="O120" i="1"/>
  <c r="K120" i="1"/>
  <c r="L120" i="1" s="1"/>
  <c r="D120" i="1"/>
  <c r="F120" i="1" s="1"/>
  <c r="P119" i="1"/>
  <c r="O119" i="1"/>
  <c r="K119" i="1"/>
  <c r="G119" i="1"/>
  <c r="D119" i="1"/>
  <c r="E102" i="1" s="1"/>
  <c r="P118" i="1"/>
  <c r="O118" i="1"/>
  <c r="D113" i="1"/>
  <c r="F113" i="1" s="1"/>
  <c r="D112" i="1"/>
  <c r="F112" i="1" s="1"/>
  <c r="D111" i="1"/>
  <c r="F111" i="1" s="1"/>
  <c r="D110" i="1"/>
  <c r="F110" i="1" s="1"/>
  <c r="A110" i="1"/>
  <c r="A111" i="1" s="1"/>
  <c r="A112" i="1" s="1"/>
  <c r="A113" i="1" s="1"/>
  <c r="G109" i="1"/>
  <c r="D109" i="1"/>
  <c r="F109" i="1" s="1"/>
  <c r="G96" i="1" s="1"/>
  <c r="L105" i="1"/>
  <c r="O102" i="1"/>
  <c r="F93" i="1"/>
  <c r="C75" i="1"/>
  <c r="C73" i="1"/>
  <c r="C66" i="1"/>
  <c r="D60" i="1"/>
  <c r="D55" i="1"/>
  <c r="G50" i="1"/>
  <c r="G51" i="1" s="1"/>
  <c r="C50" i="1"/>
  <c r="E43" i="1"/>
  <c r="E44" i="1" s="1"/>
  <c r="E30" i="1"/>
  <c r="E27" i="1"/>
  <c r="E25" i="1"/>
  <c r="C15" i="1"/>
  <c r="E7" i="1"/>
  <c r="E3" i="1"/>
  <c r="H67" i="1"/>
  <c r="F119" i="1" l="1"/>
  <c r="J119" i="1" s="1"/>
  <c r="F160" i="1"/>
  <c r="F125" i="1"/>
  <c r="G102" i="1" s="1"/>
  <c r="F157" i="1"/>
  <c r="F161" i="1"/>
  <c r="J161" i="1" s="1"/>
  <c r="C96" i="1"/>
  <c r="F150" i="1"/>
  <c r="F140" i="1"/>
  <c r="L140" i="1" s="1"/>
  <c r="F131" i="1"/>
  <c r="F144" i="1"/>
  <c r="F155" i="1"/>
  <c r="B67" i="1"/>
  <c r="E96" i="1"/>
  <c r="E103" i="1" s="1"/>
  <c r="C99" i="1"/>
  <c r="C103" i="1" s="1"/>
  <c r="F139" i="1"/>
  <c r="C102" i="1"/>
  <c r="D77" i="1"/>
  <c r="J70" i="1"/>
  <c r="D76" i="1"/>
  <c r="D79" i="1"/>
  <c r="D75" i="1"/>
  <c r="D72" i="1"/>
  <c r="J69" i="1"/>
  <c r="D74" i="1"/>
  <c r="D73" i="1"/>
  <c r="J71" i="1"/>
  <c r="C70" i="1" s="1"/>
  <c r="J66" i="1"/>
  <c r="J68" i="1" s="1"/>
  <c r="D78" i="1"/>
  <c r="L139" i="1" l="1"/>
  <c r="G99" i="1"/>
  <c r="G103" i="1" s="1"/>
  <c r="J77" i="1"/>
  <c r="J76" i="1"/>
  <c r="J75" i="1"/>
  <c r="J74" i="1"/>
  <c r="J72" i="1"/>
  <c r="J73" i="1" s="1"/>
  <c r="J78" i="1" s="1"/>
  <c r="J79" i="1" s="1"/>
  <c r="C71" i="1" s="1"/>
  <c r="D71" i="1" s="1"/>
  <c r="D70" i="1"/>
  <c r="E70" i="1" l="1"/>
  <c r="G70" i="1"/>
  <c r="D64" i="1" s="1"/>
  <c r="F65" i="1" s="1"/>
  <c r="I67" i="1"/>
  <c r="J67" i="1"/>
  <c r="D65" i="1" l="1"/>
  <c r="I68" i="1"/>
  <c r="I66" i="1" s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<sst xmlns="http://schemas.openxmlformats.org/spreadsheetml/2006/main" count="374" uniqueCount="242">
  <si>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</si>
  <si>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</si>
  <si>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</si>
  <si>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</si>
  <si>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</si>
  <si>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</si>
  <si>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</si>
  <si>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Akshar Dream Homes</t>
  </si>
  <si>
    <t>Name of the builder company</t>
  </si>
  <si>
    <t>Name of the Project</t>
  </si>
  <si>
    <t>Akshar Panchratna</t>
  </si>
  <si>
    <t>Provided Contact Details (Name &amp; Contact No.)</t>
  </si>
  <si>
    <t>Mr. Govind Patel 9324683928</t>
  </si>
  <si>
    <t>Site Person - Contact Details (Name &amp; Contact No.)</t>
  </si>
  <si>
    <t>Name / No of the Building</t>
  </si>
  <si>
    <t>01 Building</t>
  </si>
  <si>
    <t>Name / No of the Existing Building</t>
  </si>
  <si>
    <t>Panchratna Co-op Housing Society Ltd 
(Building No.36, 37 &amp; 38)</t>
  </si>
  <si>
    <t>Docouments Provided</t>
  </si>
  <si>
    <r>
      <rPr>
        <sz val="12"/>
        <rFont val="Times New Roman"/>
        <family val="1"/>
      </rPr>
      <t>Approved Plans, CC, Sale Plans,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Cost Sheet.</t>
    </r>
  </si>
  <si>
    <t>RERA No.</t>
  </si>
  <si>
    <t>P51700051580</t>
  </si>
  <si>
    <t xml:space="preserve">Project location details       </t>
  </si>
  <si>
    <t>Plot No</t>
  </si>
  <si>
    <t>15 &amp; Sector No. 9 &amp; Redevlopement of "Panchratna Co-op Housing Society Ltd (Building No.36, 37 &amp; 38) "</t>
  </si>
  <si>
    <t>Locality</t>
  </si>
  <si>
    <t>Vashi</t>
  </si>
  <si>
    <t>Road</t>
  </si>
  <si>
    <t>Vashi Koparkhairane Road</t>
  </si>
  <si>
    <t>Locality/Village</t>
  </si>
  <si>
    <t>City</t>
  </si>
  <si>
    <t>District</t>
  </si>
  <si>
    <t>Thane</t>
  </si>
  <si>
    <t>Taluka</t>
  </si>
  <si>
    <t>Pin Code</t>
  </si>
  <si>
    <t>Nearby Landmark</t>
  </si>
  <si>
    <t>Pranav CHS</t>
  </si>
  <si>
    <t xml:space="preserve">Distance from city centre: </t>
  </si>
  <si>
    <t>2.80 KM from Vashi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</si>
  <si>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</si>
  <si>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</si>
  <si>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</si>
  <si>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</si>
  <si>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</si>
  <si>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</si>
  <si>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</si>
  <si>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</si>
  <si>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</si>
  <si>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</si>
  <si>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</si>
  <si>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</si>
  <si>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</si>
  <si>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</si>
  <si>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</si>
  <si>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</si>
  <si>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Layout</t>
  </si>
  <si>
    <t>At site</t>
  </si>
  <si>
    <t>East</t>
  </si>
  <si>
    <t>NA</t>
  </si>
  <si>
    <t>32.00 M.W. Road</t>
  </si>
  <si>
    <t>West</t>
  </si>
  <si>
    <t>6.00 m.w. Road</t>
  </si>
  <si>
    <t>Internal Road</t>
  </si>
  <si>
    <t>North</t>
  </si>
  <si>
    <t>Building No. 35 &amp; 34</t>
  </si>
  <si>
    <t>Tathagat C.H.S. Ltd.</t>
  </si>
  <si>
    <t>South</t>
  </si>
  <si>
    <t>Building No. 39</t>
  </si>
  <si>
    <t>Does the boundaries at site match, as mentioned in the Docoumentation: NA</t>
  </si>
  <si>
    <t>Latitude, Longitude</t>
  </si>
  <si>
    <t>19.077904,72.997795</t>
  </si>
  <si>
    <t>Location Link</t>
  </si>
  <si>
    <t>https://goo.gl/maps/T8YSh2G49VLbt6Kr5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</si>
  <si>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</si>
  <si>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</si>
  <si>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</si>
  <si>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</si>
  <si>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</si>
  <si>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</si>
  <si>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</si>
  <si>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 xml:space="preserve">Approval Detail : Plan approval </t>
  </si>
  <si>
    <t>Name of Municipal Corporation/Authority</t>
  </si>
  <si>
    <t xml:space="preserve">Navi Mumbai Municipal Corporation </t>
  </si>
  <si>
    <t xml:space="preserve">Layout Approval No     </t>
  </si>
  <si>
    <t>NRV/A-2020/CNMMC/17582/2018</t>
  </si>
  <si>
    <t>Dated</t>
  </si>
  <si>
    <t>16/06/2021.</t>
  </si>
  <si>
    <t xml:space="preserve">Approved Floor plan No.  </t>
  </si>
  <si>
    <t xml:space="preserve">Commencement-CC No
Valid Up to: </t>
  </si>
  <si>
    <t>NMMC/TPO/BP/Online No.2021
CNMMC17582/2018/2021</t>
  </si>
  <si>
    <t>Basement + Ground + 1st to 19th Floor</t>
  </si>
  <si>
    <t>Valid Upto 15/06/2023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</si>
  <si>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</si>
  <si>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</si>
  <si>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</si>
  <si>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</si>
  <si>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</si>
  <si>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Rehab Flats - 48, Sale Flats - 24 , Sale Shops - 05</t>
  </si>
  <si>
    <t>Approved no of Floors</t>
  </si>
  <si>
    <t>1B + G + 1st to 19th Floor</t>
  </si>
  <si>
    <t>Proposed no of Floors</t>
  </si>
  <si>
    <t>Expected Completion</t>
  </si>
  <si>
    <t>As per RERA - 30/06/2027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</si>
  <si>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</si>
  <si>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</si>
  <si>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</si>
  <si>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Vitrified tiles flooring, Granite Kitchen Platform, Decorative Entrance, Club House, Recreational Area, Parking Tower
Enternace &amp; Landscape Garden, etc.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</si>
  <si>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</si>
  <si>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</si>
  <si>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</si>
  <si>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</si>
  <si>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</si>
  <si>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</si>
  <si>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</si>
  <si>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</si>
  <si>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</si>
  <si>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</si>
  <si>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</si>
  <si>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</si>
  <si>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</si>
  <si>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</si>
  <si>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</si>
  <si>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</si>
  <si>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</si>
  <si>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</si>
  <si>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</si>
  <si>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</si>
  <si>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</si>
  <si>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</si>
  <si>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</si>
  <si>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</si>
  <si>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</si>
  <si>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</si>
  <si>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</si>
  <si>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</si>
  <si>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</si>
  <si>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</si>
  <si>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</si>
  <si>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</si>
  <si>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</si>
  <si>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</si>
  <si>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</si>
  <si>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</si>
  <si>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</si>
  <si>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</si>
  <si>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</si>
  <si>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</si>
  <si>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Builder 15000</t>
  </si>
  <si>
    <t>Recommended rate of the Shop Per Sq. Ft.</t>
  </si>
  <si>
    <t>Recommended rate of the Office Per Sq. Ft.</t>
  </si>
  <si>
    <t>Floor Rise Rate from    Floor</t>
  </si>
  <si>
    <t>Club Charges</t>
  </si>
  <si>
    <t>Legal Charges</t>
  </si>
  <si>
    <t>Gas Connection Charges</t>
  </si>
  <si>
    <t>Water, Electricity, Development Charges</t>
  </si>
  <si>
    <t>Society Formation Charges</t>
  </si>
  <si>
    <t>Advance Maintenance Charges</t>
  </si>
  <si>
    <t xml:space="preserve">Recommended rate of Parking </t>
  </si>
  <si>
    <t>Distressed valuation of the Property</t>
  </si>
  <si>
    <t xml:space="preserve">Commercial Area Details (Sale): </t>
  </si>
  <si>
    <t>Building &amp; Wing</t>
  </si>
  <si>
    <t>No. of Units</t>
  </si>
  <si>
    <t>Total Carpet Area</t>
  </si>
  <si>
    <t>Total Saleable Area</t>
  </si>
  <si>
    <t>Shops</t>
  </si>
  <si>
    <t>Residential Area Details (Sale) :</t>
  </si>
  <si>
    <t>Flats</t>
  </si>
  <si>
    <t>Residential Area Details (Rehab):</t>
  </si>
  <si>
    <t>Grand Total</t>
  </si>
  <si>
    <t>Building details Floor Wise</t>
  </si>
  <si>
    <t xml:space="preserve">Details of Residential &amp; Commercials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</si>
  <si>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</si>
  <si>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</si>
  <si>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</si>
  <si>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</si>
  <si>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</si>
  <si>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</si>
  <si>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</si>
  <si>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 xml:space="preserve">Basement &amp; Ground Floor For Commercial </t>
  </si>
  <si>
    <t>Sale</t>
  </si>
  <si>
    <t>Shop (Duplex With Lower Basement)</t>
  </si>
  <si>
    <t>Shop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</si>
  <si>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</si>
  <si>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(Sale/ Rehab  Plan)</t>
  </si>
  <si>
    <t>Attached Terrace area</t>
  </si>
  <si>
    <t xml:space="preserve">1st Floor For Amenity area, Fitness Centre, Recreational Area, 
Society Office &amp; Part Terrace Area </t>
  </si>
  <si>
    <t>cb</t>
  </si>
  <si>
    <t>incentives</t>
  </si>
  <si>
    <t>tenements</t>
  </si>
  <si>
    <t>2nd Floor For Residential</t>
  </si>
  <si>
    <t>8.10.12.14.16.18</t>
  </si>
  <si>
    <t>Rehab</t>
  </si>
  <si>
    <t>2BHK</t>
  </si>
  <si>
    <t>-</t>
  </si>
  <si>
    <t>9.11.13.15.17.19</t>
  </si>
  <si>
    <t>3rd &amp; 5th Floor</t>
  </si>
  <si>
    <t>2.4.6</t>
  </si>
  <si>
    <t>4th &amp; 6th Floor</t>
  </si>
  <si>
    <t>3.5.7</t>
  </si>
  <si>
    <t>7th Floor (Part Fire Balcony)</t>
  </si>
  <si>
    <t>8th &amp; 10th Floor</t>
  </si>
  <si>
    <t>9th &amp; 11th Floor</t>
  </si>
  <si>
    <t>12th Floor (Part Fire Balcony)</t>
  </si>
  <si>
    <t>14th, 16th &amp; 18th Floor</t>
  </si>
  <si>
    <t>13th, 15th &amp; 19th Floor</t>
  </si>
  <si>
    <t>17th Floor (Part Fire Balcony)</t>
  </si>
  <si>
    <t xml:space="preserve">Remarks:  </t>
  </si>
  <si>
    <t>*</t>
  </si>
  <si>
    <t>We considered Carpet area as per Approved Plan.</t>
  </si>
  <si>
    <t>We considered Gross carpet area = Net carpet + Enclose balcony + F.B Area + Chajja Area.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</si>
  <si>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</si>
  <si>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</si>
  <si>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</si>
  <si>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</si>
  <si>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</si>
  <si>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</si>
  <si>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</si>
  <si>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</si>
  <si>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</si>
  <si>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</si>
  <si>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</si>
  <si>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</si>
  <si>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</si>
  <si>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</si>
  <si>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</si>
  <si>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</si>
  <si>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</si>
  <si>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</si>
  <si>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</si>
  <si>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</si>
  <si>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</si>
  <si>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</si>
  <si>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</si>
  <si>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</si>
  <si>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</si>
  <si>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</si>
  <si>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</si>
  <si>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</si>
  <si>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</si>
  <si>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Anish Vishwakarma</t>
  </si>
  <si>
    <t>Construction work is in process at the time of Visit (Very Slow Speed).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</si>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</sst>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  <numFmt numFmtId="168" formatCode="0.000"/>
  </numFmts>
  <fonts count="28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1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" fillId="0" borderId="0"/>
  </cellStyleXfs>
  <cellXfs count="200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6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top" wrapText="1"/>
      <protection locked="0"/>
    </xf>
    <xf numFmtId="9" fontId="7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9" xfId="8" applyFont="1" applyBorder="1" applyAlignment="1" applyProtection="1">
      <alignment horizontal="center" vertical="top" wrapText="1"/>
      <protection locked="0"/>
    </xf>
    <xf numFmtId="9" fontId="7" fillId="0" borderId="19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23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0" xfId="8" applyNumberFormat="1" applyFont="1" applyAlignment="1" applyProtection="1">
      <alignment horizontal="center" vertical="center" wrapText="1"/>
      <protection locked="0"/>
    </xf>
    <xf numFmtId="1" fontId="7" fillId="0" borderId="1" xfId="8" applyNumberFormat="1" applyFont="1" applyBorder="1" applyAlignment="1" applyProtection="1">
      <alignment horizontal="center" vertical="center" wrapText="1"/>
      <protection locked="0"/>
    </xf>
    <xf numFmtId="0" fontId="20" fillId="0" borderId="24" xfId="0" applyFont="1" applyBorder="1"/>
    <xf numFmtId="0" fontId="20" fillId="0" borderId="14" xfId="0" applyFont="1" applyBorder="1"/>
    <xf numFmtId="0" fontId="21" fillId="0" borderId="0" xfId="0" applyFont="1" applyProtection="1">
      <protection hidden="1"/>
    </xf>
    <xf numFmtId="0" fontId="10" fillId="0" borderId="17" xfId="8" applyFont="1" applyBorder="1"/>
    <xf numFmtId="0" fontId="21" fillId="0" borderId="17" xfId="0" applyFont="1" applyBorder="1" applyProtection="1">
      <protection hidden="1"/>
    </xf>
    <xf numFmtId="1" fontId="0" fillId="0" borderId="17" xfId="0" applyNumberFormat="1" applyBorder="1"/>
    <xf numFmtId="1" fontId="0" fillId="0" borderId="17" xfId="0" applyNumberFormat="1" applyBorder="1" applyAlignment="1">
      <alignment horizontal="right"/>
    </xf>
    <xf numFmtId="0" fontId="21" fillId="0" borderId="25" xfId="0" applyFont="1" applyBorder="1" applyProtection="1">
      <protection hidden="1"/>
    </xf>
    <xf numFmtId="1" fontId="0" fillId="0" borderId="22" xfId="0" applyNumberFormat="1" applyBorder="1"/>
    <xf numFmtId="168" fontId="10" fillId="0" borderId="0" xfId="8" applyNumberFormat="1" applyFont="1"/>
    <xf numFmtId="1" fontId="10" fillId="0" borderId="0" xfId="8" applyNumberFormat="1" applyFont="1" applyAlignment="1">
      <alignment horizontal="center" vertical="center"/>
    </xf>
    <xf numFmtId="0" fontId="10" fillId="0" borderId="0" xfId="8" applyFont="1" applyAlignment="1">
      <alignment vertical="center"/>
    </xf>
    <xf numFmtId="2" fontId="10" fillId="0" borderId="0" xfId="8" applyNumberFormat="1" applyFont="1" applyAlignment="1">
      <alignment vertical="center"/>
    </xf>
    <xf numFmtId="1" fontId="6" fillId="0" borderId="0" xfId="8" applyNumberFormat="1" applyFont="1" applyAlignment="1">
      <alignment vertical="center"/>
    </xf>
    <xf numFmtId="2" fontId="7" fillId="0" borderId="0" xfId="8" applyNumberFormat="1" applyFont="1" applyAlignment="1">
      <alignment vertical="center"/>
    </xf>
    <xf numFmtId="2" fontId="10" fillId="0" borderId="0" xfId="8" applyNumberFormat="1" applyFont="1"/>
    <xf numFmtId="1" fontId="6" fillId="0" borderId="0" xfId="8" applyNumberFormat="1" applyFont="1" applyAlignment="1">
      <alignment horizontal="center" vertical="center"/>
    </xf>
    <xf numFmtId="1" fontId="12" fillId="0" borderId="0" xfId="8" applyNumberFormat="1" applyFont="1" applyAlignment="1" applyProtection="1">
      <alignment horizontal="center" vertical="center" wrapText="1"/>
      <protection locked="0"/>
    </xf>
    <xf numFmtId="0" fontId="17" fillId="0" borderId="0" xfId="8" applyFont="1" applyAlignment="1">
      <alignment horizontal="center" vertical="center"/>
    </xf>
    <xf numFmtId="0" fontId="10" fillId="0" borderId="27" xfId="8" applyFont="1" applyBorder="1" applyAlignment="1">
      <alignment horizontal="center" vertical="center"/>
    </xf>
    <xf numFmtId="0" fontId="10" fillId="0" borderId="28" xfId="8" applyFont="1" applyBorder="1" applyAlignment="1">
      <alignment horizontal="center" vertical="center"/>
    </xf>
    <xf numFmtId="2" fontId="10" fillId="0" borderId="0" xfId="8" applyNumberFormat="1" applyFont="1" applyAlignment="1">
      <alignment horizontal="center" vertical="center"/>
    </xf>
    <xf numFmtId="0" fontId="10" fillId="0" borderId="17" xfId="8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10" fillId="0" borderId="30" xfId="8" applyFont="1" applyBorder="1" applyAlignment="1">
      <alignment horizontal="center" vertical="center"/>
    </xf>
    <xf numFmtId="0" fontId="10" fillId="0" borderId="25" xfId="8" applyFont="1" applyBorder="1" applyAlignment="1">
      <alignment horizontal="center" vertical="center"/>
    </xf>
    <xf numFmtId="0" fontId="10" fillId="0" borderId="22" xfId="8" applyFont="1" applyBorder="1" applyAlignment="1">
      <alignment horizontal="center" vertical="center"/>
    </xf>
    <xf numFmtId="2" fontId="6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2" fontId="7" fillId="0" borderId="0" xfId="8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8" applyFont="1" applyProtection="1">
      <protection locked="0"/>
    </xf>
    <xf numFmtId="0" fontId="19" fillId="2" borderId="12" xfId="0" applyFont="1" applyFill="1" applyBorder="1"/>
    <xf numFmtId="0" fontId="20" fillId="0" borderId="4" xfId="0" applyFont="1" applyBorder="1"/>
    <xf numFmtId="1" fontId="12" fillId="0" borderId="1" xfId="8" applyNumberFormat="1" applyFont="1" applyBorder="1" applyAlignment="1" applyProtection="1">
      <alignment horizontal="center" vertical="top" wrapText="1"/>
      <protection locked="0"/>
    </xf>
    <xf numFmtId="9" fontId="12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15" fillId="0" borderId="0" xfId="8" applyFont="1" applyAlignment="1">
      <alignment horizontal="center"/>
    </xf>
    <xf numFmtId="0" fontId="7" fillId="0" borderId="1" xfId="8" applyFont="1" applyBorder="1" applyAlignment="1" applyProtection="1">
      <alignment horizontal="left" vertical="top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6" fillId="0" borderId="11" xfId="8" applyFont="1" applyBorder="1" applyAlignment="1">
      <alignment horizontal="left" vertical="top" wrapText="1"/>
    </xf>
    <xf numFmtId="0" fontId="6" fillId="0" borderId="0" xfId="8" applyFont="1" applyAlignment="1">
      <alignment horizontal="left" vertical="top" wrapText="1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10" fillId="0" borderId="1" xfId="8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14" fillId="0" borderId="1" xfId="3" applyFill="1" applyBorder="1" applyAlignment="1" applyProtection="1">
      <alignment horizontal="left" vertical="top" wrapText="1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166" fontId="7" fillId="0" borderId="1" xfId="8" applyNumberFormat="1" applyFont="1" applyBorder="1" applyAlignment="1" applyProtection="1">
      <alignment horizontal="left" vertical="top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2" fontId="7" fillId="0" borderId="1" xfId="8" applyNumberFormat="1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14" fontId="9" fillId="0" borderId="4" xfId="8" applyNumberFormat="1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10" fillId="0" borderId="10" xfId="8" applyFont="1" applyBorder="1" applyAlignment="1" applyProtection="1">
      <alignment horizontal="left" vertical="top" wrapText="1"/>
      <protection locked="0"/>
    </xf>
    <xf numFmtId="0" fontId="10" fillId="0" borderId="10" xfId="8" applyFont="1" applyBorder="1" applyAlignment="1" applyProtection="1">
      <alignment horizontal="left" vertical="top"/>
      <protection locked="0"/>
    </xf>
    <xf numFmtId="0" fontId="10" fillId="0" borderId="1" xfId="8" applyFont="1" applyBorder="1" applyAlignment="1" applyProtection="1">
      <alignment horizontal="left" vertical="top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7" fillId="0" borderId="13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14" xfId="8" applyFont="1" applyBorder="1" applyAlignment="1" applyProtection="1">
      <alignment horizontal="center" vertical="top" wrapText="1"/>
      <protection locked="0"/>
    </xf>
    <xf numFmtId="9" fontId="7" fillId="0" borderId="5" xfId="2" applyFont="1" applyFill="1" applyBorder="1" applyAlignment="1" applyProtection="1">
      <alignment horizontal="center" vertical="center" wrapText="1"/>
      <protection locked="0"/>
    </xf>
    <xf numFmtId="9" fontId="7" fillId="0" borderId="15" xfId="2" applyFont="1" applyFill="1" applyBorder="1" applyAlignment="1" applyProtection="1">
      <alignment horizontal="center" vertical="center" wrapText="1"/>
      <protection locked="0"/>
    </xf>
    <xf numFmtId="9" fontId="7" fillId="0" borderId="11" xfId="2" applyFont="1" applyFill="1" applyBorder="1" applyAlignment="1" applyProtection="1">
      <alignment horizontal="center" vertical="center" wrapText="1"/>
      <protection locked="0"/>
    </xf>
    <xf numFmtId="9" fontId="7" fillId="0" borderId="17" xfId="2" applyFont="1" applyFill="1" applyBorder="1" applyAlignment="1" applyProtection="1">
      <alignment horizontal="center" vertical="center" wrapText="1"/>
      <protection locked="0"/>
    </xf>
    <xf numFmtId="9" fontId="7" fillId="0" borderId="20" xfId="2" applyFont="1" applyFill="1" applyBorder="1" applyAlignment="1" applyProtection="1">
      <alignment horizontal="center" vertical="center" wrapText="1"/>
      <protection locked="0"/>
    </xf>
    <xf numFmtId="9" fontId="7" fillId="0" borderId="22" xfId="2" applyFont="1" applyFill="1" applyBorder="1" applyAlignment="1" applyProtection="1">
      <alignment horizontal="center" vertical="center" wrapText="1"/>
      <protection locked="0"/>
    </xf>
    <xf numFmtId="0" fontId="7" fillId="0" borderId="18" xfId="8" applyFont="1" applyBorder="1" applyAlignment="1" applyProtection="1">
      <alignment horizontal="center" vertical="top" wrapText="1"/>
      <protection locked="0"/>
    </xf>
    <xf numFmtId="0" fontId="7" fillId="0" borderId="19" xfId="8" applyFont="1" applyBorder="1" applyAlignment="1" applyProtection="1">
      <alignment horizontal="center" vertical="top" wrapText="1"/>
      <protection locked="0"/>
    </xf>
    <xf numFmtId="0" fontId="12" fillId="0" borderId="23" xfId="8" applyFont="1" applyBorder="1" applyAlignment="1" applyProtection="1">
      <alignment horizontal="left" vertical="top"/>
      <protection locked="0"/>
    </xf>
    <xf numFmtId="9" fontId="7" fillId="0" borderId="6" xfId="2" applyFont="1" applyFill="1" applyBorder="1" applyAlignment="1" applyProtection="1">
      <alignment horizontal="center" vertical="center" wrapText="1"/>
      <protection locked="0"/>
    </xf>
    <xf numFmtId="9" fontId="7" fillId="0" borderId="16" xfId="2" applyFont="1" applyFill="1" applyBorder="1" applyAlignment="1" applyProtection="1">
      <alignment horizontal="center" vertical="center" wrapText="1"/>
      <protection locked="0"/>
    </xf>
    <xf numFmtId="9" fontId="7" fillId="0" borderId="21" xfId="2" applyFont="1" applyFill="1" applyBorder="1" applyAlignment="1" applyProtection="1">
      <alignment horizontal="center" vertical="center" wrapText="1"/>
      <protection locked="0"/>
    </xf>
    <xf numFmtId="0" fontId="12" fillId="0" borderId="23" xfId="8" applyFont="1" applyBorder="1" applyAlignment="1" applyProtection="1">
      <alignment horizontal="center" vertical="top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1" xfId="8" applyFont="1" applyBorder="1" applyAlignment="1">
      <alignment horizontal="center"/>
    </xf>
    <xf numFmtId="0" fontId="6" fillId="0" borderId="0" xfId="8" applyFont="1" applyAlignment="1">
      <alignment horizontal="center"/>
    </xf>
    <xf numFmtId="1" fontId="12" fillId="0" borderId="31" xfId="0" applyNumberFormat="1" applyFont="1" applyBorder="1" applyAlignment="1" applyProtection="1">
      <alignment horizontal="center" vertical="center" wrapText="1"/>
      <protection locked="0"/>
    </xf>
    <xf numFmtId="1" fontId="12" fillId="0" borderId="32" xfId="0" applyNumberFormat="1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1" fontId="17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0" xfId="8" applyFont="1" applyAlignment="1">
      <alignment horizontal="center" vertical="center"/>
    </xf>
    <xf numFmtId="0" fontId="9" fillId="0" borderId="1" xfId="8" applyFont="1" applyBorder="1" applyAlignment="1" applyProtection="1">
      <alignment vertical="top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horizontal="left" vertical="top" wrapText="1"/>
      <protection locked="0"/>
    </xf>
    <xf numFmtId="1" fontId="12" fillId="0" borderId="3" xfId="0" applyNumberFormat="1" applyFont="1" applyBorder="1" applyAlignment="1" applyProtection="1">
      <alignment horizontal="left" vertical="top" wrapText="1"/>
      <protection locked="0"/>
    </xf>
    <xf numFmtId="1" fontId="12" fillId="0" borderId="4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23" xfId="8" applyNumberFormat="1" applyFont="1" applyBorder="1" applyAlignment="1" applyProtection="1">
      <alignment horizontal="center" vertical="top" wrapText="1"/>
      <protection locked="0"/>
    </xf>
    <xf numFmtId="1" fontId="18" fillId="0" borderId="1" xfId="8" applyNumberFormat="1" applyFont="1" applyBorder="1" applyAlignment="1" applyProtection="1">
      <alignment horizontal="center" vertical="top" wrapText="1"/>
      <protection locked="0"/>
    </xf>
    <xf numFmtId="1" fontId="18" fillId="0" borderId="10" xfId="8" applyNumberFormat="1" applyFont="1" applyBorder="1" applyAlignment="1" applyProtection="1">
      <alignment horizontal="center" vertical="top" wrapText="1"/>
      <protection locked="0"/>
    </xf>
    <xf numFmtId="1" fontId="18" fillId="0" borderId="23" xfId="8" applyNumberFormat="1" applyFont="1" applyBorder="1" applyAlignment="1" applyProtection="1">
      <alignment horizontal="center"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0" fontId="10" fillId="0" borderId="26" xfId="8" applyFont="1" applyBorder="1" applyAlignment="1">
      <alignment horizontal="center" vertical="center" wrapText="1"/>
    </xf>
    <xf numFmtId="0" fontId="10" fillId="0" borderId="29" xfId="8" applyFont="1" applyBorder="1" applyAlignment="1">
      <alignment horizontal="center" vertical="center" wrapText="1"/>
    </xf>
    <xf numFmtId="0" fontId="10" fillId="0" borderId="30" xfId="8" applyFont="1" applyBorder="1" applyAlignment="1">
      <alignment horizontal="center" vertical="center" wrapText="1"/>
    </xf>
    <xf numFmtId="0" fontId="10" fillId="0" borderId="26" xfId="8" applyFont="1" applyBorder="1" applyAlignment="1">
      <alignment horizontal="center" vertical="center"/>
    </xf>
    <xf numFmtId="0" fontId="10" fillId="0" borderId="29" xfId="8" applyFont="1" applyBorder="1" applyAlignment="1">
      <alignment horizontal="center" vertical="center"/>
    </xf>
    <xf numFmtId="0" fontId="10" fillId="0" borderId="30" xfId="8" applyFont="1" applyBorder="1" applyAlignment="1">
      <alignment horizontal="center" vertical="center"/>
    </xf>
    <xf numFmtId="0" fontId="22" fillId="0" borderId="1" xfId="8" applyFont="1" applyBorder="1" applyAlignment="1" applyProtection="1">
      <alignment horizontal="center" vertical="top" wrapText="1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830223</xdr:colOff>
      <xdr:row>233</xdr:row>
      <xdr:rowOff>11204</xdr:rowOff>
    </xdr:from>
    <xdr:to>
      <xdr:col>5</xdr:col>
      <xdr:colOff>625343</xdr:colOff>
      <xdr:row>252</xdr:row>
      <xdr:rowOff>26893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1564005" y="51528345"/>
          <a:ext cx="3200400" cy="38163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22412</xdr:colOff>
      <xdr:row>252</xdr:row>
      <xdr:rowOff>119312</xdr:rowOff>
    </xdr:from>
    <xdr:to>
      <xdr:col>6</xdr:col>
      <xdr:colOff>602237</xdr:colOff>
      <xdr:row>266</xdr:row>
      <xdr:rowOff>24116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786130" y="55436770"/>
          <a:ext cx="4737100" cy="27051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627533</xdr:colOff>
      <xdr:row>274</xdr:row>
      <xdr:rowOff>22410</xdr:rowOff>
    </xdr:from>
    <xdr:to>
      <xdr:col>6</xdr:col>
      <xdr:colOff>25614</xdr:colOff>
      <xdr:row>293</xdr:row>
      <xdr:rowOff>149997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>
        <a:xfrm>
          <a:off x="1391285" y="59740800"/>
          <a:ext cx="3555365" cy="39281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749453</xdr:colOff>
      <xdr:row>294</xdr:row>
      <xdr:rowOff>91439</xdr:rowOff>
    </xdr:from>
    <xdr:to>
      <xdr:col>5</xdr:col>
      <xdr:colOff>678180</xdr:colOff>
      <xdr:row>310</xdr:row>
      <xdr:rowOff>101686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42AE067F-3C31-3D78-CC05-2D927119F89F}"/>
            </a:ext>
          </a:extLst>
        </xdr:cNvPr>
        <xdr:cNvGrpSpPr/>
      </xdr:nvGrpSpPr>
      <xdr:grpSpPr>
        <a:xfrm>
          <a:off x="1534313" y="63809879"/>
          <a:ext cx="3411067" cy="3180167"/>
          <a:chOff x="1412393" y="63840903"/>
          <a:chExt cx="3667316" cy="388828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/>
          <a:srcRect/>
          <a:stretch>
            <a:fillRect/>
          </a:stretch>
        </xdr:blipFill>
        <xdr:spPr>
          <a:xfrm>
            <a:off x="1412393" y="63840903"/>
            <a:ext cx="3667316" cy="388828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 rot="342199">
            <a:off x="2930058" y="65383291"/>
            <a:ext cx="531487" cy="808616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>
    <xdr:from>
      <xdr:col>2</xdr:col>
      <xdr:colOff>303069</xdr:colOff>
      <xdr:row>256</xdr:row>
      <xdr:rowOff>129887</xdr:rowOff>
    </xdr:from>
    <xdr:to>
      <xdr:col>4</xdr:col>
      <xdr:colOff>476250</xdr:colOff>
      <xdr:row>262</xdr:row>
      <xdr:rowOff>69273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866900" y="56247665"/>
          <a:ext cx="1967230" cy="11398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811530</xdr:colOff>
      <xdr:row>193</xdr:row>
      <xdr:rowOff>11430</xdr:rowOff>
    </xdr:from>
    <xdr:to>
      <xdr:col>15</xdr:col>
      <xdr:colOff>805600</xdr:colOff>
      <xdr:row>231</xdr:row>
      <xdr:rowOff>192068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395210" y="43719750"/>
          <a:ext cx="6333910" cy="7709198"/>
          <a:chOff x="133350" y="42995850"/>
          <a:chExt cx="6430430" cy="7856518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39690" y="4869236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429958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23990" y="45844109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4630" y="429958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4630" y="45844109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45844109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23990" y="429958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251460</xdr:colOff>
      <xdr:row>191</xdr:row>
      <xdr:rowOff>15240</xdr:rowOff>
    </xdr:from>
    <xdr:to>
      <xdr:col>7</xdr:col>
      <xdr:colOff>472440</xdr:colOff>
      <xdr:row>229</xdr:row>
      <xdr:rowOff>121920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362F946-45E6-B304-0FC4-5A059D665A2A}"/>
            </a:ext>
          </a:extLst>
        </xdr:cNvPr>
        <xdr:cNvGrpSpPr/>
      </xdr:nvGrpSpPr>
      <xdr:grpSpPr>
        <a:xfrm>
          <a:off x="251460" y="43327320"/>
          <a:ext cx="6080760" cy="7635240"/>
          <a:chOff x="-260958" y="222031"/>
          <a:chExt cx="6475080" cy="8164004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D094D1F3-06CC-A352-C59F-674D77EBF505}"/>
              </a:ext>
            </a:extLst>
          </xdr:cNvPr>
          <xdr:cNvGrpSpPr/>
        </xdr:nvGrpSpPr>
        <xdr:grpSpPr>
          <a:xfrm>
            <a:off x="9219" y="222031"/>
            <a:ext cx="5934726" cy="3844006"/>
            <a:chOff x="374274" y="222031"/>
            <a:chExt cx="5934726" cy="3844006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2082BEE4-23B7-CB9B-734F-52A0D67F81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74274" y="222032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D627E962-3298-6B10-9EAC-BC41996154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29000" y="222031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040CAE3-10CB-9929-D208-B1FA3511420E}"/>
              </a:ext>
            </a:extLst>
          </xdr:cNvPr>
          <xdr:cNvGrpSpPr/>
        </xdr:nvGrpSpPr>
        <xdr:grpSpPr>
          <a:xfrm>
            <a:off x="640063" y="4246036"/>
            <a:ext cx="4673038" cy="2160000"/>
            <a:chOff x="968697" y="4246036"/>
            <a:chExt cx="4673038" cy="216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7C44A0AB-7A37-78FF-87F8-4D9102AA2A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68697" y="4246036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75E63E81-B79C-A441-08B8-D6C73D74CF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764402" y="4246036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FE8ADB88-D82B-4467-F697-839CEA6A706B}"/>
              </a:ext>
            </a:extLst>
          </xdr:cNvPr>
          <xdr:cNvGrpSpPr/>
        </xdr:nvGrpSpPr>
        <xdr:grpSpPr>
          <a:xfrm>
            <a:off x="-260958" y="6586035"/>
            <a:ext cx="6475080" cy="1800000"/>
            <a:chOff x="-355835" y="6586035"/>
            <a:chExt cx="6475080" cy="180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FCF98AFE-375A-F21C-3A9D-98803285F8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721467" y="6586035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16C47D71-FD27-B7BC-3F76-A4800C8920C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355835" y="6586035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2FBFFE55-F9F6-6B03-5F32-F849DC80B1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07408" y="658603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14</xdr:row>
      <xdr:rowOff>0</xdr:rowOff>
    </xdr:from>
    <xdr:to>
      <xdr:col>6</xdr:col>
      <xdr:colOff>4567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60" y="2676525"/>
          <a:ext cx="6411595" cy="3599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8YSh2G49VLbt6Kr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14"/>
  <sheetViews>
    <sheetView tabSelected="1" view="pageBreakPreview" zoomScaleNormal="100" zoomScalePageLayoutView="85" workbookViewId="0">
      <selection activeCell="J8" sqref="J8"/>
    </sheetView>
  </sheetViews>
  <sheetFormatPr defaultColWidth="9.21875" defaultRowHeight="15.6"/>
  <cols>
    <col min="1" max="1" width="11.44140625" style="19" customWidth="1"/>
    <col min="2" max="2" width="12" style="19" customWidth="1"/>
    <col min="3" max="3" width="12.77734375" style="19" customWidth="1"/>
    <col min="4" max="4" width="14.21875" style="19" customWidth="1"/>
    <col min="5" max="6" width="11.77734375" style="19" customWidth="1"/>
    <col min="7" max="7" width="11.44140625" style="19" customWidth="1"/>
    <col min="8" max="8" width="10.5546875" style="19" customWidth="1"/>
    <col min="9" max="9" width="17.44140625" style="20" customWidth="1"/>
    <col min="10" max="10" width="19.77734375" style="20" customWidth="1"/>
    <col min="11" max="12" width="10.5546875" style="20" customWidth="1"/>
    <col min="13" max="13" width="11.77734375" style="20" customWidth="1"/>
    <col min="14" max="14" width="12.5546875" style="20" customWidth="1"/>
    <col min="15" max="15" width="9.77734375" style="20" customWidth="1"/>
    <col min="16" max="16" width="11.77734375" style="20" customWidth="1"/>
    <col min="17" max="247" width="9.21875" style="20"/>
    <col min="248" max="248" width="8.77734375" style="20" customWidth="1"/>
    <col min="249" max="249" width="9.77734375" style="20" customWidth="1"/>
    <col min="250" max="250" width="14.44140625" style="20" customWidth="1"/>
    <col min="251" max="251" width="7.21875" style="20" customWidth="1"/>
    <col min="252" max="252" width="5.5546875" style="20" customWidth="1"/>
    <col min="253" max="253" width="9" style="20" customWidth="1"/>
    <col min="254" max="255" width="9.77734375" style="20" customWidth="1"/>
    <col min="256" max="256" width="11.21875" style="20" customWidth="1"/>
    <col min="257" max="257" width="2.77734375" style="20" customWidth="1"/>
    <col min="258" max="258" width="3.5546875" style="20" customWidth="1"/>
    <col min="259" max="503" width="9.21875" style="20"/>
    <col min="504" max="504" width="8.77734375" style="20" customWidth="1"/>
    <col min="505" max="505" width="9.77734375" style="20" customWidth="1"/>
    <col min="506" max="506" width="14.44140625" style="20" customWidth="1"/>
    <col min="507" max="507" width="7.21875" style="20" customWidth="1"/>
    <col min="508" max="508" width="5.5546875" style="20" customWidth="1"/>
    <col min="509" max="509" width="9" style="20" customWidth="1"/>
    <col min="510" max="511" width="9.77734375" style="20" customWidth="1"/>
    <col min="512" max="512" width="11.21875" style="20" customWidth="1"/>
    <col min="513" max="513" width="2.77734375" style="20" customWidth="1"/>
    <col min="514" max="514" width="3.5546875" style="20" customWidth="1"/>
    <col min="515" max="759" width="9.21875" style="20"/>
    <col min="760" max="760" width="8.77734375" style="20" customWidth="1"/>
    <col min="761" max="761" width="9.77734375" style="20" customWidth="1"/>
    <col min="762" max="762" width="14.44140625" style="20" customWidth="1"/>
    <col min="763" max="763" width="7.21875" style="20" customWidth="1"/>
    <col min="764" max="764" width="5.5546875" style="20" customWidth="1"/>
    <col min="765" max="765" width="9" style="20" customWidth="1"/>
    <col min="766" max="767" width="9.77734375" style="20" customWidth="1"/>
    <col min="768" max="768" width="11.21875" style="20" customWidth="1"/>
    <col min="769" max="769" width="2.77734375" style="20" customWidth="1"/>
    <col min="770" max="770" width="3.5546875" style="20" customWidth="1"/>
    <col min="771" max="1015" width="9.21875" style="20"/>
    <col min="1016" max="1016" width="8.77734375" style="20" customWidth="1"/>
    <col min="1017" max="1017" width="9.77734375" style="20" customWidth="1"/>
    <col min="1018" max="1018" width="14.44140625" style="20" customWidth="1"/>
    <col min="1019" max="1019" width="7.21875" style="20" customWidth="1"/>
    <col min="1020" max="1020" width="5.5546875" style="20" customWidth="1"/>
    <col min="1021" max="1021" width="9" style="20" customWidth="1"/>
    <col min="1022" max="1023" width="9.77734375" style="20" customWidth="1"/>
    <col min="1024" max="1024" width="11.21875" style="20" customWidth="1"/>
    <col min="1025" max="1025" width="2.77734375" style="20" customWidth="1"/>
    <col min="1026" max="1026" width="3.5546875" style="20" customWidth="1"/>
    <col min="1027" max="1271" width="9.21875" style="20"/>
    <col min="1272" max="1272" width="8.77734375" style="20" customWidth="1"/>
    <col min="1273" max="1273" width="9.77734375" style="20" customWidth="1"/>
    <col min="1274" max="1274" width="14.44140625" style="20" customWidth="1"/>
    <col min="1275" max="1275" width="7.21875" style="20" customWidth="1"/>
    <col min="1276" max="1276" width="5.5546875" style="20" customWidth="1"/>
    <col min="1277" max="1277" width="9" style="20" customWidth="1"/>
    <col min="1278" max="1279" width="9.77734375" style="20" customWidth="1"/>
    <col min="1280" max="1280" width="11.21875" style="20" customWidth="1"/>
    <col min="1281" max="1281" width="2.77734375" style="20" customWidth="1"/>
    <col min="1282" max="1282" width="3.5546875" style="20" customWidth="1"/>
    <col min="1283" max="1527" width="9.21875" style="20"/>
    <col min="1528" max="1528" width="8.77734375" style="20" customWidth="1"/>
    <col min="1529" max="1529" width="9.77734375" style="20" customWidth="1"/>
    <col min="1530" max="1530" width="14.44140625" style="20" customWidth="1"/>
    <col min="1531" max="1531" width="7.21875" style="20" customWidth="1"/>
    <col min="1532" max="1532" width="5.5546875" style="20" customWidth="1"/>
    <col min="1533" max="1533" width="9" style="20" customWidth="1"/>
    <col min="1534" max="1535" width="9.77734375" style="20" customWidth="1"/>
    <col min="1536" max="1536" width="11.21875" style="20" customWidth="1"/>
    <col min="1537" max="1537" width="2.77734375" style="20" customWidth="1"/>
    <col min="1538" max="1538" width="3.5546875" style="20" customWidth="1"/>
    <col min="1539" max="1783" width="9.21875" style="20"/>
    <col min="1784" max="1784" width="8.77734375" style="20" customWidth="1"/>
    <col min="1785" max="1785" width="9.77734375" style="20" customWidth="1"/>
    <col min="1786" max="1786" width="14.44140625" style="20" customWidth="1"/>
    <col min="1787" max="1787" width="7.21875" style="20" customWidth="1"/>
    <col min="1788" max="1788" width="5.5546875" style="20" customWidth="1"/>
    <col min="1789" max="1789" width="9" style="20" customWidth="1"/>
    <col min="1790" max="1791" width="9.77734375" style="20" customWidth="1"/>
    <col min="1792" max="1792" width="11.21875" style="20" customWidth="1"/>
    <col min="1793" max="1793" width="2.77734375" style="20" customWidth="1"/>
    <col min="1794" max="1794" width="3.5546875" style="20" customWidth="1"/>
    <col min="1795" max="2039" width="9.21875" style="20"/>
    <col min="2040" max="2040" width="8.77734375" style="20" customWidth="1"/>
    <col min="2041" max="2041" width="9.77734375" style="20" customWidth="1"/>
    <col min="2042" max="2042" width="14.44140625" style="20" customWidth="1"/>
    <col min="2043" max="2043" width="7.21875" style="20" customWidth="1"/>
    <col min="2044" max="2044" width="5.5546875" style="20" customWidth="1"/>
    <col min="2045" max="2045" width="9" style="20" customWidth="1"/>
    <col min="2046" max="2047" width="9.77734375" style="20" customWidth="1"/>
    <col min="2048" max="2048" width="11.21875" style="20" customWidth="1"/>
    <col min="2049" max="2049" width="2.77734375" style="20" customWidth="1"/>
    <col min="2050" max="2050" width="3.5546875" style="20" customWidth="1"/>
    <col min="2051" max="2295" width="9.21875" style="20"/>
    <col min="2296" max="2296" width="8.77734375" style="20" customWidth="1"/>
    <col min="2297" max="2297" width="9.77734375" style="20" customWidth="1"/>
    <col min="2298" max="2298" width="14.44140625" style="20" customWidth="1"/>
    <col min="2299" max="2299" width="7.21875" style="20" customWidth="1"/>
    <col min="2300" max="2300" width="5.5546875" style="20" customWidth="1"/>
    <col min="2301" max="2301" width="9" style="20" customWidth="1"/>
    <col min="2302" max="2303" width="9.77734375" style="20" customWidth="1"/>
    <col min="2304" max="2304" width="11.21875" style="20" customWidth="1"/>
    <col min="2305" max="2305" width="2.77734375" style="20" customWidth="1"/>
    <col min="2306" max="2306" width="3.5546875" style="20" customWidth="1"/>
    <col min="2307" max="2551" width="9.21875" style="20"/>
    <col min="2552" max="2552" width="8.77734375" style="20" customWidth="1"/>
    <col min="2553" max="2553" width="9.77734375" style="20" customWidth="1"/>
    <col min="2554" max="2554" width="14.44140625" style="20" customWidth="1"/>
    <col min="2555" max="2555" width="7.21875" style="20" customWidth="1"/>
    <col min="2556" max="2556" width="5.5546875" style="20" customWidth="1"/>
    <col min="2557" max="2557" width="9" style="20" customWidth="1"/>
    <col min="2558" max="2559" width="9.77734375" style="20" customWidth="1"/>
    <col min="2560" max="2560" width="11.21875" style="20" customWidth="1"/>
    <col min="2561" max="2561" width="2.77734375" style="20" customWidth="1"/>
    <col min="2562" max="2562" width="3.5546875" style="20" customWidth="1"/>
    <col min="2563" max="2807" width="9.21875" style="20"/>
    <col min="2808" max="2808" width="8.77734375" style="20" customWidth="1"/>
    <col min="2809" max="2809" width="9.77734375" style="20" customWidth="1"/>
    <col min="2810" max="2810" width="14.44140625" style="20" customWidth="1"/>
    <col min="2811" max="2811" width="7.21875" style="20" customWidth="1"/>
    <col min="2812" max="2812" width="5.5546875" style="20" customWidth="1"/>
    <col min="2813" max="2813" width="9" style="20" customWidth="1"/>
    <col min="2814" max="2815" width="9.77734375" style="20" customWidth="1"/>
    <col min="2816" max="2816" width="11.21875" style="20" customWidth="1"/>
    <col min="2817" max="2817" width="2.77734375" style="20" customWidth="1"/>
    <col min="2818" max="2818" width="3.5546875" style="20" customWidth="1"/>
    <col min="2819" max="3063" width="9.21875" style="20"/>
    <col min="3064" max="3064" width="8.77734375" style="20" customWidth="1"/>
    <col min="3065" max="3065" width="9.77734375" style="20" customWidth="1"/>
    <col min="3066" max="3066" width="14.44140625" style="20" customWidth="1"/>
    <col min="3067" max="3067" width="7.21875" style="20" customWidth="1"/>
    <col min="3068" max="3068" width="5.5546875" style="20" customWidth="1"/>
    <col min="3069" max="3069" width="9" style="20" customWidth="1"/>
    <col min="3070" max="3071" width="9.77734375" style="20" customWidth="1"/>
    <col min="3072" max="3072" width="11.21875" style="20" customWidth="1"/>
    <col min="3073" max="3073" width="2.77734375" style="20" customWidth="1"/>
    <col min="3074" max="3074" width="3.5546875" style="20" customWidth="1"/>
    <col min="3075" max="3319" width="9.21875" style="20"/>
    <col min="3320" max="3320" width="8.77734375" style="20" customWidth="1"/>
    <col min="3321" max="3321" width="9.77734375" style="20" customWidth="1"/>
    <col min="3322" max="3322" width="14.44140625" style="20" customWidth="1"/>
    <col min="3323" max="3323" width="7.21875" style="20" customWidth="1"/>
    <col min="3324" max="3324" width="5.5546875" style="20" customWidth="1"/>
    <col min="3325" max="3325" width="9" style="20" customWidth="1"/>
    <col min="3326" max="3327" width="9.77734375" style="20" customWidth="1"/>
    <col min="3328" max="3328" width="11.21875" style="20" customWidth="1"/>
    <col min="3329" max="3329" width="2.77734375" style="20" customWidth="1"/>
    <col min="3330" max="3330" width="3.5546875" style="20" customWidth="1"/>
    <col min="3331" max="3575" width="9.21875" style="20"/>
    <col min="3576" max="3576" width="8.77734375" style="20" customWidth="1"/>
    <col min="3577" max="3577" width="9.77734375" style="20" customWidth="1"/>
    <col min="3578" max="3578" width="14.44140625" style="20" customWidth="1"/>
    <col min="3579" max="3579" width="7.21875" style="20" customWidth="1"/>
    <col min="3580" max="3580" width="5.5546875" style="20" customWidth="1"/>
    <col min="3581" max="3581" width="9" style="20" customWidth="1"/>
    <col min="3582" max="3583" width="9.77734375" style="20" customWidth="1"/>
    <col min="3584" max="3584" width="11.21875" style="20" customWidth="1"/>
    <col min="3585" max="3585" width="2.77734375" style="20" customWidth="1"/>
    <col min="3586" max="3586" width="3.5546875" style="20" customWidth="1"/>
    <col min="3587" max="3831" width="9.21875" style="20"/>
    <col min="3832" max="3832" width="8.77734375" style="20" customWidth="1"/>
    <col min="3833" max="3833" width="9.77734375" style="20" customWidth="1"/>
    <col min="3834" max="3834" width="14.44140625" style="20" customWidth="1"/>
    <col min="3835" max="3835" width="7.21875" style="20" customWidth="1"/>
    <col min="3836" max="3836" width="5.5546875" style="20" customWidth="1"/>
    <col min="3837" max="3837" width="9" style="20" customWidth="1"/>
    <col min="3838" max="3839" width="9.77734375" style="20" customWidth="1"/>
    <col min="3840" max="3840" width="11.21875" style="20" customWidth="1"/>
    <col min="3841" max="3841" width="2.77734375" style="20" customWidth="1"/>
    <col min="3842" max="3842" width="3.5546875" style="20" customWidth="1"/>
    <col min="3843" max="4087" width="9.21875" style="20"/>
    <col min="4088" max="4088" width="8.77734375" style="20" customWidth="1"/>
    <col min="4089" max="4089" width="9.77734375" style="20" customWidth="1"/>
    <col min="4090" max="4090" width="14.44140625" style="20" customWidth="1"/>
    <col min="4091" max="4091" width="7.21875" style="20" customWidth="1"/>
    <col min="4092" max="4092" width="5.5546875" style="20" customWidth="1"/>
    <col min="4093" max="4093" width="9" style="20" customWidth="1"/>
    <col min="4094" max="4095" width="9.77734375" style="20" customWidth="1"/>
    <col min="4096" max="4096" width="11.21875" style="20" customWidth="1"/>
    <col min="4097" max="4097" width="2.77734375" style="20" customWidth="1"/>
    <col min="4098" max="4098" width="3.5546875" style="20" customWidth="1"/>
    <col min="4099" max="4343" width="9.21875" style="20"/>
    <col min="4344" max="4344" width="8.77734375" style="20" customWidth="1"/>
    <col min="4345" max="4345" width="9.77734375" style="20" customWidth="1"/>
    <col min="4346" max="4346" width="14.44140625" style="20" customWidth="1"/>
    <col min="4347" max="4347" width="7.21875" style="20" customWidth="1"/>
    <col min="4348" max="4348" width="5.5546875" style="20" customWidth="1"/>
    <col min="4349" max="4349" width="9" style="20" customWidth="1"/>
    <col min="4350" max="4351" width="9.77734375" style="20" customWidth="1"/>
    <col min="4352" max="4352" width="11.21875" style="20" customWidth="1"/>
    <col min="4353" max="4353" width="2.77734375" style="20" customWidth="1"/>
    <col min="4354" max="4354" width="3.5546875" style="20" customWidth="1"/>
    <col min="4355" max="4599" width="9.21875" style="20"/>
    <col min="4600" max="4600" width="8.77734375" style="20" customWidth="1"/>
    <col min="4601" max="4601" width="9.77734375" style="20" customWidth="1"/>
    <col min="4602" max="4602" width="14.44140625" style="20" customWidth="1"/>
    <col min="4603" max="4603" width="7.21875" style="20" customWidth="1"/>
    <col min="4604" max="4604" width="5.5546875" style="20" customWidth="1"/>
    <col min="4605" max="4605" width="9" style="20" customWidth="1"/>
    <col min="4606" max="4607" width="9.77734375" style="20" customWidth="1"/>
    <col min="4608" max="4608" width="11.21875" style="20" customWidth="1"/>
    <col min="4609" max="4609" width="2.77734375" style="20" customWidth="1"/>
    <col min="4610" max="4610" width="3.5546875" style="20" customWidth="1"/>
    <col min="4611" max="4855" width="9.21875" style="20"/>
    <col min="4856" max="4856" width="8.77734375" style="20" customWidth="1"/>
    <col min="4857" max="4857" width="9.77734375" style="20" customWidth="1"/>
    <col min="4858" max="4858" width="14.44140625" style="20" customWidth="1"/>
    <col min="4859" max="4859" width="7.21875" style="20" customWidth="1"/>
    <col min="4860" max="4860" width="5.5546875" style="20" customWidth="1"/>
    <col min="4861" max="4861" width="9" style="20" customWidth="1"/>
    <col min="4862" max="4863" width="9.77734375" style="20" customWidth="1"/>
    <col min="4864" max="4864" width="11.21875" style="20" customWidth="1"/>
    <col min="4865" max="4865" width="2.77734375" style="20" customWidth="1"/>
    <col min="4866" max="4866" width="3.5546875" style="20" customWidth="1"/>
    <col min="4867" max="5111" width="9.21875" style="20"/>
    <col min="5112" max="5112" width="8.77734375" style="20" customWidth="1"/>
    <col min="5113" max="5113" width="9.77734375" style="20" customWidth="1"/>
    <col min="5114" max="5114" width="14.44140625" style="20" customWidth="1"/>
    <col min="5115" max="5115" width="7.21875" style="20" customWidth="1"/>
    <col min="5116" max="5116" width="5.5546875" style="20" customWidth="1"/>
    <col min="5117" max="5117" width="9" style="20" customWidth="1"/>
    <col min="5118" max="5119" width="9.77734375" style="20" customWidth="1"/>
    <col min="5120" max="5120" width="11.21875" style="20" customWidth="1"/>
    <col min="5121" max="5121" width="2.77734375" style="20" customWidth="1"/>
    <col min="5122" max="5122" width="3.5546875" style="20" customWidth="1"/>
    <col min="5123" max="5367" width="9.21875" style="20"/>
    <col min="5368" max="5368" width="8.77734375" style="20" customWidth="1"/>
    <col min="5369" max="5369" width="9.77734375" style="20" customWidth="1"/>
    <col min="5370" max="5370" width="14.44140625" style="20" customWidth="1"/>
    <col min="5371" max="5371" width="7.21875" style="20" customWidth="1"/>
    <col min="5372" max="5372" width="5.5546875" style="20" customWidth="1"/>
    <col min="5373" max="5373" width="9" style="20" customWidth="1"/>
    <col min="5374" max="5375" width="9.77734375" style="20" customWidth="1"/>
    <col min="5376" max="5376" width="11.21875" style="20" customWidth="1"/>
    <col min="5377" max="5377" width="2.77734375" style="20" customWidth="1"/>
    <col min="5378" max="5378" width="3.5546875" style="20" customWidth="1"/>
    <col min="5379" max="5623" width="9.21875" style="20"/>
    <col min="5624" max="5624" width="8.77734375" style="20" customWidth="1"/>
    <col min="5625" max="5625" width="9.77734375" style="20" customWidth="1"/>
    <col min="5626" max="5626" width="14.44140625" style="20" customWidth="1"/>
    <col min="5627" max="5627" width="7.21875" style="20" customWidth="1"/>
    <col min="5628" max="5628" width="5.5546875" style="20" customWidth="1"/>
    <col min="5629" max="5629" width="9" style="20" customWidth="1"/>
    <col min="5630" max="5631" width="9.77734375" style="20" customWidth="1"/>
    <col min="5632" max="5632" width="11.21875" style="20" customWidth="1"/>
    <col min="5633" max="5633" width="2.77734375" style="20" customWidth="1"/>
    <col min="5634" max="5634" width="3.5546875" style="20" customWidth="1"/>
    <col min="5635" max="5879" width="9.21875" style="20"/>
    <col min="5880" max="5880" width="8.77734375" style="20" customWidth="1"/>
    <col min="5881" max="5881" width="9.77734375" style="20" customWidth="1"/>
    <col min="5882" max="5882" width="14.44140625" style="20" customWidth="1"/>
    <col min="5883" max="5883" width="7.21875" style="20" customWidth="1"/>
    <col min="5884" max="5884" width="5.5546875" style="20" customWidth="1"/>
    <col min="5885" max="5885" width="9" style="20" customWidth="1"/>
    <col min="5886" max="5887" width="9.77734375" style="20" customWidth="1"/>
    <col min="5888" max="5888" width="11.21875" style="20" customWidth="1"/>
    <col min="5889" max="5889" width="2.77734375" style="20" customWidth="1"/>
    <col min="5890" max="5890" width="3.5546875" style="20" customWidth="1"/>
    <col min="5891" max="6135" width="9.21875" style="20"/>
    <col min="6136" max="6136" width="8.77734375" style="20" customWidth="1"/>
    <col min="6137" max="6137" width="9.77734375" style="20" customWidth="1"/>
    <col min="6138" max="6138" width="14.44140625" style="20" customWidth="1"/>
    <col min="6139" max="6139" width="7.21875" style="20" customWidth="1"/>
    <col min="6140" max="6140" width="5.5546875" style="20" customWidth="1"/>
    <col min="6141" max="6141" width="9" style="20" customWidth="1"/>
    <col min="6142" max="6143" width="9.77734375" style="20" customWidth="1"/>
    <col min="6144" max="6144" width="11.21875" style="20" customWidth="1"/>
    <col min="6145" max="6145" width="2.77734375" style="20" customWidth="1"/>
    <col min="6146" max="6146" width="3.5546875" style="20" customWidth="1"/>
    <col min="6147" max="6391" width="9.21875" style="20"/>
    <col min="6392" max="6392" width="8.77734375" style="20" customWidth="1"/>
    <col min="6393" max="6393" width="9.77734375" style="20" customWidth="1"/>
    <col min="6394" max="6394" width="14.44140625" style="20" customWidth="1"/>
    <col min="6395" max="6395" width="7.21875" style="20" customWidth="1"/>
    <col min="6396" max="6396" width="5.5546875" style="20" customWidth="1"/>
    <col min="6397" max="6397" width="9" style="20" customWidth="1"/>
    <col min="6398" max="6399" width="9.77734375" style="20" customWidth="1"/>
    <col min="6400" max="6400" width="11.21875" style="20" customWidth="1"/>
    <col min="6401" max="6401" width="2.77734375" style="20" customWidth="1"/>
    <col min="6402" max="6402" width="3.5546875" style="20" customWidth="1"/>
    <col min="6403" max="6647" width="9.21875" style="20"/>
    <col min="6648" max="6648" width="8.77734375" style="20" customWidth="1"/>
    <col min="6649" max="6649" width="9.77734375" style="20" customWidth="1"/>
    <col min="6650" max="6650" width="14.44140625" style="20" customWidth="1"/>
    <col min="6651" max="6651" width="7.21875" style="20" customWidth="1"/>
    <col min="6652" max="6652" width="5.5546875" style="20" customWidth="1"/>
    <col min="6653" max="6653" width="9" style="20" customWidth="1"/>
    <col min="6654" max="6655" width="9.77734375" style="20" customWidth="1"/>
    <col min="6656" max="6656" width="11.21875" style="20" customWidth="1"/>
    <col min="6657" max="6657" width="2.77734375" style="20" customWidth="1"/>
    <col min="6658" max="6658" width="3.5546875" style="20" customWidth="1"/>
    <col min="6659" max="6903" width="9.21875" style="20"/>
    <col min="6904" max="6904" width="8.77734375" style="20" customWidth="1"/>
    <col min="6905" max="6905" width="9.77734375" style="20" customWidth="1"/>
    <col min="6906" max="6906" width="14.44140625" style="20" customWidth="1"/>
    <col min="6907" max="6907" width="7.21875" style="20" customWidth="1"/>
    <col min="6908" max="6908" width="5.5546875" style="20" customWidth="1"/>
    <col min="6909" max="6909" width="9" style="20" customWidth="1"/>
    <col min="6910" max="6911" width="9.77734375" style="20" customWidth="1"/>
    <col min="6912" max="6912" width="11.21875" style="20" customWidth="1"/>
    <col min="6913" max="6913" width="2.77734375" style="20" customWidth="1"/>
    <col min="6914" max="6914" width="3.5546875" style="20" customWidth="1"/>
    <col min="6915" max="7159" width="9.21875" style="20"/>
    <col min="7160" max="7160" width="8.77734375" style="20" customWidth="1"/>
    <col min="7161" max="7161" width="9.77734375" style="20" customWidth="1"/>
    <col min="7162" max="7162" width="14.44140625" style="20" customWidth="1"/>
    <col min="7163" max="7163" width="7.21875" style="20" customWidth="1"/>
    <col min="7164" max="7164" width="5.5546875" style="20" customWidth="1"/>
    <col min="7165" max="7165" width="9" style="20" customWidth="1"/>
    <col min="7166" max="7167" width="9.77734375" style="20" customWidth="1"/>
    <col min="7168" max="7168" width="11.21875" style="20" customWidth="1"/>
    <col min="7169" max="7169" width="2.77734375" style="20" customWidth="1"/>
    <col min="7170" max="7170" width="3.5546875" style="20" customWidth="1"/>
    <col min="7171" max="7415" width="9.21875" style="20"/>
    <col min="7416" max="7416" width="8.77734375" style="20" customWidth="1"/>
    <col min="7417" max="7417" width="9.77734375" style="20" customWidth="1"/>
    <col min="7418" max="7418" width="14.44140625" style="20" customWidth="1"/>
    <col min="7419" max="7419" width="7.21875" style="20" customWidth="1"/>
    <col min="7420" max="7420" width="5.5546875" style="20" customWidth="1"/>
    <col min="7421" max="7421" width="9" style="20" customWidth="1"/>
    <col min="7422" max="7423" width="9.77734375" style="20" customWidth="1"/>
    <col min="7424" max="7424" width="11.21875" style="20" customWidth="1"/>
    <col min="7425" max="7425" width="2.77734375" style="20" customWidth="1"/>
    <col min="7426" max="7426" width="3.5546875" style="20" customWidth="1"/>
    <col min="7427" max="7671" width="9.21875" style="20"/>
    <col min="7672" max="7672" width="8.77734375" style="20" customWidth="1"/>
    <col min="7673" max="7673" width="9.77734375" style="20" customWidth="1"/>
    <col min="7674" max="7674" width="14.44140625" style="20" customWidth="1"/>
    <col min="7675" max="7675" width="7.21875" style="20" customWidth="1"/>
    <col min="7676" max="7676" width="5.5546875" style="20" customWidth="1"/>
    <col min="7677" max="7677" width="9" style="20" customWidth="1"/>
    <col min="7678" max="7679" width="9.77734375" style="20" customWidth="1"/>
    <col min="7680" max="7680" width="11.21875" style="20" customWidth="1"/>
    <col min="7681" max="7681" width="2.77734375" style="20" customWidth="1"/>
    <col min="7682" max="7682" width="3.5546875" style="20" customWidth="1"/>
    <col min="7683" max="7927" width="9.21875" style="20"/>
    <col min="7928" max="7928" width="8.77734375" style="20" customWidth="1"/>
    <col min="7929" max="7929" width="9.77734375" style="20" customWidth="1"/>
    <col min="7930" max="7930" width="14.44140625" style="20" customWidth="1"/>
    <col min="7931" max="7931" width="7.21875" style="20" customWidth="1"/>
    <col min="7932" max="7932" width="5.5546875" style="20" customWidth="1"/>
    <col min="7933" max="7933" width="9" style="20" customWidth="1"/>
    <col min="7934" max="7935" width="9.77734375" style="20" customWidth="1"/>
    <col min="7936" max="7936" width="11.21875" style="20" customWidth="1"/>
    <col min="7937" max="7937" width="2.77734375" style="20" customWidth="1"/>
    <col min="7938" max="7938" width="3.5546875" style="20" customWidth="1"/>
    <col min="7939" max="8183" width="9.21875" style="20"/>
    <col min="8184" max="8184" width="8.77734375" style="20" customWidth="1"/>
    <col min="8185" max="8185" width="9.77734375" style="20" customWidth="1"/>
    <col min="8186" max="8186" width="14.44140625" style="20" customWidth="1"/>
    <col min="8187" max="8187" width="7.21875" style="20" customWidth="1"/>
    <col min="8188" max="8188" width="5.5546875" style="20" customWidth="1"/>
    <col min="8189" max="8189" width="9" style="20" customWidth="1"/>
    <col min="8190" max="8191" width="9.77734375" style="20" customWidth="1"/>
    <col min="8192" max="8192" width="11.21875" style="20" customWidth="1"/>
    <col min="8193" max="8193" width="2.77734375" style="20" customWidth="1"/>
    <col min="8194" max="8194" width="3.5546875" style="20" customWidth="1"/>
    <col min="8195" max="8439" width="9.21875" style="20"/>
    <col min="8440" max="8440" width="8.77734375" style="20" customWidth="1"/>
    <col min="8441" max="8441" width="9.77734375" style="20" customWidth="1"/>
    <col min="8442" max="8442" width="14.44140625" style="20" customWidth="1"/>
    <col min="8443" max="8443" width="7.21875" style="20" customWidth="1"/>
    <col min="8444" max="8444" width="5.5546875" style="20" customWidth="1"/>
    <col min="8445" max="8445" width="9" style="20" customWidth="1"/>
    <col min="8446" max="8447" width="9.77734375" style="20" customWidth="1"/>
    <col min="8448" max="8448" width="11.21875" style="20" customWidth="1"/>
    <col min="8449" max="8449" width="2.77734375" style="20" customWidth="1"/>
    <col min="8450" max="8450" width="3.5546875" style="20" customWidth="1"/>
    <col min="8451" max="8695" width="9.21875" style="20"/>
    <col min="8696" max="8696" width="8.77734375" style="20" customWidth="1"/>
    <col min="8697" max="8697" width="9.77734375" style="20" customWidth="1"/>
    <col min="8698" max="8698" width="14.44140625" style="20" customWidth="1"/>
    <col min="8699" max="8699" width="7.21875" style="20" customWidth="1"/>
    <col min="8700" max="8700" width="5.5546875" style="20" customWidth="1"/>
    <col min="8701" max="8701" width="9" style="20" customWidth="1"/>
    <col min="8702" max="8703" width="9.77734375" style="20" customWidth="1"/>
    <col min="8704" max="8704" width="11.21875" style="20" customWidth="1"/>
    <col min="8705" max="8705" width="2.77734375" style="20" customWidth="1"/>
    <col min="8706" max="8706" width="3.5546875" style="20" customWidth="1"/>
    <col min="8707" max="8951" width="9.21875" style="20"/>
    <col min="8952" max="8952" width="8.77734375" style="20" customWidth="1"/>
    <col min="8953" max="8953" width="9.77734375" style="20" customWidth="1"/>
    <col min="8954" max="8954" width="14.44140625" style="20" customWidth="1"/>
    <col min="8955" max="8955" width="7.21875" style="20" customWidth="1"/>
    <col min="8956" max="8956" width="5.5546875" style="20" customWidth="1"/>
    <col min="8957" max="8957" width="9" style="20" customWidth="1"/>
    <col min="8958" max="8959" width="9.77734375" style="20" customWidth="1"/>
    <col min="8960" max="8960" width="11.21875" style="20" customWidth="1"/>
    <col min="8961" max="8961" width="2.77734375" style="20" customWidth="1"/>
    <col min="8962" max="8962" width="3.5546875" style="20" customWidth="1"/>
    <col min="8963" max="9207" width="9.21875" style="20"/>
    <col min="9208" max="9208" width="8.77734375" style="20" customWidth="1"/>
    <col min="9209" max="9209" width="9.77734375" style="20" customWidth="1"/>
    <col min="9210" max="9210" width="14.44140625" style="20" customWidth="1"/>
    <col min="9211" max="9211" width="7.21875" style="20" customWidth="1"/>
    <col min="9212" max="9212" width="5.5546875" style="20" customWidth="1"/>
    <col min="9213" max="9213" width="9" style="20" customWidth="1"/>
    <col min="9214" max="9215" width="9.77734375" style="20" customWidth="1"/>
    <col min="9216" max="9216" width="11.21875" style="20" customWidth="1"/>
    <col min="9217" max="9217" width="2.77734375" style="20" customWidth="1"/>
    <col min="9218" max="9218" width="3.5546875" style="20" customWidth="1"/>
    <col min="9219" max="9463" width="9.21875" style="20"/>
    <col min="9464" max="9464" width="8.77734375" style="20" customWidth="1"/>
    <col min="9465" max="9465" width="9.77734375" style="20" customWidth="1"/>
    <col min="9466" max="9466" width="14.44140625" style="20" customWidth="1"/>
    <col min="9467" max="9467" width="7.21875" style="20" customWidth="1"/>
    <col min="9468" max="9468" width="5.5546875" style="20" customWidth="1"/>
    <col min="9469" max="9469" width="9" style="20" customWidth="1"/>
    <col min="9470" max="9471" width="9.77734375" style="20" customWidth="1"/>
    <col min="9472" max="9472" width="11.21875" style="20" customWidth="1"/>
    <col min="9473" max="9473" width="2.77734375" style="20" customWidth="1"/>
    <col min="9474" max="9474" width="3.5546875" style="20" customWidth="1"/>
    <col min="9475" max="9719" width="9.21875" style="20"/>
    <col min="9720" max="9720" width="8.77734375" style="20" customWidth="1"/>
    <col min="9721" max="9721" width="9.77734375" style="20" customWidth="1"/>
    <col min="9722" max="9722" width="14.44140625" style="20" customWidth="1"/>
    <col min="9723" max="9723" width="7.21875" style="20" customWidth="1"/>
    <col min="9724" max="9724" width="5.5546875" style="20" customWidth="1"/>
    <col min="9725" max="9725" width="9" style="20" customWidth="1"/>
    <col min="9726" max="9727" width="9.77734375" style="20" customWidth="1"/>
    <col min="9728" max="9728" width="11.21875" style="20" customWidth="1"/>
    <col min="9729" max="9729" width="2.77734375" style="20" customWidth="1"/>
    <col min="9730" max="9730" width="3.5546875" style="20" customWidth="1"/>
    <col min="9731" max="9975" width="9.21875" style="20"/>
    <col min="9976" max="9976" width="8.77734375" style="20" customWidth="1"/>
    <col min="9977" max="9977" width="9.77734375" style="20" customWidth="1"/>
    <col min="9978" max="9978" width="14.44140625" style="20" customWidth="1"/>
    <col min="9979" max="9979" width="7.21875" style="20" customWidth="1"/>
    <col min="9980" max="9980" width="5.5546875" style="20" customWidth="1"/>
    <col min="9981" max="9981" width="9" style="20" customWidth="1"/>
    <col min="9982" max="9983" width="9.77734375" style="20" customWidth="1"/>
    <col min="9984" max="9984" width="11.21875" style="20" customWidth="1"/>
    <col min="9985" max="9985" width="2.77734375" style="20" customWidth="1"/>
    <col min="9986" max="9986" width="3.5546875" style="20" customWidth="1"/>
    <col min="9987" max="10231" width="9.21875" style="20"/>
    <col min="10232" max="10232" width="8.77734375" style="20" customWidth="1"/>
    <col min="10233" max="10233" width="9.77734375" style="20" customWidth="1"/>
    <col min="10234" max="10234" width="14.44140625" style="20" customWidth="1"/>
    <col min="10235" max="10235" width="7.21875" style="20" customWidth="1"/>
    <col min="10236" max="10236" width="5.5546875" style="20" customWidth="1"/>
    <col min="10237" max="10237" width="9" style="20" customWidth="1"/>
    <col min="10238" max="10239" width="9.77734375" style="20" customWidth="1"/>
    <col min="10240" max="10240" width="11.21875" style="20" customWidth="1"/>
    <col min="10241" max="10241" width="2.77734375" style="20" customWidth="1"/>
    <col min="10242" max="10242" width="3.5546875" style="20" customWidth="1"/>
    <col min="10243" max="10487" width="9.21875" style="20"/>
    <col min="10488" max="10488" width="8.77734375" style="20" customWidth="1"/>
    <col min="10489" max="10489" width="9.77734375" style="20" customWidth="1"/>
    <col min="10490" max="10490" width="14.44140625" style="20" customWidth="1"/>
    <col min="10491" max="10491" width="7.21875" style="20" customWidth="1"/>
    <col min="10492" max="10492" width="5.5546875" style="20" customWidth="1"/>
    <col min="10493" max="10493" width="9" style="20" customWidth="1"/>
    <col min="10494" max="10495" width="9.77734375" style="20" customWidth="1"/>
    <col min="10496" max="10496" width="11.21875" style="20" customWidth="1"/>
    <col min="10497" max="10497" width="2.77734375" style="20" customWidth="1"/>
    <col min="10498" max="10498" width="3.5546875" style="20" customWidth="1"/>
    <col min="10499" max="10743" width="9.21875" style="20"/>
    <col min="10744" max="10744" width="8.77734375" style="20" customWidth="1"/>
    <col min="10745" max="10745" width="9.77734375" style="20" customWidth="1"/>
    <col min="10746" max="10746" width="14.44140625" style="20" customWidth="1"/>
    <col min="10747" max="10747" width="7.21875" style="20" customWidth="1"/>
    <col min="10748" max="10748" width="5.5546875" style="20" customWidth="1"/>
    <col min="10749" max="10749" width="9" style="20" customWidth="1"/>
    <col min="10750" max="10751" width="9.77734375" style="20" customWidth="1"/>
    <col min="10752" max="10752" width="11.21875" style="20" customWidth="1"/>
    <col min="10753" max="10753" width="2.77734375" style="20" customWidth="1"/>
    <col min="10754" max="10754" width="3.5546875" style="20" customWidth="1"/>
    <col min="10755" max="10999" width="9.21875" style="20"/>
    <col min="11000" max="11000" width="8.77734375" style="20" customWidth="1"/>
    <col min="11001" max="11001" width="9.77734375" style="20" customWidth="1"/>
    <col min="11002" max="11002" width="14.44140625" style="20" customWidth="1"/>
    <col min="11003" max="11003" width="7.21875" style="20" customWidth="1"/>
    <col min="11004" max="11004" width="5.5546875" style="20" customWidth="1"/>
    <col min="11005" max="11005" width="9" style="20" customWidth="1"/>
    <col min="11006" max="11007" width="9.77734375" style="20" customWidth="1"/>
    <col min="11008" max="11008" width="11.21875" style="20" customWidth="1"/>
    <col min="11009" max="11009" width="2.77734375" style="20" customWidth="1"/>
    <col min="11010" max="11010" width="3.5546875" style="20" customWidth="1"/>
    <col min="11011" max="11255" width="9.21875" style="20"/>
    <col min="11256" max="11256" width="8.77734375" style="20" customWidth="1"/>
    <col min="11257" max="11257" width="9.77734375" style="20" customWidth="1"/>
    <col min="11258" max="11258" width="14.44140625" style="20" customWidth="1"/>
    <col min="11259" max="11259" width="7.21875" style="20" customWidth="1"/>
    <col min="11260" max="11260" width="5.5546875" style="20" customWidth="1"/>
    <col min="11261" max="11261" width="9" style="20" customWidth="1"/>
    <col min="11262" max="11263" width="9.77734375" style="20" customWidth="1"/>
    <col min="11264" max="11264" width="11.21875" style="20" customWidth="1"/>
    <col min="11265" max="11265" width="2.77734375" style="20" customWidth="1"/>
    <col min="11266" max="11266" width="3.5546875" style="20" customWidth="1"/>
    <col min="11267" max="11511" width="9.21875" style="20"/>
    <col min="11512" max="11512" width="8.77734375" style="20" customWidth="1"/>
    <col min="11513" max="11513" width="9.77734375" style="20" customWidth="1"/>
    <col min="11514" max="11514" width="14.44140625" style="20" customWidth="1"/>
    <col min="11515" max="11515" width="7.21875" style="20" customWidth="1"/>
    <col min="11516" max="11516" width="5.5546875" style="20" customWidth="1"/>
    <col min="11517" max="11517" width="9" style="20" customWidth="1"/>
    <col min="11518" max="11519" width="9.77734375" style="20" customWidth="1"/>
    <col min="11520" max="11520" width="11.21875" style="20" customWidth="1"/>
    <col min="11521" max="11521" width="2.77734375" style="20" customWidth="1"/>
    <col min="11522" max="11522" width="3.5546875" style="20" customWidth="1"/>
    <col min="11523" max="11767" width="9.21875" style="20"/>
    <col min="11768" max="11768" width="8.77734375" style="20" customWidth="1"/>
    <col min="11769" max="11769" width="9.77734375" style="20" customWidth="1"/>
    <col min="11770" max="11770" width="14.44140625" style="20" customWidth="1"/>
    <col min="11771" max="11771" width="7.21875" style="20" customWidth="1"/>
    <col min="11772" max="11772" width="5.5546875" style="20" customWidth="1"/>
    <col min="11773" max="11773" width="9" style="20" customWidth="1"/>
    <col min="11774" max="11775" width="9.77734375" style="20" customWidth="1"/>
    <col min="11776" max="11776" width="11.21875" style="20" customWidth="1"/>
    <col min="11777" max="11777" width="2.77734375" style="20" customWidth="1"/>
    <col min="11778" max="11778" width="3.5546875" style="20" customWidth="1"/>
    <col min="11779" max="12023" width="9.21875" style="20"/>
    <col min="12024" max="12024" width="8.77734375" style="20" customWidth="1"/>
    <col min="12025" max="12025" width="9.77734375" style="20" customWidth="1"/>
    <col min="12026" max="12026" width="14.44140625" style="20" customWidth="1"/>
    <col min="12027" max="12027" width="7.21875" style="20" customWidth="1"/>
    <col min="12028" max="12028" width="5.5546875" style="20" customWidth="1"/>
    <col min="12029" max="12029" width="9" style="20" customWidth="1"/>
    <col min="12030" max="12031" width="9.77734375" style="20" customWidth="1"/>
    <col min="12032" max="12032" width="11.21875" style="20" customWidth="1"/>
    <col min="12033" max="12033" width="2.77734375" style="20" customWidth="1"/>
    <col min="12034" max="12034" width="3.5546875" style="20" customWidth="1"/>
    <col min="12035" max="12279" width="9.21875" style="20"/>
    <col min="12280" max="12280" width="8.77734375" style="20" customWidth="1"/>
    <col min="12281" max="12281" width="9.77734375" style="20" customWidth="1"/>
    <col min="12282" max="12282" width="14.44140625" style="20" customWidth="1"/>
    <col min="12283" max="12283" width="7.21875" style="20" customWidth="1"/>
    <col min="12284" max="12284" width="5.5546875" style="20" customWidth="1"/>
    <col min="12285" max="12285" width="9" style="20" customWidth="1"/>
    <col min="12286" max="12287" width="9.77734375" style="20" customWidth="1"/>
    <col min="12288" max="12288" width="11.21875" style="20" customWidth="1"/>
    <col min="12289" max="12289" width="2.77734375" style="20" customWidth="1"/>
    <col min="12290" max="12290" width="3.5546875" style="20" customWidth="1"/>
    <col min="12291" max="12535" width="9.21875" style="20"/>
    <col min="12536" max="12536" width="8.77734375" style="20" customWidth="1"/>
    <col min="12537" max="12537" width="9.77734375" style="20" customWidth="1"/>
    <col min="12538" max="12538" width="14.44140625" style="20" customWidth="1"/>
    <col min="12539" max="12539" width="7.21875" style="20" customWidth="1"/>
    <col min="12540" max="12540" width="5.5546875" style="20" customWidth="1"/>
    <col min="12541" max="12541" width="9" style="20" customWidth="1"/>
    <col min="12542" max="12543" width="9.77734375" style="20" customWidth="1"/>
    <col min="12544" max="12544" width="11.21875" style="20" customWidth="1"/>
    <col min="12545" max="12545" width="2.77734375" style="20" customWidth="1"/>
    <col min="12546" max="12546" width="3.5546875" style="20" customWidth="1"/>
    <col min="12547" max="12791" width="9.21875" style="20"/>
    <col min="12792" max="12792" width="8.77734375" style="20" customWidth="1"/>
    <col min="12793" max="12793" width="9.77734375" style="20" customWidth="1"/>
    <col min="12794" max="12794" width="14.44140625" style="20" customWidth="1"/>
    <col min="12795" max="12795" width="7.21875" style="20" customWidth="1"/>
    <col min="12796" max="12796" width="5.5546875" style="20" customWidth="1"/>
    <col min="12797" max="12797" width="9" style="20" customWidth="1"/>
    <col min="12798" max="12799" width="9.77734375" style="20" customWidth="1"/>
    <col min="12800" max="12800" width="11.21875" style="20" customWidth="1"/>
    <col min="12801" max="12801" width="2.77734375" style="20" customWidth="1"/>
    <col min="12802" max="12802" width="3.5546875" style="20" customWidth="1"/>
    <col min="12803" max="13047" width="9.21875" style="20"/>
    <col min="13048" max="13048" width="8.77734375" style="20" customWidth="1"/>
    <col min="13049" max="13049" width="9.77734375" style="20" customWidth="1"/>
    <col min="13050" max="13050" width="14.44140625" style="20" customWidth="1"/>
    <col min="13051" max="13051" width="7.21875" style="20" customWidth="1"/>
    <col min="13052" max="13052" width="5.5546875" style="20" customWidth="1"/>
    <col min="13053" max="13053" width="9" style="20" customWidth="1"/>
    <col min="13054" max="13055" width="9.77734375" style="20" customWidth="1"/>
    <col min="13056" max="13056" width="11.21875" style="20" customWidth="1"/>
    <col min="13057" max="13057" width="2.77734375" style="20" customWidth="1"/>
    <col min="13058" max="13058" width="3.5546875" style="20" customWidth="1"/>
    <col min="13059" max="13303" width="9.21875" style="20"/>
    <col min="13304" max="13304" width="8.77734375" style="20" customWidth="1"/>
    <col min="13305" max="13305" width="9.77734375" style="20" customWidth="1"/>
    <col min="13306" max="13306" width="14.44140625" style="20" customWidth="1"/>
    <col min="13307" max="13307" width="7.21875" style="20" customWidth="1"/>
    <col min="13308" max="13308" width="5.5546875" style="20" customWidth="1"/>
    <col min="13309" max="13309" width="9" style="20" customWidth="1"/>
    <col min="13310" max="13311" width="9.77734375" style="20" customWidth="1"/>
    <col min="13312" max="13312" width="11.21875" style="20" customWidth="1"/>
    <col min="13313" max="13313" width="2.77734375" style="20" customWidth="1"/>
    <col min="13314" max="13314" width="3.5546875" style="20" customWidth="1"/>
    <col min="13315" max="13559" width="9.21875" style="20"/>
    <col min="13560" max="13560" width="8.77734375" style="20" customWidth="1"/>
    <col min="13561" max="13561" width="9.77734375" style="20" customWidth="1"/>
    <col min="13562" max="13562" width="14.44140625" style="20" customWidth="1"/>
    <col min="13563" max="13563" width="7.21875" style="20" customWidth="1"/>
    <col min="13564" max="13564" width="5.5546875" style="20" customWidth="1"/>
    <col min="13565" max="13565" width="9" style="20" customWidth="1"/>
    <col min="13566" max="13567" width="9.77734375" style="20" customWidth="1"/>
    <col min="13568" max="13568" width="11.21875" style="20" customWidth="1"/>
    <col min="13569" max="13569" width="2.77734375" style="20" customWidth="1"/>
    <col min="13570" max="13570" width="3.5546875" style="20" customWidth="1"/>
    <col min="13571" max="13815" width="9.21875" style="20"/>
    <col min="13816" max="13816" width="8.77734375" style="20" customWidth="1"/>
    <col min="13817" max="13817" width="9.77734375" style="20" customWidth="1"/>
    <col min="13818" max="13818" width="14.44140625" style="20" customWidth="1"/>
    <col min="13819" max="13819" width="7.21875" style="20" customWidth="1"/>
    <col min="13820" max="13820" width="5.5546875" style="20" customWidth="1"/>
    <col min="13821" max="13821" width="9" style="20" customWidth="1"/>
    <col min="13822" max="13823" width="9.77734375" style="20" customWidth="1"/>
    <col min="13824" max="13824" width="11.21875" style="20" customWidth="1"/>
    <col min="13825" max="13825" width="2.77734375" style="20" customWidth="1"/>
    <col min="13826" max="13826" width="3.5546875" style="20" customWidth="1"/>
    <col min="13827" max="14071" width="9.21875" style="20"/>
    <col min="14072" max="14072" width="8.77734375" style="20" customWidth="1"/>
    <col min="14073" max="14073" width="9.77734375" style="20" customWidth="1"/>
    <col min="14074" max="14074" width="14.44140625" style="20" customWidth="1"/>
    <col min="14075" max="14075" width="7.21875" style="20" customWidth="1"/>
    <col min="14076" max="14076" width="5.5546875" style="20" customWidth="1"/>
    <col min="14077" max="14077" width="9" style="20" customWidth="1"/>
    <col min="14078" max="14079" width="9.77734375" style="20" customWidth="1"/>
    <col min="14080" max="14080" width="11.21875" style="20" customWidth="1"/>
    <col min="14081" max="14081" width="2.77734375" style="20" customWidth="1"/>
    <col min="14082" max="14082" width="3.5546875" style="20" customWidth="1"/>
    <col min="14083" max="14327" width="9.21875" style="20"/>
    <col min="14328" max="14328" width="8.77734375" style="20" customWidth="1"/>
    <col min="14329" max="14329" width="9.77734375" style="20" customWidth="1"/>
    <col min="14330" max="14330" width="14.44140625" style="20" customWidth="1"/>
    <col min="14331" max="14331" width="7.21875" style="20" customWidth="1"/>
    <col min="14332" max="14332" width="5.5546875" style="20" customWidth="1"/>
    <col min="14333" max="14333" width="9" style="20" customWidth="1"/>
    <col min="14334" max="14335" width="9.77734375" style="20" customWidth="1"/>
    <col min="14336" max="14336" width="11.21875" style="20" customWidth="1"/>
    <col min="14337" max="14337" width="2.77734375" style="20" customWidth="1"/>
    <col min="14338" max="14338" width="3.5546875" style="20" customWidth="1"/>
    <col min="14339" max="14583" width="9.21875" style="20"/>
    <col min="14584" max="14584" width="8.77734375" style="20" customWidth="1"/>
    <col min="14585" max="14585" width="9.77734375" style="20" customWidth="1"/>
    <col min="14586" max="14586" width="14.44140625" style="20" customWidth="1"/>
    <col min="14587" max="14587" width="7.21875" style="20" customWidth="1"/>
    <col min="14588" max="14588" width="5.5546875" style="20" customWidth="1"/>
    <col min="14589" max="14589" width="9" style="20" customWidth="1"/>
    <col min="14590" max="14591" width="9.77734375" style="20" customWidth="1"/>
    <col min="14592" max="14592" width="11.21875" style="20" customWidth="1"/>
    <col min="14593" max="14593" width="2.77734375" style="20" customWidth="1"/>
    <col min="14594" max="14594" width="3.5546875" style="20" customWidth="1"/>
    <col min="14595" max="14839" width="9.21875" style="20"/>
    <col min="14840" max="14840" width="8.77734375" style="20" customWidth="1"/>
    <col min="14841" max="14841" width="9.77734375" style="20" customWidth="1"/>
    <col min="14842" max="14842" width="14.44140625" style="20" customWidth="1"/>
    <col min="14843" max="14843" width="7.21875" style="20" customWidth="1"/>
    <col min="14844" max="14844" width="5.5546875" style="20" customWidth="1"/>
    <col min="14845" max="14845" width="9" style="20" customWidth="1"/>
    <col min="14846" max="14847" width="9.77734375" style="20" customWidth="1"/>
    <col min="14848" max="14848" width="11.21875" style="20" customWidth="1"/>
    <col min="14849" max="14849" width="2.77734375" style="20" customWidth="1"/>
    <col min="14850" max="14850" width="3.5546875" style="20" customWidth="1"/>
    <col min="14851" max="15095" width="9.21875" style="20"/>
    <col min="15096" max="15096" width="8.77734375" style="20" customWidth="1"/>
    <col min="15097" max="15097" width="9.77734375" style="20" customWidth="1"/>
    <col min="15098" max="15098" width="14.44140625" style="20" customWidth="1"/>
    <col min="15099" max="15099" width="7.21875" style="20" customWidth="1"/>
    <col min="15100" max="15100" width="5.5546875" style="20" customWidth="1"/>
    <col min="15101" max="15101" width="9" style="20" customWidth="1"/>
    <col min="15102" max="15103" width="9.77734375" style="20" customWidth="1"/>
    <col min="15104" max="15104" width="11.21875" style="20" customWidth="1"/>
    <col min="15105" max="15105" width="2.77734375" style="20" customWidth="1"/>
    <col min="15106" max="15106" width="3.5546875" style="20" customWidth="1"/>
    <col min="15107" max="15351" width="9.21875" style="20"/>
    <col min="15352" max="15352" width="8.77734375" style="20" customWidth="1"/>
    <col min="15353" max="15353" width="9.77734375" style="20" customWidth="1"/>
    <col min="15354" max="15354" width="14.44140625" style="20" customWidth="1"/>
    <col min="15355" max="15355" width="7.21875" style="20" customWidth="1"/>
    <col min="15356" max="15356" width="5.5546875" style="20" customWidth="1"/>
    <col min="15357" max="15357" width="9" style="20" customWidth="1"/>
    <col min="15358" max="15359" width="9.77734375" style="20" customWidth="1"/>
    <col min="15360" max="15360" width="11.21875" style="20" customWidth="1"/>
    <col min="15361" max="15361" width="2.77734375" style="20" customWidth="1"/>
    <col min="15362" max="15362" width="3.5546875" style="20" customWidth="1"/>
    <col min="15363" max="15607" width="9.21875" style="20"/>
    <col min="15608" max="15608" width="8.77734375" style="20" customWidth="1"/>
    <col min="15609" max="15609" width="9.77734375" style="20" customWidth="1"/>
    <col min="15610" max="15610" width="14.44140625" style="20" customWidth="1"/>
    <col min="15611" max="15611" width="7.21875" style="20" customWidth="1"/>
    <col min="15612" max="15612" width="5.5546875" style="20" customWidth="1"/>
    <col min="15613" max="15613" width="9" style="20" customWidth="1"/>
    <col min="15614" max="15615" width="9.77734375" style="20" customWidth="1"/>
    <col min="15616" max="15616" width="11.21875" style="20" customWidth="1"/>
    <col min="15617" max="15617" width="2.77734375" style="20" customWidth="1"/>
    <col min="15618" max="15618" width="3.5546875" style="20" customWidth="1"/>
    <col min="15619" max="15863" width="9.21875" style="20"/>
    <col min="15864" max="15864" width="8.77734375" style="20" customWidth="1"/>
    <col min="15865" max="15865" width="9.77734375" style="20" customWidth="1"/>
    <col min="15866" max="15866" width="14.44140625" style="20" customWidth="1"/>
    <col min="15867" max="15867" width="7.21875" style="20" customWidth="1"/>
    <col min="15868" max="15868" width="5.5546875" style="20" customWidth="1"/>
    <col min="15869" max="15869" width="9" style="20" customWidth="1"/>
    <col min="15870" max="15871" width="9.77734375" style="20" customWidth="1"/>
    <col min="15872" max="15872" width="11.21875" style="20" customWidth="1"/>
    <col min="15873" max="15873" width="2.77734375" style="20" customWidth="1"/>
    <col min="15874" max="15874" width="3.5546875" style="20" customWidth="1"/>
    <col min="15875" max="16119" width="9.21875" style="20"/>
    <col min="16120" max="16120" width="8.77734375" style="20" customWidth="1"/>
    <col min="16121" max="16121" width="9.77734375" style="20" customWidth="1"/>
    <col min="16122" max="16122" width="14.44140625" style="20" customWidth="1"/>
    <col min="16123" max="16123" width="7.21875" style="20" customWidth="1"/>
    <col min="16124" max="16124" width="5.5546875" style="20" customWidth="1"/>
    <col min="16125" max="16125" width="9" style="20" customWidth="1"/>
    <col min="16126" max="16127" width="9.77734375" style="20" customWidth="1"/>
    <col min="16128" max="16128" width="11.21875" style="20" customWidth="1"/>
    <col min="16129" max="16129" width="2.77734375" style="20" customWidth="1"/>
    <col min="16130" max="16130" width="3.5546875" style="20" customWidth="1"/>
    <col min="16131" max="16384" width="9.21875" style="20"/>
  </cols>
  <sheetData>
    <row r="1" spans="1:14" ht="46.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14" ht="16.5" customHeight="1">
      <c r="A2" s="78" t="s">
        <v>1</v>
      </c>
      <c r="B2" s="78"/>
      <c r="C2" s="78"/>
      <c r="D2" s="78"/>
      <c r="E2" s="78"/>
      <c r="F2" s="78"/>
      <c r="G2" s="78"/>
      <c r="H2" s="78"/>
      <c r="J2" s="79"/>
      <c r="K2" s="79"/>
      <c r="L2" s="79"/>
      <c r="M2" s="79"/>
    </row>
    <row r="3" spans="1:14">
      <c r="A3" s="80" t="s">
        <v>2</v>
      </c>
      <c r="B3" s="80"/>
      <c r="C3" s="80"/>
      <c r="D3" s="80"/>
      <c r="E3" s="80" t="str">
        <f ca="1">TEXT(TODAY(),"DD/MM/YYYY")</f>
        <v>22/08/2025</v>
      </c>
      <c r="F3" s="80"/>
      <c r="G3" s="80"/>
      <c r="H3" s="80"/>
      <c r="J3" s="79"/>
      <c r="K3" s="79"/>
      <c r="L3" s="79"/>
      <c r="M3" s="79"/>
    </row>
    <row r="4" spans="1:14" ht="15" customHeight="1">
      <c r="A4" s="80" t="s">
        <v>3</v>
      </c>
      <c r="B4" s="80"/>
      <c r="C4" s="80"/>
      <c r="D4" s="80"/>
      <c r="E4" s="80" t="s">
        <v>4</v>
      </c>
      <c r="F4" s="80"/>
      <c r="G4" s="80"/>
      <c r="H4" s="80"/>
      <c r="I4" s="13"/>
    </row>
    <row r="5" spans="1:14">
      <c r="A5" s="80" t="s">
        <v>5</v>
      </c>
      <c r="B5" s="80"/>
      <c r="C5" s="80"/>
      <c r="D5" s="80"/>
      <c r="E5" s="81">
        <v>45891</v>
      </c>
      <c r="F5" s="80"/>
      <c r="G5" s="80"/>
      <c r="H5" s="80"/>
    </row>
    <row r="6" spans="1:14" ht="16.5" customHeight="1">
      <c r="A6" s="80" t="s">
        <v>6</v>
      </c>
      <c r="B6" s="80"/>
      <c r="C6" s="80"/>
      <c r="D6" s="80"/>
      <c r="E6" s="80" t="s">
        <v>7</v>
      </c>
      <c r="F6" s="80"/>
      <c r="G6" s="80"/>
      <c r="H6" s="80"/>
    </row>
    <row r="7" spans="1:14" ht="15" customHeight="1">
      <c r="A7" s="80" t="s">
        <v>8</v>
      </c>
      <c r="B7" s="80"/>
      <c r="C7" s="80"/>
      <c r="D7" s="80"/>
      <c r="E7" s="80" t="str">
        <f>E6</f>
        <v>Akshar Dream Homes</v>
      </c>
      <c r="F7" s="80"/>
      <c r="G7" s="80"/>
      <c r="H7" s="80"/>
    </row>
    <row r="8" spans="1:14">
      <c r="A8" s="80" t="s">
        <v>9</v>
      </c>
      <c r="B8" s="80"/>
      <c r="C8" s="80"/>
      <c r="D8" s="80"/>
      <c r="E8" s="82" t="s">
        <v>10</v>
      </c>
      <c r="F8" s="82"/>
      <c r="G8" s="82"/>
      <c r="H8" s="82"/>
    </row>
    <row r="9" spans="1:14">
      <c r="A9" s="80" t="s">
        <v>11</v>
      </c>
      <c r="B9" s="80"/>
      <c r="C9" s="80"/>
      <c r="D9" s="80"/>
      <c r="E9" s="80" t="s">
        <v>12</v>
      </c>
      <c r="F9" s="80"/>
      <c r="G9" s="80"/>
      <c r="H9" s="80"/>
    </row>
    <row r="10" spans="1:14">
      <c r="A10" s="80" t="s">
        <v>13</v>
      </c>
      <c r="B10" s="80"/>
      <c r="C10" s="80"/>
      <c r="D10" s="80"/>
      <c r="E10" s="80" t="s">
        <v>12</v>
      </c>
      <c r="F10" s="80"/>
      <c r="G10" s="80"/>
      <c r="H10" s="80"/>
    </row>
    <row r="11" spans="1:14">
      <c r="A11" s="80" t="s">
        <v>14</v>
      </c>
      <c r="B11" s="80"/>
      <c r="C11" s="80"/>
      <c r="D11" s="80"/>
      <c r="E11" s="80" t="s">
        <v>15</v>
      </c>
      <c r="F11" s="80"/>
      <c r="G11" s="80"/>
      <c r="H11" s="80"/>
    </row>
    <row r="12" spans="1:14" ht="31.5" customHeight="1">
      <c r="A12" s="80" t="s">
        <v>16</v>
      </c>
      <c r="B12" s="80"/>
      <c r="C12" s="80"/>
      <c r="D12" s="80"/>
      <c r="E12" s="83" t="s">
        <v>17</v>
      </c>
      <c r="F12" s="80"/>
      <c r="G12" s="80"/>
      <c r="H12" s="80"/>
    </row>
    <row r="13" spans="1:14">
      <c r="A13" s="84" t="s">
        <v>18</v>
      </c>
      <c r="B13" s="84"/>
      <c r="C13" s="84"/>
      <c r="D13" s="84"/>
      <c r="E13" s="83" t="s">
        <v>19</v>
      </c>
      <c r="F13" s="83"/>
      <c r="G13" s="83"/>
      <c r="H13" s="83"/>
      <c r="I13" s="85"/>
      <c r="J13" s="86"/>
      <c r="K13" s="86"/>
      <c r="L13" s="86"/>
      <c r="M13" s="86"/>
      <c r="N13" s="86"/>
    </row>
    <row r="14" spans="1:14">
      <c r="A14" s="84" t="s">
        <v>20</v>
      </c>
      <c r="B14" s="84"/>
      <c r="C14" s="84"/>
      <c r="D14" s="84"/>
      <c r="E14" s="83" t="s">
        <v>21</v>
      </c>
      <c r="F14" s="80"/>
      <c r="G14" s="80"/>
      <c r="H14" s="80"/>
    </row>
    <row r="15" spans="1:14" ht="47.55" customHeight="1">
      <c r="A15" s="87" t="s">
        <v>22</v>
      </c>
      <c r="B15" s="87"/>
      <c r="C15" s="8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Akshar Panchratna, Plot No.15 &amp; Sector No. 9 &amp; Redevlopement of "Panchratna Co-op Housing Society Ltd (Building No.36, 37 &amp; 38) ", near Pranav CHS, Vashi Koparkhairane Road, Vashi, Vashi, Vashi, Thane, Thane - 400703.</v>
      </c>
      <c r="D15" s="87"/>
      <c r="E15" s="87"/>
      <c r="F15" s="87"/>
      <c r="G15" s="87"/>
      <c r="H15" s="87"/>
    </row>
    <row r="16" spans="1:14" ht="32.25" customHeight="1">
      <c r="A16" s="83" t="s">
        <v>23</v>
      </c>
      <c r="B16" s="83"/>
      <c r="C16" s="83" t="s">
        <v>24</v>
      </c>
      <c r="D16" s="83"/>
      <c r="E16" s="83"/>
      <c r="F16" s="83"/>
      <c r="G16" s="83"/>
      <c r="H16" s="83"/>
    </row>
    <row r="17" spans="1:13" ht="15.75" customHeight="1">
      <c r="A17" s="83" t="s">
        <v>25</v>
      </c>
      <c r="B17" s="83"/>
      <c r="C17" s="83" t="s">
        <v>26</v>
      </c>
      <c r="D17" s="83"/>
      <c r="E17" s="83"/>
      <c r="F17" s="83"/>
      <c r="G17" s="83"/>
      <c r="H17" s="83"/>
      <c r="I17" s="13"/>
    </row>
    <row r="18" spans="1:13" ht="15.75" customHeight="1">
      <c r="A18" s="87" t="s">
        <v>27</v>
      </c>
      <c r="B18" s="87"/>
      <c r="C18" s="80" t="s">
        <v>28</v>
      </c>
      <c r="D18" s="80"/>
      <c r="E18" s="87" t="s">
        <v>29</v>
      </c>
      <c r="F18" s="87"/>
      <c r="G18" s="83" t="s">
        <v>26</v>
      </c>
      <c r="H18" s="83"/>
      <c r="I18" s="13"/>
      <c r="J18" s="13"/>
      <c r="K18" s="13"/>
      <c r="L18" s="13"/>
      <c r="M18" s="13"/>
    </row>
    <row r="19" spans="1:13">
      <c r="A19" s="84" t="s">
        <v>30</v>
      </c>
      <c r="B19" s="84"/>
      <c r="C19" s="83" t="s">
        <v>26</v>
      </c>
      <c r="D19" s="83"/>
      <c r="E19" s="87" t="s">
        <v>31</v>
      </c>
      <c r="F19" s="87"/>
      <c r="G19" s="88" t="s">
        <v>32</v>
      </c>
      <c r="H19" s="88"/>
    </row>
    <row r="20" spans="1:13">
      <c r="A20" s="84" t="s">
        <v>33</v>
      </c>
      <c r="B20" s="84"/>
      <c r="C20" s="83" t="s">
        <v>32</v>
      </c>
      <c r="D20" s="83"/>
      <c r="E20" s="87" t="s">
        <v>34</v>
      </c>
      <c r="F20" s="87"/>
      <c r="G20" s="83">
        <v>400703</v>
      </c>
      <c r="H20" s="83"/>
    </row>
    <row r="21" spans="1:13" ht="32.25" customHeight="1">
      <c r="A21" s="84" t="s">
        <v>35</v>
      </c>
      <c r="B21" s="84"/>
      <c r="C21" s="83" t="s">
        <v>36</v>
      </c>
      <c r="D21" s="83"/>
      <c r="E21" s="87" t="s">
        <v>37</v>
      </c>
      <c r="F21" s="87"/>
      <c r="G21" s="89" t="s">
        <v>38</v>
      </c>
      <c r="H21" s="89"/>
      <c r="I21" s="13"/>
    </row>
    <row r="22" spans="1:13" ht="15" customHeight="1">
      <c r="A22" s="87" t="s">
        <v>39</v>
      </c>
      <c r="B22" s="87"/>
      <c r="C22" s="87"/>
      <c r="D22" s="87"/>
      <c r="E22" s="80" t="s">
        <v>40</v>
      </c>
      <c r="F22" s="80"/>
      <c r="G22" s="80"/>
      <c r="H22" s="80"/>
    </row>
    <row r="23" spans="1:13" ht="18.75" customHeight="1">
      <c r="A23" s="87"/>
      <c r="B23" s="87"/>
      <c r="C23" s="87"/>
      <c r="D23" s="87"/>
      <c r="E23" s="80"/>
      <c r="F23" s="80"/>
      <c r="G23" s="80"/>
      <c r="H23" s="80"/>
    </row>
    <row r="24" spans="1:13" ht="15" customHeight="1">
      <c r="A24" s="87" t="s">
        <v>41</v>
      </c>
      <c r="B24" s="87"/>
      <c r="C24" s="87"/>
      <c r="D24" s="87"/>
      <c r="E24" s="83" t="s">
        <v>42</v>
      </c>
      <c r="F24" s="83"/>
      <c r="G24" s="83"/>
      <c r="H24" s="83"/>
    </row>
    <row r="25" spans="1:13" ht="15" customHeight="1">
      <c r="A25" s="84" t="s">
        <v>43</v>
      </c>
      <c r="B25" s="84"/>
      <c r="C25" s="84"/>
      <c r="D25" s="84"/>
      <c r="E25" s="83" t="str">
        <f>IF(AND(G19="Mumbai"),"Upper Class","Middle Class")</f>
        <v>Middle Class</v>
      </c>
      <c r="F25" s="83"/>
      <c r="G25" s="83"/>
      <c r="H25" s="83"/>
    </row>
    <row r="26" spans="1:13">
      <c r="A26" s="84" t="s">
        <v>44</v>
      </c>
      <c r="B26" s="84"/>
      <c r="C26" s="84"/>
      <c r="D26" s="84"/>
      <c r="E26" s="83" t="s">
        <v>45</v>
      </c>
      <c r="F26" s="83"/>
      <c r="G26" s="83"/>
      <c r="H26" s="83"/>
    </row>
    <row r="27" spans="1:13" ht="15.75" customHeight="1">
      <c r="A27" s="84" t="s">
        <v>46</v>
      </c>
      <c r="B27" s="84"/>
      <c r="C27" s="84"/>
      <c r="D27" s="84"/>
      <c r="E27" s="83" t="str">
        <f>IF(AND(G19="Mumbai"),"Developed","Developing")</f>
        <v>Developing</v>
      </c>
      <c r="F27" s="83"/>
      <c r="G27" s="83"/>
      <c r="H27" s="83"/>
    </row>
    <row r="28" spans="1:13">
      <c r="A28" s="84" t="s">
        <v>47</v>
      </c>
      <c r="B28" s="84"/>
      <c r="C28" s="84"/>
      <c r="D28" s="84"/>
      <c r="E28" s="83" t="s">
        <v>48</v>
      </c>
      <c r="F28" s="83"/>
      <c r="G28" s="83"/>
      <c r="H28" s="83"/>
    </row>
    <row r="29" spans="1:13" ht="15.75" customHeight="1">
      <c r="A29" s="84" t="s">
        <v>49</v>
      </c>
      <c r="B29" s="84"/>
      <c r="C29" s="84"/>
      <c r="D29" s="84"/>
      <c r="E29" s="83" t="s">
        <v>50</v>
      </c>
      <c r="F29" s="83"/>
      <c r="G29" s="83"/>
      <c r="H29" s="83"/>
    </row>
    <row r="30" spans="1:13" ht="15" customHeight="1">
      <c r="A30" s="84" t="s">
        <v>51</v>
      </c>
      <c r="B30" s="84"/>
      <c r="C30" s="84"/>
      <c r="D30" s="84"/>
      <c r="E30" s="8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83"/>
      <c r="G30" s="83"/>
      <c r="H30" s="83"/>
    </row>
    <row r="31" spans="1:13" ht="15.75" customHeight="1">
      <c r="A31" s="84" t="s">
        <v>52</v>
      </c>
      <c r="B31" s="84"/>
      <c r="C31" s="84"/>
      <c r="D31" s="84"/>
      <c r="E31" s="83" t="s">
        <v>53</v>
      </c>
      <c r="F31" s="83"/>
      <c r="G31" s="83"/>
      <c r="H31" s="83"/>
    </row>
    <row r="32" spans="1:13" s="13" customFormat="1">
      <c r="A32" s="90" t="s">
        <v>54</v>
      </c>
      <c r="B32" s="90"/>
      <c r="C32" s="91" t="s">
        <v>55</v>
      </c>
      <c r="D32" s="91"/>
      <c r="E32" s="91"/>
      <c r="F32" s="91" t="s">
        <v>56</v>
      </c>
      <c r="G32" s="91"/>
      <c r="H32" s="91"/>
    </row>
    <row r="33" spans="1:9" s="13" customFormat="1">
      <c r="A33" s="92" t="s">
        <v>57</v>
      </c>
      <c r="B33" s="92" t="s">
        <v>58</v>
      </c>
      <c r="C33" s="93" t="s">
        <v>59</v>
      </c>
      <c r="D33" s="93"/>
      <c r="E33" s="93"/>
      <c r="F33" s="93" t="s">
        <v>28</v>
      </c>
      <c r="G33" s="93"/>
      <c r="H33" s="93"/>
    </row>
    <row r="34" spans="1:9">
      <c r="A34" s="92" t="s">
        <v>60</v>
      </c>
      <c r="B34" s="92" t="s">
        <v>58</v>
      </c>
      <c r="C34" s="93" t="s">
        <v>61</v>
      </c>
      <c r="D34" s="93"/>
      <c r="E34" s="93"/>
      <c r="F34" s="93" t="s">
        <v>62</v>
      </c>
      <c r="G34" s="93"/>
      <c r="H34" s="93"/>
    </row>
    <row r="35" spans="1:9" s="13" customFormat="1">
      <c r="A35" s="92" t="s">
        <v>63</v>
      </c>
      <c r="B35" s="92" t="s">
        <v>58</v>
      </c>
      <c r="C35" s="93" t="s">
        <v>64</v>
      </c>
      <c r="D35" s="93"/>
      <c r="E35" s="93"/>
      <c r="F35" s="93" t="s">
        <v>65</v>
      </c>
      <c r="G35" s="93"/>
      <c r="H35" s="93"/>
    </row>
    <row r="36" spans="1:9">
      <c r="A36" s="92" t="s">
        <v>66</v>
      </c>
      <c r="B36" s="92" t="s">
        <v>58</v>
      </c>
      <c r="C36" s="93" t="s">
        <v>67</v>
      </c>
      <c r="D36" s="93"/>
      <c r="E36" s="93"/>
      <c r="F36" s="93" t="s">
        <v>36</v>
      </c>
      <c r="G36" s="93"/>
      <c r="H36" s="93"/>
    </row>
    <row r="37" spans="1:9">
      <c r="A37" s="84" t="s">
        <v>68</v>
      </c>
      <c r="B37" s="84"/>
      <c r="C37" s="84"/>
      <c r="D37" s="84"/>
      <c r="E37" s="84"/>
      <c r="F37" s="84"/>
      <c r="G37" s="84"/>
      <c r="H37" s="84"/>
    </row>
    <row r="38" spans="1:9" ht="15.75" customHeight="1">
      <c r="A38" s="94" t="s">
        <v>69</v>
      </c>
      <c r="B38" s="94"/>
      <c r="C38" s="84" t="s">
        <v>70</v>
      </c>
      <c r="D38" s="84"/>
      <c r="E38" s="84"/>
      <c r="F38" s="84"/>
      <c r="G38" s="84"/>
      <c r="H38" s="84"/>
    </row>
    <row r="39" spans="1:9">
      <c r="A39" s="94" t="s">
        <v>71</v>
      </c>
      <c r="B39" s="94"/>
      <c r="C39" s="95" t="s">
        <v>72</v>
      </c>
      <c r="D39" s="83"/>
      <c r="E39" s="83"/>
      <c r="F39" s="83"/>
      <c r="G39" s="83"/>
      <c r="H39" s="83"/>
    </row>
    <row r="40" spans="1:9">
      <c r="A40" s="94" t="s">
        <v>73</v>
      </c>
      <c r="B40" s="94"/>
      <c r="C40" s="94"/>
      <c r="D40" s="94"/>
      <c r="E40" s="94"/>
      <c r="F40" s="94"/>
      <c r="G40" s="94"/>
      <c r="H40" s="94"/>
    </row>
    <row r="41" spans="1:9">
      <c r="A41" s="84" t="s">
        <v>74</v>
      </c>
      <c r="B41" s="84"/>
      <c r="C41" s="84"/>
      <c r="D41" s="84"/>
      <c r="E41" s="96">
        <v>1397.49</v>
      </c>
      <c r="F41" s="96"/>
      <c r="G41" s="96"/>
      <c r="H41" s="96"/>
    </row>
    <row r="42" spans="1:9">
      <c r="A42" s="84" t="s">
        <v>75</v>
      </c>
      <c r="B42" s="84"/>
      <c r="C42" s="84"/>
      <c r="D42" s="84"/>
      <c r="E42" s="97">
        <v>2.5</v>
      </c>
      <c r="F42" s="97"/>
      <c r="G42" s="97"/>
      <c r="H42" s="97"/>
    </row>
    <row r="43" spans="1:9">
      <c r="A43" s="84" t="s">
        <v>76</v>
      </c>
      <c r="B43" s="84"/>
      <c r="C43" s="84"/>
      <c r="D43" s="84"/>
      <c r="E43" s="97">
        <f>E45/E41-E42</f>
        <v>-1.6243407824028111E-3</v>
      </c>
      <c r="F43" s="97"/>
      <c r="G43" s="97"/>
      <c r="H43" s="97"/>
    </row>
    <row r="44" spans="1:9">
      <c r="A44" s="84" t="s">
        <v>77</v>
      </c>
      <c r="B44" s="84"/>
      <c r="C44" s="84"/>
      <c r="D44" s="84"/>
      <c r="E44" s="98">
        <f>E42+E43</f>
        <v>2.4983756592175972</v>
      </c>
      <c r="F44" s="98"/>
      <c r="G44" s="98"/>
      <c r="H44" s="98"/>
    </row>
    <row r="45" spans="1:9">
      <c r="A45" s="84" t="s">
        <v>78</v>
      </c>
      <c r="B45" s="84"/>
      <c r="C45" s="84"/>
      <c r="D45" s="84"/>
      <c r="E45" s="99">
        <v>3491.4549999999999</v>
      </c>
      <c r="F45" s="99"/>
      <c r="G45" s="99"/>
      <c r="H45" s="99"/>
    </row>
    <row r="46" spans="1:9">
      <c r="A46" s="80" t="s">
        <v>79</v>
      </c>
      <c r="B46" s="80"/>
      <c r="C46" s="80"/>
      <c r="D46" s="80"/>
      <c r="E46" s="80" t="s">
        <v>15</v>
      </c>
      <c r="F46" s="80"/>
      <c r="G46" s="80"/>
      <c r="H46" s="80"/>
      <c r="I46" s="13"/>
    </row>
    <row r="47" spans="1:9">
      <c r="A47" s="94" t="s">
        <v>80</v>
      </c>
      <c r="B47" s="94"/>
      <c r="C47" s="94"/>
      <c r="D47" s="94"/>
      <c r="E47" s="94"/>
      <c r="F47" s="94"/>
      <c r="G47" s="94"/>
      <c r="H47" s="94"/>
    </row>
    <row r="48" spans="1:9" ht="33.75" customHeight="1">
      <c r="A48" s="100" t="s">
        <v>81</v>
      </c>
      <c r="B48" s="101"/>
      <c r="C48" s="102" t="s">
        <v>82</v>
      </c>
      <c r="D48" s="103"/>
      <c r="E48" s="103"/>
      <c r="F48" s="103"/>
      <c r="G48" s="103"/>
      <c r="H48" s="104"/>
    </row>
    <row r="49" spans="1:14" ht="15.75" customHeight="1">
      <c r="A49" s="100" t="s">
        <v>83</v>
      </c>
      <c r="B49" s="101"/>
      <c r="C49" s="105" t="s">
        <v>84</v>
      </c>
      <c r="D49" s="106"/>
      <c r="E49" s="107"/>
      <c r="F49" s="21" t="s">
        <v>85</v>
      </c>
      <c r="G49" s="108" t="s">
        <v>86</v>
      </c>
      <c r="H49" s="101"/>
    </row>
    <row r="50" spans="1:14">
      <c r="A50" s="100" t="s">
        <v>87</v>
      </c>
      <c r="B50" s="101"/>
      <c r="C50" s="100" t="str">
        <f>C49</f>
        <v>NRV/A-2020/CNMMC/17582/2018</v>
      </c>
      <c r="D50" s="109"/>
      <c r="E50" s="101"/>
      <c r="F50" s="21" t="s">
        <v>85</v>
      </c>
      <c r="G50" s="108" t="str">
        <f>G49</f>
        <v>16/06/2021.</v>
      </c>
      <c r="H50" s="110"/>
    </row>
    <row r="51" spans="1:14" s="14" customFormat="1" ht="32.25" customHeight="1">
      <c r="A51" s="188" t="s">
        <v>88</v>
      </c>
      <c r="B51" s="189"/>
      <c r="C51" s="100" t="s">
        <v>89</v>
      </c>
      <c r="D51" s="109"/>
      <c r="E51" s="101"/>
      <c r="F51" s="21" t="s">
        <v>85</v>
      </c>
      <c r="G51" s="108" t="str">
        <f>G50</f>
        <v>16/06/2021.</v>
      </c>
      <c r="H51" s="110"/>
      <c r="I51" s="13"/>
    </row>
    <row r="52" spans="1:14" s="14" customFormat="1">
      <c r="A52" s="190"/>
      <c r="B52" s="191"/>
      <c r="C52" s="100" t="s">
        <v>90</v>
      </c>
      <c r="D52" s="109"/>
      <c r="E52" s="109"/>
      <c r="F52" s="109"/>
      <c r="G52" s="109"/>
      <c r="H52" s="101"/>
      <c r="I52" s="13" t="s">
        <v>91</v>
      </c>
    </row>
    <row r="53" spans="1:14">
      <c r="A53" s="111" t="s">
        <v>92</v>
      </c>
      <c r="B53" s="112"/>
      <c r="C53" s="111" t="s">
        <v>93</v>
      </c>
      <c r="D53" s="113"/>
      <c r="E53" s="112"/>
      <c r="F53" s="22" t="s">
        <v>85</v>
      </c>
      <c r="G53" s="114" t="s">
        <v>58</v>
      </c>
      <c r="H53" s="115"/>
      <c r="K53" s="14"/>
      <c r="L53" s="14"/>
    </row>
    <row r="54" spans="1:14">
      <c r="A54" s="116" t="s">
        <v>94</v>
      </c>
      <c r="B54" s="116"/>
      <c r="C54" s="116"/>
      <c r="D54" s="116"/>
      <c r="E54" s="116"/>
      <c r="F54" s="116"/>
      <c r="G54" s="116"/>
      <c r="H54" s="116"/>
    </row>
    <row r="55" spans="1:14">
      <c r="A55" s="87" t="s">
        <v>95</v>
      </c>
      <c r="B55" s="87"/>
      <c r="C55" s="87"/>
      <c r="D55" s="84">
        <f>E45</f>
        <v>3491.4549999999999</v>
      </c>
      <c r="E55" s="84"/>
      <c r="F55" s="84"/>
      <c r="G55" s="84"/>
      <c r="H55" s="84"/>
      <c r="I55" s="13"/>
    </row>
    <row r="56" spans="1:14">
      <c r="A56" s="83" t="s">
        <v>96</v>
      </c>
      <c r="B56" s="80"/>
      <c r="C56" s="80"/>
      <c r="D56" s="80" t="s">
        <v>97</v>
      </c>
      <c r="E56" s="80"/>
      <c r="F56" s="80"/>
      <c r="G56" s="80"/>
      <c r="H56" s="80"/>
      <c r="I56" s="23"/>
    </row>
    <row r="57" spans="1:14">
      <c r="A57" s="117" t="s">
        <v>98</v>
      </c>
      <c r="B57" s="118"/>
      <c r="C57" s="119"/>
      <c r="D57" s="120" t="s">
        <v>99</v>
      </c>
      <c r="E57" s="121"/>
      <c r="F57" s="121"/>
      <c r="G57" s="121"/>
      <c r="H57" s="121"/>
    </row>
    <row r="58" spans="1:14" ht="15.75" customHeight="1">
      <c r="A58" s="117" t="s">
        <v>100</v>
      </c>
      <c r="B58" s="118"/>
      <c r="C58" s="118"/>
      <c r="D58" s="122" t="s">
        <v>99</v>
      </c>
      <c r="E58" s="122"/>
      <c r="F58" s="122"/>
      <c r="G58" s="122"/>
      <c r="H58" s="122"/>
    </row>
    <row r="59" spans="1:14" ht="15.75" customHeight="1">
      <c r="A59" s="84" t="s">
        <v>101</v>
      </c>
      <c r="B59" s="84"/>
      <c r="C59" s="84"/>
      <c r="D59" s="87" t="s">
        <v>102</v>
      </c>
      <c r="E59" s="87"/>
      <c r="F59" s="87"/>
      <c r="G59" s="87"/>
      <c r="H59" s="87"/>
      <c r="J59" s="24"/>
      <c r="K59" s="23"/>
      <c r="N59" s="23"/>
    </row>
    <row r="60" spans="1:14" ht="15.75" customHeight="1">
      <c r="A60" s="84" t="s">
        <v>103</v>
      </c>
      <c r="B60" s="84"/>
      <c r="C60" s="84"/>
      <c r="D60" s="123" t="str">
        <f>(IF(G53="NA","60 Years After Completion",IF(G53&lt;&gt;"NA",""&amp;60-ROUNDDOWN((E3-G53)/360,0)&amp;" Years"," ")))</f>
        <v>60 Years After Completion</v>
      </c>
      <c r="E60" s="123"/>
      <c r="F60" s="123"/>
      <c r="G60" s="123"/>
      <c r="H60" s="123"/>
      <c r="N60" s="23"/>
    </row>
    <row r="61" spans="1:14" ht="15.75" customHeight="1">
      <c r="A61" s="84" t="s">
        <v>104</v>
      </c>
      <c r="B61" s="84"/>
      <c r="C61" s="84"/>
      <c r="D61" s="87" t="s">
        <v>48</v>
      </c>
      <c r="E61" s="87"/>
      <c r="F61" s="87"/>
      <c r="G61" s="87"/>
      <c r="H61" s="87"/>
      <c r="J61" s="25"/>
      <c r="K61" s="25"/>
    </row>
    <row r="62" spans="1:14" ht="51" customHeight="1">
      <c r="A62" s="84" t="s">
        <v>105</v>
      </c>
      <c r="B62" s="84"/>
      <c r="C62" s="84"/>
      <c r="D62" s="83" t="s">
        <v>106</v>
      </c>
      <c r="E62" s="87"/>
      <c r="F62" s="87"/>
      <c r="G62" s="87"/>
      <c r="H62" s="87"/>
      <c r="I62" s="13"/>
    </row>
    <row r="63" spans="1:14">
      <c r="A63" s="87" t="s">
        <v>107</v>
      </c>
      <c r="B63" s="87"/>
      <c r="C63" s="87"/>
      <c r="D63" s="87" t="s">
        <v>58</v>
      </c>
      <c r="E63" s="87"/>
      <c r="F63" s="87"/>
      <c r="G63" s="87"/>
      <c r="H63" s="87"/>
      <c r="I63" s="26"/>
      <c r="J63" s="26"/>
      <c r="K63" s="26"/>
      <c r="L63" s="26"/>
      <c r="M63" s="26"/>
      <c r="N63" s="26"/>
    </row>
    <row r="64" spans="1:14" ht="15.75" customHeight="1">
      <c r="A64" s="84" t="s">
        <v>108</v>
      </c>
      <c r="B64" s="84"/>
      <c r="C64" s="84"/>
      <c r="D64" s="83" t="str">
        <f ca="1">(IF(G70&gt;95%,"Nothing",IF(G70&gt;0%,"Cement, Aggregate, Steel, etc",IF(G70=0%,"Work not yet Started"))))</f>
        <v>Cement, Aggregate, Steel, etc</v>
      </c>
      <c r="E64" s="83"/>
      <c r="F64" s="83"/>
      <c r="G64" s="83"/>
      <c r="H64" s="83"/>
      <c r="J64" s="25"/>
    </row>
    <row r="65" spans="1:13" ht="33.75" customHeight="1">
      <c r="A65" s="87" t="s">
        <v>109</v>
      </c>
      <c r="B65" s="87"/>
      <c r="C65" s="87"/>
      <c r="D65" s="83" t="str">
        <f ca="1">(IF(D64="Nothing","Yes",IF(D64="Cement, Aggregate, Steel, etc","Under Construction",IF(D64="Work not yet Started","Work not yet Started"))))</f>
        <v>Under Construction</v>
      </c>
      <c r="E65" s="83"/>
      <c r="F65" s="83" t="str">
        <f ca="1">(IF(D64="Nothing","Yes",IF(D64="Cement, Aggregate, Steel, etc","Under Construction",IF(D64="Work not yet Started","Work not yet Started"))))</f>
        <v>Under Construction</v>
      </c>
      <c r="G65" s="83"/>
      <c r="H65" s="83"/>
    </row>
    <row r="66" spans="1:13" ht="15.75" customHeight="1">
      <c r="A66" s="124" t="s">
        <v>110</v>
      </c>
      <c r="B66" s="124"/>
      <c r="C66" s="124" t="str">
        <f>D58</f>
        <v>1B + G + 1st to 19th Floor</v>
      </c>
      <c r="D66" s="124"/>
      <c r="E66" s="124"/>
      <c r="F66" s="124"/>
      <c r="G66" s="124"/>
      <c r="H66" s="124"/>
      <c r="I66" s="73" t="str">
        <f ca="1">IF(D79=100%,"All work Completed. Possession granted to the Building.",IF(D78=100%,"All work Completed, Waiting for OC",I67&amp;""&amp;I68&amp;""&amp;J67&amp;""&amp;J66&amp;" "&amp;J68))</f>
        <v>Excavation, Plinth Completed, RCC upto 19 Slab, Brickwork upto 17 Floor, Internal Plaster upto 13 Floor, External Plaster upto 13 Floor, Flooring upto 10 Floor Completed</v>
      </c>
      <c r="J66" s="3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19 Slab, Brickwork upto 17 Floor, Internal Plaster upto 13 Floor, External Plaster upto 13 Floor, Flooring upto 10 Floor</v>
      </c>
    </row>
    <row r="67" spans="1:13">
      <c r="A67" s="27" t="s">
        <v>111</v>
      </c>
      <c r="B67" s="27">
        <f>IF(AND(ISNUMBER(SEARCH("1B",C66))),1,IF(AND(ISNUMBER(SEARCH("2B",C66))),2,IF(AND(ISNUMBER(SEARCH("3B",C66))),3,IF(AND(ISNUMBER(SEARCH("4B",C66))),4,IF(ISNUMBER(SEARCH("5B",C66)),5,0)))))</f>
        <v>1</v>
      </c>
      <c r="C67" s="27" t="s">
        <v>112</v>
      </c>
      <c r="D67" s="27">
        <v>1</v>
      </c>
      <c r="E67" s="27" t="s">
        <v>113</v>
      </c>
      <c r="F67" s="27">
        <v>0</v>
      </c>
      <c r="G67" s="27" t="s">
        <v>114</v>
      </c>
      <c r="H67" s="27">
        <f ca="1">--TRIM(RIGHT(SUBSTITUTE(LEFT(C66,_xlfn.AGGREGATE(16,6,FIND({0,1,2,3,4,5,6,7,8,9},C66,ROW(INDIRECT("1:"&amp;LEN(C66)))),1))," ",REPT(" ",LEN(C66))),LEN(C66)))</f>
        <v>19</v>
      </c>
      <c r="I67" s="7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  <c r="K67" s="13"/>
      <c r="L67" s="13"/>
      <c r="M67" s="13"/>
    </row>
    <row r="68" spans="1:13" ht="47.55" customHeight="1">
      <c r="A68" s="82" t="s">
        <v>115</v>
      </c>
      <c r="B68" s="82"/>
      <c r="C68" s="124" t="str">
        <f ca="1">I66</f>
        <v>Excavation, Plinth Completed, RCC upto 19 Slab, Brickwork upto 17 Floor, Internal Plaster upto 13 Floor, External Plaster upto 13 Floor, Flooring upto 10 Floor Completed</v>
      </c>
      <c r="D68" s="124"/>
      <c r="E68" s="124"/>
      <c r="F68" s="124"/>
      <c r="G68" s="124"/>
      <c r="H68" s="124"/>
      <c r="I68" s="74" t="str">
        <f ca="1">IF(I67&lt;&gt;""," Completed","")</f>
        <v xml:space="preserve"> Completed</v>
      </c>
      <c r="J68" s="40" t="str">
        <f ca="1">IF(J66&lt;&gt;"","Completed","")</f>
        <v>Completed</v>
      </c>
    </row>
    <row r="69" spans="1:13" ht="15.75" customHeight="1">
      <c r="A69" s="125" t="s">
        <v>116</v>
      </c>
      <c r="B69" s="126"/>
      <c r="C69" s="28" t="s">
        <v>117</v>
      </c>
      <c r="D69" s="28" t="s">
        <v>118</v>
      </c>
      <c r="E69" s="126" t="s">
        <v>119</v>
      </c>
      <c r="F69" s="126"/>
      <c r="G69" s="126" t="s">
        <v>120</v>
      </c>
      <c r="H69" s="127"/>
      <c r="I69" s="41" t="s">
        <v>121</v>
      </c>
      <c r="J69" s="42">
        <f ca="1">H67*25%</f>
        <v>4.75</v>
      </c>
    </row>
    <row r="70" spans="1:13">
      <c r="A70" s="125" t="s">
        <v>122</v>
      </c>
      <c r="B70" s="126"/>
      <c r="C70" s="29">
        <f ca="1">J71</f>
        <v>19</v>
      </c>
      <c r="D70" s="30">
        <f ca="1">((100/H67)*C70)/100</f>
        <v>1</v>
      </c>
      <c r="E70" s="128">
        <f ca="1">(((C71/H67*10)+(40/(D67+F67+H67)*C72)+(7.5/(H67)*C73)+(7.5/(H67)*C74)+(10/H67*C75)+(10/H67*C76)+(5/H67*C77)+(5/H67*C78)+(5/H67*C79))/100)</f>
        <v>0.71947368421052615</v>
      </c>
      <c r="F70" s="137"/>
      <c r="G70" s="128">
        <f ca="1">((((C70/H67)*20)+((C71/H67)*25)+(30/(H67+F67+D67)*C72)+(5/H67*C73)+(5/H67*C74)+(5/H67*C75)+(5/H67*C76)+(0/H67*C77)+(0/H67*C78)+(5/H67*C79))/100)</f>
        <v>0.87447368421052629</v>
      </c>
      <c r="H70" s="129"/>
      <c r="I70" s="41" t="s">
        <v>123</v>
      </c>
      <c r="J70" s="43">
        <f ca="1">H67*50%</f>
        <v>9.5</v>
      </c>
    </row>
    <row r="71" spans="1:13">
      <c r="A71" s="125" t="s">
        <v>124</v>
      </c>
      <c r="B71" s="126"/>
      <c r="C71" s="29">
        <f ca="1">J79</f>
        <v>19</v>
      </c>
      <c r="D71" s="30">
        <f ca="1">((100/H67)*C71)/100</f>
        <v>1</v>
      </c>
      <c r="E71" s="130"/>
      <c r="F71" s="138"/>
      <c r="G71" s="130"/>
      <c r="H71" s="131"/>
      <c r="I71" s="41" t="s">
        <v>125</v>
      </c>
      <c r="J71" s="43">
        <f ca="1">H67</f>
        <v>19</v>
      </c>
    </row>
    <row r="72" spans="1:13" ht="15.75" customHeight="1">
      <c r="A72" s="125" t="s">
        <v>126</v>
      </c>
      <c r="B72" s="126"/>
      <c r="C72" s="28">
        <v>19</v>
      </c>
      <c r="D72" s="30">
        <f ca="1">((100/(D67+F67+H67))*C72)/100</f>
        <v>0.95</v>
      </c>
      <c r="E72" s="130"/>
      <c r="F72" s="138"/>
      <c r="G72" s="130"/>
      <c r="H72" s="131"/>
      <c r="I72" s="41" t="s">
        <v>127</v>
      </c>
      <c r="J72" s="44">
        <f ca="1">(IF(B67&gt;1,(H67/(B67+2)),H67/4))</f>
        <v>4.75</v>
      </c>
    </row>
    <row r="73" spans="1:13" ht="15.75" customHeight="1">
      <c r="A73" s="125" t="s">
        <v>128</v>
      </c>
      <c r="B73" s="126" t="s">
        <v>129</v>
      </c>
      <c r="C73" s="28">
        <f>C72-2</f>
        <v>17</v>
      </c>
      <c r="D73" s="30">
        <f ca="1">((100/H67)*C73)/100</f>
        <v>0.89473684210526327</v>
      </c>
      <c r="E73" s="130"/>
      <c r="F73" s="138"/>
      <c r="G73" s="130"/>
      <c r="H73" s="131"/>
      <c r="I73" s="41" t="s">
        <v>130</v>
      </c>
      <c r="J73" s="44">
        <f ca="1">(IF(B67&gt;1,(H67/(B67+2)+J72),H67/4+J72))</f>
        <v>9.5</v>
      </c>
    </row>
    <row r="74" spans="1:13" ht="15.75" customHeight="1">
      <c r="A74" s="125" t="s">
        <v>131</v>
      </c>
      <c r="B74" s="126" t="s">
        <v>129</v>
      </c>
      <c r="C74" s="29">
        <v>13</v>
      </c>
      <c r="D74" s="30">
        <f ca="1">((100/H67)*C74)/100</f>
        <v>0.6842105263157896</v>
      </c>
      <c r="E74" s="130"/>
      <c r="F74" s="138"/>
      <c r="G74" s="130"/>
      <c r="H74" s="131"/>
      <c r="I74" s="41" t="s">
        <v>132</v>
      </c>
      <c r="J74" s="44">
        <f>(IF(B67&gt;1,(H67/(B67+2)+J73),0))</f>
        <v>0</v>
      </c>
    </row>
    <row r="75" spans="1:13" ht="15" customHeight="1">
      <c r="A75" s="125" t="s">
        <v>133</v>
      </c>
      <c r="B75" s="126" t="s">
        <v>134</v>
      </c>
      <c r="C75" s="29">
        <f>C74</f>
        <v>13</v>
      </c>
      <c r="D75" s="30">
        <f ca="1">((100/(H67))*C75)/100</f>
        <v>0.6842105263157896</v>
      </c>
      <c r="E75" s="130"/>
      <c r="F75" s="138"/>
      <c r="G75" s="130"/>
      <c r="H75" s="131"/>
      <c r="I75" s="41" t="s">
        <v>135</v>
      </c>
      <c r="J75" s="44">
        <f>(IF(B67&gt;2,(H67/(B67+2)+J74),0))</f>
        <v>0</v>
      </c>
    </row>
    <row r="76" spans="1:13" ht="15.75" customHeight="1">
      <c r="A76" s="125" t="s">
        <v>136</v>
      </c>
      <c r="B76" s="126" t="s">
        <v>136</v>
      </c>
      <c r="C76" s="28">
        <v>10</v>
      </c>
      <c r="D76" s="30">
        <f ca="1">((100/H67)*C76)/100</f>
        <v>0.52631578947368429</v>
      </c>
      <c r="E76" s="130"/>
      <c r="F76" s="138"/>
      <c r="G76" s="130"/>
      <c r="H76" s="131"/>
      <c r="I76" s="41" t="s">
        <v>137</v>
      </c>
      <c r="J76" s="45">
        <f>(IF(B67&gt;3,(H67/(B67+2)+J75),0))</f>
        <v>0</v>
      </c>
    </row>
    <row r="77" spans="1:13" ht="15.75" customHeight="1">
      <c r="A77" s="125" t="s">
        <v>138</v>
      </c>
      <c r="B77" s="126"/>
      <c r="C77" s="28">
        <v>0</v>
      </c>
      <c r="D77" s="30">
        <f ca="1">((100/H67)*C77)/100</f>
        <v>0</v>
      </c>
      <c r="E77" s="130"/>
      <c r="F77" s="138"/>
      <c r="G77" s="130"/>
      <c r="H77" s="131"/>
      <c r="I77" s="41" t="s">
        <v>139</v>
      </c>
      <c r="J77" s="44">
        <f>(IF(B67&gt;4,(H67/(B67+2)+J76),0))</f>
        <v>0</v>
      </c>
    </row>
    <row r="78" spans="1:13" ht="15.75" customHeight="1">
      <c r="A78" s="125" t="s">
        <v>140</v>
      </c>
      <c r="B78" s="126" t="s">
        <v>140</v>
      </c>
      <c r="C78" s="28">
        <v>0</v>
      </c>
      <c r="D78" s="30">
        <f ca="1">((100/(H67))*C78)/100</f>
        <v>0</v>
      </c>
      <c r="E78" s="130"/>
      <c r="F78" s="138"/>
      <c r="G78" s="130"/>
      <c r="H78" s="131"/>
      <c r="I78" s="41" t="s">
        <v>141</v>
      </c>
      <c r="J78" s="44">
        <f ca="1">(IF(B67=1,(H67/(B67+3)+J73),IF(B67=0,(H67/4+J73),IF(B67&gt;1,0))))</f>
        <v>14.25</v>
      </c>
    </row>
    <row r="79" spans="1:13">
      <c r="A79" s="134" t="s">
        <v>142</v>
      </c>
      <c r="B79" s="135"/>
      <c r="C79" s="31">
        <v>0</v>
      </c>
      <c r="D79" s="32">
        <f ca="1">((100/(H67))*C79)/100</f>
        <v>0</v>
      </c>
      <c r="E79" s="132"/>
      <c r="F79" s="139"/>
      <c r="G79" s="132"/>
      <c r="H79" s="133"/>
      <c r="I79" s="46" t="s">
        <v>143</v>
      </c>
      <c r="J79" s="47">
        <f ca="1">(IF(B67&gt;1.5,(H67/(B67+2)+J73+MAX(0,J74-J73)+MAX(0,J75-J74)+MAX(0,J76-J75)+MAX(0,J77-J76)+MAX(0,J78-J77)),IF(B67=1,(H67/(B67+3)+J78),IF(B67=0,H67/4+J78))))</f>
        <v>19</v>
      </c>
    </row>
    <row r="80" spans="1:13">
      <c r="A80" s="136" t="s">
        <v>144</v>
      </c>
      <c r="B80" s="136"/>
      <c r="C80" s="136"/>
      <c r="D80" s="136"/>
      <c r="E80" s="136"/>
      <c r="F80" s="140" t="s">
        <v>145</v>
      </c>
      <c r="G80" s="140"/>
      <c r="H80" s="140"/>
    </row>
    <row r="81" spans="1:10">
      <c r="A81" s="84" t="s">
        <v>146</v>
      </c>
      <c r="B81" s="84"/>
      <c r="C81" s="84"/>
      <c r="D81" s="84"/>
      <c r="E81" s="84"/>
      <c r="F81" s="141">
        <v>15000</v>
      </c>
      <c r="G81" s="141"/>
      <c r="H81" s="141"/>
      <c r="J81" s="20" t="s">
        <v>147</v>
      </c>
    </row>
    <row r="82" spans="1:10">
      <c r="A82" s="84" t="s">
        <v>148</v>
      </c>
      <c r="B82" s="84"/>
      <c r="C82" s="84"/>
      <c r="D82" s="84"/>
      <c r="E82" s="84"/>
      <c r="F82" s="141">
        <v>22000</v>
      </c>
      <c r="G82" s="141"/>
      <c r="H82" s="141"/>
    </row>
    <row r="83" spans="1:10" hidden="1">
      <c r="A83" s="84" t="s">
        <v>149</v>
      </c>
      <c r="B83" s="84"/>
      <c r="C83" s="84"/>
      <c r="D83" s="84"/>
      <c r="E83" s="84"/>
      <c r="F83" s="142"/>
      <c r="G83" s="142"/>
      <c r="H83" s="142"/>
    </row>
    <row r="84" spans="1:10" s="15" customFormat="1" hidden="1">
      <c r="A84" s="84" t="s">
        <v>150</v>
      </c>
      <c r="B84" s="84"/>
      <c r="C84" s="84"/>
      <c r="D84" s="84"/>
      <c r="E84" s="84"/>
      <c r="F84" s="142"/>
      <c r="G84" s="142"/>
      <c r="H84" s="142"/>
    </row>
    <row r="85" spans="1:10" s="15" customFormat="1" hidden="1">
      <c r="A85" s="84"/>
      <c r="B85" s="84"/>
      <c r="C85" s="84"/>
      <c r="D85" s="84"/>
      <c r="E85" s="84"/>
      <c r="F85" s="142"/>
      <c r="G85" s="142"/>
      <c r="H85" s="142"/>
    </row>
    <row r="86" spans="1:10" s="15" customFormat="1">
      <c r="A86" s="84" t="s">
        <v>151</v>
      </c>
      <c r="B86" s="84"/>
      <c r="C86" s="84"/>
      <c r="D86" s="84"/>
      <c r="E86" s="84"/>
      <c r="F86" s="141">
        <v>300000</v>
      </c>
      <c r="G86" s="141"/>
      <c r="H86" s="141"/>
    </row>
    <row r="87" spans="1:10" s="15" customFormat="1" hidden="1">
      <c r="A87" s="84" t="s">
        <v>152</v>
      </c>
      <c r="B87" s="84"/>
      <c r="C87" s="84"/>
      <c r="D87" s="84"/>
      <c r="E87" s="84"/>
      <c r="F87" s="141"/>
      <c r="G87" s="141"/>
      <c r="H87" s="141"/>
    </row>
    <row r="88" spans="1:10" s="15" customFormat="1" hidden="1">
      <c r="A88" s="84" t="s">
        <v>153</v>
      </c>
      <c r="B88" s="84"/>
      <c r="C88" s="84"/>
      <c r="D88" s="84"/>
      <c r="E88" s="84"/>
      <c r="F88" s="141"/>
      <c r="G88" s="141"/>
      <c r="H88" s="141"/>
    </row>
    <row r="89" spans="1:10" s="15" customFormat="1">
      <c r="A89" s="84" t="s">
        <v>154</v>
      </c>
      <c r="B89" s="84"/>
      <c r="C89" s="84"/>
      <c r="D89" s="84"/>
      <c r="E89" s="84"/>
      <c r="F89" s="141">
        <v>500000</v>
      </c>
      <c r="G89" s="141"/>
      <c r="H89" s="141"/>
    </row>
    <row r="90" spans="1:10" s="15" customFormat="1">
      <c r="A90" s="84" t="s">
        <v>155</v>
      </c>
      <c r="B90" s="84"/>
      <c r="C90" s="84"/>
      <c r="D90" s="84"/>
      <c r="E90" s="84"/>
      <c r="F90" s="141">
        <v>50000</v>
      </c>
      <c r="G90" s="141"/>
      <c r="H90" s="141"/>
    </row>
    <row r="91" spans="1:10" s="15" customFormat="1" hidden="1">
      <c r="A91" s="84" t="s">
        <v>156</v>
      </c>
      <c r="B91" s="84"/>
      <c r="C91" s="84"/>
      <c r="D91" s="84"/>
      <c r="E91" s="84"/>
      <c r="F91" s="142"/>
      <c r="G91" s="142"/>
      <c r="H91" s="142"/>
    </row>
    <row r="92" spans="1:10">
      <c r="A92" s="84" t="s">
        <v>157</v>
      </c>
      <c r="B92" s="84"/>
      <c r="C92" s="84"/>
      <c r="D92" s="84"/>
      <c r="E92" s="84"/>
      <c r="F92" s="141">
        <v>700000</v>
      </c>
      <c r="G92" s="141"/>
      <c r="H92" s="141"/>
    </row>
    <row r="93" spans="1:10" s="16" customFormat="1">
      <c r="A93" s="94" t="s">
        <v>158</v>
      </c>
      <c r="B93" s="94"/>
      <c r="C93" s="94"/>
      <c r="D93" s="94"/>
      <c r="E93" s="94"/>
      <c r="F93" s="141">
        <f>F81*0.8</f>
        <v>12000</v>
      </c>
      <c r="G93" s="141"/>
      <c r="H93" s="141"/>
    </row>
    <row r="94" spans="1:10" s="17" customFormat="1" ht="15.75" customHeight="1">
      <c r="A94" s="143" t="s">
        <v>159</v>
      </c>
      <c r="B94" s="143"/>
      <c r="C94" s="143"/>
      <c r="D94" s="143"/>
      <c r="E94" s="143"/>
      <c r="F94" s="143"/>
      <c r="G94" s="143"/>
      <c r="H94" s="143"/>
    </row>
    <row r="95" spans="1:10" s="17" customFormat="1" ht="15.75" customHeight="1">
      <c r="A95" s="144" t="s">
        <v>160</v>
      </c>
      <c r="B95" s="144"/>
      <c r="C95" s="145" t="s">
        <v>161</v>
      </c>
      <c r="D95" s="145"/>
      <c r="E95" s="146" t="s">
        <v>162</v>
      </c>
      <c r="F95" s="146"/>
      <c r="G95" s="144" t="s">
        <v>163</v>
      </c>
      <c r="H95" s="144"/>
    </row>
    <row r="96" spans="1:10" s="17" customFormat="1">
      <c r="A96" s="147" t="s">
        <v>164</v>
      </c>
      <c r="B96" s="147"/>
      <c r="C96" s="148">
        <f>COUNT(D109:D113)</f>
        <v>5</v>
      </c>
      <c r="D96" s="148"/>
      <c r="E96" s="149">
        <f>SUM(D109:D113)</f>
        <v>5270.4042300000001</v>
      </c>
      <c r="F96" s="150"/>
      <c r="G96" s="149">
        <f>SUM(F109:F113)</f>
        <v>8169.1265564999985</v>
      </c>
      <c r="H96" s="150"/>
    </row>
    <row r="97" spans="1:15" s="17" customFormat="1">
      <c r="A97" s="143" t="s">
        <v>165</v>
      </c>
      <c r="B97" s="143"/>
      <c r="C97" s="143"/>
      <c r="D97" s="143"/>
      <c r="E97" s="143"/>
      <c r="F97" s="143"/>
      <c r="G97" s="143"/>
      <c r="H97" s="143"/>
    </row>
    <row r="98" spans="1:15" s="17" customFormat="1" ht="15.75" customHeight="1">
      <c r="A98" s="144" t="s">
        <v>160</v>
      </c>
      <c r="B98" s="144"/>
      <c r="C98" s="145" t="s">
        <v>161</v>
      </c>
      <c r="D98" s="145"/>
      <c r="E98" s="146" t="s">
        <v>162</v>
      </c>
      <c r="F98" s="146"/>
      <c r="G98" s="144" t="s">
        <v>163</v>
      </c>
      <c r="H98" s="144"/>
    </row>
    <row r="99" spans="1:15" s="17" customFormat="1">
      <c r="A99" s="147" t="s">
        <v>166</v>
      </c>
      <c r="B99" s="147"/>
      <c r="C99" s="148">
        <f>COUNT(D139:D140)*2+COUNT(D144:D145)*2+COUNT(D149:D150)+COUNT(D154:D155)*3+COUNT(D159:D160)*3+COUNT(D164:D165)</f>
        <v>24</v>
      </c>
      <c r="D99" s="148"/>
      <c r="E99" s="149">
        <f>SUM(D139:D140)*2+SUM(D144:D145)*2+SUM(D149:D150)+SUM(D154:D155)*3+SUM(D159:D160)*3+SUM(D164:D165)</f>
        <v>16871.924160000002</v>
      </c>
      <c r="F99" s="149"/>
      <c r="G99" s="149">
        <f>SUM(F139:F140)*2+SUM(F144:F145)*2+SUM(F149:F150)+SUM(F154:F155)*3+SUM(F159:F160)*3+SUM(F164:F165)</f>
        <v>26470.398240000006</v>
      </c>
      <c r="H99" s="149"/>
    </row>
    <row r="100" spans="1:15" s="17" customFormat="1">
      <c r="A100" s="143" t="s">
        <v>167</v>
      </c>
      <c r="B100" s="143"/>
      <c r="C100" s="143"/>
      <c r="D100" s="143"/>
      <c r="E100" s="143"/>
      <c r="F100" s="143"/>
      <c r="G100" s="143"/>
      <c r="H100" s="143"/>
    </row>
    <row r="101" spans="1:15" s="16" customFormat="1">
      <c r="A101" s="144" t="s">
        <v>160</v>
      </c>
      <c r="B101" s="144"/>
      <c r="C101" s="145" t="s">
        <v>161</v>
      </c>
      <c r="D101" s="145"/>
      <c r="E101" s="146" t="s">
        <v>162</v>
      </c>
      <c r="F101" s="146"/>
      <c r="G101" s="144" t="s">
        <v>163</v>
      </c>
      <c r="H101" s="144"/>
    </row>
    <row r="102" spans="1:15" ht="16.2" thickBot="1">
      <c r="A102" s="147" t="s">
        <v>166</v>
      </c>
      <c r="B102" s="147"/>
      <c r="C102" s="148">
        <f>COUNT(D119:D122)+COUNT(D124:D127)*2+COUNT(D129:D132)*2+COUNT(D134:D137)+COUNT(D141:D142)*2+COUNT(D146:D147)*2+COUNT(D151:D152)+COUNT(D156:D157)*3+COUNT(D161:D162)*3+COUNT(D166:D167)</f>
        <v>48</v>
      </c>
      <c r="D102" s="148"/>
      <c r="E102" s="149">
        <f>SUM(D119:D122)+SUM(D124:D127)*2+SUM(D129:D132)*2+SUM(D134:D137)+SUM(D141:D142)*2+SUM(D146:D147)*2+SUM(D151:D152)+SUM(D156:D157)*3+SUM(D161:D162)*3+SUM(D166:D167)</f>
        <v>27825.413615999998</v>
      </c>
      <c r="F102" s="149"/>
      <c r="G102" s="149">
        <f>SUM(F119:F122)+SUM(F124:F127)*2+SUM(F129:F132)*2+SUM(F134:F137)+SUM(F141:F142)*2+SUM(F146:F147)*2+SUM(F151:F152)+SUM(F156:F157)*3+SUM(F161:F162)*3+SUM(F166:F167)</f>
        <v>43869.392423999991</v>
      </c>
      <c r="H102" s="149"/>
      <c r="I102" s="151"/>
      <c r="J102" s="152"/>
      <c r="K102" s="152"/>
      <c r="L102" s="152"/>
      <c r="N102" s="48"/>
      <c r="O102" s="20">
        <f>3*0.6+1.6*0.6+0.6*2.2</f>
        <v>4.08</v>
      </c>
    </row>
    <row r="103" spans="1:15" s="18" customFormat="1">
      <c r="A103" s="153" t="s">
        <v>168</v>
      </c>
      <c r="B103" s="154"/>
      <c r="C103" s="155">
        <f>C96+C99+C102</f>
        <v>77</v>
      </c>
      <c r="D103" s="155"/>
      <c r="E103" s="156">
        <f t="shared" ref="E103" si="0">E96+E99+E102</f>
        <v>49967.742006</v>
      </c>
      <c r="F103" s="156"/>
      <c r="G103" s="156">
        <f t="shared" ref="G103" si="1">G96+G99+G102</f>
        <v>78508.917220499992</v>
      </c>
      <c r="H103" s="156"/>
    </row>
    <row r="104" spans="1:15" s="18" customFormat="1">
      <c r="A104" s="78" t="s">
        <v>169</v>
      </c>
      <c r="B104" s="78"/>
      <c r="C104" s="78"/>
      <c r="D104" s="78"/>
      <c r="E104" s="78"/>
      <c r="F104" s="78"/>
      <c r="G104" s="78"/>
      <c r="H104" s="78"/>
      <c r="J104" s="49"/>
    </row>
    <row r="105" spans="1:15" s="18" customFormat="1">
      <c r="A105" s="78" t="s">
        <v>170</v>
      </c>
      <c r="B105" s="78"/>
      <c r="C105" s="78"/>
      <c r="D105" s="78"/>
      <c r="E105" s="78"/>
      <c r="F105" s="78"/>
      <c r="G105" s="78"/>
      <c r="H105" s="78"/>
      <c r="I105" s="49"/>
      <c r="L105" s="157">
        <f>4.95+2.2</f>
        <v>7.15</v>
      </c>
      <c r="M105" s="157"/>
      <c r="N105" s="49"/>
    </row>
    <row r="106" spans="1:15" s="18" customFormat="1" ht="45.75" customHeight="1">
      <c r="A106" s="181" t="s">
        <v>171</v>
      </c>
      <c r="B106" s="181" t="s">
        <v>172</v>
      </c>
      <c r="C106" s="181" t="s">
        <v>173</v>
      </c>
      <c r="D106" s="181" t="s">
        <v>174</v>
      </c>
      <c r="E106" s="184" t="s">
        <v>175</v>
      </c>
      <c r="F106" s="75" t="s">
        <v>176</v>
      </c>
      <c r="G106" s="181" t="s">
        <v>177</v>
      </c>
      <c r="H106" s="181"/>
      <c r="I106" s="49"/>
      <c r="L106" s="157"/>
      <c r="M106" s="157"/>
      <c r="N106" s="49"/>
    </row>
    <row r="107" spans="1:15" s="18" customFormat="1">
      <c r="A107" s="181"/>
      <c r="B107" s="181"/>
      <c r="C107" s="181"/>
      <c r="D107" s="181"/>
      <c r="E107" s="184"/>
      <c r="F107" s="76">
        <v>0.55000000000000004</v>
      </c>
      <c r="G107" s="181"/>
      <c r="H107" s="181"/>
      <c r="I107" s="49"/>
      <c r="L107" s="157"/>
      <c r="M107" s="157"/>
      <c r="N107" s="49"/>
    </row>
    <row r="108" spans="1:15" s="18" customFormat="1">
      <c r="A108" s="159" t="s">
        <v>178</v>
      </c>
      <c r="B108" s="159"/>
      <c r="C108" s="159"/>
      <c r="D108" s="159"/>
      <c r="E108" s="159"/>
      <c r="F108" s="159"/>
      <c r="G108" s="159"/>
      <c r="H108" s="159"/>
      <c r="I108" s="49"/>
      <c r="L108" s="50"/>
      <c r="M108" s="50"/>
      <c r="N108" s="49"/>
    </row>
    <row r="109" spans="1:15" s="18" customFormat="1" ht="62.4">
      <c r="A109" s="36">
        <v>1</v>
      </c>
      <c r="B109" s="36" t="s">
        <v>179</v>
      </c>
      <c r="C109" s="36" t="s">
        <v>180</v>
      </c>
      <c r="D109" s="36">
        <f>(7.5+5.55+7.35*17.4)*10.764</f>
        <v>1517.0781599999998</v>
      </c>
      <c r="E109" s="36">
        <v>0</v>
      </c>
      <c r="F109" s="36">
        <f>(D109+E109)*(($F$107)+1)</f>
        <v>2351.4711479999996</v>
      </c>
      <c r="G109" s="169" t="str">
        <f>A108</f>
        <v xml:space="preserve">Basement &amp; Ground Floor For Commercial </v>
      </c>
      <c r="H109" s="169"/>
      <c r="I109" s="49"/>
      <c r="J109" s="51"/>
      <c r="K109" s="51"/>
      <c r="L109" s="50"/>
      <c r="M109" s="50"/>
      <c r="N109" s="49"/>
    </row>
    <row r="110" spans="1:15" s="18" customFormat="1" ht="62.4">
      <c r="A110" s="36">
        <f t="shared" ref="A110:A113" si="2">A109+1</f>
        <v>2</v>
      </c>
      <c r="B110" s="36" t="s">
        <v>179</v>
      </c>
      <c r="C110" s="36" t="s">
        <v>180</v>
      </c>
      <c r="D110" s="36">
        <f>(4.65*5.55+7.875*7.5+2.3*4.95)*10.764</f>
        <v>1036.0888199999999</v>
      </c>
      <c r="E110" s="36">
        <v>0</v>
      </c>
      <c r="F110" s="36">
        <f t="shared" ref="F110:F112" si="3">(D110+E110)*(($F$107)+1)</f>
        <v>1605.9376709999999</v>
      </c>
      <c r="G110" s="169"/>
      <c r="H110" s="169"/>
      <c r="I110" s="52"/>
      <c r="J110" s="53"/>
      <c r="K110" s="51"/>
      <c r="L110" s="52"/>
      <c r="M110" s="52"/>
      <c r="N110" s="49"/>
    </row>
    <row r="111" spans="1:15">
      <c r="A111" s="36">
        <f t="shared" si="2"/>
        <v>3</v>
      </c>
      <c r="B111" s="36" t="s">
        <v>179</v>
      </c>
      <c r="C111" s="36" t="s">
        <v>181</v>
      </c>
      <c r="D111" s="38">
        <f>(4.55*3.35)*10.764</f>
        <v>164.07026999999999</v>
      </c>
      <c r="E111" s="36">
        <v>0</v>
      </c>
      <c r="F111" s="36">
        <f t="shared" si="3"/>
        <v>254.3089185</v>
      </c>
      <c r="G111" s="169"/>
      <c r="H111" s="169"/>
      <c r="I111" s="49"/>
      <c r="J111" s="54"/>
      <c r="K111" s="51"/>
    </row>
    <row r="112" spans="1:15" s="18" customFormat="1" ht="62.4">
      <c r="A112" s="36">
        <f t="shared" si="2"/>
        <v>4</v>
      </c>
      <c r="B112" s="36" t="s">
        <v>179</v>
      </c>
      <c r="C112" s="36" t="s">
        <v>180</v>
      </c>
      <c r="D112" s="38">
        <f>(4.65*5.55+7.875*7.5+2.3*4.95)*10.764</f>
        <v>1036.0888199999999</v>
      </c>
      <c r="E112" s="36">
        <v>0</v>
      </c>
      <c r="F112" s="36">
        <f t="shared" si="3"/>
        <v>1605.9376709999999</v>
      </c>
      <c r="G112" s="169"/>
      <c r="H112" s="169"/>
      <c r="I112" s="49"/>
      <c r="J112" s="51"/>
      <c r="K112" s="51"/>
    </row>
    <row r="113" spans="1:16" s="18" customFormat="1" ht="62.4">
      <c r="A113" s="36">
        <f t="shared" si="2"/>
        <v>5</v>
      </c>
      <c r="B113" s="36" t="s">
        <v>179</v>
      </c>
      <c r="C113" s="36" t="s">
        <v>180</v>
      </c>
      <c r="D113" s="38">
        <f>(7.5+5.55+7.35*17.4)*10.764</f>
        <v>1517.0781599999998</v>
      </c>
      <c r="E113" s="36">
        <v>0</v>
      </c>
      <c r="F113" s="36">
        <f t="shared" ref="F113" si="4">(D113+E113)*(($F$107)+1)</f>
        <v>2351.4711479999996</v>
      </c>
      <c r="G113" s="169"/>
      <c r="H113" s="169"/>
      <c r="J113" s="51"/>
      <c r="K113" s="51"/>
    </row>
    <row r="114" spans="1:16" s="18" customFormat="1">
      <c r="A114" s="175"/>
      <c r="B114" s="176"/>
      <c r="C114" s="176"/>
      <c r="D114" s="176"/>
      <c r="E114" s="176"/>
      <c r="F114" s="176"/>
      <c r="G114" s="176"/>
      <c r="H114" s="177"/>
      <c r="J114" s="49"/>
    </row>
    <row r="115" spans="1:16" s="18" customFormat="1" ht="46.8">
      <c r="A115" s="170" t="s">
        <v>182</v>
      </c>
      <c r="B115" s="170" t="s">
        <v>183</v>
      </c>
      <c r="C115" s="182" t="s">
        <v>173</v>
      </c>
      <c r="D115" s="182" t="s">
        <v>174</v>
      </c>
      <c r="E115" s="185" t="s">
        <v>184</v>
      </c>
      <c r="F115" s="34" t="s">
        <v>176</v>
      </c>
      <c r="G115" s="170" t="s">
        <v>177</v>
      </c>
      <c r="H115" s="171"/>
      <c r="I115" s="55"/>
      <c r="J115" s="49"/>
      <c r="K115" s="56"/>
      <c r="L115" s="57"/>
      <c r="M115" s="57"/>
      <c r="N115" s="49"/>
    </row>
    <row r="116" spans="1:16" s="18" customFormat="1" ht="15.75" customHeight="1">
      <c r="A116" s="172"/>
      <c r="B116" s="172"/>
      <c r="C116" s="183"/>
      <c r="D116" s="183"/>
      <c r="E116" s="186"/>
      <c r="F116" s="35">
        <v>0.5</v>
      </c>
      <c r="G116" s="172"/>
      <c r="H116" s="173"/>
      <c r="I116" s="49"/>
      <c r="N116" s="49"/>
    </row>
    <row r="117" spans="1:16" s="18" customFormat="1" ht="31.5" customHeight="1">
      <c r="A117" s="178" t="s">
        <v>185</v>
      </c>
      <c r="B117" s="179"/>
      <c r="C117" s="179"/>
      <c r="D117" s="179"/>
      <c r="E117" s="179"/>
      <c r="F117" s="179"/>
      <c r="G117" s="179"/>
      <c r="H117" s="180"/>
      <c r="I117" s="49"/>
      <c r="K117" s="49"/>
      <c r="N117" s="18" t="s">
        <v>186</v>
      </c>
      <c r="O117" s="50" t="s">
        <v>187</v>
      </c>
      <c r="P117" s="50" t="s">
        <v>188</v>
      </c>
    </row>
    <row r="118" spans="1:16" s="18" customFormat="1" ht="15.75" customHeight="1">
      <c r="A118" s="178" t="s">
        <v>189</v>
      </c>
      <c r="B118" s="179"/>
      <c r="C118" s="179"/>
      <c r="D118" s="179"/>
      <c r="E118" s="179"/>
      <c r="F118" s="179"/>
      <c r="G118" s="179"/>
      <c r="H118" s="180"/>
      <c r="I118" s="49"/>
      <c r="M118" s="192" t="s">
        <v>190</v>
      </c>
      <c r="N118" s="58">
        <v>1</v>
      </c>
      <c r="O118" s="58">
        <f>3*0.6</f>
        <v>1.7999999999999998</v>
      </c>
      <c r="P118" s="59">
        <f>3*0.6</f>
        <v>1.7999999999999998</v>
      </c>
    </row>
    <row r="119" spans="1:16" s="18" customFormat="1" ht="15.75" customHeight="1">
      <c r="A119" s="36">
        <v>1</v>
      </c>
      <c r="B119" s="36" t="s">
        <v>191</v>
      </c>
      <c r="C119" s="36" t="s">
        <v>192</v>
      </c>
      <c r="D119" s="36">
        <f>(43.248+5.58+0.6*(3+2.75)+0.5*(3.05+2.9))*10.764</f>
        <v>594.743292</v>
      </c>
      <c r="E119" s="36">
        <v>0</v>
      </c>
      <c r="F119" s="36">
        <f>D119*(($F$116)+1)+(IF(E119&lt;101,E119,IF(E119&lt;201,E119/2,IF(E119&lt;=301,E119/3,E119/4))))</f>
        <v>892.11493799999994</v>
      </c>
      <c r="G119" s="169" t="str">
        <f>A118</f>
        <v>2nd Floor For Residential</v>
      </c>
      <c r="H119" s="169"/>
      <c r="I119" s="49"/>
      <c r="J119" s="60">
        <f>15000*F119</f>
        <v>13381724.069999998</v>
      </c>
      <c r="K119" s="18">
        <f>(2.6*3.05+1.6*2.6+2.55*1.9+3.35*2.4+0.2*0.35+3.75*2.6+0.75*0.45+2.1*1.3+2.1*1.3+0.9*2.95+5.58+0.6*(3+2.75)+0.5*(3.05+2.9))</f>
        <v>55.252500000000005</v>
      </c>
      <c r="M119" s="193"/>
      <c r="N119" s="18">
        <v>2</v>
      </c>
      <c r="O119" s="18">
        <f>1.6*0.6</f>
        <v>0.96</v>
      </c>
      <c r="P119" s="61">
        <f>1.6*0.6</f>
        <v>0.96</v>
      </c>
    </row>
    <row r="120" spans="1:16" s="18" customFormat="1" ht="15.75" customHeight="1">
      <c r="A120" s="36">
        <v>2</v>
      </c>
      <c r="B120" s="36" t="s">
        <v>191</v>
      </c>
      <c r="C120" s="36" t="s">
        <v>192</v>
      </c>
      <c r="D120" s="36">
        <f t="shared" ref="D120:D122" si="5">(43.248+5.58+0.6*(3+2.75)+0.5*(3.05+2.9))*10.764</f>
        <v>594.743292</v>
      </c>
      <c r="E120" s="36">
        <v>0</v>
      </c>
      <c r="F120" s="36">
        <f>D120*(($F$116)+1)+(IF(E120&lt;101,E120,IF(E120&lt;201,E120/2,IF(E120&lt;=301,E120/3,E120/4))))</f>
        <v>892.11493799999994</v>
      </c>
      <c r="G120" s="169"/>
      <c r="H120" s="169"/>
      <c r="I120" s="49"/>
      <c r="J120" s="60"/>
      <c r="K120" s="62">
        <f>43.248+5.58+0.6*(3+2.75)+0.5*(3.05+2.9)</f>
        <v>55.253</v>
      </c>
      <c r="L120" s="62">
        <f>K120*10.764</f>
        <v>594.743292</v>
      </c>
      <c r="M120" s="193"/>
      <c r="N120" s="18">
        <v>3</v>
      </c>
      <c r="O120" s="18">
        <f>0.6*2.2</f>
        <v>1.32</v>
      </c>
      <c r="P120" s="61">
        <f>0.6*2.2</f>
        <v>1.32</v>
      </c>
    </row>
    <row r="121" spans="1:16" s="18" customFormat="1" ht="15.75" customHeight="1">
      <c r="A121" s="36">
        <v>3</v>
      </c>
      <c r="B121" s="36" t="s">
        <v>191</v>
      </c>
      <c r="C121" s="36" t="s">
        <v>192</v>
      </c>
      <c r="D121" s="36">
        <f t="shared" si="5"/>
        <v>594.743292</v>
      </c>
      <c r="E121" s="36">
        <v>0</v>
      </c>
      <c r="F121" s="36">
        <f>D121*(($F$116)+1)+(IF(E121&lt;101,E121,IF(E121&lt;201,E121/2,IF(E121&lt;=301,E121/3,E121/4))))</f>
        <v>892.11493799999994</v>
      </c>
      <c r="G121" s="169"/>
      <c r="H121" s="169"/>
      <c r="I121" s="49"/>
      <c r="J121" s="60"/>
      <c r="L121" s="62"/>
      <c r="M121" s="63"/>
      <c r="N121" s="64">
        <v>4</v>
      </c>
      <c r="O121" s="64" t="s">
        <v>193</v>
      </c>
      <c r="P121" s="65">
        <f>3*0.5</f>
        <v>1.5</v>
      </c>
    </row>
    <row r="122" spans="1:16" s="18" customFormat="1" ht="15.75" customHeight="1">
      <c r="A122" s="36">
        <v>4</v>
      </c>
      <c r="B122" s="36" t="s">
        <v>191</v>
      </c>
      <c r="C122" s="36" t="s">
        <v>192</v>
      </c>
      <c r="D122" s="36">
        <f t="shared" si="5"/>
        <v>594.743292</v>
      </c>
      <c r="E122" s="36">
        <v>0</v>
      </c>
      <c r="F122" s="36">
        <f>D122*(($F$116)+1)+(IF(E122&lt;101,E122,IF(E122&lt;201,E122/2,IF(E122&lt;=301,E122/3,E122/4))))</f>
        <v>892.11493799999994</v>
      </c>
      <c r="G122" s="169"/>
      <c r="H122" s="169"/>
      <c r="I122" s="49"/>
      <c r="J122" s="60"/>
      <c r="K122" s="62"/>
      <c r="M122" s="192" t="s">
        <v>194</v>
      </c>
      <c r="N122" s="58">
        <v>1</v>
      </c>
      <c r="O122" s="58">
        <f>3*0.6</f>
        <v>1.7999999999999998</v>
      </c>
      <c r="P122" s="59">
        <f>3*0.6</f>
        <v>1.7999999999999998</v>
      </c>
    </row>
    <row r="123" spans="1:16" s="18" customFormat="1" ht="15.75" customHeight="1">
      <c r="A123" s="159" t="s">
        <v>195</v>
      </c>
      <c r="B123" s="159"/>
      <c r="C123" s="159"/>
      <c r="D123" s="159"/>
      <c r="E123" s="159"/>
      <c r="F123" s="159"/>
      <c r="G123" s="159"/>
      <c r="H123" s="159"/>
      <c r="I123" s="49"/>
      <c r="J123" s="60"/>
      <c r="K123" s="62"/>
      <c r="M123" s="193"/>
      <c r="N123" s="18">
        <v>2</v>
      </c>
      <c r="O123" s="18">
        <f>1.6*60</f>
        <v>96</v>
      </c>
      <c r="P123" s="61">
        <f>1.6*60</f>
        <v>96</v>
      </c>
    </row>
    <row r="124" spans="1:16" s="18" customFormat="1" ht="15.75" customHeight="1">
      <c r="A124" s="36">
        <v>1</v>
      </c>
      <c r="B124" s="36" t="s">
        <v>191</v>
      </c>
      <c r="C124" s="36" t="s">
        <v>192</v>
      </c>
      <c r="D124" s="36">
        <f>(43.248+5.58+(2.75+3)*0.6+2.9*0.5)*10.764</f>
        <v>578.32819199999994</v>
      </c>
      <c r="E124" s="36">
        <f>(3*1.5)*10.764</f>
        <v>48.437999999999995</v>
      </c>
      <c r="F124" s="36">
        <f t="shared" ref="F124:F127" si="6">D124*(($F$116)+1)+(IF(E124&lt;101,E124,IF(E124&lt;201,E124/2,IF(E124&lt;=301,E124/3,E124/4))))</f>
        <v>915.9302879999999</v>
      </c>
      <c r="G124" s="169" t="str">
        <f>A123</f>
        <v>3rd &amp; 5th Floor</v>
      </c>
      <c r="H124" s="169"/>
      <c r="I124" s="49"/>
      <c r="J124" s="66"/>
      <c r="K124" s="18">
        <f>(2.6*3.05+1.6*2.6+2.55*1.9+3.35*2.4+0.2*0.35+3.75*2.6+0.75*0.45+2.1*1.3+2.1*1.3+0.9*2.95+5.58+2.75*0.6)</f>
        <v>50.477499999999999</v>
      </c>
      <c r="M124" s="193"/>
      <c r="N124" s="18">
        <v>3</v>
      </c>
      <c r="O124" s="18">
        <f>0.6*2.2</f>
        <v>1.32</v>
      </c>
      <c r="P124" s="61">
        <f>0.6*2.2</f>
        <v>1.32</v>
      </c>
    </row>
    <row r="125" spans="1:16" s="18" customFormat="1" ht="15.75" customHeight="1">
      <c r="A125" s="36">
        <v>2</v>
      </c>
      <c r="B125" s="36" t="s">
        <v>191</v>
      </c>
      <c r="C125" s="36" t="s">
        <v>192</v>
      </c>
      <c r="D125" s="36">
        <f t="shared" ref="D125:D137" si="7">(43.248+5.58+(2.75+3)*0.6+2.9*0.5)*10.764</f>
        <v>578.32819199999994</v>
      </c>
      <c r="E125" s="36">
        <f t="shared" ref="E125:E127" si="8">(3*1.5)*10.764</f>
        <v>48.437999999999995</v>
      </c>
      <c r="F125" s="36">
        <f t="shared" si="6"/>
        <v>915.9302879999999</v>
      </c>
      <c r="G125" s="169"/>
      <c r="H125" s="169"/>
      <c r="I125" s="49"/>
      <c r="J125" s="66"/>
      <c r="K125" s="18">
        <f>2.6*3.05+1.6*2.6+2.55*1.9+3.35*2.4+0.2*0.35+3.75*2.6+0.75*0.45+2.1*1.3+2.1*1.3+0.9*2.95</f>
        <v>43.247500000000002</v>
      </c>
      <c r="M125" s="194"/>
      <c r="N125" s="64">
        <v>4</v>
      </c>
      <c r="O125" s="64" t="s">
        <v>193</v>
      </c>
      <c r="P125" s="65">
        <f>3*0.5</f>
        <v>1.5</v>
      </c>
    </row>
    <row r="126" spans="1:16" s="18" customFormat="1" ht="15.75" customHeight="1">
      <c r="A126" s="36">
        <v>3</v>
      </c>
      <c r="B126" s="36" t="s">
        <v>191</v>
      </c>
      <c r="C126" s="36" t="s">
        <v>192</v>
      </c>
      <c r="D126" s="36">
        <f t="shared" si="7"/>
        <v>578.32819199999994</v>
      </c>
      <c r="E126" s="36">
        <f t="shared" si="8"/>
        <v>48.437999999999995</v>
      </c>
      <c r="F126" s="36">
        <f t="shared" si="6"/>
        <v>915.9302879999999</v>
      </c>
      <c r="G126" s="169"/>
      <c r="H126" s="169"/>
      <c r="I126" s="49"/>
      <c r="J126" s="66"/>
      <c r="M126" s="195" t="s">
        <v>196</v>
      </c>
      <c r="N126" s="58">
        <v>1</v>
      </c>
      <c r="O126" s="58"/>
      <c r="P126" s="59">
        <f>3*0.6</f>
        <v>1.7999999999999998</v>
      </c>
    </row>
    <row r="127" spans="1:16" s="18" customFormat="1" ht="15.75" customHeight="1">
      <c r="A127" s="36">
        <v>4</v>
      </c>
      <c r="B127" s="36" t="s">
        <v>191</v>
      </c>
      <c r="C127" s="36" t="s">
        <v>192</v>
      </c>
      <c r="D127" s="36">
        <f t="shared" si="7"/>
        <v>578.32819199999994</v>
      </c>
      <c r="E127" s="36">
        <f t="shared" si="8"/>
        <v>48.437999999999995</v>
      </c>
      <c r="F127" s="36">
        <f t="shared" si="6"/>
        <v>915.9302879999999</v>
      </c>
      <c r="G127" s="169"/>
      <c r="H127" s="169"/>
      <c r="I127" s="49"/>
      <c r="J127" s="66"/>
      <c r="M127" s="196"/>
      <c r="N127" s="18">
        <v>3</v>
      </c>
      <c r="P127" s="61">
        <f>0.6*2.2</f>
        <v>1.32</v>
      </c>
    </row>
    <row r="128" spans="1:16" s="18" customFormat="1" ht="15.75" customHeight="1">
      <c r="A128" s="159" t="s">
        <v>197</v>
      </c>
      <c r="B128" s="159"/>
      <c r="C128" s="159"/>
      <c r="D128" s="159"/>
      <c r="E128" s="159"/>
      <c r="F128" s="159"/>
      <c r="G128" s="159"/>
      <c r="H128" s="159"/>
      <c r="I128" s="49"/>
      <c r="J128" s="60"/>
      <c r="K128" s="18">
        <f>0.5*(3.75+3.35+1.6+1.9)</f>
        <v>5.3</v>
      </c>
      <c r="M128" s="197"/>
      <c r="N128" s="64">
        <v>4</v>
      </c>
      <c r="O128" s="64"/>
      <c r="P128" s="65">
        <f>3*0.5</f>
        <v>1.5</v>
      </c>
    </row>
    <row r="129" spans="1:16" s="18" customFormat="1">
      <c r="A129" s="36">
        <v>1</v>
      </c>
      <c r="B129" s="36" t="s">
        <v>191</v>
      </c>
      <c r="C129" s="36" t="s">
        <v>192</v>
      </c>
      <c r="D129" s="36">
        <f t="shared" si="7"/>
        <v>578.32819199999994</v>
      </c>
      <c r="E129" s="36">
        <f>(3*1.5)*10.764</f>
        <v>48.437999999999995</v>
      </c>
      <c r="F129" s="36">
        <f>D129*(($F$116)+1)+(IF(E129&lt;101,E129,IF(E129&lt;201,E129/2,IF(E129&lt;=301,E129/3,E129/4))))</f>
        <v>915.9302879999999</v>
      </c>
      <c r="G129" s="169" t="str">
        <f>A128</f>
        <v>4th &amp; 6th Floor</v>
      </c>
      <c r="H129" s="169"/>
      <c r="I129" s="49"/>
      <c r="J129" s="66"/>
      <c r="M129" s="195" t="s">
        <v>198</v>
      </c>
      <c r="N129" s="58">
        <v>1</v>
      </c>
      <c r="O129" s="58"/>
      <c r="P129" s="59">
        <f>3*0.6</f>
        <v>1.7999999999999998</v>
      </c>
    </row>
    <row r="130" spans="1:16" s="18" customFormat="1" ht="15.75" customHeight="1">
      <c r="A130" s="36">
        <v>2</v>
      </c>
      <c r="B130" s="36" t="s">
        <v>191</v>
      </c>
      <c r="C130" s="36" t="s">
        <v>192</v>
      </c>
      <c r="D130" s="36">
        <f t="shared" si="7"/>
        <v>578.32819199999994</v>
      </c>
      <c r="E130" s="36">
        <f t="shared" ref="E130:E132" si="9">(3*1.5)*10.764</f>
        <v>48.437999999999995</v>
      </c>
      <c r="F130" s="36">
        <f>D130*(($F$116)+1)+(IF(E130&lt;101,E130,IF(E130&lt;201,E130/2,IF(E130&lt;=301,E130/3,E130/4))))</f>
        <v>915.9302879999999</v>
      </c>
      <c r="G130" s="169"/>
      <c r="H130" s="169"/>
      <c r="I130" s="49"/>
      <c r="J130" s="66"/>
      <c r="K130" s="60"/>
      <c r="M130" s="196"/>
      <c r="N130" s="18">
        <v>2</v>
      </c>
      <c r="P130" s="61">
        <f>1.6*0.6</f>
        <v>0.96</v>
      </c>
    </row>
    <row r="131" spans="1:16" s="18" customFormat="1" ht="15.75" customHeight="1">
      <c r="A131" s="36">
        <v>3</v>
      </c>
      <c r="B131" s="36" t="s">
        <v>191</v>
      </c>
      <c r="C131" s="36" t="s">
        <v>192</v>
      </c>
      <c r="D131" s="36">
        <f t="shared" si="7"/>
        <v>578.32819199999994</v>
      </c>
      <c r="E131" s="36">
        <f t="shared" si="9"/>
        <v>48.437999999999995</v>
      </c>
      <c r="F131" s="36">
        <f>D131*(($F$116)+1)+(IF(E131&lt;101,E131,IF(E131&lt;201,E131/2,IF(E131&lt;=301,E131/3,E131/4))))</f>
        <v>915.9302879999999</v>
      </c>
      <c r="G131" s="169"/>
      <c r="H131" s="169"/>
      <c r="I131" s="49"/>
      <c r="J131" s="66"/>
      <c r="M131" s="197"/>
      <c r="N131" s="64">
        <v>4</v>
      </c>
      <c r="O131" s="64"/>
      <c r="P131" s="65">
        <f>3*0.5</f>
        <v>1.5</v>
      </c>
    </row>
    <row r="132" spans="1:16" s="18" customFormat="1" ht="15.75" customHeight="1">
      <c r="A132" s="36">
        <v>4</v>
      </c>
      <c r="B132" s="36" t="s">
        <v>191</v>
      </c>
      <c r="C132" s="36" t="s">
        <v>192</v>
      </c>
      <c r="D132" s="36">
        <f t="shared" si="7"/>
        <v>578.32819199999994</v>
      </c>
      <c r="E132" s="36">
        <f t="shared" si="9"/>
        <v>48.437999999999995</v>
      </c>
      <c r="F132" s="36">
        <f>D132*(($F$116)+1)+(IF(E132&lt;101,E132,IF(E132&lt;201,E132/2,IF(E132&lt;=301,E132/3,E132/4))))</f>
        <v>915.9302879999999</v>
      </c>
      <c r="G132" s="169"/>
      <c r="H132" s="169"/>
      <c r="I132" s="49"/>
      <c r="J132" s="66"/>
    </row>
    <row r="133" spans="1:16" s="18" customFormat="1" ht="15.75" customHeight="1">
      <c r="A133" s="159" t="s">
        <v>199</v>
      </c>
      <c r="B133" s="159"/>
      <c r="C133" s="159"/>
      <c r="D133" s="159"/>
      <c r="E133" s="159"/>
      <c r="F133" s="159"/>
      <c r="G133" s="159"/>
      <c r="H133" s="159"/>
      <c r="I133" s="49"/>
      <c r="K133" s="62"/>
      <c r="N133" s="49"/>
    </row>
    <row r="134" spans="1:16" s="18" customFormat="1" ht="15.75" customHeight="1">
      <c r="A134" s="36">
        <v>1</v>
      </c>
      <c r="B134" s="36" t="s">
        <v>191</v>
      </c>
      <c r="C134" s="36" t="s">
        <v>192</v>
      </c>
      <c r="D134" s="36">
        <f t="shared" si="7"/>
        <v>578.32819199999994</v>
      </c>
      <c r="E134" s="36">
        <f>(3*1.5)*10.764</f>
        <v>48.437999999999995</v>
      </c>
      <c r="F134" s="36">
        <f>D134*(($F$116)+1)+(IF(E134&lt;101,E134,IF(E134&lt;201,E134/2,IF(E134&lt;=301,E134/3,E134/4))))</f>
        <v>915.9302879999999</v>
      </c>
      <c r="G134" s="169" t="str">
        <f>A133</f>
        <v>7th Floor (Part Fire Balcony)</v>
      </c>
      <c r="H134" s="169"/>
      <c r="I134" s="49"/>
      <c r="J134" s="66"/>
      <c r="K134" s="18">
        <f>(2.6*3.05+1.6*2.6+2.55*1.9+3.35*2.4+0.2*0.35+3.75*2.6+0.75*0.45+2.1*1.3+2.1*1.3+0.9*2.95+5.58+2.75*0.6)</f>
        <v>50.477499999999999</v>
      </c>
    </row>
    <row r="135" spans="1:16" s="18" customFormat="1" ht="15.75" customHeight="1">
      <c r="A135" s="36">
        <v>2</v>
      </c>
      <c r="B135" s="36" t="s">
        <v>191</v>
      </c>
      <c r="C135" s="36" t="s">
        <v>192</v>
      </c>
      <c r="D135" s="36">
        <f t="shared" si="7"/>
        <v>578.32819199999994</v>
      </c>
      <c r="E135" s="36">
        <f t="shared" ref="E135:E137" si="10">(3*1.5)*10.764</f>
        <v>48.437999999999995</v>
      </c>
      <c r="F135" s="36">
        <f>D135*(($F$116)+1)+(IF(E135&lt;101,E135,IF(E135&lt;201,E135/2,IF(E135&lt;=301,E135/3,E135/4))))</f>
        <v>915.9302879999999</v>
      </c>
      <c r="G135" s="169"/>
      <c r="H135" s="169"/>
      <c r="I135" s="49"/>
      <c r="J135" s="66"/>
    </row>
    <row r="136" spans="1:16" s="18" customFormat="1" ht="15.75" customHeight="1">
      <c r="A136" s="36">
        <v>3</v>
      </c>
      <c r="B136" s="36" t="s">
        <v>191</v>
      </c>
      <c r="C136" s="36" t="s">
        <v>192</v>
      </c>
      <c r="D136" s="36">
        <f t="shared" si="7"/>
        <v>578.32819199999994</v>
      </c>
      <c r="E136" s="36">
        <f t="shared" si="10"/>
        <v>48.437999999999995</v>
      </c>
      <c r="F136" s="36">
        <f>D136*(($F$116)+1)+(IF(E136&lt;101,E136,IF(E136&lt;201,E136/2,IF(E136&lt;=301,E136/3,E136/4))))</f>
        <v>915.9302879999999</v>
      </c>
      <c r="G136" s="169"/>
      <c r="H136" s="169"/>
      <c r="I136" s="49"/>
      <c r="J136" s="66"/>
    </row>
    <row r="137" spans="1:16" s="18" customFormat="1" ht="15.75" customHeight="1">
      <c r="A137" s="36">
        <v>4</v>
      </c>
      <c r="B137" s="36" t="s">
        <v>191</v>
      </c>
      <c r="C137" s="36" t="s">
        <v>192</v>
      </c>
      <c r="D137" s="36">
        <f t="shared" si="7"/>
        <v>578.32819199999994</v>
      </c>
      <c r="E137" s="36">
        <f t="shared" si="10"/>
        <v>48.437999999999995</v>
      </c>
      <c r="F137" s="36">
        <f>D137*(($F$116)+1)+(IF(E137&lt;101,E137,IF(E137&lt;201,E137/2,IF(E137&lt;=301,E137/3,E137/4))))</f>
        <v>915.9302879999999</v>
      </c>
      <c r="G137" s="169"/>
      <c r="H137" s="169"/>
      <c r="I137" s="49"/>
      <c r="J137" s="66"/>
    </row>
    <row r="138" spans="1:16" s="18" customFormat="1" ht="15.75" customHeight="1">
      <c r="A138" s="159" t="s">
        <v>200</v>
      </c>
      <c r="B138" s="159"/>
      <c r="C138" s="159"/>
      <c r="D138" s="159"/>
      <c r="E138" s="159"/>
      <c r="F138" s="159"/>
      <c r="G138" s="159"/>
      <c r="H138" s="159"/>
      <c r="I138" s="49"/>
      <c r="J138" s="66"/>
    </row>
    <row r="139" spans="1:16" s="18" customFormat="1">
      <c r="A139" s="36">
        <v>1</v>
      </c>
      <c r="B139" s="36" t="s">
        <v>179</v>
      </c>
      <c r="C139" s="36" t="s">
        <v>192</v>
      </c>
      <c r="D139" s="36">
        <f>(56.33+3.45+4.08+2.9*0.5)*10.764</f>
        <v>702.99684000000002</v>
      </c>
      <c r="E139" s="36">
        <f>(3*1.5)*10.764</f>
        <v>48.437999999999995</v>
      </c>
      <c r="F139" s="36">
        <f>D139*(($F$116)+1)+(IF(E139&lt;101,E139,IF(E139&lt;201,E139/2,IF(E139&lt;=301,E139/3,E139/4))))</f>
        <v>1102.9332600000002</v>
      </c>
      <c r="G139" s="169" t="str">
        <f>A138</f>
        <v>8th &amp; 10th Floor</v>
      </c>
      <c r="H139" s="169"/>
      <c r="I139" s="49"/>
      <c r="J139" s="69">
        <f>(5.75*3.05+1.75*2.6+2.55*1.9+3.35*2.75+4.35*2.6+1.35*0.45+2.1*1.3+2.1*1.3+2.95*0.9+4.08+0.6*(3+2.75)+2.9*0.5)</f>
        <v>65.157500000000013</v>
      </c>
      <c r="K139" s="49"/>
      <c r="L139" s="18">
        <f>400*F139</f>
        <v>441173.30400000012</v>
      </c>
    </row>
    <row r="140" spans="1:16" s="18" customFormat="1" ht="15.75" customHeight="1">
      <c r="A140" s="36">
        <v>2</v>
      </c>
      <c r="B140" s="36" t="s">
        <v>179</v>
      </c>
      <c r="C140" s="36" t="s">
        <v>192</v>
      </c>
      <c r="D140" s="36">
        <f>(56.33+3.45+4.08+2.9*0.5)*10.764</f>
        <v>702.99684000000002</v>
      </c>
      <c r="E140" s="36">
        <f t="shared" ref="E140:E167" si="11">(3*1.5)*10.764</f>
        <v>48.437999999999995</v>
      </c>
      <c r="F140" s="36">
        <f>D140*(($F$116)+1)+(IF(E140&lt;101,E140,IF(E140&lt;201,E140/2,IF(E140&lt;=301,E140/3,E140/4))))</f>
        <v>1102.9332600000002</v>
      </c>
      <c r="G140" s="169"/>
      <c r="H140" s="169"/>
      <c r="I140" s="49"/>
      <c r="J140" s="66"/>
      <c r="L140" s="18">
        <f t="shared" ref="L140:L141" si="12">400*F140</f>
        <v>441173.30400000012</v>
      </c>
    </row>
    <row r="141" spans="1:16" s="18" customFormat="1" ht="15.75" customHeight="1">
      <c r="A141" s="36">
        <v>3</v>
      </c>
      <c r="B141" s="36" t="s">
        <v>191</v>
      </c>
      <c r="C141" s="36" t="s">
        <v>192</v>
      </c>
      <c r="D141" s="36">
        <f t="shared" ref="D141:D142" si="13">(43.248+5.58+(2.75+3)*0.6+2.9*0.5)*10.764</f>
        <v>578.32819199999994</v>
      </c>
      <c r="E141" s="36">
        <f t="shared" si="11"/>
        <v>48.437999999999995</v>
      </c>
      <c r="F141" s="36">
        <f>D141*(($F$116)+1)+(IF(E141&lt;101,E141,IF(E141&lt;201,E141/2,IF(E141&lt;=301,E141/3,E141/4))))</f>
        <v>915.9302879999999</v>
      </c>
      <c r="G141" s="169"/>
      <c r="H141" s="169"/>
      <c r="I141" s="49"/>
      <c r="J141" s="69">
        <f>(2.6*3.05+1.6*2.6+2.55*1.9+3.35*2.4+0.2*0.35+3.75*2.6+0.75*0.45+2.1*1.3+2.1*1.3+0.9*2.95+2.9*0.5+5.58+3.45)</f>
        <v>53.727500000000006</v>
      </c>
      <c r="K141" s="18">
        <f>(43.248+3.45+5.58+2.9*0.5)</f>
        <v>53.728000000000002</v>
      </c>
      <c r="L141" s="18">
        <f t="shared" si="12"/>
        <v>366372.11519999994</v>
      </c>
    </row>
    <row r="142" spans="1:16" s="18" customFormat="1" ht="15.75" customHeight="1">
      <c r="A142" s="36">
        <v>4</v>
      </c>
      <c r="B142" s="36" t="s">
        <v>191</v>
      </c>
      <c r="C142" s="36" t="s">
        <v>192</v>
      </c>
      <c r="D142" s="36">
        <f t="shared" si="13"/>
        <v>578.32819199999994</v>
      </c>
      <c r="E142" s="36">
        <f t="shared" si="11"/>
        <v>48.437999999999995</v>
      </c>
      <c r="F142" s="36">
        <f>D142*(($F$116)+1)+(IF(E142&lt;101,E142,IF(E142&lt;201,E142/2,IF(E142&lt;=301,E142/3,E142/4))))</f>
        <v>915.9302879999999</v>
      </c>
      <c r="G142" s="169"/>
      <c r="H142" s="169"/>
      <c r="I142" s="49"/>
      <c r="J142" s="66"/>
    </row>
    <row r="143" spans="1:16" s="18" customFormat="1" ht="15.75" customHeight="1">
      <c r="A143" s="159" t="s">
        <v>201</v>
      </c>
      <c r="B143" s="159"/>
      <c r="C143" s="159"/>
      <c r="D143" s="159"/>
      <c r="E143" s="159"/>
      <c r="F143" s="159"/>
      <c r="G143" s="159"/>
      <c r="H143" s="159"/>
      <c r="I143" s="49"/>
      <c r="J143" s="66"/>
    </row>
    <row r="144" spans="1:16" s="18" customFormat="1">
      <c r="A144" s="36">
        <v>1</v>
      </c>
      <c r="B144" s="36" t="s">
        <v>179</v>
      </c>
      <c r="C144" s="36" t="s">
        <v>192</v>
      </c>
      <c r="D144" s="36">
        <f>(56.33+3.45+4.08+2.9*0.5)*10.764</f>
        <v>702.99684000000002</v>
      </c>
      <c r="E144" s="36">
        <f t="shared" si="11"/>
        <v>48.437999999999995</v>
      </c>
      <c r="F144" s="36">
        <f>D144*(($F$116)+1)+(IF(E144&lt;101,E144,IF(E144&lt;201,E144/2,IF(E144&lt;=301,E144/3,E144/4))))</f>
        <v>1102.9332600000002</v>
      </c>
      <c r="G144" s="169" t="str">
        <f>A143</f>
        <v>9th &amp; 11th Floor</v>
      </c>
      <c r="H144" s="169"/>
      <c r="I144" s="49"/>
      <c r="J144" s="37"/>
    </row>
    <row r="145" spans="1:10" s="18" customFormat="1" ht="15.75" customHeight="1">
      <c r="A145" s="36">
        <v>2</v>
      </c>
      <c r="B145" s="36" t="s">
        <v>179</v>
      </c>
      <c r="C145" s="36" t="s">
        <v>192</v>
      </c>
      <c r="D145" s="36">
        <f>(56.33+3.45+4.08+2.9*0.5)*10.764</f>
        <v>702.99684000000002</v>
      </c>
      <c r="E145" s="36">
        <f t="shared" si="11"/>
        <v>48.437999999999995</v>
      </c>
      <c r="F145" s="36">
        <f>D145*(($F$116)+1)+(IF(E145&lt;101,E145,IF(E145&lt;201,E145/2,IF(E145&lt;=301,E145/3,E145/4))))</f>
        <v>1102.9332600000002</v>
      </c>
      <c r="G145" s="169"/>
      <c r="H145" s="169"/>
      <c r="I145" s="49"/>
      <c r="J145" s="66"/>
    </row>
    <row r="146" spans="1:10" s="18" customFormat="1" ht="15.75" customHeight="1">
      <c r="A146" s="36">
        <v>3</v>
      </c>
      <c r="B146" s="36" t="s">
        <v>191</v>
      </c>
      <c r="C146" s="36" t="s">
        <v>192</v>
      </c>
      <c r="D146" s="36">
        <f>(43.248+3.45+5.58+2.9*0.5)*10.764</f>
        <v>578.32819199999994</v>
      </c>
      <c r="E146" s="36">
        <f t="shared" si="11"/>
        <v>48.437999999999995</v>
      </c>
      <c r="F146" s="36">
        <f>D146*(($F$116)+1)+(IF(E146&lt;101,E146,IF(E146&lt;201,E146/2,IF(E146&lt;=301,E146/3,E146/4))))</f>
        <v>915.9302879999999</v>
      </c>
      <c r="G146" s="169"/>
      <c r="H146" s="169"/>
      <c r="I146" s="49"/>
      <c r="J146" s="66"/>
    </row>
    <row r="147" spans="1:10" s="18" customFormat="1" ht="15.75" customHeight="1">
      <c r="A147" s="36">
        <v>4</v>
      </c>
      <c r="B147" s="36" t="s">
        <v>191</v>
      </c>
      <c r="C147" s="36" t="s">
        <v>192</v>
      </c>
      <c r="D147" s="36">
        <f>(43.248+3.45+5.58+2.9*0.5)*10.764</f>
        <v>578.32819199999994</v>
      </c>
      <c r="E147" s="36">
        <f t="shared" si="11"/>
        <v>48.437999999999995</v>
      </c>
      <c r="F147" s="36">
        <f>D147*(($F$116)+1)+(IF(E147&lt;101,E147,IF(E147&lt;201,E147/2,IF(E147&lt;=301,E147/3,E147/4))))</f>
        <v>915.9302879999999</v>
      </c>
      <c r="G147" s="169"/>
      <c r="H147" s="169"/>
      <c r="I147" s="49"/>
      <c r="J147" s="66"/>
    </row>
    <row r="148" spans="1:10" s="18" customFormat="1" ht="15.75" customHeight="1">
      <c r="A148" s="159" t="s">
        <v>202</v>
      </c>
      <c r="B148" s="159"/>
      <c r="C148" s="159"/>
      <c r="D148" s="159"/>
      <c r="E148" s="159"/>
      <c r="F148" s="159"/>
      <c r="G148" s="159"/>
      <c r="H148" s="159"/>
      <c r="I148" s="49"/>
      <c r="J148" s="66"/>
    </row>
    <row r="149" spans="1:10" s="18" customFormat="1">
      <c r="A149" s="36">
        <v>1</v>
      </c>
      <c r="B149" s="36" t="s">
        <v>179</v>
      </c>
      <c r="C149" s="36" t="s">
        <v>192</v>
      </c>
      <c r="D149" s="36">
        <f>(56.33+3.45+4.08+2.9*0.5)*10.764</f>
        <v>702.99684000000002</v>
      </c>
      <c r="E149" s="36">
        <f t="shared" si="11"/>
        <v>48.437999999999995</v>
      </c>
      <c r="F149" s="36">
        <f>D149*(($F$116)+1)+(IF(E149&lt;101,E149,IF(E149&lt;201,E149/2,IF(E149&lt;=301,E149/3,E149/4))))</f>
        <v>1102.9332600000002</v>
      </c>
      <c r="G149" s="169" t="str">
        <f>A148</f>
        <v>12th Floor (Part Fire Balcony)</v>
      </c>
      <c r="H149" s="169"/>
      <c r="I149" s="49"/>
      <c r="J149" s="66"/>
    </row>
    <row r="150" spans="1:10" s="18" customFormat="1" ht="15.75" customHeight="1">
      <c r="A150" s="36">
        <v>2</v>
      </c>
      <c r="B150" s="36" t="s">
        <v>179</v>
      </c>
      <c r="C150" s="36" t="s">
        <v>192</v>
      </c>
      <c r="D150" s="36">
        <f>(56.33+3.45+4.08+2.9*0.5)*10.764</f>
        <v>702.99684000000002</v>
      </c>
      <c r="E150" s="36">
        <f t="shared" si="11"/>
        <v>48.437999999999995</v>
      </c>
      <c r="F150" s="36">
        <f>D150*(($F$116)+1)+(IF(E150&lt;101,E150,IF(E150&lt;201,E150/2,IF(E150&lt;=301,E150/3,E150/4))))</f>
        <v>1102.9332600000002</v>
      </c>
      <c r="G150" s="169"/>
      <c r="H150" s="169"/>
      <c r="I150" s="49"/>
      <c r="J150" s="66"/>
    </row>
    <row r="151" spans="1:10" s="18" customFormat="1" ht="15.75" customHeight="1">
      <c r="A151" s="36">
        <v>3</v>
      </c>
      <c r="B151" s="36" t="s">
        <v>191</v>
      </c>
      <c r="C151" s="36" t="s">
        <v>192</v>
      </c>
      <c r="D151" s="36">
        <f>(43.248+3.45+5.58+2.9*0.5)*10.764</f>
        <v>578.32819199999994</v>
      </c>
      <c r="E151" s="36">
        <f t="shared" si="11"/>
        <v>48.437999999999995</v>
      </c>
      <c r="F151" s="36">
        <f>D151*(($F$116)+1)+(IF(E151&lt;101,E151,IF(E151&lt;201,E151/2,IF(E151&lt;=301,E151/3,E151/4))))</f>
        <v>915.9302879999999</v>
      </c>
      <c r="G151" s="169"/>
      <c r="H151" s="169"/>
      <c r="I151" s="49"/>
      <c r="J151" s="66"/>
    </row>
    <row r="152" spans="1:10" s="18" customFormat="1" ht="15.75" customHeight="1">
      <c r="A152" s="36">
        <v>4</v>
      </c>
      <c r="B152" s="36" t="s">
        <v>191</v>
      </c>
      <c r="C152" s="36" t="s">
        <v>192</v>
      </c>
      <c r="D152" s="36">
        <f>(43.248+3.45+5.58+2.9*0.5)*10.764</f>
        <v>578.32819199999994</v>
      </c>
      <c r="E152" s="36">
        <f t="shared" si="11"/>
        <v>48.437999999999995</v>
      </c>
      <c r="F152" s="36">
        <f>D152*(($F$116)+1)+(IF(E152&lt;101,E152,IF(E152&lt;201,E152/2,IF(E152&lt;=301,E152/3,E152/4))))</f>
        <v>915.9302879999999</v>
      </c>
      <c r="G152" s="169"/>
      <c r="H152" s="169"/>
      <c r="I152" s="49"/>
      <c r="J152" s="66"/>
    </row>
    <row r="153" spans="1:10" s="18" customFormat="1" ht="15.75" customHeight="1">
      <c r="A153" s="159" t="s">
        <v>203</v>
      </c>
      <c r="B153" s="159"/>
      <c r="C153" s="159"/>
      <c r="D153" s="159"/>
      <c r="E153" s="159"/>
      <c r="F153" s="159"/>
      <c r="G153" s="159"/>
      <c r="H153" s="159"/>
      <c r="I153" s="49"/>
      <c r="J153" s="66"/>
    </row>
    <row r="154" spans="1:10" s="18" customFormat="1">
      <c r="A154" s="36">
        <v>1</v>
      </c>
      <c r="B154" s="36" t="s">
        <v>179</v>
      </c>
      <c r="C154" s="36" t="s">
        <v>192</v>
      </c>
      <c r="D154" s="36">
        <f>(56.33+3.45+4.08+2.9*0.5)*10.764</f>
        <v>702.99684000000002</v>
      </c>
      <c r="E154" s="36">
        <f t="shared" si="11"/>
        <v>48.437999999999995</v>
      </c>
      <c r="F154" s="36">
        <f>D154*(($F$116)+1)+(IF(E154&lt;101,E154,IF(E154&lt;201,E154/2,IF(E154&lt;=301,E154/3,E154/4))))</f>
        <v>1102.9332600000002</v>
      </c>
      <c r="G154" s="169" t="str">
        <f>A153</f>
        <v>14th, 16th &amp; 18th Floor</v>
      </c>
      <c r="H154" s="169"/>
      <c r="I154" s="49"/>
      <c r="J154" s="66"/>
    </row>
    <row r="155" spans="1:10" s="18" customFormat="1" ht="15.75" customHeight="1">
      <c r="A155" s="36">
        <v>2</v>
      </c>
      <c r="B155" s="36" t="s">
        <v>179</v>
      </c>
      <c r="C155" s="36" t="s">
        <v>192</v>
      </c>
      <c r="D155" s="36">
        <f>(56.33+3.45+4.08+2.9*0.5)*10.764</f>
        <v>702.99684000000002</v>
      </c>
      <c r="E155" s="36">
        <f t="shared" si="11"/>
        <v>48.437999999999995</v>
      </c>
      <c r="F155" s="36">
        <f>D155*(($F$116)+1)+(IF(E155&lt;101,E155,IF(E155&lt;201,E155/2,IF(E155&lt;=301,E155/3,E155/4))))</f>
        <v>1102.9332600000002</v>
      </c>
      <c r="G155" s="169"/>
      <c r="H155" s="169"/>
      <c r="I155" s="49"/>
      <c r="J155" s="66"/>
    </row>
    <row r="156" spans="1:10" s="18" customFormat="1" ht="15.75" customHeight="1">
      <c r="A156" s="36">
        <v>3</v>
      </c>
      <c r="B156" s="36" t="s">
        <v>191</v>
      </c>
      <c r="C156" s="36" t="s">
        <v>192</v>
      </c>
      <c r="D156" s="36">
        <f>(43.248+3.45+5.58+2.9*0.5)*10.764</f>
        <v>578.32819199999994</v>
      </c>
      <c r="E156" s="36">
        <f t="shared" si="11"/>
        <v>48.437999999999995</v>
      </c>
      <c r="F156" s="36">
        <f>D156*(($F$116)+1)+(IF(E156&lt;101,E156,IF(E156&lt;201,E156/2,IF(E156&lt;=301,E156/3,E156/4))))</f>
        <v>915.9302879999999</v>
      </c>
      <c r="G156" s="169"/>
      <c r="H156" s="169"/>
      <c r="I156" s="49"/>
      <c r="J156" s="66"/>
    </row>
    <row r="157" spans="1:10" s="18" customFormat="1" ht="15.75" customHeight="1">
      <c r="A157" s="36">
        <v>4</v>
      </c>
      <c r="B157" s="36" t="s">
        <v>191</v>
      </c>
      <c r="C157" s="36" t="s">
        <v>192</v>
      </c>
      <c r="D157" s="36">
        <f>(43.248+3.45+5.58+2.9*0.5)*10.764</f>
        <v>578.32819199999994</v>
      </c>
      <c r="E157" s="36">
        <f t="shared" si="11"/>
        <v>48.437999999999995</v>
      </c>
      <c r="F157" s="36">
        <f>D157*(($F$116)+1)+(IF(E157&lt;101,E157,IF(E157&lt;201,E157/2,IF(E157&lt;=301,E157/3,E157/4))))</f>
        <v>915.9302879999999</v>
      </c>
      <c r="G157" s="169"/>
      <c r="H157" s="169"/>
      <c r="I157" s="49"/>
      <c r="J157" s="66"/>
    </row>
    <row r="158" spans="1:10" s="18" customFormat="1" ht="15.75" customHeight="1">
      <c r="A158" s="159" t="s">
        <v>204</v>
      </c>
      <c r="B158" s="159"/>
      <c r="C158" s="159"/>
      <c r="D158" s="159"/>
      <c r="E158" s="159"/>
      <c r="F158" s="159"/>
      <c r="G158" s="159"/>
      <c r="H158" s="159"/>
      <c r="I158" s="49"/>
      <c r="J158" s="66"/>
    </row>
    <row r="159" spans="1:10" s="17" customFormat="1">
      <c r="A159" s="36">
        <v>1</v>
      </c>
      <c r="B159" s="36" t="s">
        <v>179</v>
      </c>
      <c r="C159" s="36" t="s">
        <v>192</v>
      </c>
      <c r="D159" s="36">
        <f>(56.33+3.45+4.08+2.9*0.5)*10.764</f>
        <v>702.99684000000002</v>
      </c>
      <c r="E159" s="36">
        <f t="shared" si="11"/>
        <v>48.437999999999995</v>
      </c>
      <c r="F159" s="36">
        <f>D159*(($F$116)+1)+(IF(E159&lt;101,E159,IF(E159&lt;201,E159/2,IF(E159&lt;=301,E159/3,E159/4))))</f>
        <v>1102.9332600000002</v>
      </c>
      <c r="G159" s="169" t="str">
        <f>A158</f>
        <v>13th, 15th &amp; 19th Floor</v>
      </c>
      <c r="H159" s="169"/>
      <c r="I159" s="49"/>
      <c r="J159" s="70"/>
    </row>
    <row r="160" spans="1:10" s="17" customFormat="1">
      <c r="A160" s="36">
        <v>2</v>
      </c>
      <c r="B160" s="36" t="s">
        <v>179</v>
      </c>
      <c r="C160" s="36" t="s">
        <v>192</v>
      </c>
      <c r="D160" s="36">
        <f>(56.33+3.45+4.08+2.9*0.5)*10.764</f>
        <v>702.99684000000002</v>
      </c>
      <c r="E160" s="36">
        <f t="shared" si="11"/>
        <v>48.437999999999995</v>
      </c>
      <c r="F160" s="36">
        <f>D160*(($F$116)+1)+(IF(E160&lt;101,E160,IF(E160&lt;201,E160/2,IF(E160&lt;=301,E160/3,E160/4))))</f>
        <v>1102.9332600000002</v>
      </c>
      <c r="G160" s="169"/>
      <c r="H160" s="169"/>
      <c r="I160" s="49"/>
      <c r="J160" s="70"/>
    </row>
    <row r="161" spans="1:10" s="17" customFormat="1">
      <c r="A161" s="36">
        <v>3</v>
      </c>
      <c r="B161" s="36" t="s">
        <v>191</v>
      </c>
      <c r="C161" s="36" t="s">
        <v>192</v>
      </c>
      <c r="D161" s="36">
        <f>(43.248+3.45+5.58+2.9*0.5)*10.764</f>
        <v>578.32819199999994</v>
      </c>
      <c r="E161" s="36">
        <f t="shared" si="11"/>
        <v>48.437999999999995</v>
      </c>
      <c r="F161" s="36">
        <f>D161*(($F$116)+1)+(IF(E161&lt;101,E161,IF(E161&lt;201,E161/2,IF(E161&lt;=301,E161/3,E161/4))))</f>
        <v>915.9302879999999</v>
      </c>
      <c r="G161" s="169"/>
      <c r="H161" s="169"/>
      <c r="I161" s="71"/>
      <c r="J161" s="70">
        <f>28000000/F161</f>
        <v>30570.012114284404</v>
      </c>
    </row>
    <row r="162" spans="1:10" s="17" customFormat="1">
      <c r="A162" s="36">
        <v>4</v>
      </c>
      <c r="B162" s="36" t="s">
        <v>191</v>
      </c>
      <c r="C162" s="36" t="s">
        <v>192</v>
      </c>
      <c r="D162" s="36">
        <f>(43.248+3.45+5.58+2.9*0.5)*10.764</f>
        <v>578.32819199999994</v>
      </c>
      <c r="E162" s="36">
        <f t="shared" si="11"/>
        <v>48.437999999999995</v>
      </c>
      <c r="F162" s="36">
        <f>D162*(($F$116)+1)+(IF(E162&lt;101,E162,IF(E162&lt;201,E162/2,IF(E162&lt;=301,E162/3,E162/4))))</f>
        <v>915.9302879999999</v>
      </c>
      <c r="G162" s="169"/>
      <c r="H162" s="169"/>
      <c r="I162" s="71"/>
      <c r="J162" s="70"/>
    </row>
    <row r="163" spans="1:10" s="18" customFormat="1" ht="15.75" customHeight="1">
      <c r="A163" s="159" t="s">
        <v>205</v>
      </c>
      <c r="B163" s="159"/>
      <c r="C163" s="159"/>
      <c r="D163" s="159"/>
      <c r="E163" s="159"/>
      <c r="F163" s="159"/>
      <c r="G163" s="159"/>
      <c r="H163" s="159"/>
      <c r="I163" s="49"/>
      <c r="J163" s="66"/>
    </row>
    <row r="164" spans="1:10" s="18" customFormat="1">
      <c r="A164" s="36">
        <v>1</v>
      </c>
      <c r="B164" s="36" t="s">
        <v>179</v>
      </c>
      <c r="C164" s="36" t="s">
        <v>192</v>
      </c>
      <c r="D164" s="36">
        <f>(56.33+3.45+4.08+2.9*0.5)*10.764</f>
        <v>702.99684000000002</v>
      </c>
      <c r="E164" s="36">
        <f t="shared" si="11"/>
        <v>48.437999999999995</v>
      </c>
      <c r="F164" s="36">
        <f>D164*(($F$116)+1)+(IF(E164&lt;101,E164,IF(E164&lt;201,E164/2,IF(E164&lt;=301,E164/3,E164/4))))</f>
        <v>1102.9332600000002</v>
      </c>
      <c r="G164" s="169" t="str">
        <f>A163</f>
        <v>17th Floor (Part Fire Balcony)</v>
      </c>
      <c r="H164" s="169"/>
      <c r="I164" s="49"/>
      <c r="J164" s="66">
        <f>20000000/760</f>
        <v>26315.78947368421</v>
      </c>
    </row>
    <row r="165" spans="1:10" s="18" customFormat="1" ht="15.75" customHeight="1">
      <c r="A165" s="36">
        <v>2</v>
      </c>
      <c r="B165" s="36" t="s">
        <v>179</v>
      </c>
      <c r="C165" s="36" t="s">
        <v>192</v>
      </c>
      <c r="D165" s="36">
        <f>(56.33+3.45+4.08+2.9*0.5)*10.764</f>
        <v>702.99684000000002</v>
      </c>
      <c r="E165" s="36">
        <f t="shared" si="11"/>
        <v>48.437999999999995</v>
      </c>
      <c r="F165" s="36">
        <f>D165*(($F$116)+1)+(IF(E165&lt;101,E165,IF(E165&lt;201,E165/2,IF(E165&lt;=301,E165/3,E165/4))))</f>
        <v>1102.9332600000002</v>
      </c>
      <c r="G165" s="169"/>
      <c r="H165" s="169"/>
      <c r="I165" s="49"/>
      <c r="J165" s="66">
        <f>J164/1.5</f>
        <v>17543.859649122805</v>
      </c>
    </row>
    <row r="166" spans="1:10" s="18" customFormat="1" ht="15.75" customHeight="1">
      <c r="A166" s="36">
        <v>3</v>
      </c>
      <c r="B166" s="36" t="s">
        <v>191</v>
      </c>
      <c r="C166" s="36" t="s">
        <v>192</v>
      </c>
      <c r="D166" s="36">
        <f>(43.248+3.45+5.58+2.9*0.5)*10.764</f>
        <v>578.32819199999994</v>
      </c>
      <c r="E166" s="36">
        <f t="shared" si="11"/>
        <v>48.437999999999995</v>
      </c>
      <c r="F166" s="36">
        <f>D166*(($F$116)+1)+(IF(E166&lt;101,E166,IF(E166&lt;201,E166/2,IF(E166&lt;=301,E166/3,E166/4))))</f>
        <v>915.9302879999999</v>
      </c>
      <c r="G166" s="169"/>
      <c r="H166" s="169"/>
      <c r="I166" s="49"/>
      <c r="J166" s="66"/>
    </row>
    <row r="167" spans="1:10" s="18" customFormat="1" ht="15.75" customHeight="1">
      <c r="A167" s="36">
        <v>4</v>
      </c>
      <c r="B167" s="36" t="s">
        <v>191</v>
      </c>
      <c r="C167" s="36" t="s">
        <v>192</v>
      </c>
      <c r="D167" s="36">
        <f>(43.248+3.45+5.58+2.9*0.5)*10.764</f>
        <v>578.32819199999994</v>
      </c>
      <c r="E167" s="36">
        <f t="shared" si="11"/>
        <v>48.437999999999995</v>
      </c>
      <c r="F167" s="36">
        <f>D167*(($F$116)+1)+(IF(E167&lt;101,E167,IF(E167&lt;201,E167/2,IF(E167&lt;=301,E167/3,E167/4))))</f>
        <v>915.9302879999999</v>
      </c>
      <c r="G167" s="169"/>
      <c r="H167" s="169"/>
      <c r="I167" s="49"/>
      <c r="J167" s="66"/>
    </row>
    <row r="168" spans="1:10" s="17" customFormat="1">
      <c r="A168" s="160" t="s">
        <v>206</v>
      </c>
      <c r="B168" s="161"/>
      <c r="C168" s="161"/>
      <c r="D168" s="161"/>
      <c r="E168" s="161"/>
      <c r="F168" s="161"/>
      <c r="G168" s="161"/>
      <c r="H168" s="162"/>
      <c r="I168" s="71"/>
    </row>
    <row r="169" spans="1:10" s="17" customFormat="1" ht="15.75" customHeight="1">
      <c r="A169" s="33" t="s">
        <v>207</v>
      </c>
      <c r="B169" s="163" t="s">
        <v>240</v>
      </c>
      <c r="C169" s="164"/>
      <c r="D169" s="164"/>
      <c r="E169" s="164"/>
      <c r="F169" s="164"/>
      <c r="G169" s="164"/>
      <c r="H169" s="165"/>
      <c r="I169" s="71"/>
    </row>
    <row r="170" spans="1:10" s="17" customFormat="1" ht="15.75" customHeight="1">
      <c r="A170" s="33" t="s">
        <v>207</v>
      </c>
      <c r="B170" s="163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170" s="164"/>
      <c r="D170" s="164"/>
      <c r="E170" s="164"/>
      <c r="F170" s="164"/>
      <c r="G170" s="164"/>
      <c r="H170" s="165"/>
      <c r="I170" s="71"/>
    </row>
    <row r="171" spans="1:10" s="17" customFormat="1" ht="15.75" customHeight="1">
      <c r="A171" s="33" t="s">
        <v>207</v>
      </c>
      <c r="B171" s="163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1" s="164"/>
      <c r="D171" s="164"/>
      <c r="E171" s="164"/>
      <c r="F171" s="164"/>
      <c r="G171" s="164"/>
      <c r="H171" s="165"/>
      <c r="I171" s="71"/>
    </row>
    <row r="172" spans="1:10" s="17" customFormat="1">
      <c r="A172" s="33" t="s">
        <v>207</v>
      </c>
      <c r="B172" s="166" t="s">
        <v>208</v>
      </c>
      <c r="C172" s="167"/>
      <c r="D172" s="167"/>
      <c r="E172" s="167"/>
      <c r="F172" s="167"/>
      <c r="G172" s="167"/>
      <c r="H172" s="168"/>
      <c r="I172" s="71"/>
    </row>
    <row r="173" spans="1:10" s="17" customFormat="1" ht="31.5" customHeight="1">
      <c r="A173" s="33" t="s">
        <v>207</v>
      </c>
      <c r="B173" s="174" t="s">
        <v>209</v>
      </c>
      <c r="C173" s="174"/>
      <c r="D173" s="174"/>
      <c r="E173" s="174"/>
      <c r="F173" s="174"/>
      <c r="G173" s="174"/>
      <c r="H173" s="174"/>
    </row>
    <row r="174" spans="1:10">
      <c r="A174" s="33" t="s">
        <v>207</v>
      </c>
      <c r="B174" s="174" t="s">
        <v>210</v>
      </c>
      <c r="C174" s="174"/>
      <c r="D174" s="174"/>
      <c r="E174" s="174"/>
      <c r="F174" s="174"/>
      <c r="G174" s="174"/>
      <c r="H174" s="174"/>
    </row>
    <row r="175" spans="1:10">
      <c r="A175" s="33" t="s">
        <v>207</v>
      </c>
      <c r="B175" s="174" t="s">
        <v>211</v>
      </c>
      <c r="C175" s="174"/>
      <c r="D175" s="174"/>
      <c r="E175" s="174"/>
      <c r="F175" s="174"/>
      <c r="G175" s="174"/>
      <c r="H175" s="174"/>
    </row>
    <row r="176" spans="1:10" ht="15.75" customHeight="1">
      <c r="A176" s="33" t="s">
        <v>207</v>
      </c>
      <c r="B176" s="174" t="s">
        <v>212</v>
      </c>
      <c r="C176" s="174"/>
      <c r="D176" s="174"/>
      <c r="E176" s="174"/>
      <c r="F176" s="174"/>
      <c r="G176" s="174"/>
      <c r="H176" s="174"/>
    </row>
    <row r="177" spans="1:8">
      <c r="A177" s="33" t="s">
        <v>207</v>
      </c>
      <c r="B177" s="174" t="s">
        <v>213</v>
      </c>
      <c r="C177" s="174"/>
      <c r="D177" s="174"/>
      <c r="E177" s="174"/>
      <c r="F177" s="174"/>
      <c r="G177" s="174"/>
      <c r="H177" s="174"/>
    </row>
    <row r="178" spans="1:8">
      <c r="A178" s="116" t="s">
        <v>214</v>
      </c>
      <c r="B178" s="116"/>
      <c r="C178" s="116"/>
      <c r="D178" s="116"/>
      <c r="E178" s="116"/>
      <c r="F178" s="116"/>
      <c r="G178" s="116"/>
      <c r="H178" s="116"/>
    </row>
    <row r="179" spans="1:8">
      <c r="A179" s="84" t="s">
        <v>215</v>
      </c>
      <c r="B179" s="84"/>
      <c r="C179" s="84"/>
      <c r="D179" s="84"/>
      <c r="E179" s="84"/>
      <c r="F179" s="84"/>
      <c r="G179" s="84"/>
      <c r="H179" s="84"/>
    </row>
    <row r="180" spans="1:8">
      <c r="A180" s="158" t="s">
        <v>216</v>
      </c>
      <c r="B180" s="158"/>
      <c r="C180" s="158"/>
      <c r="D180" s="158"/>
      <c r="E180" s="158"/>
      <c r="F180" s="158"/>
      <c r="G180" s="158"/>
      <c r="H180" s="158"/>
    </row>
    <row r="181" spans="1:8">
      <c r="A181" s="84" t="s">
        <v>217</v>
      </c>
      <c r="B181" s="84"/>
      <c r="C181" s="84"/>
      <c r="D181" s="84"/>
      <c r="E181" s="84"/>
      <c r="F181" s="84"/>
      <c r="G181" s="84"/>
      <c r="H181" s="84"/>
    </row>
    <row r="182" spans="1:8">
      <c r="A182" s="84" t="s">
        <v>218</v>
      </c>
      <c r="B182" s="84"/>
      <c r="C182" s="84"/>
      <c r="D182" s="84"/>
      <c r="E182" s="84"/>
      <c r="F182" s="84"/>
      <c r="G182" s="84"/>
      <c r="H182" s="84"/>
    </row>
    <row r="183" spans="1:8">
      <c r="A183" s="84" t="s">
        <v>219</v>
      </c>
      <c r="B183" s="84"/>
      <c r="C183" s="84"/>
      <c r="D183" s="84"/>
      <c r="E183" s="84"/>
      <c r="F183" s="84"/>
      <c r="G183" s="84"/>
      <c r="H183" s="84"/>
    </row>
    <row r="184" spans="1:8" ht="30.75" customHeight="1">
      <c r="A184" s="87" t="s">
        <v>220</v>
      </c>
      <c r="B184" s="87"/>
      <c r="C184" s="87"/>
      <c r="D184" s="87"/>
      <c r="E184" s="87"/>
      <c r="F184" s="87"/>
      <c r="G184" s="87"/>
      <c r="H184" s="87"/>
    </row>
    <row r="185" spans="1:8">
      <c r="A185" s="198" t="s">
        <v>221</v>
      </c>
      <c r="B185" s="198"/>
      <c r="C185" s="198" t="s">
        <v>239</v>
      </c>
      <c r="D185" s="198"/>
      <c r="E185" s="198" t="s">
        <v>222</v>
      </c>
      <c r="F185" s="198"/>
      <c r="G185" s="198" t="s">
        <v>241</v>
      </c>
      <c r="H185" s="198"/>
    </row>
    <row r="186" spans="1:8">
      <c r="A186" s="187" t="s">
        <v>223</v>
      </c>
      <c r="B186" s="187"/>
      <c r="C186" s="187"/>
      <c r="D186" s="187"/>
      <c r="E186" s="187"/>
      <c r="F186" s="187"/>
      <c r="G186" s="187"/>
      <c r="H186" s="187"/>
    </row>
    <row r="187" spans="1:8">
      <c r="A187" s="187"/>
      <c r="B187" s="187"/>
      <c r="C187" s="187"/>
      <c r="D187" s="187"/>
      <c r="E187" s="187"/>
      <c r="F187" s="187"/>
      <c r="G187" s="187"/>
      <c r="H187" s="187"/>
    </row>
    <row r="188" spans="1:8">
      <c r="A188" s="187"/>
      <c r="B188" s="187"/>
      <c r="C188" s="187"/>
      <c r="D188" s="187"/>
      <c r="E188" s="187"/>
      <c r="F188" s="187"/>
      <c r="G188" s="187"/>
      <c r="H188" s="187"/>
    </row>
    <row r="189" spans="1:8" ht="15" customHeight="1">
      <c r="A189" s="187"/>
      <c r="B189" s="187"/>
      <c r="C189" s="187"/>
      <c r="D189" s="187"/>
      <c r="E189" s="187"/>
      <c r="F189" s="187"/>
      <c r="G189" s="187"/>
      <c r="H189" s="187"/>
    </row>
    <row r="190" spans="1:8">
      <c r="A190" s="67" t="s">
        <v>224</v>
      </c>
      <c r="B190" s="68"/>
      <c r="C190" s="68"/>
      <c r="D190" s="67" t="str">
        <f>E8</f>
        <v>Akshar Panchratna</v>
      </c>
      <c r="F190" s="68"/>
      <c r="G190" s="68"/>
      <c r="H190" s="68"/>
    </row>
    <row r="191" spans="1:8">
      <c r="A191" s="68"/>
      <c r="B191" s="68"/>
      <c r="C191" s="68"/>
      <c r="D191" s="68"/>
      <c r="E191" s="68"/>
      <c r="F191" s="68"/>
      <c r="G191" s="68"/>
      <c r="H191" s="68"/>
    </row>
    <row r="192" spans="1:8">
      <c r="A192" s="68"/>
      <c r="B192" s="68"/>
      <c r="C192" s="68"/>
      <c r="D192" s="68"/>
      <c r="E192" s="68"/>
      <c r="F192" s="68"/>
      <c r="G192" s="68"/>
      <c r="H192" s="68"/>
    </row>
    <row r="219" spans="9:9">
      <c r="I219" s="13"/>
    </row>
    <row r="227" spans="1:9">
      <c r="I227" s="13"/>
    </row>
    <row r="233" spans="1:9">
      <c r="A233" s="72" t="s">
        <v>225</v>
      </c>
    </row>
    <row r="273" spans="1:9">
      <c r="I273" s="13"/>
    </row>
    <row r="274" spans="1:9">
      <c r="A274" s="72" t="s">
        <v>226</v>
      </c>
    </row>
    <row r="277" spans="1:9">
      <c r="A277" s="72"/>
    </row>
    <row r="314" hidden="1"/>
  </sheetData>
  <mergeCells count="287">
    <mergeCell ref="A22:D23"/>
    <mergeCell ref="E22:H23"/>
    <mergeCell ref="A186:H189"/>
    <mergeCell ref="G106:H107"/>
    <mergeCell ref="G164:H167"/>
    <mergeCell ref="A51:B52"/>
    <mergeCell ref="M118:M120"/>
    <mergeCell ref="M122:M125"/>
    <mergeCell ref="M126:M128"/>
    <mergeCell ref="M129:M131"/>
    <mergeCell ref="G134:H137"/>
    <mergeCell ref="G149:H152"/>
    <mergeCell ref="G124:H127"/>
    <mergeCell ref="G129:H132"/>
    <mergeCell ref="G139:H142"/>
    <mergeCell ref="G144:H147"/>
    <mergeCell ref="G119:H122"/>
    <mergeCell ref="A182:H182"/>
    <mergeCell ref="A183:H183"/>
    <mergeCell ref="A184:H184"/>
    <mergeCell ref="A185:B185"/>
    <mergeCell ref="C185:D185"/>
    <mergeCell ref="E185:F185"/>
    <mergeCell ref="G185:H185"/>
    <mergeCell ref="A117:H117"/>
    <mergeCell ref="A118:H118"/>
    <mergeCell ref="A123:H123"/>
    <mergeCell ref="A128:H128"/>
    <mergeCell ref="A133:H133"/>
    <mergeCell ref="A138:H138"/>
    <mergeCell ref="A143:H143"/>
    <mergeCell ref="A106:A107"/>
    <mergeCell ref="A115:A116"/>
    <mergeCell ref="B106:B107"/>
    <mergeCell ref="B115:B116"/>
    <mergeCell ref="C106:C107"/>
    <mergeCell ref="C115:C116"/>
    <mergeCell ref="D106:D107"/>
    <mergeCell ref="D115:D116"/>
    <mergeCell ref="E106:E107"/>
    <mergeCell ref="E115:E116"/>
    <mergeCell ref="A108:H108"/>
    <mergeCell ref="L107:M107"/>
    <mergeCell ref="A178:H178"/>
    <mergeCell ref="A179:H179"/>
    <mergeCell ref="A180:H180"/>
    <mergeCell ref="A181:H181"/>
    <mergeCell ref="A148:H148"/>
    <mergeCell ref="A153:H153"/>
    <mergeCell ref="A158:H158"/>
    <mergeCell ref="A163:H163"/>
    <mergeCell ref="A168:H168"/>
    <mergeCell ref="B169:H169"/>
    <mergeCell ref="B170:H170"/>
    <mergeCell ref="B171:H171"/>
    <mergeCell ref="B172:H172"/>
    <mergeCell ref="G154:H157"/>
    <mergeCell ref="G159:H162"/>
    <mergeCell ref="G109:H113"/>
    <mergeCell ref="G115:H116"/>
    <mergeCell ref="B173:H173"/>
    <mergeCell ref="B174:H174"/>
    <mergeCell ref="B175:H175"/>
    <mergeCell ref="B176:H176"/>
    <mergeCell ref="B177:H177"/>
    <mergeCell ref="A114:H114"/>
    <mergeCell ref="I102:L102"/>
    <mergeCell ref="A103:B103"/>
    <mergeCell ref="C103:D103"/>
    <mergeCell ref="E103:F103"/>
    <mergeCell ref="G103:H103"/>
    <mergeCell ref="A104:H104"/>
    <mergeCell ref="A105:H105"/>
    <mergeCell ref="L105:M105"/>
    <mergeCell ref="L106:M106"/>
    <mergeCell ref="A100:H100"/>
    <mergeCell ref="A101:B101"/>
    <mergeCell ref="C101:D101"/>
    <mergeCell ref="E101:F101"/>
    <mergeCell ref="G101:H101"/>
    <mergeCell ref="A102:B102"/>
    <mergeCell ref="C102:D102"/>
    <mergeCell ref="E102:F102"/>
    <mergeCell ref="G102:H102"/>
    <mergeCell ref="A97:H97"/>
    <mergeCell ref="A98:B98"/>
    <mergeCell ref="C98:D98"/>
    <mergeCell ref="E98:F98"/>
    <mergeCell ref="G98:H98"/>
    <mergeCell ref="A99:B99"/>
    <mergeCell ref="C99:D99"/>
    <mergeCell ref="E99:F99"/>
    <mergeCell ref="G99:H99"/>
    <mergeCell ref="A94:H94"/>
    <mergeCell ref="A95:B95"/>
    <mergeCell ref="C95:D95"/>
    <mergeCell ref="E95:F95"/>
    <mergeCell ref="G95:H95"/>
    <mergeCell ref="A96:B96"/>
    <mergeCell ref="C96:D96"/>
    <mergeCell ref="E96:F96"/>
    <mergeCell ref="G96:H96"/>
    <mergeCell ref="A89:E89"/>
    <mergeCell ref="F89:H89"/>
    <mergeCell ref="A90:E90"/>
    <mergeCell ref="F90:H90"/>
    <mergeCell ref="A91:E91"/>
    <mergeCell ref="F91:H91"/>
    <mergeCell ref="A92:E92"/>
    <mergeCell ref="F92:H92"/>
    <mergeCell ref="A93:E93"/>
    <mergeCell ref="F93:H93"/>
    <mergeCell ref="A84:E84"/>
    <mergeCell ref="F84:H84"/>
    <mergeCell ref="A85:E85"/>
    <mergeCell ref="F85:H85"/>
    <mergeCell ref="A86:E86"/>
    <mergeCell ref="F86:H86"/>
    <mergeCell ref="A87:E87"/>
    <mergeCell ref="F87:H87"/>
    <mergeCell ref="A88:E88"/>
    <mergeCell ref="F88:H88"/>
    <mergeCell ref="A80:E80"/>
    <mergeCell ref="E70:F79"/>
    <mergeCell ref="F80:H80"/>
    <mergeCell ref="A81:E81"/>
    <mergeCell ref="F81:H81"/>
    <mergeCell ref="A82:E82"/>
    <mergeCell ref="F82:H82"/>
    <mergeCell ref="A83:E83"/>
    <mergeCell ref="F83:H83"/>
    <mergeCell ref="A66:B66"/>
    <mergeCell ref="C66:H66"/>
    <mergeCell ref="A68:B68"/>
    <mergeCell ref="C68:H68"/>
    <mergeCell ref="A69:B69"/>
    <mergeCell ref="E69:F69"/>
    <mergeCell ref="G69:H69"/>
    <mergeCell ref="A70:B70"/>
    <mergeCell ref="A71:B71"/>
    <mergeCell ref="G70:H79"/>
    <mergeCell ref="A72:B72"/>
    <mergeCell ref="A73:B73"/>
    <mergeCell ref="A74:B74"/>
    <mergeCell ref="A75:B75"/>
    <mergeCell ref="A76:B76"/>
    <mergeCell ref="A77:B77"/>
    <mergeCell ref="A78:B78"/>
    <mergeCell ref="A79:B79"/>
    <mergeCell ref="A61:C61"/>
    <mergeCell ref="D61:H61"/>
    <mergeCell ref="A62:C62"/>
    <mergeCell ref="D62:H62"/>
    <mergeCell ref="A63:C63"/>
    <mergeCell ref="D63:H63"/>
    <mergeCell ref="A64:C64"/>
    <mergeCell ref="D64:H64"/>
    <mergeCell ref="A65:C65"/>
    <mergeCell ref="D65:H65"/>
    <mergeCell ref="A56:C56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C51:E51"/>
    <mergeCell ref="G51:H51"/>
    <mergeCell ref="C52:H52"/>
    <mergeCell ref="A53:B53"/>
    <mergeCell ref="C53:E53"/>
    <mergeCell ref="G53:H53"/>
    <mergeCell ref="A54:H54"/>
    <mergeCell ref="A55:C55"/>
    <mergeCell ref="D55:H55"/>
    <mergeCell ref="A46:D46"/>
    <mergeCell ref="E46:H46"/>
    <mergeCell ref="A47:H47"/>
    <mergeCell ref="A48:B48"/>
    <mergeCell ref="C48:H48"/>
    <mergeCell ref="A49:B49"/>
    <mergeCell ref="C49:E49"/>
    <mergeCell ref="G49:H49"/>
    <mergeCell ref="A50:B50"/>
    <mergeCell ref="C50:E50"/>
    <mergeCell ref="G50:H5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36:B36"/>
    <mergeCell ref="C36:E36"/>
    <mergeCell ref="F36:H36"/>
    <mergeCell ref="A37:H37"/>
    <mergeCell ref="A38:B38"/>
    <mergeCell ref="C38:H38"/>
    <mergeCell ref="A39:B39"/>
    <mergeCell ref="C39:H39"/>
    <mergeCell ref="A40:H40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29:D29"/>
    <mergeCell ref="E29:H29"/>
    <mergeCell ref="A30:D30"/>
    <mergeCell ref="E30:H30"/>
    <mergeCell ref="A31:D31"/>
    <mergeCell ref="E31:H31"/>
    <mergeCell ref="A32:B32"/>
    <mergeCell ref="C32:E32"/>
    <mergeCell ref="F32:H32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5:B15"/>
    <mergeCell ref="C15:H15"/>
    <mergeCell ref="A16:B16"/>
    <mergeCell ref="C16:H16"/>
    <mergeCell ref="A17:B17"/>
    <mergeCell ref="C17:H17"/>
    <mergeCell ref="A18:B18"/>
    <mergeCell ref="C18:D18"/>
    <mergeCell ref="E18:F18"/>
    <mergeCell ref="G18:H18"/>
    <mergeCell ref="A11:D11"/>
    <mergeCell ref="E11:H11"/>
    <mergeCell ref="A12:D12"/>
    <mergeCell ref="E12:H12"/>
    <mergeCell ref="A13:D13"/>
    <mergeCell ref="E13:H13"/>
    <mergeCell ref="I13:N13"/>
    <mergeCell ref="A14:D14"/>
    <mergeCell ref="E14:H14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:H1"/>
    <mergeCell ref="A2:H2"/>
    <mergeCell ref="J2:M2"/>
    <mergeCell ref="A3:D3"/>
    <mergeCell ref="E3:H3"/>
    <mergeCell ref="J3:M3"/>
    <mergeCell ref="A4:D4"/>
    <mergeCell ref="E4:H4"/>
    <mergeCell ref="A5:D5"/>
    <mergeCell ref="E5:H5"/>
  </mergeCells>
  <dataValidations count="8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F80:H80" xr:uid="{00000000-0002-0000-0000-000003000000}">
      <formula1>"On Saleable Area,On Builtup Area,On Carpet Area,On Plot Area"</formula1>
    </dataValidation>
    <dataValidation type="list" allowBlank="1" showInputMessage="1" showErrorMessage="1" sqref="F92:H92" xr:uid="{00000000-0002-0000-0000-000004000000}">
      <formula1>"100000,150000,200000,250000,300000,350000,400000,500000,600000,700000,800000,900000,1000000,1200000,1400000,1500000"</formula1>
    </dataValidation>
    <dataValidation type="list" allowBlank="1" showInputMessage="1" showErrorMessage="1" sqref="F107 F116" xr:uid="{00000000-0002-0000-0000-000005000000}">
      <formula1>"45%,50%,55%,60%"</formula1>
    </dataValidation>
    <dataValidation type="list" allowBlank="1" showInputMessage="1" showErrorMessage="1" sqref="G185:H185" xr:uid="{00000000-0002-0000-0000-000006000000}">
      <formula1>"Kunal Kadam,Shruti Fule,Shruti Tathare,Pooja Kawale,Mansee Mohite,Anjali Kamble, Hitakshi Mhatre, Sachin Sawant"</formula1>
    </dataValidation>
    <dataValidation type="list" allowBlank="1" showInputMessage="1" showErrorMessage="1" sqref="E106:E107" xr:uid="{00000000-0002-0000-0000-000007000000}">
      <formula1>"Attached Loft area,Attached Terrace area,Attached Mezzanine area"</formula1>
    </dataValidation>
  </dataValidations>
  <hyperlinks>
    <hyperlink ref="C39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89" max="16383" man="1"/>
    <brk id="231" max="7" man="1"/>
    <brk id="272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77734375" defaultRowHeight="14.4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99" t="s">
        <v>227</v>
      </c>
      <c r="C3" s="199"/>
      <c r="D3" s="199"/>
      <c r="E3" s="199"/>
      <c r="F3" s="199"/>
      <c r="G3" s="199"/>
      <c r="H3" s="199"/>
    </row>
    <row r="4" spans="1:9">
      <c r="A4" s="2"/>
      <c r="B4" s="3" t="s">
        <v>228</v>
      </c>
      <c r="C4" s="3" t="s">
        <v>229</v>
      </c>
      <c r="D4" s="3" t="s">
        <v>230</v>
      </c>
      <c r="E4" s="3" t="s">
        <v>231</v>
      </c>
      <c r="F4" s="3" t="s">
        <v>232</v>
      </c>
      <c r="G4" s="3" t="s">
        <v>233</v>
      </c>
      <c r="H4" s="3" t="s">
        <v>234</v>
      </c>
    </row>
    <row r="5" spans="1:9" ht="15" customHeight="1">
      <c r="A5" s="2"/>
      <c r="B5" s="4" t="s">
        <v>235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235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235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235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235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236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236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237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238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2025-08-22T13:08:39Z</cp:lastPrinted>
  <dcterms:created xsi:type="dcterms:W3CDTF">2019-07-16T09:29:00Z</dcterms:created>
  <dcterms:modified xsi:type="dcterms:W3CDTF">2025-08-22T13:08:41Z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51027D6258BC48A5A4D8CC44B2D6CD38_12</vt:lpwstr>
  </property>
  <property fmtid="{D5CDD505-2E9C-101B-9397-08002B2CF9AE}" pid="3" name="KSOProductBuildVer">
    <vt:lpwstr>1033-12.2.0.17562</vt:lpwstr>
  </property>
</Properties>
</file>