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Axis Dump\"/>
    </mc:Choice>
  </mc:AlternateContent>
  <xr:revisionPtr revIDLastSave="0" documentId="13_ncr:1_{B0226EBF-DEC6-4EB1-AD14-8785AC30E3D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15" i="1" l="1"/>
  <c r="D328" i="1" l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D321" i="1"/>
  <c r="F321" i="1" s="1"/>
  <c r="D320" i="1"/>
  <c r="F320" i="1" s="1"/>
  <c r="D319" i="1"/>
  <c r="F319" i="1" s="1"/>
  <c r="D318" i="1"/>
  <c r="F318" i="1" s="1"/>
  <c r="D317" i="1"/>
  <c r="F317" i="1" s="1"/>
  <c r="D316" i="1"/>
  <c r="F316" i="1" s="1"/>
  <c r="D314" i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7" i="1"/>
  <c r="D306" i="1"/>
  <c r="F306" i="1" s="1"/>
  <c r="D304" i="1"/>
  <c r="F304" i="1" s="1"/>
  <c r="D303" i="1"/>
  <c r="F303" i="1" s="1"/>
  <c r="D302" i="1"/>
  <c r="F302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79" i="1"/>
  <c r="F279" i="1" s="1"/>
  <c r="D278" i="1"/>
  <c r="F278" i="1" s="1"/>
  <c r="D277" i="1"/>
  <c r="F277" i="1" s="1"/>
  <c r="D276" i="1"/>
  <c r="F276" i="1" s="1"/>
  <c r="D275" i="1"/>
  <c r="F275" i="1" s="1"/>
  <c r="D274" i="1"/>
  <c r="F274" i="1" s="1"/>
  <c r="D272" i="1"/>
  <c r="F272" i="1" s="1"/>
  <c r="D271" i="1"/>
  <c r="F271" i="1" s="1"/>
  <c r="D269" i="1"/>
  <c r="F269" i="1" s="1"/>
  <c r="D268" i="1"/>
  <c r="F268" i="1" s="1"/>
  <c r="D267" i="1"/>
  <c r="F267" i="1" s="1"/>
  <c r="D265" i="1"/>
  <c r="F265" i="1" s="1"/>
  <c r="D264" i="1"/>
  <c r="F264" i="1" s="1"/>
  <c r="D263" i="1"/>
  <c r="F263" i="1" s="1"/>
  <c r="D262" i="1"/>
  <c r="F262" i="1" s="1"/>
  <c r="D261" i="1"/>
  <c r="F261" i="1" s="1"/>
  <c r="D260" i="1"/>
  <c r="F260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47" i="1"/>
  <c r="D246" i="1"/>
  <c r="F246" i="1" s="1"/>
  <c r="D245" i="1"/>
  <c r="F245" i="1" s="1"/>
  <c r="D244" i="1"/>
  <c r="F244" i="1" s="1"/>
  <c r="D243" i="1"/>
  <c r="F243" i="1" s="1"/>
  <c r="D242" i="1"/>
  <c r="F242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6" i="1"/>
  <c r="D225" i="1"/>
  <c r="F225" i="1" s="1"/>
  <c r="D222" i="1"/>
  <c r="F222" i="1" s="1"/>
  <c r="D221" i="1"/>
  <c r="F221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2" i="1"/>
  <c r="F212" i="1" s="1"/>
  <c r="D211" i="1"/>
  <c r="F211" i="1" s="1"/>
  <c r="D210" i="1"/>
  <c r="F210" i="1" s="1"/>
  <c r="D209" i="1"/>
  <c r="F209" i="1" s="1"/>
  <c r="D208" i="1"/>
  <c r="D207" i="1"/>
  <c r="F207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1" i="1"/>
  <c r="F191" i="1" s="1"/>
  <c r="D190" i="1"/>
  <c r="F190" i="1" s="1"/>
  <c r="D187" i="1"/>
  <c r="F187" i="1" s="1"/>
  <c r="D186" i="1"/>
  <c r="F186" i="1" s="1"/>
  <c r="D184" i="1"/>
  <c r="D183" i="1"/>
  <c r="F183" i="1" s="1"/>
  <c r="D182" i="1"/>
  <c r="D181" i="1"/>
  <c r="D180" i="1"/>
  <c r="D179" i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A324" i="1"/>
  <c r="A325" i="1" s="1"/>
  <c r="A326" i="1" s="1"/>
  <c r="A327" i="1" s="1"/>
  <c r="A328" i="1" s="1"/>
  <c r="G323" i="1"/>
  <c r="F247" i="1"/>
  <c r="A243" i="1"/>
  <c r="A244" i="1" s="1"/>
  <c r="A245" i="1" s="1"/>
  <c r="A246" i="1" s="1"/>
  <c r="A247" i="1" s="1"/>
  <c r="G242" i="1"/>
  <c r="A317" i="1"/>
  <c r="A318" i="1" s="1"/>
  <c r="A319" i="1" s="1"/>
  <c r="A320" i="1" s="1"/>
  <c r="A321" i="1" s="1"/>
  <c r="G316" i="1"/>
  <c r="A236" i="1"/>
  <c r="A237" i="1" s="1"/>
  <c r="A238" i="1" s="1"/>
  <c r="A239" i="1" s="1"/>
  <c r="A240" i="1" s="1"/>
  <c r="G235" i="1"/>
  <c r="A310" i="1"/>
  <c r="A311" i="1" s="1"/>
  <c r="A312" i="1" s="1"/>
  <c r="A313" i="1" s="1"/>
  <c r="A314" i="1" s="1"/>
  <c r="G309" i="1"/>
  <c r="A229" i="1"/>
  <c r="A230" i="1" s="1"/>
  <c r="A231" i="1" s="1"/>
  <c r="A232" i="1" s="1"/>
  <c r="A233" i="1" s="1"/>
  <c r="G228" i="1"/>
  <c r="F307" i="1"/>
  <c r="A303" i="1"/>
  <c r="A304" i="1" s="1"/>
  <c r="A305" i="1" s="1"/>
  <c r="A306" i="1" s="1"/>
  <c r="A307" i="1" s="1"/>
  <c r="G302" i="1"/>
  <c r="F226" i="1"/>
  <c r="A222" i="1"/>
  <c r="A223" i="1" s="1"/>
  <c r="A224" i="1" s="1"/>
  <c r="A225" i="1" s="1"/>
  <c r="A226" i="1" s="1"/>
  <c r="G221" i="1"/>
  <c r="A296" i="1"/>
  <c r="A297" i="1" s="1"/>
  <c r="A298" i="1" s="1"/>
  <c r="A299" i="1" s="1"/>
  <c r="A300" i="1" s="1"/>
  <c r="G295" i="1"/>
  <c r="A215" i="1"/>
  <c r="A216" i="1" s="1"/>
  <c r="A217" i="1" s="1"/>
  <c r="A218" i="1" s="1"/>
  <c r="A219" i="1" s="1"/>
  <c r="G214" i="1"/>
  <c r="A289" i="1"/>
  <c r="A290" i="1" s="1"/>
  <c r="A291" i="1" s="1"/>
  <c r="A292" i="1" s="1"/>
  <c r="A293" i="1" s="1"/>
  <c r="G288" i="1"/>
  <c r="F208" i="1"/>
  <c r="A208" i="1"/>
  <c r="A209" i="1" s="1"/>
  <c r="A210" i="1" s="1"/>
  <c r="A211" i="1" s="1"/>
  <c r="A212" i="1" s="1"/>
  <c r="G207" i="1"/>
  <c r="A282" i="1"/>
  <c r="A283" i="1" s="1"/>
  <c r="A284" i="1" s="1"/>
  <c r="A285" i="1" s="1"/>
  <c r="A286" i="1" s="1"/>
  <c r="G281" i="1"/>
  <c r="A201" i="1"/>
  <c r="A202" i="1" s="1"/>
  <c r="A203" i="1" s="1"/>
  <c r="A204" i="1" s="1"/>
  <c r="A205" i="1" s="1"/>
  <c r="G200" i="1"/>
  <c r="A275" i="1"/>
  <c r="A276" i="1" s="1"/>
  <c r="A277" i="1" s="1"/>
  <c r="A278" i="1" s="1"/>
  <c r="A279" i="1" s="1"/>
  <c r="G274" i="1"/>
  <c r="A194" i="1"/>
  <c r="A195" i="1" s="1"/>
  <c r="A196" i="1" s="1"/>
  <c r="A197" i="1" s="1"/>
  <c r="A198" i="1" s="1"/>
  <c r="G193" i="1"/>
  <c r="A268" i="1"/>
  <c r="A269" i="1" s="1"/>
  <c r="A270" i="1" s="1"/>
  <c r="A271" i="1" s="1"/>
  <c r="A272" i="1" s="1"/>
  <c r="G267" i="1"/>
  <c r="A187" i="1"/>
  <c r="A188" i="1" s="1"/>
  <c r="A189" i="1" s="1"/>
  <c r="A190" i="1" s="1"/>
  <c r="A191" i="1" s="1"/>
  <c r="G186" i="1"/>
  <c r="I176" i="1"/>
  <c r="A261" i="1"/>
  <c r="A262" i="1" s="1"/>
  <c r="A263" i="1" s="1"/>
  <c r="A264" i="1" s="1"/>
  <c r="A265" i="1" s="1"/>
  <c r="G260" i="1"/>
  <c r="A254" i="1"/>
  <c r="A255" i="1" s="1"/>
  <c r="A256" i="1" s="1"/>
  <c r="A257" i="1" s="1"/>
  <c r="A258" i="1" s="1"/>
  <c r="G253" i="1"/>
  <c r="A173" i="1"/>
  <c r="A174" i="1" s="1"/>
  <c r="A175" i="1" s="1"/>
  <c r="A176" i="1" s="1"/>
  <c r="A177" i="1" s="1"/>
  <c r="G172" i="1"/>
  <c r="F184" i="1"/>
  <c r="C87" i="1"/>
  <c r="J98" i="1"/>
  <c r="J97" i="1"/>
  <c r="J96" i="1"/>
  <c r="J95" i="1"/>
  <c r="C101" i="1"/>
  <c r="C73" i="1"/>
  <c r="J84" i="1"/>
  <c r="J83" i="1"/>
  <c r="J82" i="1"/>
  <c r="J81" i="1"/>
  <c r="G52" i="1"/>
  <c r="H74" i="1"/>
  <c r="G137" i="1" l="1"/>
  <c r="E136" i="1"/>
  <c r="E137" i="1"/>
  <c r="C136" i="1"/>
  <c r="C137" i="1"/>
  <c r="J78" i="1"/>
  <c r="C77" i="1" s="1"/>
  <c r="D85" i="1"/>
  <c r="D81" i="1"/>
  <c r="D86" i="1"/>
  <c r="D84" i="1"/>
  <c r="D82" i="1"/>
  <c r="D80" i="1"/>
  <c r="J73" i="1"/>
  <c r="J75" i="1" s="1"/>
  <c r="D83" i="1"/>
  <c r="D79" i="1"/>
  <c r="J79" i="1"/>
  <c r="J80" i="1" s="1"/>
  <c r="J85" i="1" s="1"/>
  <c r="J86" i="1" s="1"/>
  <c r="C78" i="1" s="1"/>
  <c r="D78" i="1" s="1"/>
  <c r="J77" i="1"/>
  <c r="J76" i="1"/>
  <c r="F128" i="1"/>
  <c r="H88" i="1"/>
  <c r="C138" i="1" l="1"/>
  <c r="E138" i="1"/>
  <c r="D77" i="1"/>
  <c r="J74" i="1" s="1"/>
  <c r="E77" i="1"/>
  <c r="G77" i="1"/>
  <c r="D71" i="1" s="1"/>
  <c r="J92" i="1"/>
  <c r="C91" i="1" s="1"/>
  <c r="D91" i="1" s="1"/>
  <c r="D99" i="1"/>
  <c r="D97" i="1"/>
  <c r="D95" i="1"/>
  <c r="D93" i="1"/>
  <c r="D100" i="1"/>
  <c r="D98" i="1"/>
  <c r="D96" i="1"/>
  <c r="D94" i="1"/>
  <c r="J87" i="1"/>
  <c r="J89" i="1" s="1"/>
  <c r="J93" i="1"/>
  <c r="J91" i="1"/>
  <c r="J90" i="1"/>
  <c r="D162" i="1"/>
  <c r="F162" i="1" s="1"/>
  <c r="D161" i="1"/>
  <c r="F161" i="1" s="1"/>
  <c r="D160" i="1"/>
  <c r="F160" i="1" s="1"/>
  <c r="D157" i="1"/>
  <c r="F157" i="1" s="1"/>
  <c r="D156" i="1"/>
  <c r="F156" i="1" s="1"/>
  <c r="D155" i="1"/>
  <c r="F155" i="1" s="1"/>
  <c r="D154" i="1"/>
  <c r="D152" i="1"/>
  <c r="F152" i="1" s="1"/>
  <c r="D151" i="1"/>
  <c r="F151" i="1" s="1"/>
  <c r="D150" i="1"/>
  <c r="F150" i="1" s="1"/>
  <c r="J150" i="1" s="1"/>
  <c r="D149" i="1"/>
  <c r="D148" i="1"/>
  <c r="D147" i="1"/>
  <c r="D146" i="1"/>
  <c r="F154" i="1"/>
  <c r="A161" i="1"/>
  <c r="A162" i="1" s="1"/>
  <c r="G160" i="1"/>
  <c r="G154" i="1"/>
  <c r="A155" i="1"/>
  <c r="A156" i="1" s="1"/>
  <c r="A157" i="1" s="1"/>
  <c r="I74" i="1" l="1"/>
  <c r="I75" i="1" s="1"/>
  <c r="E131" i="1"/>
  <c r="J94" i="1"/>
  <c r="J99" i="1" s="1"/>
  <c r="J100" i="1" s="1"/>
  <c r="C92" i="1" s="1"/>
  <c r="G91" i="1" s="1"/>
  <c r="G132" i="1"/>
  <c r="C131" i="1"/>
  <c r="E132" i="1"/>
  <c r="C132" i="1"/>
  <c r="E43" i="1"/>
  <c r="E44" i="1" s="1"/>
  <c r="E133" i="1" l="1"/>
  <c r="E139" i="1" s="1"/>
  <c r="I73" i="1"/>
  <c r="C75" i="1" s="1"/>
  <c r="J88" i="1"/>
  <c r="D92" i="1"/>
  <c r="I88" i="1" s="1"/>
  <c r="I89" i="1" s="1"/>
  <c r="E91" i="1"/>
  <c r="C133" i="1"/>
  <c r="C139" i="1" s="1"/>
  <c r="E30" i="1"/>
  <c r="I87" i="1" l="1"/>
  <c r="C89" i="1" s="1"/>
  <c r="F180" i="1"/>
  <c r="F181" i="1"/>
  <c r="F182" i="1"/>
  <c r="F179" i="1"/>
  <c r="A180" i="1"/>
  <c r="A181" i="1" s="1"/>
  <c r="A182" i="1" s="1"/>
  <c r="A183" i="1" s="1"/>
  <c r="A184" i="1" s="1"/>
  <c r="G179" i="1"/>
  <c r="G136" i="1" l="1"/>
  <c r="G138" i="1" s="1"/>
  <c r="F147" i="1"/>
  <c r="F148" i="1"/>
  <c r="F149" i="1"/>
  <c r="F146" i="1"/>
  <c r="J146" i="1" s="1"/>
  <c r="G131" i="1" l="1"/>
  <c r="G133" i="1" s="1"/>
  <c r="G139" i="1" s="1"/>
  <c r="B331" i="1"/>
  <c r="B33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57" i="1"/>
  <c r="A147" i="1"/>
  <c r="A148" i="1" s="1"/>
  <c r="A149" i="1" s="1"/>
  <c r="A150" i="1" s="1"/>
  <c r="A151" i="1" s="1"/>
  <c r="A152" i="1" s="1"/>
  <c r="G146" i="1"/>
  <c r="J112" i="1"/>
  <c r="J111" i="1"/>
  <c r="J110" i="1"/>
  <c r="J109" i="1"/>
  <c r="G50" i="1"/>
  <c r="C50" i="1"/>
  <c r="E27" i="1"/>
  <c r="E25" i="1"/>
  <c r="E7" i="1"/>
  <c r="E3" i="1"/>
  <c r="H102" i="1"/>
  <c r="D67" i="1" l="1"/>
  <c r="D114" i="1"/>
  <c r="D112" i="1"/>
  <c r="D111" i="1"/>
  <c r="D110" i="1"/>
  <c r="D108" i="1"/>
  <c r="J101" i="1"/>
  <c r="D113" i="1"/>
  <c r="D109" i="1"/>
  <c r="J105" i="1"/>
  <c r="J106" i="1"/>
  <c r="J104" i="1"/>
  <c r="J107" i="1"/>
  <c r="J108" i="1" s="1"/>
  <c r="J113" i="1" s="1"/>
  <c r="J114" i="1" s="1"/>
  <c r="D107" i="1" l="1"/>
  <c r="J103" i="1"/>
  <c r="E105" i="1"/>
  <c r="D106" i="1"/>
  <c r="G105" i="1"/>
  <c r="D72" i="1" s="1"/>
  <c r="D105" i="1"/>
  <c r="I102" i="1" l="1"/>
  <c r="J102" i="1"/>
  <c r="F72" i="1"/>
  <c r="I103" i="1" l="1"/>
  <c r="I101" i="1" s="1"/>
  <c r="C103" i="1" s="1"/>
</calcChain>
</file>

<file path=xl/sharedStrings.xml><?xml version="1.0" encoding="utf-8"?>
<sst xmlns="http://schemas.openxmlformats.org/spreadsheetml/2006/main" count="687" uniqueCount="267">
  <si>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</si>
  <si>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</si>
  <si>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</si>
  <si>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</si>
  <si>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</si>
  <si>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</si>
  <si>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</si>
  <si>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</si>
  <si>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</si>
  <si>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</si>
  <si>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</si>
  <si>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</si>
  <si>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</si>
  <si>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</si>
  <si>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</si>
  <si>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</si>
  <si>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</si>
  <si>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</si>
  <si>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</si>
  <si>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</si>
  <si>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</si>
  <si>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</si>
  <si>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</si>
  <si>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</si>
  <si>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</si>
  <si>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</si>
  <si>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</si>
  <si>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</si>
  <si>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</si>
  <si>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</si>
  <si>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</si>
  <si>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</si>
  <si>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</si>
  <si>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</si>
  <si>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</si>
  <si>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</si>
  <si>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</si>
  <si>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</si>
  <si>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</si>
  <si>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</si>
  <si>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</si>
  <si>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</si>
  <si>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</si>
  <si>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</si>
  <si>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</si>
  <si>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</si>
  <si>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</si>
  <si>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</si>
  <si>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</si>
  <si>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</si>
  <si>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</si>
  <si>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</si>
  <si>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</si>
  <si>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</si>
  <si>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</si>
  <si>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</si>
  <si>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</si>
  <si>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</si>
  <si>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</si>
  <si>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</si>
  <si>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</si>
  <si>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</si>
  <si>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</si>
  <si>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</si>
  <si>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</si>
  <si>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</si>
  <si>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</si>
  <si>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</si>
  <si>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</si>
  <si>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</si>
  <si>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</si>
  <si>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</si>
  <si>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</si>
  <si>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</si>
  <si>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</si>
  <si>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</si>
  <si>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</si>
  <si>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</si>
  <si>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</si>
  <si>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</si>
  <si>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</si>
  <si>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</si>
  <si>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</si>
  <si>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</si>
  <si>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</si>
  <si>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</si>
  <si>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</si>
  <si>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</si>
  <si>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</si>
  <si>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</si>
  <si>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</si>
  <si>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</si>
  <si>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</si>
  <si>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</si>
  <si>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</si>
  <si>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</si>
  <si>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</si>
  <si>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</si>
  <si>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</si>
  <si>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</si>
  <si>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</si>
  <si>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</si>
  <si>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</si>
  <si>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</si>
  <si>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</si>
  <si>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</si>
  <si>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</si>
  <si>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</si>
  <si>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</si>
  <si>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</si>
  <si>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</si>
  <si>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</si>
  <si>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</si>
  <si>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</si>
  <si>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</si>
  <si>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</si>
  <si>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</si>
  <si>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</si>
  <si>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</si>
  <si>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</si>
  <si>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</si>
  <si>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</si>
  <si>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</si>
  <si>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</si>
  <si>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</si>
  <si>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</si>
  <si>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</si>
  <si>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</si>
  <si>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</si>
  <si>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</si>
  <si>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</si>
  <si>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</si>
  <si>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</si>
  <si>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</si>
  <si>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</si>
  <si>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</si>
  <si>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</si>
  <si>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</si>
  <si>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</si>
  <si>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</si>
  <si>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</si>
  <si>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</si>
  <si>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</si>
  <si>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</si>
  <si>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</si>
  <si>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</si>
  <si>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</si>
  <si>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</si>
  <si>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</si>
  <si>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</si>
  <si>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</si>
  <si>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</si>
  <si>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</si>
  <si>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</si>
  <si>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</si>
  <si>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</si>
  <si>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</si>
  <si>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</si>
  <si>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</si>
  <si>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</si>
  <si>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</si>
  <si>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</si>
  <si>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</si>
  <si>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</si>
  <si>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</si>
  <si>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</si>
  <si>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</si>
  <si>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</si>
  <si>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</si>
  <si>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</si>
  <si>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</si>
  <si>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</si>
  <si>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P51800049511</t>
  </si>
  <si>
    <t>Nhi Developers LLP</t>
  </si>
  <si>
    <t>02228997038 / 28338466</t>
  </si>
  <si>
    <t>CTS No</t>
  </si>
  <si>
    <t>Name of existing Building</t>
  </si>
  <si>
    <t>Akshaya &amp; Jayshree CHS LTD</t>
  </si>
  <si>
    <t>Jayraj Nagar</t>
  </si>
  <si>
    <t>Mahisha Mardini Temple Road</t>
  </si>
  <si>
    <t>Borivali</t>
  </si>
  <si>
    <t>Mumbai</t>
  </si>
  <si>
    <t>Borivali (W)</t>
  </si>
  <si>
    <t>As per RERA - 31/12/2026</t>
  </si>
  <si>
    <t xml:space="preserve">1. Vitrified tiles flooring 2. Granite Kitchen Platform 3. Decorative Enternace etc.
</t>
  </si>
  <si>
    <t>Rehab/ Sale</t>
  </si>
  <si>
    <t>Rehab</t>
  </si>
  <si>
    <t>Shop</t>
  </si>
  <si>
    <t>Ground Floor for Commercial &amp; Parking</t>
  </si>
  <si>
    <t>1st Floor</t>
  </si>
  <si>
    <t>Sale</t>
  </si>
  <si>
    <t>Office</t>
  </si>
  <si>
    <t>2nd &amp; 3rd Floor Parking</t>
  </si>
  <si>
    <t>4th Floor for Commercial &amp; Society Office (Part Terrace Area)</t>
  </si>
  <si>
    <t>We considered Gross carpet area = Net carpet.</t>
  </si>
  <si>
    <t>https://goo.gl/maps/zxTjxqrmxjUmJRQ68</t>
  </si>
  <si>
    <t>P-8454/2021/(263/B)/R/C WARD/BORIVALI-R/C/337/1/NEW</t>
  </si>
  <si>
    <t>Municipal Corporation of Greater Mumbai</t>
  </si>
  <si>
    <t>Jai Abhilasha CHS</t>
  </si>
  <si>
    <t>Baburao Paranjape Marg</t>
  </si>
  <si>
    <t>Building</t>
  </si>
  <si>
    <t>Yoganand Society</t>
  </si>
  <si>
    <t>1.9 KM from Borivali Railway Station</t>
  </si>
  <si>
    <t>Approved Plans, CC</t>
  </si>
  <si>
    <t>Airport Authority of India
NOC No.</t>
  </si>
  <si>
    <t>JUHU/WEST/B/092821/625234
Valid Upto : 185.41 M</t>
  </si>
  <si>
    <t>We refer Aviation NOC from MCGM site.</t>
  </si>
  <si>
    <t xml:space="preserve">Layout Approval No 
Building No.01  </t>
  </si>
  <si>
    <t xml:space="preserve">Approved Floor plan No.
Building No.01 </t>
  </si>
  <si>
    <t>Layout Approval No 
Building No.02</t>
  </si>
  <si>
    <t xml:space="preserve">Approved Floor plan No.
Building No.02 </t>
  </si>
  <si>
    <t>Ground Floor for Parking</t>
  </si>
  <si>
    <t>1st to 3rd Podium floor for Parking</t>
  </si>
  <si>
    <t>4th Podium Floor for Parking &amp; Fitness Center</t>
  </si>
  <si>
    <t>Wing A</t>
  </si>
  <si>
    <t>5th Floor for Residential</t>
  </si>
  <si>
    <t>Sale/ Rehab</t>
  </si>
  <si>
    <t>1BHK</t>
  </si>
  <si>
    <t>2BHK</t>
  </si>
  <si>
    <t>3BHK</t>
  </si>
  <si>
    <t>6th &amp; 7th Floor</t>
  </si>
  <si>
    <t>Wing B</t>
  </si>
  <si>
    <t>8th Floor (Part Refuge Area)</t>
  </si>
  <si>
    <t>Refuge Area</t>
  </si>
  <si>
    <t>9th &amp; 10th Floor</t>
  </si>
  <si>
    <t>11th Floor</t>
  </si>
  <si>
    <t>12th &amp; 13th Floor</t>
  </si>
  <si>
    <t>14th Floor</t>
  </si>
  <si>
    <t>15th Floor (Part Refuge Area)</t>
  </si>
  <si>
    <t>16th Floor</t>
  </si>
  <si>
    <t>17th Floor</t>
  </si>
  <si>
    <t>18th to 22nd Floor</t>
  </si>
  <si>
    <t>-</t>
  </si>
  <si>
    <t>Sale/ Rehab Statement is not provided in latest approved floor plan of Building No.01 dtd (31/01/2022)</t>
  </si>
  <si>
    <t>Flats - 210, Rehab Shops - 07, Sale Offices - 07</t>
  </si>
  <si>
    <t>We refer latest CC for Building No.01 from Rera &amp; for Building No.02 from MCGM site.</t>
  </si>
  <si>
    <t>263/B &amp; Redevelopment of Akshaya &amp; Jayshree CHS LTD</t>
  </si>
  <si>
    <t>Akshaya and Jayshree Redevelopment</t>
  </si>
  <si>
    <t>19.2329498, 72.8429295</t>
  </si>
  <si>
    <t>Building No.1(Wing A &amp; B) = Gr/Stilt + 1st to 4th (Part Podium) + 5th to  22nd Floor
Building No.2 = Gr/Stilt + 1st to 4th Floor (Commercial)</t>
  </si>
  <si>
    <t>Building No.1(Wing B) = Gr/Stilt + 1st to 4th (Part Podium) + 5th to  22nd Floor</t>
  </si>
  <si>
    <t>Building No.2 = Gr/Stilt + 1st to 4th Floor (Commercial)</t>
  </si>
  <si>
    <t>Building No.1 &amp; 2</t>
  </si>
  <si>
    <t>Grand Total</t>
  </si>
  <si>
    <t>Building No.2</t>
  </si>
  <si>
    <t>Building No.1</t>
  </si>
  <si>
    <t>Commercial Area Details : Building No. 02</t>
  </si>
  <si>
    <t>Residential Area Details : Building No. 01</t>
  </si>
  <si>
    <t>This C.C. is granted and further extended for entire work of building comprising of Wing ‘A’ and ‘B’ consisting of ground (pt.)/Stilt (Pt) + 1st to 4th Floor for Podium + 5th to 22nd Upper Floors + LMR/OHT as per approved IOD plan dated 31.01.2022.</t>
  </si>
  <si>
    <t>P-8453/2021/(263/B)/R/C
Ward/BORIVALI-R/C/FCC/1/New</t>
  </si>
  <si>
    <t>Date
Valid Upto:</t>
  </si>
  <si>
    <t>28/10/2021
27/10/2029</t>
  </si>
  <si>
    <t>We have updated revised approved CC on 08/04/2024.</t>
  </si>
  <si>
    <t>17000 to 19000</t>
  </si>
  <si>
    <t>Nikhil</t>
  </si>
  <si>
    <t>Verbal</t>
  </si>
  <si>
    <t xml:space="preserve">Recommended Rates/Other Charges of the Property have been revised on 22/02/2024
</t>
  </si>
  <si>
    <t>Building No.1(Wing A) = Gr/Stilt + 1st to 4th (Part Podium) + 5th to  22nd Floor</t>
  </si>
  <si>
    <t>03 Buildings</t>
  </si>
  <si>
    <t>Mr. Piyush : 7304275528</t>
  </si>
  <si>
    <t>Building No.1 = Construction work is in process at the time of visit.
Building No.2 = Work not yet Started.</t>
  </si>
  <si>
    <t>Commencement-CC No
Valid Up to: 
Building No.2</t>
  </si>
  <si>
    <t>P-8454/2021/(263/B)/R/C
Ward/BORIVALI-R/C/CC/1/New</t>
  </si>
  <si>
    <t xml:space="preserve">This C.C. is granted for work up to plinth level only as per approved IOD plans dated 29.01.2022.
</t>
  </si>
  <si>
    <t>Since building no.2 have received CC on 12/01/2023, but as of construction work is not
started.</t>
  </si>
  <si>
    <t>Kunal Kadam</t>
  </si>
  <si>
    <t>Roshan Kudalkar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</si>
</sst>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4" fontId="7" fillId="0" borderId="0" xfId="1" applyNumberFormat="1" applyFont="1" applyAlignment="1">
      <alignment horizontal="left" vertical="top" wrapText="1"/>
    </xf>
    <xf numFmtId="14" fontId="15" fillId="0" borderId="0" xfId="1" applyNumberFormat="1" applyFont="1" applyAlignment="1">
      <alignment horizontal="center" vertical="center"/>
    </xf>
    <xf numFmtId="0" fontId="25" fillId="0" borderId="8" xfId="0" applyFont="1" applyBorder="1"/>
    <xf numFmtId="0" fontId="24" fillId="2" borderId="14" xfId="0" applyFont="1" applyFill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25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380996</xdr:colOff>
      <xdr:row>443</xdr:row>
      <xdr:rowOff>164521</xdr:rowOff>
    </xdr:from>
    <xdr:to>
      <xdr:col>7</xdr:col>
      <xdr:colOff>451973</xdr:colOff>
      <xdr:row>463</xdr:row>
      <xdr:rowOff>42792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0996" y="57236589"/>
          <a:ext cx="5760000" cy="38614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670557</xdr:colOff>
      <xdr:row>463</xdr:row>
      <xdr:rowOff>152399</xdr:rowOff>
    </xdr:from>
    <xdr:to>
      <xdr:col>7</xdr:col>
      <xdr:colOff>274321</xdr:colOff>
      <xdr:row>481</xdr:row>
      <xdr:rowOff>111760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D7A480B7-6DC6-60F0-F8B5-C49E33566637}"/>
            </a:ext>
          </a:extLst>
        </xdr:cNvPr>
        <xdr:cNvGrpSpPr/>
      </xdr:nvGrpSpPr>
      <xdr:grpSpPr>
        <a:xfrm>
          <a:off x="670557" y="97802699"/>
          <a:ext cx="5486404" cy="3525521"/>
          <a:chOff x="380996" y="97890369"/>
          <a:chExt cx="5953617" cy="393315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80996" y="97890369"/>
            <a:ext cx="5953617" cy="39331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611939">
            <a:off x="2013241" y="99178357"/>
            <a:ext cx="1959941" cy="1642552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0</xdr:col>
      <xdr:colOff>545517</xdr:colOff>
      <xdr:row>402</xdr:row>
      <xdr:rowOff>164515</xdr:rowOff>
    </xdr:from>
    <xdr:to>
      <xdr:col>7</xdr:col>
      <xdr:colOff>256494</xdr:colOff>
      <xdr:row>432</xdr:row>
      <xdr:rowOff>80651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5517" y="49071060"/>
          <a:ext cx="5400000" cy="58909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155864</xdr:colOff>
      <xdr:row>411</xdr:row>
      <xdr:rowOff>60606</xdr:rowOff>
    </xdr:from>
    <xdr:to>
      <xdr:col>5</xdr:col>
      <xdr:colOff>658091</xdr:colOff>
      <xdr:row>417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06932" y="50759583"/>
          <a:ext cx="1281545" cy="115166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34631</xdr:colOff>
      <xdr:row>417</xdr:row>
      <xdr:rowOff>86583</xdr:rowOff>
    </xdr:from>
    <xdr:to>
      <xdr:col>5</xdr:col>
      <xdr:colOff>580159</xdr:colOff>
      <xdr:row>425</xdr:row>
      <xdr:rowOff>112568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593267" y="51980515"/>
          <a:ext cx="3117278" cy="161925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oneCellAnchor>
    <xdr:from>
      <xdr:col>5</xdr:col>
      <xdr:colOff>458932</xdr:colOff>
      <xdr:row>408</xdr:row>
      <xdr:rowOff>51955</xdr:rowOff>
    </xdr:from>
    <xdr:ext cx="1277209" cy="31149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89318" y="50153455"/>
          <a:ext cx="1277209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Building No.02</a:t>
          </a:r>
        </a:p>
      </xdr:txBody>
    </xdr:sp>
    <xdr:clientData/>
  </xdr:oneCellAnchor>
  <xdr:oneCellAnchor>
    <xdr:from>
      <xdr:col>0</xdr:col>
      <xdr:colOff>640767</xdr:colOff>
      <xdr:row>414</xdr:row>
      <xdr:rowOff>121218</xdr:rowOff>
    </xdr:from>
    <xdr:ext cx="1277209" cy="53065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40767" y="45096536"/>
          <a:ext cx="1277209" cy="530658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N" sz="1400" b="1"/>
            <a:t>Building No.01</a:t>
          </a:r>
        </a:p>
        <a:p>
          <a:pPr algn="ctr"/>
          <a:r>
            <a:rPr lang="en-IN" sz="1400" b="1"/>
            <a:t>Wing B</a:t>
          </a:r>
        </a:p>
      </xdr:txBody>
    </xdr:sp>
    <xdr:clientData/>
  </xdr:oneCellAnchor>
  <xdr:twoCellAnchor>
    <xdr:from>
      <xdr:col>1</xdr:col>
      <xdr:colOff>517372</xdr:colOff>
      <xdr:row>417</xdr:row>
      <xdr:rowOff>54399</xdr:rowOff>
    </xdr:from>
    <xdr:to>
      <xdr:col>2</xdr:col>
      <xdr:colOff>406978</xdr:colOff>
      <xdr:row>421</xdr:row>
      <xdr:rowOff>34636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13" idx="2"/>
        </xdr:cNvCxnSpPr>
      </xdr:nvCxnSpPr>
      <xdr:spPr>
        <a:xfrm>
          <a:off x="1279372" y="45627194"/>
          <a:ext cx="686242" cy="776874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649432</xdr:colOff>
      <xdr:row>409</xdr:row>
      <xdr:rowOff>164292</xdr:rowOff>
    </xdr:from>
    <xdr:to>
      <xdr:col>6</xdr:col>
      <xdr:colOff>318218</xdr:colOff>
      <xdr:row>412</xdr:row>
      <xdr:rowOff>25978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stCxn id="12" idx="2"/>
        </xdr:cNvCxnSpPr>
      </xdr:nvCxnSpPr>
      <xdr:spPr>
        <a:xfrm flipH="1">
          <a:off x="4779818" y="50464951"/>
          <a:ext cx="448105" cy="459163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155859</xdr:colOff>
      <xdr:row>426</xdr:row>
      <xdr:rowOff>34628</xdr:rowOff>
    </xdr:from>
    <xdr:ext cx="1277209" cy="530658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286245" y="47399855"/>
          <a:ext cx="1277209" cy="530658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N" sz="1400" b="1"/>
            <a:t>Building No.01</a:t>
          </a:r>
        </a:p>
        <a:p>
          <a:pPr algn="ctr"/>
          <a:r>
            <a:rPr lang="en-IN" sz="1400" b="1"/>
            <a:t>Wing A</a:t>
          </a:r>
        </a:p>
      </xdr:txBody>
    </xdr:sp>
    <xdr:clientData/>
  </xdr:oneCellAnchor>
  <xdr:twoCellAnchor>
    <xdr:from>
      <xdr:col>4</xdr:col>
      <xdr:colOff>675409</xdr:colOff>
      <xdr:row>422</xdr:row>
      <xdr:rowOff>34636</xdr:rowOff>
    </xdr:from>
    <xdr:to>
      <xdr:col>5</xdr:col>
      <xdr:colOff>666750</xdr:colOff>
      <xdr:row>426</xdr:row>
      <xdr:rowOff>121228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 flipV="1">
          <a:off x="4026477" y="46603227"/>
          <a:ext cx="770659" cy="883228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147629</xdr:colOff>
      <xdr:row>360</xdr:row>
      <xdr:rowOff>160242</xdr:rowOff>
    </xdr:from>
    <xdr:ext cx="1277209" cy="311496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314041" y="77357566"/>
          <a:ext cx="1277209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Building No.02</a:t>
          </a:r>
        </a:p>
      </xdr:txBody>
    </xdr:sp>
    <xdr:clientData/>
  </xdr:oneCellAnchor>
  <xdr:oneCellAnchor>
    <xdr:from>
      <xdr:col>11</xdr:col>
      <xdr:colOff>327324</xdr:colOff>
      <xdr:row>365</xdr:row>
      <xdr:rowOff>176376</xdr:rowOff>
    </xdr:from>
    <xdr:ext cx="1967398" cy="31149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493736" y="78382229"/>
          <a:ext cx="1967398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Building No.01 (A Wing)</a:t>
          </a:r>
        </a:p>
      </xdr:txBody>
    </xdr:sp>
    <xdr:clientData/>
  </xdr:oneCellAnchor>
  <xdr:oneCellAnchor>
    <xdr:from>
      <xdr:col>8</xdr:col>
      <xdr:colOff>816983</xdr:colOff>
      <xdr:row>355</xdr:row>
      <xdr:rowOff>198788</xdr:rowOff>
    </xdr:from>
    <xdr:ext cx="1959254" cy="311496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350012" y="77474553"/>
          <a:ext cx="1959254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Building No.01 (B Wing)</a:t>
          </a:r>
        </a:p>
      </xdr:txBody>
    </xdr:sp>
    <xdr:clientData/>
  </xdr:oneCellAnchor>
  <xdr:twoCellAnchor>
    <xdr:from>
      <xdr:col>9</xdr:col>
      <xdr:colOff>0</xdr:colOff>
      <xdr:row>362</xdr:row>
      <xdr:rowOff>0</xdr:rowOff>
    </xdr:from>
    <xdr:to>
      <xdr:col>9</xdr:col>
      <xdr:colOff>313765</xdr:colOff>
      <xdr:row>366</xdr:row>
      <xdr:rowOff>67234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H="1">
          <a:off x="8064500" y="77241400"/>
          <a:ext cx="313765" cy="85463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69850</xdr:colOff>
      <xdr:row>359</xdr:row>
      <xdr:rowOff>52070</xdr:rowOff>
    </xdr:from>
    <xdr:to>
      <xdr:col>18</xdr:col>
      <xdr:colOff>439463</xdr:colOff>
      <xdr:row>399</xdr:row>
      <xdr:rowOff>1270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8787130" y="78096110"/>
          <a:ext cx="6313213" cy="7866380"/>
          <a:chOff x="298450" y="77355700"/>
          <a:chExt cx="6405923" cy="8013700"/>
        </a:xfrm>
      </xdr:grpSpPr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92254" y="83694922"/>
            <a:ext cx="1618313" cy="167447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450" y="8142531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6927" y="77355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2745" y="8142531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9159" y="77355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6060" y="8142531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 rot="468526">
            <a:off x="1981200" y="7882890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>
                <a:solidFill>
                  <a:srgbClr val="FFFF00"/>
                </a:solidFill>
              </a:rPr>
              <a:t>A</a:t>
            </a:r>
            <a:r>
              <a:rPr lang="en-IN" sz="1400" baseline="0">
                <a:solidFill>
                  <a:srgbClr val="FFFF00"/>
                </a:solidFill>
              </a:rPr>
              <a:t> Wing</a:t>
            </a:r>
            <a:endParaRPr lang="en-IN" sz="1400">
              <a:solidFill>
                <a:srgbClr val="FFFF00"/>
              </a:solidFill>
            </a:endParaRP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5063309" y="79076551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>
                <a:solidFill>
                  <a:srgbClr val="FFFF00"/>
                </a:solidFill>
              </a:rPr>
              <a:t>B</a:t>
            </a:r>
            <a:r>
              <a:rPr lang="en-IN" sz="1400" baseline="0">
                <a:solidFill>
                  <a:srgbClr val="FFFF00"/>
                </a:solidFill>
              </a:rPr>
              <a:t> Wing</a:t>
            </a:r>
            <a:endParaRPr lang="en-IN" sz="1400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0</xdr:col>
      <xdr:colOff>381000</xdr:colOff>
      <xdr:row>358</xdr:row>
      <xdr:rowOff>30480</xdr:rowOff>
    </xdr:from>
    <xdr:to>
      <xdr:col>7</xdr:col>
      <xdr:colOff>455776</xdr:colOff>
      <xdr:row>391</xdr:row>
      <xdr:rowOff>71600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9320018-FD65-76AD-6647-17EBF093816A}"/>
            </a:ext>
          </a:extLst>
        </xdr:cNvPr>
        <xdr:cNvGrpSpPr/>
      </xdr:nvGrpSpPr>
      <xdr:grpSpPr>
        <a:xfrm>
          <a:off x="381000" y="77876400"/>
          <a:ext cx="5957416" cy="6571460"/>
          <a:chOff x="351584" y="248692"/>
          <a:chExt cx="5957416" cy="657146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0FD92BA-5E4A-E53C-C5AA-91C57D253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300152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E9E9787-BFC3-0BF9-346B-DE82BEE7EE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248692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E1DB3A6-F77F-DBF9-3509-DD818429CC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41584" y="4300152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27B1AD0F-294B-1A56-59EE-F713CD1060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584" y="248692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9" name="TextBox 10">
            <a:extLst>
              <a:ext uri="{FF2B5EF4-FFF2-40B4-BE49-F238E27FC236}">
                <a16:creationId xmlns:a16="http://schemas.microsoft.com/office/drawing/2014/main" id="{A7CF68C2-660C-89AF-8104-442F5FCEFF81}"/>
              </a:ext>
            </a:extLst>
          </xdr:cNvPr>
          <xdr:cNvSpPr txBox="1"/>
        </xdr:nvSpPr>
        <xdr:spPr>
          <a:xfrm>
            <a:off x="2418504" y="835152"/>
            <a:ext cx="607859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Wing B</a:t>
            </a:r>
            <a:endParaRPr lang="en-IN" sz="1100" b="1"/>
          </a:p>
        </xdr:txBody>
      </xdr:sp>
      <xdr:sp macro="" textlink="">
        <xdr:nvSpPr>
          <xdr:cNvPr id="20" name="TextBox 11">
            <a:extLst>
              <a:ext uri="{FF2B5EF4-FFF2-40B4-BE49-F238E27FC236}">
                <a16:creationId xmlns:a16="http://schemas.microsoft.com/office/drawing/2014/main" id="{4368001F-580D-670B-8D4E-13BF8DE86C8D}"/>
              </a:ext>
            </a:extLst>
          </xdr:cNvPr>
          <xdr:cNvSpPr txBox="1"/>
        </xdr:nvSpPr>
        <xdr:spPr>
          <a:xfrm>
            <a:off x="1584960" y="248692"/>
            <a:ext cx="607859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Wing A</a:t>
            </a:r>
            <a:endParaRPr lang="en-IN" sz="1100" b="1"/>
          </a:p>
        </xdr:txBody>
      </xdr:sp>
      <xdr:sp macro="" textlink="">
        <xdr:nvSpPr>
          <xdr:cNvPr id="21" name="TextBox 12">
            <a:extLst>
              <a:ext uri="{FF2B5EF4-FFF2-40B4-BE49-F238E27FC236}">
                <a16:creationId xmlns:a16="http://schemas.microsoft.com/office/drawing/2014/main" id="{CAE90A08-6AE2-302A-40DD-294B1AFC2846}"/>
              </a:ext>
            </a:extLst>
          </xdr:cNvPr>
          <xdr:cNvSpPr txBox="1"/>
        </xdr:nvSpPr>
        <xdr:spPr>
          <a:xfrm>
            <a:off x="5460408" y="792480"/>
            <a:ext cx="607859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Wing B</a:t>
            </a:r>
            <a:endParaRPr lang="en-IN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xTjxqrmxjUmJRQ6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43"/>
  <sheetViews>
    <sheetView tabSelected="1" view="pageBreakPreview" topLeftCell="A2" zoomScaleNormal="100" zoomScaleSheetLayoutView="100" workbookViewId="0">
      <selection activeCell="K7" sqref="K7"/>
    </sheetView>
  </sheetViews>
  <sheetFormatPr defaultColWidth="9.21875" defaultRowHeight="15.6" x14ac:dyDescent="0.3"/>
  <cols>
    <col min="1" max="1" width="11.44140625" style="38" customWidth="1"/>
    <col min="2" max="2" width="12" style="38" customWidth="1"/>
    <col min="3" max="3" width="12.77734375" style="38" customWidth="1"/>
    <col min="4" max="4" width="14.21875" style="38" customWidth="1"/>
    <col min="5" max="7" width="11.77734375" style="38" customWidth="1"/>
    <col min="8" max="8" width="12.44140625" style="38" customWidth="1"/>
    <col min="9" max="9" width="17.44140625" style="19" customWidth="1"/>
    <col min="10" max="10" width="11.44140625" style="19" customWidth="1"/>
    <col min="11" max="11" width="11.77734375" style="19" bestFit="1" customWidth="1"/>
    <col min="12" max="12" width="10.5546875" style="19" customWidth="1"/>
    <col min="13" max="13" width="11.77734375" style="19" customWidth="1"/>
    <col min="14" max="14" width="12.5546875" style="19" customWidth="1"/>
    <col min="15" max="15" width="9.77734375" style="19" customWidth="1"/>
    <col min="16" max="16" width="11.77734375" style="19" customWidth="1"/>
    <col min="17" max="247" width="9.21875" style="19"/>
    <col min="248" max="248" width="8.77734375" style="19" customWidth="1"/>
    <col min="249" max="249" width="9.77734375" style="19" customWidth="1"/>
    <col min="250" max="250" width="14.44140625" style="19" customWidth="1"/>
    <col min="251" max="251" width="7.21875" style="19" customWidth="1"/>
    <col min="252" max="252" width="5.5546875" style="19" customWidth="1"/>
    <col min="253" max="253" width="9" style="19" customWidth="1"/>
    <col min="254" max="255" width="9.77734375" style="19" customWidth="1"/>
    <col min="256" max="256" width="11.21875" style="19" customWidth="1"/>
    <col min="257" max="257" width="2.77734375" style="19" customWidth="1"/>
    <col min="258" max="258" width="3.5546875" style="19" customWidth="1"/>
    <col min="259" max="503" width="9.21875" style="19"/>
    <col min="504" max="504" width="8.77734375" style="19" customWidth="1"/>
    <col min="505" max="505" width="9.77734375" style="19" customWidth="1"/>
    <col min="506" max="506" width="14.44140625" style="19" customWidth="1"/>
    <col min="507" max="507" width="7.21875" style="19" customWidth="1"/>
    <col min="508" max="508" width="5.5546875" style="19" customWidth="1"/>
    <col min="509" max="509" width="9" style="19" customWidth="1"/>
    <col min="510" max="511" width="9.77734375" style="19" customWidth="1"/>
    <col min="512" max="512" width="11.21875" style="19" customWidth="1"/>
    <col min="513" max="513" width="2.77734375" style="19" customWidth="1"/>
    <col min="514" max="514" width="3.5546875" style="19" customWidth="1"/>
    <col min="515" max="759" width="9.21875" style="19"/>
    <col min="760" max="760" width="8.77734375" style="19" customWidth="1"/>
    <col min="761" max="761" width="9.77734375" style="19" customWidth="1"/>
    <col min="762" max="762" width="14.44140625" style="19" customWidth="1"/>
    <col min="763" max="763" width="7.21875" style="19" customWidth="1"/>
    <col min="764" max="764" width="5.5546875" style="19" customWidth="1"/>
    <col min="765" max="765" width="9" style="19" customWidth="1"/>
    <col min="766" max="767" width="9.77734375" style="19" customWidth="1"/>
    <col min="768" max="768" width="11.21875" style="19" customWidth="1"/>
    <col min="769" max="769" width="2.77734375" style="19" customWidth="1"/>
    <col min="770" max="770" width="3.5546875" style="19" customWidth="1"/>
    <col min="771" max="1015" width="9.21875" style="19"/>
    <col min="1016" max="1016" width="8.77734375" style="19" customWidth="1"/>
    <col min="1017" max="1017" width="9.77734375" style="19" customWidth="1"/>
    <col min="1018" max="1018" width="14.44140625" style="19" customWidth="1"/>
    <col min="1019" max="1019" width="7.21875" style="19" customWidth="1"/>
    <col min="1020" max="1020" width="5.5546875" style="19" customWidth="1"/>
    <col min="1021" max="1021" width="9" style="19" customWidth="1"/>
    <col min="1022" max="1023" width="9.77734375" style="19" customWidth="1"/>
    <col min="1024" max="1024" width="11.21875" style="19" customWidth="1"/>
    <col min="1025" max="1025" width="2.77734375" style="19" customWidth="1"/>
    <col min="1026" max="1026" width="3.5546875" style="19" customWidth="1"/>
    <col min="1027" max="1271" width="9.21875" style="19"/>
    <col min="1272" max="1272" width="8.77734375" style="19" customWidth="1"/>
    <col min="1273" max="1273" width="9.77734375" style="19" customWidth="1"/>
    <col min="1274" max="1274" width="14.44140625" style="19" customWidth="1"/>
    <col min="1275" max="1275" width="7.21875" style="19" customWidth="1"/>
    <col min="1276" max="1276" width="5.5546875" style="19" customWidth="1"/>
    <col min="1277" max="1277" width="9" style="19" customWidth="1"/>
    <col min="1278" max="1279" width="9.77734375" style="19" customWidth="1"/>
    <col min="1280" max="1280" width="11.21875" style="19" customWidth="1"/>
    <col min="1281" max="1281" width="2.77734375" style="19" customWidth="1"/>
    <col min="1282" max="1282" width="3.5546875" style="19" customWidth="1"/>
    <col min="1283" max="1527" width="9.21875" style="19"/>
    <col min="1528" max="1528" width="8.77734375" style="19" customWidth="1"/>
    <col min="1529" max="1529" width="9.77734375" style="19" customWidth="1"/>
    <col min="1530" max="1530" width="14.44140625" style="19" customWidth="1"/>
    <col min="1531" max="1531" width="7.21875" style="19" customWidth="1"/>
    <col min="1532" max="1532" width="5.5546875" style="19" customWidth="1"/>
    <col min="1533" max="1533" width="9" style="19" customWidth="1"/>
    <col min="1534" max="1535" width="9.77734375" style="19" customWidth="1"/>
    <col min="1536" max="1536" width="11.21875" style="19" customWidth="1"/>
    <col min="1537" max="1537" width="2.77734375" style="19" customWidth="1"/>
    <col min="1538" max="1538" width="3.5546875" style="19" customWidth="1"/>
    <col min="1539" max="1783" width="9.21875" style="19"/>
    <col min="1784" max="1784" width="8.77734375" style="19" customWidth="1"/>
    <col min="1785" max="1785" width="9.77734375" style="19" customWidth="1"/>
    <col min="1786" max="1786" width="14.44140625" style="19" customWidth="1"/>
    <col min="1787" max="1787" width="7.21875" style="19" customWidth="1"/>
    <col min="1788" max="1788" width="5.5546875" style="19" customWidth="1"/>
    <col min="1789" max="1789" width="9" style="19" customWidth="1"/>
    <col min="1790" max="1791" width="9.77734375" style="19" customWidth="1"/>
    <col min="1792" max="1792" width="11.21875" style="19" customWidth="1"/>
    <col min="1793" max="1793" width="2.77734375" style="19" customWidth="1"/>
    <col min="1794" max="1794" width="3.5546875" style="19" customWidth="1"/>
    <col min="1795" max="2039" width="9.21875" style="19"/>
    <col min="2040" max="2040" width="8.77734375" style="19" customWidth="1"/>
    <col min="2041" max="2041" width="9.77734375" style="19" customWidth="1"/>
    <col min="2042" max="2042" width="14.44140625" style="19" customWidth="1"/>
    <col min="2043" max="2043" width="7.21875" style="19" customWidth="1"/>
    <col min="2044" max="2044" width="5.5546875" style="19" customWidth="1"/>
    <col min="2045" max="2045" width="9" style="19" customWidth="1"/>
    <col min="2046" max="2047" width="9.77734375" style="19" customWidth="1"/>
    <col min="2048" max="2048" width="11.21875" style="19" customWidth="1"/>
    <col min="2049" max="2049" width="2.77734375" style="19" customWidth="1"/>
    <col min="2050" max="2050" width="3.5546875" style="19" customWidth="1"/>
    <col min="2051" max="2295" width="9.21875" style="19"/>
    <col min="2296" max="2296" width="8.77734375" style="19" customWidth="1"/>
    <col min="2297" max="2297" width="9.77734375" style="19" customWidth="1"/>
    <col min="2298" max="2298" width="14.44140625" style="19" customWidth="1"/>
    <col min="2299" max="2299" width="7.21875" style="19" customWidth="1"/>
    <col min="2300" max="2300" width="5.5546875" style="19" customWidth="1"/>
    <col min="2301" max="2301" width="9" style="19" customWidth="1"/>
    <col min="2302" max="2303" width="9.77734375" style="19" customWidth="1"/>
    <col min="2304" max="2304" width="11.21875" style="19" customWidth="1"/>
    <col min="2305" max="2305" width="2.77734375" style="19" customWidth="1"/>
    <col min="2306" max="2306" width="3.5546875" style="19" customWidth="1"/>
    <col min="2307" max="2551" width="9.21875" style="19"/>
    <col min="2552" max="2552" width="8.77734375" style="19" customWidth="1"/>
    <col min="2553" max="2553" width="9.77734375" style="19" customWidth="1"/>
    <col min="2554" max="2554" width="14.44140625" style="19" customWidth="1"/>
    <col min="2555" max="2555" width="7.21875" style="19" customWidth="1"/>
    <col min="2556" max="2556" width="5.5546875" style="19" customWidth="1"/>
    <col min="2557" max="2557" width="9" style="19" customWidth="1"/>
    <col min="2558" max="2559" width="9.77734375" style="19" customWidth="1"/>
    <col min="2560" max="2560" width="11.21875" style="19" customWidth="1"/>
    <col min="2561" max="2561" width="2.77734375" style="19" customWidth="1"/>
    <col min="2562" max="2562" width="3.5546875" style="19" customWidth="1"/>
    <col min="2563" max="2807" width="9.21875" style="19"/>
    <col min="2808" max="2808" width="8.77734375" style="19" customWidth="1"/>
    <col min="2809" max="2809" width="9.77734375" style="19" customWidth="1"/>
    <col min="2810" max="2810" width="14.44140625" style="19" customWidth="1"/>
    <col min="2811" max="2811" width="7.21875" style="19" customWidth="1"/>
    <col min="2812" max="2812" width="5.5546875" style="19" customWidth="1"/>
    <col min="2813" max="2813" width="9" style="19" customWidth="1"/>
    <col min="2814" max="2815" width="9.77734375" style="19" customWidth="1"/>
    <col min="2816" max="2816" width="11.21875" style="19" customWidth="1"/>
    <col min="2817" max="2817" width="2.77734375" style="19" customWidth="1"/>
    <col min="2818" max="2818" width="3.5546875" style="19" customWidth="1"/>
    <col min="2819" max="3063" width="9.21875" style="19"/>
    <col min="3064" max="3064" width="8.77734375" style="19" customWidth="1"/>
    <col min="3065" max="3065" width="9.77734375" style="19" customWidth="1"/>
    <col min="3066" max="3066" width="14.44140625" style="19" customWidth="1"/>
    <col min="3067" max="3067" width="7.21875" style="19" customWidth="1"/>
    <col min="3068" max="3068" width="5.5546875" style="19" customWidth="1"/>
    <col min="3069" max="3069" width="9" style="19" customWidth="1"/>
    <col min="3070" max="3071" width="9.77734375" style="19" customWidth="1"/>
    <col min="3072" max="3072" width="11.21875" style="19" customWidth="1"/>
    <col min="3073" max="3073" width="2.77734375" style="19" customWidth="1"/>
    <col min="3074" max="3074" width="3.5546875" style="19" customWidth="1"/>
    <col min="3075" max="3319" width="9.21875" style="19"/>
    <col min="3320" max="3320" width="8.77734375" style="19" customWidth="1"/>
    <col min="3321" max="3321" width="9.77734375" style="19" customWidth="1"/>
    <col min="3322" max="3322" width="14.44140625" style="19" customWidth="1"/>
    <col min="3323" max="3323" width="7.21875" style="19" customWidth="1"/>
    <col min="3324" max="3324" width="5.5546875" style="19" customWidth="1"/>
    <col min="3325" max="3325" width="9" style="19" customWidth="1"/>
    <col min="3326" max="3327" width="9.77734375" style="19" customWidth="1"/>
    <col min="3328" max="3328" width="11.21875" style="19" customWidth="1"/>
    <col min="3329" max="3329" width="2.77734375" style="19" customWidth="1"/>
    <col min="3330" max="3330" width="3.5546875" style="19" customWidth="1"/>
    <col min="3331" max="3575" width="9.21875" style="19"/>
    <col min="3576" max="3576" width="8.77734375" style="19" customWidth="1"/>
    <col min="3577" max="3577" width="9.77734375" style="19" customWidth="1"/>
    <col min="3578" max="3578" width="14.44140625" style="19" customWidth="1"/>
    <col min="3579" max="3579" width="7.21875" style="19" customWidth="1"/>
    <col min="3580" max="3580" width="5.5546875" style="19" customWidth="1"/>
    <col min="3581" max="3581" width="9" style="19" customWidth="1"/>
    <col min="3582" max="3583" width="9.77734375" style="19" customWidth="1"/>
    <col min="3584" max="3584" width="11.21875" style="19" customWidth="1"/>
    <col min="3585" max="3585" width="2.77734375" style="19" customWidth="1"/>
    <col min="3586" max="3586" width="3.5546875" style="19" customWidth="1"/>
    <col min="3587" max="3831" width="9.21875" style="19"/>
    <col min="3832" max="3832" width="8.77734375" style="19" customWidth="1"/>
    <col min="3833" max="3833" width="9.77734375" style="19" customWidth="1"/>
    <col min="3834" max="3834" width="14.44140625" style="19" customWidth="1"/>
    <col min="3835" max="3835" width="7.21875" style="19" customWidth="1"/>
    <col min="3836" max="3836" width="5.5546875" style="19" customWidth="1"/>
    <col min="3837" max="3837" width="9" style="19" customWidth="1"/>
    <col min="3838" max="3839" width="9.77734375" style="19" customWidth="1"/>
    <col min="3840" max="3840" width="11.21875" style="19" customWidth="1"/>
    <col min="3841" max="3841" width="2.77734375" style="19" customWidth="1"/>
    <col min="3842" max="3842" width="3.5546875" style="19" customWidth="1"/>
    <col min="3843" max="4087" width="9.21875" style="19"/>
    <col min="4088" max="4088" width="8.77734375" style="19" customWidth="1"/>
    <col min="4089" max="4089" width="9.77734375" style="19" customWidth="1"/>
    <col min="4090" max="4090" width="14.44140625" style="19" customWidth="1"/>
    <col min="4091" max="4091" width="7.21875" style="19" customWidth="1"/>
    <col min="4092" max="4092" width="5.5546875" style="19" customWidth="1"/>
    <col min="4093" max="4093" width="9" style="19" customWidth="1"/>
    <col min="4094" max="4095" width="9.77734375" style="19" customWidth="1"/>
    <col min="4096" max="4096" width="11.21875" style="19" customWidth="1"/>
    <col min="4097" max="4097" width="2.77734375" style="19" customWidth="1"/>
    <col min="4098" max="4098" width="3.5546875" style="19" customWidth="1"/>
    <col min="4099" max="4343" width="9.21875" style="19"/>
    <col min="4344" max="4344" width="8.77734375" style="19" customWidth="1"/>
    <col min="4345" max="4345" width="9.77734375" style="19" customWidth="1"/>
    <col min="4346" max="4346" width="14.44140625" style="19" customWidth="1"/>
    <col min="4347" max="4347" width="7.21875" style="19" customWidth="1"/>
    <col min="4348" max="4348" width="5.5546875" style="19" customWidth="1"/>
    <col min="4349" max="4349" width="9" style="19" customWidth="1"/>
    <col min="4350" max="4351" width="9.77734375" style="19" customWidth="1"/>
    <col min="4352" max="4352" width="11.21875" style="19" customWidth="1"/>
    <col min="4353" max="4353" width="2.77734375" style="19" customWidth="1"/>
    <col min="4354" max="4354" width="3.5546875" style="19" customWidth="1"/>
    <col min="4355" max="4599" width="9.21875" style="19"/>
    <col min="4600" max="4600" width="8.77734375" style="19" customWidth="1"/>
    <col min="4601" max="4601" width="9.77734375" style="19" customWidth="1"/>
    <col min="4602" max="4602" width="14.44140625" style="19" customWidth="1"/>
    <col min="4603" max="4603" width="7.21875" style="19" customWidth="1"/>
    <col min="4604" max="4604" width="5.5546875" style="19" customWidth="1"/>
    <col min="4605" max="4605" width="9" style="19" customWidth="1"/>
    <col min="4606" max="4607" width="9.77734375" style="19" customWidth="1"/>
    <col min="4608" max="4608" width="11.21875" style="19" customWidth="1"/>
    <col min="4609" max="4609" width="2.77734375" style="19" customWidth="1"/>
    <col min="4610" max="4610" width="3.5546875" style="19" customWidth="1"/>
    <col min="4611" max="4855" width="9.21875" style="19"/>
    <col min="4856" max="4856" width="8.77734375" style="19" customWidth="1"/>
    <col min="4857" max="4857" width="9.77734375" style="19" customWidth="1"/>
    <col min="4858" max="4858" width="14.44140625" style="19" customWidth="1"/>
    <col min="4859" max="4859" width="7.21875" style="19" customWidth="1"/>
    <col min="4860" max="4860" width="5.5546875" style="19" customWidth="1"/>
    <col min="4861" max="4861" width="9" style="19" customWidth="1"/>
    <col min="4862" max="4863" width="9.77734375" style="19" customWidth="1"/>
    <col min="4864" max="4864" width="11.21875" style="19" customWidth="1"/>
    <col min="4865" max="4865" width="2.77734375" style="19" customWidth="1"/>
    <col min="4866" max="4866" width="3.5546875" style="19" customWidth="1"/>
    <col min="4867" max="5111" width="9.21875" style="19"/>
    <col min="5112" max="5112" width="8.77734375" style="19" customWidth="1"/>
    <col min="5113" max="5113" width="9.77734375" style="19" customWidth="1"/>
    <col min="5114" max="5114" width="14.44140625" style="19" customWidth="1"/>
    <col min="5115" max="5115" width="7.21875" style="19" customWidth="1"/>
    <col min="5116" max="5116" width="5.5546875" style="19" customWidth="1"/>
    <col min="5117" max="5117" width="9" style="19" customWidth="1"/>
    <col min="5118" max="5119" width="9.77734375" style="19" customWidth="1"/>
    <col min="5120" max="5120" width="11.21875" style="19" customWidth="1"/>
    <col min="5121" max="5121" width="2.77734375" style="19" customWidth="1"/>
    <col min="5122" max="5122" width="3.5546875" style="19" customWidth="1"/>
    <col min="5123" max="5367" width="9.21875" style="19"/>
    <col min="5368" max="5368" width="8.77734375" style="19" customWidth="1"/>
    <col min="5369" max="5369" width="9.77734375" style="19" customWidth="1"/>
    <col min="5370" max="5370" width="14.44140625" style="19" customWidth="1"/>
    <col min="5371" max="5371" width="7.21875" style="19" customWidth="1"/>
    <col min="5372" max="5372" width="5.5546875" style="19" customWidth="1"/>
    <col min="5373" max="5373" width="9" style="19" customWidth="1"/>
    <col min="5374" max="5375" width="9.77734375" style="19" customWidth="1"/>
    <col min="5376" max="5376" width="11.21875" style="19" customWidth="1"/>
    <col min="5377" max="5377" width="2.77734375" style="19" customWidth="1"/>
    <col min="5378" max="5378" width="3.5546875" style="19" customWidth="1"/>
    <col min="5379" max="5623" width="9.21875" style="19"/>
    <col min="5624" max="5624" width="8.77734375" style="19" customWidth="1"/>
    <col min="5625" max="5625" width="9.77734375" style="19" customWidth="1"/>
    <col min="5626" max="5626" width="14.44140625" style="19" customWidth="1"/>
    <col min="5627" max="5627" width="7.21875" style="19" customWidth="1"/>
    <col min="5628" max="5628" width="5.5546875" style="19" customWidth="1"/>
    <col min="5629" max="5629" width="9" style="19" customWidth="1"/>
    <col min="5630" max="5631" width="9.77734375" style="19" customWidth="1"/>
    <col min="5632" max="5632" width="11.21875" style="19" customWidth="1"/>
    <col min="5633" max="5633" width="2.77734375" style="19" customWidth="1"/>
    <col min="5634" max="5634" width="3.5546875" style="19" customWidth="1"/>
    <col min="5635" max="5879" width="9.21875" style="19"/>
    <col min="5880" max="5880" width="8.77734375" style="19" customWidth="1"/>
    <col min="5881" max="5881" width="9.77734375" style="19" customWidth="1"/>
    <col min="5882" max="5882" width="14.44140625" style="19" customWidth="1"/>
    <col min="5883" max="5883" width="7.21875" style="19" customWidth="1"/>
    <col min="5884" max="5884" width="5.5546875" style="19" customWidth="1"/>
    <col min="5885" max="5885" width="9" style="19" customWidth="1"/>
    <col min="5886" max="5887" width="9.77734375" style="19" customWidth="1"/>
    <col min="5888" max="5888" width="11.21875" style="19" customWidth="1"/>
    <col min="5889" max="5889" width="2.77734375" style="19" customWidth="1"/>
    <col min="5890" max="5890" width="3.5546875" style="19" customWidth="1"/>
    <col min="5891" max="6135" width="9.21875" style="19"/>
    <col min="6136" max="6136" width="8.77734375" style="19" customWidth="1"/>
    <col min="6137" max="6137" width="9.77734375" style="19" customWidth="1"/>
    <col min="6138" max="6138" width="14.44140625" style="19" customWidth="1"/>
    <col min="6139" max="6139" width="7.21875" style="19" customWidth="1"/>
    <col min="6140" max="6140" width="5.5546875" style="19" customWidth="1"/>
    <col min="6141" max="6141" width="9" style="19" customWidth="1"/>
    <col min="6142" max="6143" width="9.77734375" style="19" customWidth="1"/>
    <col min="6144" max="6144" width="11.21875" style="19" customWidth="1"/>
    <col min="6145" max="6145" width="2.77734375" style="19" customWidth="1"/>
    <col min="6146" max="6146" width="3.5546875" style="19" customWidth="1"/>
    <col min="6147" max="6391" width="9.21875" style="19"/>
    <col min="6392" max="6392" width="8.77734375" style="19" customWidth="1"/>
    <col min="6393" max="6393" width="9.77734375" style="19" customWidth="1"/>
    <col min="6394" max="6394" width="14.44140625" style="19" customWidth="1"/>
    <col min="6395" max="6395" width="7.21875" style="19" customWidth="1"/>
    <col min="6396" max="6396" width="5.5546875" style="19" customWidth="1"/>
    <col min="6397" max="6397" width="9" style="19" customWidth="1"/>
    <col min="6398" max="6399" width="9.77734375" style="19" customWidth="1"/>
    <col min="6400" max="6400" width="11.21875" style="19" customWidth="1"/>
    <col min="6401" max="6401" width="2.77734375" style="19" customWidth="1"/>
    <col min="6402" max="6402" width="3.5546875" style="19" customWidth="1"/>
    <col min="6403" max="6647" width="9.21875" style="19"/>
    <col min="6648" max="6648" width="8.77734375" style="19" customWidth="1"/>
    <col min="6649" max="6649" width="9.77734375" style="19" customWidth="1"/>
    <col min="6650" max="6650" width="14.44140625" style="19" customWidth="1"/>
    <col min="6651" max="6651" width="7.21875" style="19" customWidth="1"/>
    <col min="6652" max="6652" width="5.5546875" style="19" customWidth="1"/>
    <col min="6653" max="6653" width="9" style="19" customWidth="1"/>
    <col min="6654" max="6655" width="9.77734375" style="19" customWidth="1"/>
    <col min="6656" max="6656" width="11.21875" style="19" customWidth="1"/>
    <col min="6657" max="6657" width="2.77734375" style="19" customWidth="1"/>
    <col min="6658" max="6658" width="3.5546875" style="19" customWidth="1"/>
    <col min="6659" max="6903" width="9.21875" style="19"/>
    <col min="6904" max="6904" width="8.77734375" style="19" customWidth="1"/>
    <col min="6905" max="6905" width="9.77734375" style="19" customWidth="1"/>
    <col min="6906" max="6906" width="14.44140625" style="19" customWidth="1"/>
    <col min="6907" max="6907" width="7.21875" style="19" customWidth="1"/>
    <col min="6908" max="6908" width="5.5546875" style="19" customWidth="1"/>
    <col min="6909" max="6909" width="9" style="19" customWidth="1"/>
    <col min="6910" max="6911" width="9.77734375" style="19" customWidth="1"/>
    <col min="6912" max="6912" width="11.21875" style="19" customWidth="1"/>
    <col min="6913" max="6913" width="2.77734375" style="19" customWidth="1"/>
    <col min="6914" max="6914" width="3.5546875" style="19" customWidth="1"/>
    <col min="6915" max="7159" width="9.21875" style="19"/>
    <col min="7160" max="7160" width="8.77734375" style="19" customWidth="1"/>
    <col min="7161" max="7161" width="9.77734375" style="19" customWidth="1"/>
    <col min="7162" max="7162" width="14.44140625" style="19" customWidth="1"/>
    <col min="7163" max="7163" width="7.21875" style="19" customWidth="1"/>
    <col min="7164" max="7164" width="5.5546875" style="19" customWidth="1"/>
    <col min="7165" max="7165" width="9" style="19" customWidth="1"/>
    <col min="7166" max="7167" width="9.77734375" style="19" customWidth="1"/>
    <col min="7168" max="7168" width="11.21875" style="19" customWidth="1"/>
    <col min="7169" max="7169" width="2.77734375" style="19" customWidth="1"/>
    <col min="7170" max="7170" width="3.5546875" style="19" customWidth="1"/>
    <col min="7171" max="7415" width="9.21875" style="19"/>
    <col min="7416" max="7416" width="8.77734375" style="19" customWidth="1"/>
    <col min="7417" max="7417" width="9.77734375" style="19" customWidth="1"/>
    <col min="7418" max="7418" width="14.44140625" style="19" customWidth="1"/>
    <col min="7419" max="7419" width="7.21875" style="19" customWidth="1"/>
    <col min="7420" max="7420" width="5.5546875" style="19" customWidth="1"/>
    <col min="7421" max="7421" width="9" style="19" customWidth="1"/>
    <col min="7422" max="7423" width="9.77734375" style="19" customWidth="1"/>
    <col min="7424" max="7424" width="11.21875" style="19" customWidth="1"/>
    <col min="7425" max="7425" width="2.77734375" style="19" customWidth="1"/>
    <col min="7426" max="7426" width="3.5546875" style="19" customWidth="1"/>
    <col min="7427" max="7671" width="9.21875" style="19"/>
    <col min="7672" max="7672" width="8.77734375" style="19" customWidth="1"/>
    <col min="7673" max="7673" width="9.77734375" style="19" customWidth="1"/>
    <col min="7674" max="7674" width="14.44140625" style="19" customWidth="1"/>
    <col min="7675" max="7675" width="7.21875" style="19" customWidth="1"/>
    <col min="7676" max="7676" width="5.5546875" style="19" customWidth="1"/>
    <col min="7677" max="7677" width="9" style="19" customWidth="1"/>
    <col min="7678" max="7679" width="9.77734375" style="19" customWidth="1"/>
    <col min="7680" max="7680" width="11.21875" style="19" customWidth="1"/>
    <col min="7681" max="7681" width="2.77734375" style="19" customWidth="1"/>
    <col min="7682" max="7682" width="3.5546875" style="19" customWidth="1"/>
    <col min="7683" max="7927" width="9.21875" style="19"/>
    <col min="7928" max="7928" width="8.77734375" style="19" customWidth="1"/>
    <col min="7929" max="7929" width="9.77734375" style="19" customWidth="1"/>
    <col min="7930" max="7930" width="14.44140625" style="19" customWidth="1"/>
    <col min="7931" max="7931" width="7.21875" style="19" customWidth="1"/>
    <col min="7932" max="7932" width="5.5546875" style="19" customWidth="1"/>
    <col min="7933" max="7933" width="9" style="19" customWidth="1"/>
    <col min="7934" max="7935" width="9.77734375" style="19" customWidth="1"/>
    <col min="7936" max="7936" width="11.21875" style="19" customWidth="1"/>
    <col min="7937" max="7937" width="2.77734375" style="19" customWidth="1"/>
    <col min="7938" max="7938" width="3.5546875" style="19" customWidth="1"/>
    <col min="7939" max="8183" width="9.21875" style="19"/>
    <col min="8184" max="8184" width="8.77734375" style="19" customWidth="1"/>
    <col min="8185" max="8185" width="9.77734375" style="19" customWidth="1"/>
    <col min="8186" max="8186" width="14.44140625" style="19" customWidth="1"/>
    <col min="8187" max="8187" width="7.21875" style="19" customWidth="1"/>
    <col min="8188" max="8188" width="5.5546875" style="19" customWidth="1"/>
    <col min="8189" max="8189" width="9" style="19" customWidth="1"/>
    <col min="8190" max="8191" width="9.77734375" style="19" customWidth="1"/>
    <col min="8192" max="8192" width="11.21875" style="19" customWidth="1"/>
    <col min="8193" max="8193" width="2.77734375" style="19" customWidth="1"/>
    <col min="8194" max="8194" width="3.5546875" style="19" customWidth="1"/>
    <col min="8195" max="8439" width="9.21875" style="19"/>
    <col min="8440" max="8440" width="8.77734375" style="19" customWidth="1"/>
    <col min="8441" max="8441" width="9.77734375" style="19" customWidth="1"/>
    <col min="8442" max="8442" width="14.44140625" style="19" customWidth="1"/>
    <col min="8443" max="8443" width="7.21875" style="19" customWidth="1"/>
    <col min="8444" max="8444" width="5.5546875" style="19" customWidth="1"/>
    <col min="8445" max="8445" width="9" style="19" customWidth="1"/>
    <col min="8446" max="8447" width="9.77734375" style="19" customWidth="1"/>
    <col min="8448" max="8448" width="11.21875" style="19" customWidth="1"/>
    <col min="8449" max="8449" width="2.77734375" style="19" customWidth="1"/>
    <col min="8450" max="8450" width="3.5546875" style="19" customWidth="1"/>
    <col min="8451" max="8695" width="9.21875" style="19"/>
    <col min="8696" max="8696" width="8.77734375" style="19" customWidth="1"/>
    <col min="8697" max="8697" width="9.77734375" style="19" customWidth="1"/>
    <col min="8698" max="8698" width="14.44140625" style="19" customWidth="1"/>
    <col min="8699" max="8699" width="7.21875" style="19" customWidth="1"/>
    <col min="8700" max="8700" width="5.5546875" style="19" customWidth="1"/>
    <col min="8701" max="8701" width="9" style="19" customWidth="1"/>
    <col min="8702" max="8703" width="9.77734375" style="19" customWidth="1"/>
    <col min="8704" max="8704" width="11.21875" style="19" customWidth="1"/>
    <col min="8705" max="8705" width="2.77734375" style="19" customWidth="1"/>
    <col min="8706" max="8706" width="3.5546875" style="19" customWidth="1"/>
    <col min="8707" max="8951" width="9.21875" style="19"/>
    <col min="8952" max="8952" width="8.77734375" style="19" customWidth="1"/>
    <col min="8953" max="8953" width="9.77734375" style="19" customWidth="1"/>
    <col min="8954" max="8954" width="14.44140625" style="19" customWidth="1"/>
    <col min="8955" max="8955" width="7.21875" style="19" customWidth="1"/>
    <col min="8956" max="8956" width="5.5546875" style="19" customWidth="1"/>
    <col min="8957" max="8957" width="9" style="19" customWidth="1"/>
    <col min="8958" max="8959" width="9.77734375" style="19" customWidth="1"/>
    <col min="8960" max="8960" width="11.21875" style="19" customWidth="1"/>
    <col min="8961" max="8961" width="2.77734375" style="19" customWidth="1"/>
    <col min="8962" max="8962" width="3.5546875" style="19" customWidth="1"/>
    <col min="8963" max="9207" width="9.21875" style="19"/>
    <col min="9208" max="9208" width="8.77734375" style="19" customWidth="1"/>
    <col min="9209" max="9209" width="9.77734375" style="19" customWidth="1"/>
    <col min="9210" max="9210" width="14.44140625" style="19" customWidth="1"/>
    <col min="9211" max="9211" width="7.21875" style="19" customWidth="1"/>
    <col min="9212" max="9212" width="5.5546875" style="19" customWidth="1"/>
    <col min="9213" max="9213" width="9" style="19" customWidth="1"/>
    <col min="9214" max="9215" width="9.77734375" style="19" customWidth="1"/>
    <col min="9216" max="9216" width="11.21875" style="19" customWidth="1"/>
    <col min="9217" max="9217" width="2.77734375" style="19" customWidth="1"/>
    <col min="9218" max="9218" width="3.5546875" style="19" customWidth="1"/>
    <col min="9219" max="9463" width="9.21875" style="19"/>
    <col min="9464" max="9464" width="8.77734375" style="19" customWidth="1"/>
    <col min="9465" max="9465" width="9.77734375" style="19" customWidth="1"/>
    <col min="9466" max="9466" width="14.44140625" style="19" customWidth="1"/>
    <col min="9467" max="9467" width="7.21875" style="19" customWidth="1"/>
    <col min="9468" max="9468" width="5.5546875" style="19" customWidth="1"/>
    <col min="9469" max="9469" width="9" style="19" customWidth="1"/>
    <col min="9470" max="9471" width="9.77734375" style="19" customWidth="1"/>
    <col min="9472" max="9472" width="11.21875" style="19" customWidth="1"/>
    <col min="9473" max="9473" width="2.77734375" style="19" customWidth="1"/>
    <col min="9474" max="9474" width="3.5546875" style="19" customWidth="1"/>
    <col min="9475" max="9719" width="9.21875" style="19"/>
    <col min="9720" max="9720" width="8.77734375" style="19" customWidth="1"/>
    <col min="9721" max="9721" width="9.77734375" style="19" customWidth="1"/>
    <col min="9722" max="9722" width="14.44140625" style="19" customWidth="1"/>
    <col min="9723" max="9723" width="7.21875" style="19" customWidth="1"/>
    <col min="9724" max="9724" width="5.5546875" style="19" customWidth="1"/>
    <col min="9725" max="9725" width="9" style="19" customWidth="1"/>
    <col min="9726" max="9727" width="9.77734375" style="19" customWidth="1"/>
    <col min="9728" max="9728" width="11.21875" style="19" customWidth="1"/>
    <col min="9729" max="9729" width="2.77734375" style="19" customWidth="1"/>
    <col min="9730" max="9730" width="3.5546875" style="19" customWidth="1"/>
    <col min="9731" max="9975" width="9.21875" style="19"/>
    <col min="9976" max="9976" width="8.77734375" style="19" customWidth="1"/>
    <col min="9977" max="9977" width="9.77734375" style="19" customWidth="1"/>
    <col min="9978" max="9978" width="14.44140625" style="19" customWidth="1"/>
    <col min="9979" max="9979" width="7.21875" style="19" customWidth="1"/>
    <col min="9980" max="9980" width="5.5546875" style="19" customWidth="1"/>
    <col min="9981" max="9981" width="9" style="19" customWidth="1"/>
    <col min="9982" max="9983" width="9.77734375" style="19" customWidth="1"/>
    <col min="9984" max="9984" width="11.21875" style="19" customWidth="1"/>
    <col min="9985" max="9985" width="2.77734375" style="19" customWidth="1"/>
    <col min="9986" max="9986" width="3.5546875" style="19" customWidth="1"/>
    <col min="9987" max="10231" width="9.21875" style="19"/>
    <col min="10232" max="10232" width="8.77734375" style="19" customWidth="1"/>
    <col min="10233" max="10233" width="9.77734375" style="19" customWidth="1"/>
    <col min="10234" max="10234" width="14.44140625" style="19" customWidth="1"/>
    <col min="10235" max="10235" width="7.21875" style="19" customWidth="1"/>
    <col min="10236" max="10236" width="5.5546875" style="19" customWidth="1"/>
    <col min="10237" max="10237" width="9" style="19" customWidth="1"/>
    <col min="10238" max="10239" width="9.77734375" style="19" customWidth="1"/>
    <col min="10240" max="10240" width="11.21875" style="19" customWidth="1"/>
    <col min="10241" max="10241" width="2.77734375" style="19" customWidth="1"/>
    <col min="10242" max="10242" width="3.5546875" style="19" customWidth="1"/>
    <col min="10243" max="10487" width="9.21875" style="19"/>
    <col min="10488" max="10488" width="8.77734375" style="19" customWidth="1"/>
    <col min="10489" max="10489" width="9.77734375" style="19" customWidth="1"/>
    <col min="10490" max="10490" width="14.44140625" style="19" customWidth="1"/>
    <col min="10491" max="10491" width="7.21875" style="19" customWidth="1"/>
    <col min="10492" max="10492" width="5.5546875" style="19" customWidth="1"/>
    <col min="10493" max="10493" width="9" style="19" customWidth="1"/>
    <col min="10494" max="10495" width="9.77734375" style="19" customWidth="1"/>
    <col min="10496" max="10496" width="11.21875" style="19" customWidth="1"/>
    <col min="10497" max="10497" width="2.77734375" style="19" customWidth="1"/>
    <col min="10498" max="10498" width="3.5546875" style="19" customWidth="1"/>
    <col min="10499" max="10743" width="9.21875" style="19"/>
    <col min="10744" max="10744" width="8.77734375" style="19" customWidth="1"/>
    <col min="10745" max="10745" width="9.77734375" style="19" customWidth="1"/>
    <col min="10746" max="10746" width="14.44140625" style="19" customWidth="1"/>
    <col min="10747" max="10747" width="7.21875" style="19" customWidth="1"/>
    <col min="10748" max="10748" width="5.5546875" style="19" customWidth="1"/>
    <col min="10749" max="10749" width="9" style="19" customWidth="1"/>
    <col min="10750" max="10751" width="9.77734375" style="19" customWidth="1"/>
    <col min="10752" max="10752" width="11.21875" style="19" customWidth="1"/>
    <col min="10753" max="10753" width="2.77734375" style="19" customWidth="1"/>
    <col min="10754" max="10754" width="3.5546875" style="19" customWidth="1"/>
    <col min="10755" max="10999" width="9.21875" style="19"/>
    <col min="11000" max="11000" width="8.77734375" style="19" customWidth="1"/>
    <col min="11001" max="11001" width="9.77734375" style="19" customWidth="1"/>
    <col min="11002" max="11002" width="14.44140625" style="19" customWidth="1"/>
    <col min="11003" max="11003" width="7.21875" style="19" customWidth="1"/>
    <col min="11004" max="11004" width="5.5546875" style="19" customWidth="1"/>
    <col min="11005" max="11005" width="9" style="19" customWidth="1"/>
    <col min="11006" max="11007" width="9.77734375" style="19" customWidth="1"/>
    <col min="11008" max="11008" width="11.21875" style="19" customWidth="1"/>
    <col min="11009" max="11009" width="2.77734375" style="19" customWidth="1"/>
    <col min="11010" max="11010" width="3.5546875" style="19" customWidth="1"/>
    <col min="11011" max="11255" width="9.21875" style="19"/>
    <col min="11256" max="11256" width="8.77734375" style="19" customWidth="1"/>
    <col min="11257" max="11257" width="9.77734375" style="19" customWidth="1"/>
    <col min="11258" max="11258" width="14.44140625" style="19" customWidth="1"/>
    <col min="11259" max="11259" width="7.21875" style="19" customWidth="1"/>
    <col min="11260" max="11260" width="5.5546875" style="19" customWidth="1"/>
    <col min="11261" max="11261" width="9" style="19" customWidth="1"/>
    <col min="11262" max="11263" width="9.77734375" style="19" customWidth="1"/>
    <col min="11264" max="11264" width="11.21875" style="19" customWidth="1"/>
    <col min="11265" max="11265" width="2.77734375" style="19" customWidth="1"/>
    <col min="11266" max="11266" width="3.5546875" style="19" customWidth="1"/>
    <col min="11267" max="11511" width="9.21875" style="19"/>
    <col min="11512" max="11512" width="8.77734375" style="19" customWidth="1"/>
    <col min="11513" max="11513" width="9.77734375" style="19" customWidth="1"/>
    <col min="11514" max="11514" width="14.44140625" style="19" customWidth="1"/>
    <col min="11515" max="11515" width="7.21875" style="19" customWidth="1"/>
    <col min="11516" max="11516" width="5.5546875" style="19" customWidth="1"/>
    <col min="11517" max="11517" width="9" style="19" customWidth="1"/>
    <col min="11518" max="11519" width="9.77734375" style="19" customWidth="1"/>
    <col min="11520" max="11520" width="11.21875" style="19" customWidth="1"/>
    <col min="11521" max="11521" width="2.77734375" style="19" customWidth="1"/>
    <col min="11522" max="11522" width="3.5546875" style="19" customWidth="1"/>
    <col min="11523" max="11767" width="9.21875" style="19"/>
    <col min="11768" max="11768" width="8.77734375" style="19" customWidth="1"/>
    <col min="11769" max="11769" width="9.77734375" style="19" customWidth="1"/>
    <col min="11770" max="11770" width="14.44140625" style="19" customWidth="1"/>
    <col min="11771" max="11771" width="7.21875" style="19" customWidth="1"/>
    <col min="11772" max="11772" width="5.5546875" style="19" customWidth="1"/>
    <col min="11773" max="11773" width="9" style="19" customWidth="1"/>
    <col min="11774" max="11775" width="9.77734375" style="19" customWidth="1"/>
    <col min="11776" max="11776" width="11.21875" style="19" customWidth="1"/>
    <col min="11777" max="11777" width="2.77734375" style="19" customWidth="1"/>
    <col min="11778" max="11778" width="3.5546875" style="19" customWidth="1"/>
    <col min="11779" max="12023" width="9.21875" style="19"/>
    <col min="12024" max="12024" width="8.77734375" style="19" customWidth="1"/>
    <col min="12025" max="12025" width="9.77734375" style="19" customWidth="1"/>
    <col min="12026" max="12026" width="14.44140625" style="19" customWidth="1"/>
    <col min="12027" max="12027" width="7.21875" style="19" customWidth="1"/>
    <col min="12028" max="12028" width="5.5546875" style="19" customWidth="1"/>
    <col min="12029" max="12029" width="9" style="19" customWidth="1"/>
    <col min="12030" max="12031" width="9.77734375" style="19" customWidth="1"/>
    <col min="12032" max="12032" width="11.21875" style="19" customWidth="1"/>
    <col min="12033" max="12033" width="2.77734375" style="19" customWidth="1"/>
    <col min="12034" max="12034" width="3.5546875" style="19" customWidth="1"/>
    <col min="12035" max="12279" width="9.21875" style="19"/>
    <col min="12280" max="12280" width="8.77734375" style="19" customWidth="1"/>
    <col min="12281" max="12281" width="9.77734375" style="19" customWidth="1"/>
    <col min="12282" max="12282" width="14.44140625" style="19" customWidth="1"/>
    <col min="12283" max="12283" width="7.21875" style="19" customWidth="1"/>
    <col min="12284" max="12284" width="5.5546875" style="19" customWidth="1"/>
    <col min="12285" max="12285" width="9" style="19" customWidth="1"/>
    <col min="12286" max="12287" width="9.77734375" style="19" customWidth="1"/>
    <col min="12288" max="12288" width="11.21875" style="19" customWidth="1"/>
    <col min="12289" max="12289" width="2.77734375" style="19" customWidth="1"/>
    <col min="12290" max="12290" width="3.5546875" style="19" customWidth="1"/>
    <col min="12291" max="12535" width="9.21875" style="19"/>
    <col min="12536" max="12536" width="8.77734375" style="19" customWidth="1"/>
    <col min="12537" max="12537" width="9.77734375" style="19" customWidth="1"/>
    <col min="12538" max="12538" width="14.44140625" style="19" customWidth="1"/>
    <col min="12539" max="12539" width="7.21875" style="19" customWidth="1"/>
    <col min="12540" max="12540" width="5.5546875" style="19" customWidth="1"/>
    <col min="12541" max="12541" width="9" style="19" customWidth="1"/>
    <col min="12542" max="12543" width="9.77734375" style="19" customWidth="1"/>
    <col min="12544" max="12544" width="11.21875" style="19" customWidth="1"/>
    <col min="12545" max="12545" width="2.77734375" style="19" customWidth="1"/>
    <col min="12546" max="12546" width="3.5546875" style="19" customWidth="1"/>
    <col min="12547" max="12791" width="9.21875" style="19"/>
    <col min="12792" max="12792" width="8.77734375" style="19" customWidth="1"/>
    <col min="12793" max="12793" width="9.77734375" style="19" customWidth="1"/>
    <col min="12794" max="12794" width="14.44140625" style="19" customWidth="1"/>
    <col min="12795" max="12795" width="7.21875" style="19" customWidth="1"/>
    <col min="12796" max="12796" width="5.5546875" style="19" customWidth="1"/>
    <col min="12797" max="12797" width="9" style="19" customWidth="1"/>
    <col min="12798" max="12799" width="9.77734375" style="19" customWidth="1"/>
    <col min="12800" max="12800" width="11.21875" style="19" customWidth="1"/>
    <col min="12801" max="12801" width="2.77734375" style="19" customWidth="1"/>
    <col min="12802" max="12802" width="3.5546875" style="19" customWidth="1"/>
    <col min="12803" max="13047" width="9.21875" style="19"/>
    <col min="13048" max="13048" width="8.77734375" style="19" customWidth="1"/>
    <col min="13049" max="13049" width="9.77734375" style="19" customWidth="1"/>
    <col min="13050" max="13050" width="14.44140625" style="19" customWidth="1"/>
    <col min="13051" max="13051" width="7.21875" style="19" customWidth="1"/>
    <col min="13052" max="13052" width="5.5546875" style="19" customWidth="1"/>
    <col min="13053" max="13053" width="9" style="19" customWidth="1"/>
    <col min="13054" max="13055" width="9.77734375" style="19" customWidth="1"/>
    <col min="13056" max="13056" width="11.21875" style="19" customWidth="1"/>
    <col min="13057" max="13057" width="2.77734375" style="19" customWidth="1"/>
    <col min="13058" max="13058" width="3.5546875" style="19" customWidth="1"/>
    <col min="13059" max="13303" width="9.21875" style="19"/>
    <col min="13304" max="13304" width="8.77734375" style="19" customWidth="1"/>
    <col min="13305" max="13305" width="9.77734375" style="19" customWidth="1"/>
    <col min="13306" max="13306" width="14.44140625" style="19" customWidth="1"/>
    <col min="13307" max="13307" width="7.21875" style="19" customWidth="1"/>
    <col min="13308" max="13308" width="5.5546875" style="19" customWidth="1"/>
    <col min="13309" max="13309" width="9" style="19" customWidth="1"/>
    <col min="13310" max="13311" width="9.77734375" style="19" customWidth="1"/>
    <col min="13312" max="13312" width="11.21875" style="19" customWidth="1"/>
    <col min="13313" max="13313" width="2.77734375" style="19" customWidth="1"/>
    <col min="13314" max="13314" width="3.5546875" style="19" customWidth="1"/>
    <col min="13315" max="13559" width="9.21875" style="19"/>
    <col min="13560" max="13560" width="8.77734375" style="19" customWidth="1"/>
    <col min="13561" max="13561" width="9.77734375" style="19" customWidth="1"/>
    <col min="13562" max="13562" width="14.44140625" style="19" customWidth="1"/>
    <col min="13563" max="13563" width="7.21875" style="19" customWidth="1"/>
    <col min="13564" max="13564" width="5.5546875" style="19" customWidth="1"/>
    <col min="13565" max="13565" width="9" style="19" customWidth="1"/>
    <col min="13566" max="13567" width="9.77734375" style="19" customWidth="1"/>
    <col min="13568" max="13568" width="11.21875" style="19" customWidth="1"/>
    <col min="13569" max="13569" width="2.77734375" style="19" customWidth="1"/>
    <col min="13570" max="13570" width="3.5546875" style="19" customWidth="1"/>
    <col min="13571" max="13815" width="9.21875" style="19"/>
    <col min="13816" max="13816" width="8.77734375" style="19" customWidth="1"/>
    <col min="13817" max="13817" width="9.77734375" style="19" customWidth="1"/>
    <col min="13818" max="13818" width="14.44140625" style="19" customWidth="1"/>
    <col min="13819" max="13819" width="7.21875" style="19" customWidth="1"/>
    <col min="13820" max="13820" width="5.5546875" style="19" customWidth="1"/>
    <col min="13821" max="13821" width="9" style="19" customWidth="1"/>
    <col min="13822" max="13823" width="9.77734375" style="19" customWidth="1"/>
    <col min="13824" max="13824" width="11.21875" style="19" customWidth="1"/>
    <col min="13825" max="13825" width="2.77734375" style="19" customWidth="1"/>
    <col min="13826" max="13826" width="3.5546875" style="19" customWidth="1"/>
    <col min="13827" max="14071" width="9.21875" style="19"/>
    <col min="14072" max="14072" width="8.77734375" style="19" customWidth="1"/>
    <col min="14073" max="14073" width="9.77734375" style="19" customWidth="1"/>
    <col min="14074" max="14074" width="14.44140625" style="19" customWidth="1"/>
    <col min="14075" max="14075" width="7.21875" style="19" customWidth="1"/>
    <col min="14076" max="14076" width="5.5546875" style="19" customWidth="1"/>
    <col min="14077" max="14077" width="9" style="19" customWidth="1"/>
    <col min="14078" max="14079" width="9.77734375" style="19" customWidth="1"/>
    <col min="14080" max="14080" width="11.21875" style="19" customWidth="1"/>
    <col min="14081" max="14081" width="2.77734375" style="19" customWidth="1"/>
    <col min="14082" max="14082" width="3.5546875" style="19" customWidth="1"/>
    <col min="14083" max="14327" width="9.21875" style="19"/>
    <col min="14328" max="14328" width="8.77734375" style="19" customWidth="1"/>
    <col min="14329" max="14329" width="9.77734375" style="19" customWidth="1"/>
    <col min="14330" max="14330" width="14.44140625" style="19" customWidth="1"/>
    <col min="14331" max="14331" width="7.21875" style="19" customWidth="1"/>
    <col min="14332" max="14332" width="5.5546875" style="19" customWidth="1"/>
    <col min="14333" max="14333" width="9" style="19" customWidth="1"/>
    <col min="14334" max="14335" width="9.77734375" style="19" customWidth="1"/>
    <col min="14336" max="14336" width="11.21875" style="19" customWidth="1"/>
    <col min="14337" max="14337" width="2.77734375" style="19" customWidth="1"/>
    <col min="14338" max="14338" width="3.5546875" style="19" customWidth="1"/>
    <col min="14339" max="14583" width="9.21875" style="19"/>
    <col min="14584" max="14584" width="8.77734375" style="19" customWidth="1"/>
    <col min="14585" max="14585" width="9.77734375" style="19" customWidth="1"/>
    <col min="14586" max="14586" width="14.44140625" style="19" customWidth="1"/>
    <col min="14587" max="14587" width="7.21875" style="19" customWidth="1"/>
    <col min="14588" max="14588" width="5.5546875" style="19" customWidth="1"/>
    <col min="14589" max="14589" width="9" style="19" customWidth="1"/>
    <col min="14590" max="14591" width="9.77734375" style="19" customWidth="1"/>
    <col min="14592" max="14592" width="11.21875" style="19" customWidth="1"/>
    <col min="14593" max="14593" width="2.77734375" style="19" customWidth="1"/>
    <col min="14594" max="14594" width="3.5546875" style="19" customWidth="1"/>
    <col min="14595" max="14839" width="9.21875" style="19"/>
    <col min="14840" max="14840" width="8.77734375" style="19" customWidth="1"/>
    <col min="14841" max="14841" width="9.77734375" style="19" customWidth="1"/>
    <col min="14842" max="14842" width="14.44140625" style="19" customWidth="1"/>
    <col min="14843" max="14843" width="7.21875" style="19" customWidth="1"/>
    <col min="14844" max="14844" width="5.5546875" style="19" customWidth="1"/>
    <col min="14845" max="14845" width="9" style="19" customWidth="1"/>
    <col min="14846" max="14847" width="9.77734375" style="19" customWidth="1"/>
    <col min="14848" max="14848" width="11.21875" style="19" customWidth="1"/>
    <col min="14849" max="14849" width="2.77734375" style="19" customWidth="1"/>
    <col min="14850" max="14850" width="3.5546875" style="19" customWidth="1"/>
    <col min="14851" max="15095" width="9.21875" style="19"/>
    <col min="15096" max="15096" width="8.77734375" style="19" customWidth="1"/>
    <col min="15097" max="15097" width="9.77734375" style="19" customWidth="1"/>
    <col min="15098" max="15098" width="14.44140625" style="19" customWidth="1"/>
    <col min="15099" max="15099" width="7.21875" style="19" customWidth="1"/>
    <col min="15100" max="15100" width="5.5546875" style="19" customWidth="1"/>
    <col min="15101" max="15101" width="9" style="19" customWidth="1"/>
    <col min="15102" max="15103" width="9.77734375" style="19" customWidth="1"/>
    <col min="15104" max="15104" width="11.21875" style="19" customWidth="1"/>
    <col min="15105" max="15105" width="2.77734375" style="19" customWidth="1"/>
    <col min="15106" max="15106" width="3.5546875" style="19" customWidth="1"/>
    <col min="15107" max="15351" width="9.21875" style="19"/>
    <col min="15352" max="15352" width="8.77734375" style="19" customWidth="1"/>
    <col min="15353" max="15353" width="9.77734375" style="19" customWidth="1"/>
    <col min="15354" max="15354" width="14.44140625" style="19" customWidth="1"/>
    <col min="15355" max="15355" width="7.21875" style="19" customWidth="1"/>
    <col min="15356" max="15356" width="5.5546875" style="19" customWidth="1"/>
    <col min="15357" max="15357" width="9" style="19" customWidth="1"/>
    <col min="15358" max="15359" width="9.77734375" style="19" customWidth="1"/>
    <col min="15360" max="15360" width="11.21875" style="19" customWidth="1"/>
    <col min="15361" max="15361" width="2.77734375" style="19" customWidth="1"/>
    <col min="15362" max="15362" width="3.5546875" style="19" customWidth="1"/>
    <col min="15363" max="15607" width="9.21875" style="19"/>
    <col min="15608" max="15608" width="8.77734375" style="19" customWidth="1"/>
    <col min="15609" max="15609" width="9.77734375" style="19" customWidth="1"/>
    <col min="15610" max="15610" width="14.44140625" style="19" customWidth="1"/>
    <col min="15611" max="15611" width="7.21875" style="19" customWidth="1"/>
    <col min="15612" max="15612" width="5.5546875" style="19" customWidth="1"/>
    <col min="15613" max="15613" width="9" style="19" customWidth="1"/>
    <col min="15614" max="15615" width="9.77734375" style="19" customWidth="1"/>
    <col min="15616" max="15616" width="11.21875" style="19" customWidth="1"/>
    <col min="15617" max="15617" width="2.77734375" style="19" customWidth="1"/>
    <col min="15618" max="15618" width="3.5546875" style="19" customWidth="1"/>
    <col min="15619" max="15863" width="9.21875" style="19"/>
    <col min="15864" max="15864" width="8.77734375" style="19" customWidth="1"/>
    <col min="15865" max="15865" width="9.77734375" style="19" customWidth="1"/>
    <col min="15866" max="15866" width="14.44140625" style="19" customWidth="1"/>
    <col min="15867" max="15867" width="7.21875" style="19" customWidth="1"/>
    <col min="15868" max="15868" width="5.5546875" style="19" customWidth="1"/>
    <col min="15869" max="15869" width="9" style="19" customWidth="1"/>
    <col min="15870" max="15871" width="9.77734375" style="19" customWidth="1"/>
    <col min="15872" max="15872" width="11.21875" style="19" customWidth="1"/>
    <col min="15873" max="15873" width="2.77734375" style="19" customWidth="1"/>
    <col min="15874" max="15874" width="3.5546875" style="19" customWidth="1"/>
    <col min="15875" max="16119" width="9.21875" style="19"/>
    <col min="16120" max="16120" width="8.77734375" style="19" customWidth="1"/>
    <col min="16121" max="16121" width="9.77734375" style="19" customWidth="1"/>
    <col min="16122" max="16122" width="14.44140625" style="19" customWidth="1"/>
    <col min="16123" max="16123" width="7.21875" style="19" customWidth="1"/>
    <col min="16124" max="16124" width="5.5546875" style="19" customWidth="1"/>
    <col min="16125" max="16125" width="9" style="19" customWidth="1"/>
    <col min="16126" max="16127" width="9.77734375" style="19" customWidth="1"/>
    <col min="16128" max="16128" width="11.21875" style="19" customWidth="1"/>
    <col min="16129" max="16129" width="2.77734375" style="19" customWidth="1"/>
    <col min="16130" max="16130" width="3.5546875" style="19" customWidth="1"/>
    <col min="16131" max="16384" width="9.21875" style="19"/>
  </cols>
  <sheetData>
    <row r="1" spans="1:8" ht="46.5" customHeight="1" x14ac:dyDescent="0.3">
      <c r="A1" s="113" t="s">
        <v>170</v>
      </c>
      <c r="B1" s="113"/>
      <c r="C1" s="113"/>
      <c r="D1" s="113"/>
      <c r="E1" s="113"/>
      <c r="F1" s="113"/>
      <c r="G1" s="113"/>
      <c r="H1" s="113"/>
    </row>
    <row r="2" spans="1:8" ht="16.5" customHeight="1" x14ac:dyDescent="0.3">
      <c r="A2" s="104" t="s">
        <v>0</v>
      </c>
      <c r="B2" s="104"/>
      <c r="C2" s="104"/>
      <c r="D2" s="104"/>
      <c r="E2" s="104"/>
      <c r="F2" s="104"/>
      <c r="G2" s="104"/>
      <c r="H2" s="104"/>
    </row>
    <row r="3" spans="1:8" x14ac:dyDescent="0.3">
      <c r="A3" s="103" t="s">
        <v>1</v>
      </c>
      <c r="B3" s="103"/>
      <c r="C3" s="103"/>
      <c r="D3" s="103"/>
      <c r="E3" s="103" t="str">
        <f ca="1">TEXT(TODAY(),"DD/MM/YYYY")</f>
        <v>22/08/2025</v>
      </c>
      <c r="F3" s="103"/>
      <c r="G3" s="103"/>
      <c r="H3" s="103"/>
    </row>
    <row r="4" spans="1:8" ht="15" customHeight="1" x14ac:dyDescent="0.3">
      <c r="A4" s="103" t="s">
        <v>2</v>
      </c>
      <c r="B4" s="103"/>
      <c r="C4" s="103"/>
      <c r="D4" s="103"/>
      <c r="E4" s="103" t="s">
        <v>169</v>
      </c>
      <c r="F4" s="103"/>
      <c r="G4" s="103"/>
      <c r="H4" s="103"/>
    </row>
    <row r="5" spans="1:8" x14ac:dyDescent="0.3">
      <c r="A5" s="103" t="s">
        <v>3</v>
      </c>
      <c r="B5" s="103"/>
      <c r="C5" s="103"/>
      <c r="D5" s="103"/>
      <c r="E5" s="115">
        <v>45889</v>
      </c>
      <c r="F5" s="103"/>
      <c r="G5" s="103"/>
      <c r="H5" s="103"/>
    </row>
    <row r="6" spans="1:8" ht="16.5" customHeight="1" x14ac:dyDescent="0.3">
      <c r="A6" s="103" t="s">
        <v>4</v>
      </c>
      <c r="B6" s="103"/>
      <c r="C6" s="103"/>
      <c r="D6" s="103"/>
      <c r="E6" s="103" t="s">
        <v>173</v>
      </c>
      <c r="F6" s="103"/>
      <c r="G6" s="103"/>
      <c r="H6" s="103"/>
    </row>
    <row r="7" spans="1:8" ht="15" customHeight="1" x14ac:dyDescent="0.3">
      <c r="A7" s="103" t="s">
        <v>5</v>
      </c>
      <c r="B7" s="103"/>
      <c r="C7" s="103"/>
      <c r="D7" s="103"/>
      <c r="E7" s="103" t="str">
        <f>E6</f>
        <v>Nhi Developers LLP</v>
      </c>
      <c r="F7" s="103"/>
      <c r="G7" s="103"/>
      <c r="H7" s="103"/>
    </row>
    <row r="8" spans="1:8" x14ac:dyDescent="0.3">
      <c r="A8" s="103" t="s">
        <v>6</v>
      </c>
      <c r="B8" s="103"/>
      <c r="C8" s="103"/>
      <c r="D8" s="103"/>
      <c r="E8" s="114" t="s">
        <v>237</v>
      </c>
      <c r="F8" s="114"/>
      <c r="G8" s="114"/>
      <c r="H8" s="114"/>
    </row>
    <row r="9" spans="1:8" x14ac:dyDescent="0.3">
      <c r="A9" s="103" t="s">
        <v>166</v>
      </c>
      <c r="B9" s="103"/>
      <c r="C9" s="103"/>
      <c r="D9" s="103"/>
      <c r="E9" s="103" t="s">
        <v>174</v>
      </c>
      <c r="F9" s="103"/>
      <c r="G9" s="103"/>
      <c r="H9" s="103"/>
    </row>
    <row r="10" spans="1:8" x14ac:dyDescent="0.3">
      <c r="A10" s="103" t="s">
        <v>167</v>
      </c>
      <c r="B10" s="103"/>
      <c r="C10" s="103"/>
      <c r="D10" s="103"/>
      <c r="E10" s="103" t="s">
        <v>259</v>
      </c>
      <c r="F10" s="103"/>
      <c r="G10" s="103"/>
      <c r="H10" s="103"/>
    </row>
    <row r="11" spans="1:8" x14ac:dyDescent="0.3">
      <c r="A11" s="103" t="s">
        <v>7</v>
      </c>
      <c r="B11" s="103"/>
      <c r="C11" s="103"/>
      <c r="D11" s="103"/>
      <c r="E11" s="103" t="s">
        <v>242</v>
      </c>
      <c r="F11" s="103"/>
      <c r="G11" s="103"/>
      <c r="H11" s="103"/>
    </row>
    <row r="12" spans="1:8" x14ac:dyDescent="0.3">
      <c r="A12" s="103" t="s">
        <v>176</v>
      </c>
      <c r="B12" s="103"/>
      <c r="C12" s="103"/>
      <c r="D12" s="103"/>
      <c r="E12" s="103" t="s">
        <v>177</v>
      </c>
      <c r="F12" s="103"/>
      <c r="G12" s="103"/>
      <c r="H12" s="103"/>
    </row>
    <row r="13" spans="1:8" s="21" customFormat="1" x14ac:dyDescent="0.3">
      <c r="A13" s="103" t="s">
        <v>8</v>
      </c>
      <c r="B13" s="103"/>
      <c r="C13" s="103"/>
      <c r="D13" s="103"/>
      <c r="E13" s="106" t="s">
        <v>203</v>
      </c>
      <c r="F13" s="106"/>
      <c r="G13" s="106"/>
      <c r="H13" s="106"/>
    </row>
    <row r="14" spans="1:8" x14ac:dyDescent="0.3">
      <c r="A14" s="85" t="s">
        <v>9</v>
      </c>
      <c r="B14" s="85"/>
      <c r="C14" s="85"/>
      <c r="D14" s="85"/>
      <c r="E14" s="106" t="s">
        <v>172</v>
      </c>
      <c r="F14" s="103"/>
      <c r="G14" s="103"/>
      <c r="H14" s="103"/>
    </row>
    <row r="15" spans="1:8" ht="47.25" customHeight="1" x14ac:dyDescent="0.3">
      <c r="A15" s="100" t="s">
        <v>10</v>
      </c>
      <c r="B15" s="100"/>
      <c r="C15" s="10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Akshaya and Jayshree Redevelopment, CTS No.263/B &amp; Redevelopment of Akshaya &amp; Jayshree CHS LTD, near Jai Abhilasha CHS, Mahisha Mardini Temple Road, Jayraj Nagar, Borivali, Borivali (W), Borivali, Mumbai - 400092.</v>
      </c>
      <c r="D15" s="100"/>
      <c r="E15" s="100"/>
      <c r="F15" s="100"/>
      <c r="G15" s="100"/>
      <c r="H15" s="100"/>
    </row>
    <row r="16" spans="1:8" s="21" customFormat="1" ht="15.75" customHeight="1" x14ac:dyDescent="0.3">
      <c r="A16" s="106" t="s">
        <v>175</v>
      </c>
      <c r="B16" s="106"/>
      <c r="C16" s="106" t="s">
        <v>236</v>
      </c>
      <c r="D16" s="106"/>
      <c r="E16" s="106"/>
      <c r="F16" s="106"/>
      <c r="G16" s="106"/>
      <c r="H16" s="106"/>
    </row>
    <row r="17" spans="1:8" ht="15.75" customHeight="1" x14ac:dyDescent="0.3">
      <c r="A17" s="106" t="s">
        <v>165</v>
      </c>
      <c r="B17" s="106"/>
      <c r="C17" s="106" t="s">
        <v>178</v>
      </c>
      <c r="D17" s="106"/>
      <c r="E17" s="106"/>
      <c r="F17" s="106"/>
      <c r="G17" s="106"/>
      <c r="H17" s="106"/>
    </row>
    <row r="18" spans="1:8" ht="15.75" customHeight="1" x14ac:dyDescent="0.3">
      <c r="A18" s="100" t="s">
        <v>11</v>
      </c>
      <c r="B18" s="100"/>
      <c r="C18" s="103" t="s">
        <v>179</v>
      </c>
      <c r="D18" s="103"/>
      <c r="E18" s="100" t="s">
        <v>72</v>
      </c>
      <c r="F18" s="100"/>
      <c r="G18" s="106" t="s">
        <v>180</v>
      </c>
      <c r="H18" s="106"/>
    </row>
    <row r="19" spans="1:8" x14ac:dyDescent="0.3">
      <c r="A19" s="85" t="s">
        <v>13</v>
      </c>
      <c r="B19" s="85"/>
      <c r="C19" s="106" t="s">
        <v>182</v>
      </c>
      <c r="D19" s="106"/>
      <c r="E19" s="100" t="s">
        <v>12</v>
      </c>
      <c r="F19" s="100"/>
      <c r="G19" s="112" t="s">
        <v>181</v>
      </c>
      <c r="H19" s="112"/>
    </row>
    <row r="20" spans="1:8" x14ac:dyDescent="0.3">
      <c r="A20" s="85" t="s">
        <v>73</v>
      </c>
      <c r="B20" s="85"/>
      <c r="C20" s="106" t="s">
        <v>180</v>
      </c>
      <c r="D20" s="106"/>
      <c r="E20" s="100" t="s">
        <v>14</v>
      </c>
      <c r="F20" s="100"/>
      <c r="G20" s="106">
        <v>400092</v>
      </c>
      <c r="H20" s="106"/>
    </row>
    <row r="21" spans="1:8" ht="32.25" customHeight="1" x14ac:dyDescent="0.3">
      <c r="A21" s="85" t="s">
        <v>122</v>
      </c>
      <c r="B21" s="85"/>
      <c r="C21" s="106" t="s">
        <v>198</v>
      </c>
      <c r="D21" s="106"/>
      <c r="E21" s="100" t="s">
        <v>15</v>
      </c>
      <c r="F21" s="100"/>
      <c r="G21" s="106" t="s">
        <v>202</v>
      </c>
      <c r="H21" s="106"/>
    </row>
    <row r="22" spans="1:8" ht="15" customHeight="1" x14ac:dyDescent="0.3">
      <c r="A22" s="100" t="s">
        <v>75</v>
      </c>
      <c r="B22" s="100"/>
      <c r="C22" s="100"/>
      <c r="D22" s="100"/>
      <c r="E22" s="103" t="s">
        <v>16</v>
      </c>
      <c r="F22" s="103"/>
      <c r="G22" s="103"/>
      <c r="H22" s="103"/>
    </row>
    <row r="23" spans="1:8" ht="18.75" customHeight="1" x14ac:dyDescent="0.3">
      <c r="A23" s="100"/>
      <c r="B23" s="100"/>
      <c r="C23" s="100"/>
      <c r="D23" s="100"/>
      <c r="E23" s="103"/>
      <c r="F23" s="103"/>
      <c r="G23" s="103"/>
      <c r="H23" s="103"/>
    </row>
    <row r="24" spans="1:8" ht="15" customHeight="1" x14ac:dyDescent="0.3">
      <c r="A24" s="100" t="s">
        <v>17</v>
      </c>
      <c r="B24" s="100"/>
      <c r="C24" s="100"/>
      <c r="D24" s="100"/>
      <c r="E24" s="106" t="s">
        <v>18</v>
      </c>
      <c r="F24" s="106"/>
      <c r="G24" s="106"/>
      <c r="H24" s="106"/>
    </row>
    <row r="25" spans="1:8" ht="15" customHeight="1" x14ac:dyDescent="0.3">
      <c r="A25" s="85" t="s">
        <v>19</v>
      </c>
      <c r="B25" s="85"/>
      <c r="C25" s="85"/>
      <c r="D25" s="85"/>
      <c r="E25" s="106" t="str">
        <f>IF(AND(G19="Mumbai"),"Upper Class","Middle Class")</f>
        <v>Upper Class</v>
      </c>
      <c r="F25" s="106"/>
      <c r="G25" s="106"/>
      <c r="H25" s="106"/>
    </row>
    <row r="26" spans="1:8" x14ac:dyDescent="0.3">
      <c r="A26" s="85" t="s">
        <v>20</v>
      </c>
      <c r="B26" s="85"/>
      <c r="C26" s="85"/>
      <c r="D26" s="85"/>
      <c r="E26" s="106" t="s">
        <v>21</v>
      </c>
      <c r="F26" s="106"/>
      <c r="G26" s="106"/>
      <c r="H26" s="106"/>
    </row>
    <row r="27" spans="1:8" ht="15.75" customHeight="1" x14ac:dyDescent="0.3">
      <c r="A27" s="85" t="s">
        <v>22</v>
      </c>
      <c r="B27" s="85"/>
      <c r="C27" s="85"/>
      <c r="D27" s="85"/>
      <c r="E27" s="106" t="str">
        <f>IF(AND(G19="Mumbai"),"Developed","Developing")</f>
        <v>Developed</v>
      </c>
      <c r="F27" s="106"/>
      <c r="G27" s="106"/>
      <c r="H27" s="106"/>
    </row>
    <row r="28" spans="1:8" x14ac:dyDescent="0.3">
      <c r="A28" s="85" t="s">
        <v>23</v>
      </c>
      <c r="B28" s="85"/>
      <c r="C28" s="85"/>
      <c r="D28" s="85"/>
      <c r="E28" s="106" t="s">
        <v>24</v>
      </c>
      <c r="F28" s="106"/>
      <c r="G28" s="106"/>
      <c r="H28" s="106"/>
    </row>
    <row r="29" spans="1:8" ht="15.75" customHeight="1" x14ac:dyDescent="0.3">
      <c r="A29" s="85" t="s">
        <v>80</v>
      </c>
      <c r="B29" s="85"/>
      <c r="C29" s="85"/>
      <c r="D29" s="85"/>
      <c r="E29" s="106" t="s">
        <v>81</v>
      </c>
      <c r="F29" s="106"/>
      <c r="G29" s="106"/>
      <c r="H29" s="106"/>
    </row>
    <row r="30" spans="1:8" ht="15" customHeight="1" x14ac:dyDescent="0.3">
      <c r="A30" s="85" t="s">
        <v>33</v>
      </c>
      <c r="B30" s="85"/>
      <c r="C30" s="85"/>
      <c r="D30" s="85"/>
      <c r="E30" s="106" t="str">
        <f>IF(AND(ISNUMBER(SEARCH("Flat",D61)),ISNUMBER(SEARCH("Shop",D61)),ISNUMBER(SEARCH("Office",D61))),"Residential + Commercial",IF(AND(ISNUMBER(SEARCH("Flat",D61)),ISNUMBER(SEARCH("Shop",D61))),"Residential + Commercial",IF(AND(ISNUMBER(SEARCH("Flat",D61)),ISNUMBER(SEARCH("Office",D61))),"Residential + Commercial",IF(AND(ISNUMBER(SEARCH("Shop",D61)),ISNUMBER(SEARCH("Office",D61))),"Commercial",IF(ISNUMBER(SEARCH("Shop",D61)),"Commercial",IF(ISNUMBER(SEARCH("Office",D61)),"Commercial",IF(ISNUMBER(SEARCH("Flat",D61)),"Residential")))))))</f>
        <v>Residential + Commercial</v>
      </c>
      <c r="F30" s="106"/>
      <c r="G30" s="106"/>
      <c r="H30" s="106"/>
    </row>
    <row r="31" spans="1:8" ht="15.75" customHeight="1" x14ac:dyDescent="0.3">
      <c r="A31" s="85" t="s">
        <v>92</v>
      </c>
      <c r="B31" s="85"/>
      <c r="C31" s="85"/>
      <c r="D31" s="85"/>
      <c r="E31" s="106" t="s">
        <v>34</v>
      </c>
      <c r="F31" s="106"/>
      <c r="G31" s="106"/>
      <c r="H31" s="106"/>
    </row>
    <row r="32" spans="1:8" s="20" customFormat="1" x14ac:dyDescent="0.3">
      <c r="A32" s="111" t="s">
        <v>93</v>
      </c>
      <c r="B32" s="111"/>
      <c r="C32" s="110" t="s">
        <v>29</v>
      </c>
      <c r="D32" s="110"/>
      <c r="E32" s="110"/>
      <c r="F32" s="110" t="s">
        <v>31</v>
      </c>
      <c r="G32" s="110"/>
      <c r="H32" s="110"/>
    </row>
    <row r="33" spans="1:8" s="20" customFormat="1" x14ac:dyDescent="0.3">
      <c r="A33" s="96" t="s">
        <v>25</v>
      </c>
      <c r="B33" s="96" t="s">
        <v>30</v>
      </c>
      <c r="C33" s="97" t="s">
        <v>30</v>
      </c>
      <c r="D33" s="97"/>
      <c r="E33" s="97"/>
      <c r="F33" s="97" t="s">
        <v>200</v>
      </c>
      <c r="G33" s="97"/>
      <c r="H33" s="97"/>
    </row>
    <row r="34" spans="1:8" x14ac:dyDescent="0.3">
      <c r="A34" s="96" t="s">
        <v>26</v>
      </c>
      <c r="B34" s="96" t="s">
        <v>30</v>
      </c>
      <c r="C34" s="97" t="s">
        <v>30</v>
      </c>
      <c r="D34" s="97"/>
      <c r="E34" s="97"/>
      <c r="F34" s="97" t="s">
        <v>200</v>
      </c>
      <c r="G34" s="97"/>
      <c r="H34" s="97"/>
    </row>
    <row r="35" spans="1:8" s="20" customFormat="1" x14ac:dyDescent="0.3">
      <c r="A35" s="96" t="s">
        <v>28</v>
      </c>
      <c r="B35" s="96" t="s">
        <v>30</v>
      </c>
      <c r="C35" s="97" t="s">
        <v>30</v>
      </c>
      <c r="D35" s="97"/>
      <c r="E35" s="97"/>
      <c r="F35" s="97" t="s">
        <v>199</v>
      </c>
      <c r="G35" s="97"/>
      <c r="H35" s="97"/>
    </row>
    <row r="36" spans="1:8" x14ac:dyDescent="0.3">
      <c r="A36" s="96" t="s">
        <v>27</v>
      </c>
      <c r="B36" s="96" t="s">
        <v>30</v>
      </c>
      <c r="C36" s="97" t="s">
        <v>30</v>
      </c>
      <c r="D36" s="97"/>
      <c r="E36" s="97"/>
      <c r="F36" s="97" t="s">
        <v>201</v>
      </c>
      <c r="G36" s="97"/>
      <c r="H36" s="97"/>
    </row>
    <row r="37" spans="1:8" x14ac:dyDescent="0.3">
      <c r="A37" s="85" t="s">
        <v>32</v>
      </c>
      <c r="B37" s="85"/>
      <c r="C37" s="85"/>
      <c r="D37" s="85"/>
      <c r="E37" s="85"/>
      <c r="F37" s="85"/>
      <c r="G37" s="85"/>
      <c r="H37" s="85"/>
    </row>
    <row r="38" spans="1:8" ht="15.75" customHeight="1" x14ac:dyDescent="0.3">
      <c r="A38" s="104" t="s">
        <v>171</v>
      </c>
      <c r="B38" s="104"/>
      <c r="C38" s="85" t="s">
        <v>238</v>
      </c>
      <c r="D38" s="85"/>
      <c r="E38" s="85"/>
      <c r="F38" s="85"/>
      <c r="G38" s="85"/>
      <c r="H38" s="85"/>
    </row>
    <row r="39" spans="1:8" x14ac:dyDescent="0.3">
      <c r="A39" s="104" t="s">
        <v>164</v>
      </c>
      <c r="B39" s="104"/>
      <c r="C39" s="105" t="s">
        <v>195</v>
      </c>
      <c r="D39" s="106"/>
      <c r="E39" s="106"/>
      <c r="F39" s="106"/>
      <c r="G39" s="106"/>
      <c r="H39" s="106"/>
    </row>
    <row r="40" spans="1:8" x14ac:dyDescent="0.3">
      <c r="A40" s="99" t="s">
        <v>35</v>
      </c>
      <c r="B40" s="99"/>
      <c r="C40" s="99"/>
      <c r="D40" s="99"/>
      <c r="E40" s="99"/>
      <c r="F40" s="99"/>
      <c r="G40" s="99"/>
      <c r="H40" s="99"/>
    </row>
    <row r="41" spans="1:8" x14ac:dyDescent="0.3">
      <c r="A41" s="85" t="s">
        <v>36</v>
      </c>
      <c r="B41" s="85"/>
      <c r="C41" s="85"/>
      <c r="D41" s="85"/>
      <c r="E41" s="98">
        <v>4445.1899999999996</v>
      </c>
      <c r="F41" s="98"/>
      <c r="G41" s="98"/>
      <c r="H41" s="98"/>
    </row>
    <row r="42" spans="1:8" x14ac:dyDescent="0.3">
      <c r="A42" s="85" t="s">
        <v>37</v>
      </c>
      <c r="B42" s="85"/>
      <c r="C42" s="85"/>
      <c r="D42" s="85"/>
      <c r="E42" s="101">
        <v>1</v>
      </c>
      <c r="F42" s="101"/>
      <c r="G42" s="101"/>
      <c r="H42" s="101"/>
    </row>
    <row r="43" spans="1:8" x14ac:dyDescent="0.3">
      <c r="A43" s="85" t="s">
        <v>38</v>
      </c>
      <c r="B43" s="85"/>
      <c r="C43" s="85"/>
      <c r="D43" s="85"/>
      <c r="E43" s="101">
        <f>E45/E41-E42</f>
        <v>1.3958256002555571</v>
      </c>
      <c r="F43" s="101"/>
      <c r="G43" s="101"/>
      <c r="H43" s="101"/>
    </row>
    <row r="44" spans="1:8" x14ac:dyDescent="0.3">
      <c r="A44" s="85" t="s">
        <v>39</v>
      </c>
      <c r="B44" s="85"/>
      <c r="C44" s="85"/>
      <c r="D44" s="85"/>
      <c r="E44" s="101">
        <f>E42+E43</f>
        <v>2.3958256002555571</v>
      </c>
      <c r="F44" s="101"/>
      <c r="G44" s="101"/>
      <c r="H44" s="101"/>
    </row>
    <row r="45" spans="1:8" x14ac:dyDescent="0.3">
      <c r="A45" s="85" t="s">
        <v>91</v>
      </c>
      <c r="B45" s="85"/>
      <c r="C45" s="85"/>
      <c r="D45" s="85"/>
      <c r="E45" s="102">
        <v>10649.9</v>
      </c>
      <c r="F45" s="102"/>
      <c r="G45" s="102"/>
      <c r="H45" s="102"/>
    </row>
    <row r="46" spans="1:8" x14ac:dyDescent="0.3">
      <c r="A46" s="103" t="s">
        <v>40</v>
      </c>
      <c r="B46" s="103"/>
      <c r="C46" s="103"/>
      <c r="D46" s="103"/>
      <c r="E46" s="103" t="s">
        <v>258</v>
      </c>
      <c r="F46" s="103"/>
      <c r="G46" s="103"/>
      <c r="H46" s="103"/>
    </row>
    <row r="47" spans="1:8" x14ac:dyDescent="0.3">
      <c r="A47" s="99" t="s">
        <v>41</v>
      </c>
      <c r="B47" s="99"/>
      <c r="C47" s="99"/>
      <c r="D47" s="99"/>
      <c r="E47" s="99"/>
      <c r="F47" s="99"/>
      <c r="G47" s="99"/>
      <c r="H47" s="99"/>
    </row>
    <row r="48" spans="1:8" ht="33.75" customHeight="1" x14ac:dyDescent="0.3">
      <c r="A48" s="71" t="s">
        <v>151</v>
      </c>
      <c r="B48" s="73"/>
      <c r="C48" s="107" t="s">
        <v>197</v>
      </c>
      <c r="D48" s="108"/>
      <c r="E48" s="108"/>
      <c r="F48" s="108"/>
      <c r="G48" s="108"/>
      <c r="H48" s="109"/>
    </row>
    <row r="49" spans="1:9" ht="31.5" customHeight="1" x14ac:dyDescent="0.3">
      <c r="A49" s="71" t="s">
        <v>207</v>
      </c>
      <c r="B49" s="73"/>
      <c r="C49" s="71" t="s">
        <v>196</v>
      </c>
      <c r="D49" s="72"/>
      <c r="E49" s="73"/>
      <c r="F49" s="18" t="s">
        <v>42</v>
      </c>
      <c r="G49" s="74">
        <v>44592</v>
      </c>
      <c r="H49" s="73"/>
    </row>
    <row r="50" spans="1:9" ht="33" customHeight="1" x14ac:dyDescent="0.3">
      <c r="A50" s="71" t="s">
        <v>208</v>
      </c>
      <c r="B50" s="73"/>
      <c r="C50" s="71" t="str">
        <f>C49</f>
        <v>P-8454/2021/(263/B)/R/C WARD/BORIVALI-R/C/337/1/NEW</v>
      </c>
      <c r="D50" s="72"/>
      <c r="E50" s="73"/>
      <c r="F50" s="18" t="s">
        <v>42</v>
      </c>
      <c r="G50" s="74">
        <f>G49</f>
        <v>44592</v>
      </c>
      <c r="H50" s="75"/>
    </row>
    <row r="51" spans="1:9" ht="31.5" customHeight="1" x14ac:dyDescent="0.3">
      <c r="A51" s="71" t="s">
        <v>209</v>
      </c>
      <c r="B51" s="73"/>
      <c r="C51" s="71" t="s">
        <v>196</v>
      </c>
      <c r="D51" s="72"/>
      <c r="E51" s="73"/>
      <c r="F51" s="18" t="s">
        <v>42</v>
      </c>
      <c r="G51" s="74">
        <v>44590</v>
      </c>
      <c r="H51" s="73"/>
    </row>
    <row r="52" spans="1:9" ht="33.75" customHeight="1" x14ac:dyDescent="0.3">
      <c r="A52" s="71" t="s">
        <v>210</v>
      </c>
      <c r="B52" s="73"/>
      <c r="C52" s="71" t="str">
        <f>C51</f>
        <v>P-8454/2021/(263/B)/R/C WARD/BORIVALI-R/C/337/1/NEW</v>
      </c>
      <c r="D52" s="72"/>
      <c r="E52" s="73"/>
      <c r="F52" s="18" t="s">
        <v>42</v>
      </c>
      <c r="G52" s="74">
        <f>G51</f>
        <v>44590</v>
      </c>
      <c r="H52" s="75"/>
    </row>
    <row r="53" spans="1:9" s="21" customFormat="1" ht="31.95" customHeight="1" x14ac:dyDescent="0.3">
      <c r="A53" s="67" t="s">
        <v>261</v>
      </c>
      <c r="B53" s="68"/>
      <c r="C53" s="71" t="s">
        <v>262</v>
      </c>
      <c r="D53" s="72"/>
      <c r="E53" s="73"/>
      <c r="F53" s="18" t="s">
        <v>42</v>
      </c>
      <c r="G53" s="74">
        <v>44938</v>
      </c>
      <c r="H53" s="75"/>
    </row>
    <row r="54" spans="1:9" s="21" customFormat="1" ht="48" customHeight="1" x14ac:dyDescent="0.3">
      <c r="A54" s="69"/>
      <c r="B54" s="70"/>
      <c r="C54" s="71" t="s">
        <v>263</v>
      </c>
      <c r="D54" s="72"/>
      <c r="E54" s="73"/>
      <c r="F54" s="18" t="s">
        <v>121</v>
      </c>
      <c r="G54" s="74">
        <v>45302</v>
      </c>
      <c r="H54" s="75"/>
    </row>
    <row r="55" spans="1:9" s="21" customFormat="1" ht="30.75" customHeight="1" x14ac:dyDescent="0.3">
      <c r="A55" s="67" t="s">
        <v>155</v>
      </c>
      <c r="B55" s="68"/>
      <c r="C55" s="71" t="s">
        <v>249</v>
      </c>
      <c r="D55" s="72"/>
      <c r="E55" s="73"/>
      <c r="F55" s="18" t="s">
        <v>42</v>
      </c>
      <c r="G55" s="74">
        <v>45161</v>
      </c>
      <c r="H55" s="75"/>
    </row>
    <row r="56" spans="1:9" s="21" customFormat="1" ht="114.75" customHeight="1" x14ac:dyDescent="0.3">
      <c r="A56" s="69"/>
      <c r="B56" s="70"/>
      <c r="C56" s="71" t="s">
        <v>248</v>
      </c>
      <c r="D56" s="72"/>
      <c r="E56" s="73"/>
      <c r="F56" s="18" t="s">
        <v>121</v>
      </c>
      <c r="G56" s="74">
        <v>45302</v>
      </c>
      <c r="H56" s="75"/>
    </row>
    <row r="57" spans="1:9" ht="34.049999999999997" customHeight="1" x14ac:dyDescent="0.3">
      <c r="A57" s="71" t="s">
        <v>204</v>
      </c>
      <c r="B57" s="73"/>
      <c r="C57" s="71" t="s">
        <v>205</v>
      </c>
      <c r="D57" s="72"/>
      <c r="E57" s="73"/>
      <c r="F57" s="60" t="s">
        <v>250</v>
      </c>
      <c r="G57" s="74" t="s">
        <v>251</v>
      </c>
      <c r="H57" s="75"/>
    </row>
    <row r="58" spans="1:9" x14ac:dyDescent="0.3">
      <c r="A58" s="174" t="s">
        <v>43</v>
      </c>
      <c r="B58" s="175"/>
      <c r="C58" s="174" t="s">
        <v>105</v>
      </c>
      <c r="D58" s="176"/>
      <c r="E58" s="175"/>
      <c r="F58" s="42" t="s">
        <v>42</v>
      </c>
      <c r="G58" s="177" t="s">
        <v>30</v>
      </c>
      <c r="H58" s="178"/>
    </row>
    <row r="59" spans="1:9" x14ac:dyDescent="0.3">
      <c r="A59" s="124" t="s">
        <v>45</v>
      </c>
      <c r="B59" s="124"/>
      <c r="C59" s="124"/>
      <c r="D59" s="124"/>
      <c r="E59" s="124"/>
      <c r="F59" s="124"/>
      <c r="G59" s="124"/>
      <c r="H59" s="124"/>
    </row>
    <row r="60" spans="1:9" x14ac:dyDescent="0.3">
      <c r="A60" s="100" t="s">
        <v>90</v>
      </c>
      <c r="B60" s="100"/>
      <c r="C60" s="100"/>
      <c r="D60" s="85">
        <v>422.67</v>
      </c>
      <c r="E60" s="85"/>
      <c r="F60" s="85"/>
      <c r="G60" s="85"/>
      <c r="H60" s="85"/>
    </row>
    <row r="61" spans="1:9" x14ac:dyDescent="0.3">
      <c r="A61" s="106" t="s">
        <v>46</v>
      </c>
      <c r="B61" s="103"/>
      <c r="C61" s="103"/>
      <c r="D61" s="103" t="s">
        <v>234</v>
      </c>
      <c r="E61" s="103"/>
      <c r="F61" s="103"/>
      <c r="G61" s="103"/>
      <c r="H61" s="103"/>
      <c r="I61" s="22"/>
    </row>
    <row r="62" spans="1:9" s="21" customFormat="1" ht="47.25" customHeight="1" x14ac:dyDescent="0.3">
      <c r="A62" s="106" t="s">
        <v>47</v>
      </c>
      <c r="B62" s="106"/>
      <c r="C62" s="106"/>
      <c r="D62" s="106" t="s">
        <v>239</v>
      </c>
      <c r="E62" s="103"/>
      <c r="F62" s="103"/>
      <c r="G62" s="103"/>
      <c r="H62" s="103"/>
    </row>
    <row r="63" spans="1:9" ht="32.25" customHeight="1" x14ac:dyDescent="0.3">
      <c r="A63" s="106" t="s">
        <v>88</v>
      </c>
      <c r="B63" s="106"/>
      <c r="C63" s="106"/>
      <c r="D63" s="106" t="s">
        <v>257</v>
      </c>
      <c r="E63" s="103"/>
      <c r="F63" s="103"/>
      <c r="G63" s="103"/>
      <c r="H63" s="103"/>
    </row>
    <row r="64" spans="1:9" ht="32.25" customHeight="1" x14ac:dyDescent="0.3">
      <c r="A64" s="106"/>
      <c r="B64" s="106"/>
      <c r="C64" s="106"/>
      <c r="D64" s="106" t="s">
        <v>240</v>
      </c>
      <c r="E64" s="103"/>
      <c r="F64" s="103"/>
      <c r="G64" s="103"/>
      <c r="H64" s="103"/>
    </row>
    <row r="65" spans="1:14" ht="15.75" customHeight="1" x14ac:dyDescent="0.3">
      <c r="A65" s="106"/>
      <c r="B65" s="106"/>
      <c r="C65" s="106"/>
      <c r="D65" s="106" t="s">
        <v>241</v>
      </c>
      <c r="E65" s="103"/>
      <c r="F65" s="103"/>
      <c r="G65" s="103"/>
      <c r="H65" s="103"/>
    </row>
    <row r="66" spans="1:14" ht="15.75" customHeight="1" x14ac:dyDescent="0.3">
      <c r="A66" s="85" t="s">
        <v>44</v>
      </c>
      <c r="B66" s="85"/>
      <c r="C66" s="85"/>
      <c r="D66" s="100" t="s">
        <v>183</v>
      </c>
      <c r="E66" s="100"/>
      <c r="F66" s="100"/>
      <c r="G66" s="100"/>
      <c r="H66" s="100"/>
      <c r="J66" s="23"/>
      <c r="K66" s="22"/>
      <c r="N66" s="22"/>
    </row>
    <row r="67" spans="1:14" ht="15.75" customHeight="1" x14ac:dyDescent="0.3">
      <c r="A67" s="85" t="s">
        <v>86</v>
      </c>
      <c r="B67" s="85"/>
      <c r="C67" s="85"/>
      <c r="D67" s="158" t="str">
        <f>(IF(G58="NA","60 Years After Completion",IF(G58&lt;&gt;"NA",""&amp;60-ROUNDDOWN((E3-G58)/360,0)&amp;" Years"," ")))</f>
        <v>60 Years After Completion</v>
      </c>
      <c r="E67" s="158"/>
      <c r="F67" s="158"/>
      <c r="G67" s="158"/>
      <c r="H67" s="158"/>
      <c r="N67" s="22"/>
    </row>
    <row r="68" spans="1:14" ht="15.75" customHeight="1" x14ac:dyDescent="0.3">
      <c r="A68" s="85" t="s">
        <v>87</v>
      </c>
      <c r="B68" s="85"/>
      <c r="C68" s="85"/>
      <c r="D68" s="100" t="s">
        <v>24</v>
      </c>
      <c r="E68" s="100"/>
      <c r="F68" s="100"/>
      <c r="G68" s="100"/>
      <c r="H68" s="100"/>
      <c r="J68" s="24"/>
      <c r="K68" s="24"/>
    </row>
    <row r="69" spans="1:14" ht="30.75" customHeight="1" x14ac:dyDescent="0.3">
      <c r="A69" s="85" t="s">
        <v>74</v>
      </c>
      <c r="B69" s="85"/>
      <c r="C69" s="85"/>
      <c r="D69" s="106" t="s">
        <v>184</v>
      </c>
      <c r="E69" s="100"/>
      <c r="F69" s="100"/>
      <c r="G69" s="100"/>
      <c r="H69" s="100"/>
    </row>
    <row r="70" spans="1:14" x14ac:dyDescent="0.3">
      <c r="A70" s="100" t="s">
        <v>148</v>
      </c>
      <c r="B70" s="100"/>
      <c r="C70" s="100"/>
      <c r="D70" s="100" t="s">
        <v>30</v>
      </c>
      <c r="E70" s="100"/>
      <c r="F70" s="100"/>
      <c r="G70" s="100"/>
      <c r="H70" s="100"/>
      <c r="I70" s="25"/>
      <c r="J70" s="25"/>
      <c r="K70" s="25"/>
      <c r="L70" s="25"/>
      <c r="M70" s="25"/>
      <c r="N70" s="25"/>
    </row>
    <row r="71" spans="1:14" ht="15.75" customHeight="1" x14ac:dyDescent="0.3">
      <c r="A71" s="138" t="s">
        <v>85</v>
      </c>
      <c r="B71" s="138"/>
      <c r="C71" s="138"/>
      <c r="D71" s="120" t="str">
        <f ca="1">(IF(G77&gt;95%,"Nothing",IF(G77&gt;0%,"Cement, Aggregate, Steel, etc",IF(G77=0%,"Work not yet Started"))))</f>
        <v>Cement, Aggregate, Steel, etc</v>
      </c>
      <c r="E71" s="120"/>
      <c r="F71" s="120"/>
      <c r="G71" s="120"/>
      <c r="H71" s="120"/>
      <c r="J71" s="24"/>
    </row>
    <row r="72" spans="1:14" ht="33.75" customHeight="1" thickBot="1" x14ac:dyDescent="0.35">
      <c r="A72" s="119" t="s">
        <v>118</v>
      </c>
      <c r="B72" s="119"/>
      <c r="C72" s="119"/>
      <c r="D72" s="120" t="str">
        <f ca="1">(IF(D71="Nothing","Yes",IF(D71="Cement, Aggregate, Steel, etc","Under Construction",IF(D71="Work not yet Started","Work not yet Started"))))</f>
        <v>Under Construction</v>
      </c>
      <c r="E72" s="120"/>
      <c r="F72" s="120" t="str">
        <f ca="1">(IF(D71="Nothing","Yes",IF(D71="Cement, Aggregate, Steel, etc","Under Construction",IF(D71="Work not yet Started","Work not yet Started"))))</f>
        <v>Under Construction</v>
      </c>
      <c r="G72" s="120"/>
      <c r="H72" s="120"/>
    </row>
    <row r="73" spans="1:14" ht="32.25" customHeight="1" x14ac:dyDescent="0.3">
      <c r="A73" s="159" t="s">
        <v>140</v>
      </c>
      <c r="B73" s="160"/>
      <c r="C73" s="161" t="str">
        <f>D63</f>
        <v>Building No.1(Wing A) = Gr/Stilt + 1st to 4th (Part Podium) + 5th to  22nd Floor</v>
      </c>
      <c r="D73" s="162"/>
      <c r="E73" s="162"/>
      <c r="F73" s="162"/>
      <c r="G73" s="162"/>
      <c r="H73" s="163"/>
      <c r="I73" s="44" t="str">
        <f ca="1">IF(D86=100%,"All work Completed. Possession granted to the Building.",IF(D85=100%,"All work Completed, Waiting for OC",I74&amp;""&amp;I75&amp;""&amp;J74&amp;""&amp;J73&amp;" "&amp;J75))</f>
        <v>Excavation, Plinth, RCC Slab, Brickwork, Internal Plaster Completed, External Plaster upto 21 Floor, Flooring upto 19 Floor, Painting upto 19 Floor Completed</v>
      </c>
      <c r="J73" s="45" t="str">
        <f ca="1">(IF(C79=(D74+F74+H74),"",IF(C79&gt;0,", RCC upto "&amp;C79&amp;" Slab","")))&amp;(IF(C80=H74,"",IF(C80&gt;0,", Brickwork upto "&amp;C80&amp;" Floor","")))&amp;(IF(C81=H74,"",IF(C81&gt;0,", Internal Plaster upto "&amp;C81&amp;" Floor","")))&amp;(IF(C82=H74,"",IF(C82&gt;0,", External Plaster upto "&amp;C82&amp;" Floor","")))&amp;(IF(C83=H74,"",IF(C83&gt;0,", Flooring upto "&amp;C83&amp;" Floor","")))&amp;(IF(C84=H74,"",IF(C84&gt;0,", Painting upto "&amp;C84&amp;" Floor","")))&amp;(IF(C85=H74,"",IF(C85&gt;0,", Finishing upto "&amp;C85&amp;" Floor","")))&amp;(IF(C86=H74,"",IF(C86&gt;0,", Possession upto "&amp;C86&amp;" Floor","")))</f>
        <v>, External Plaster upto 21 Floor, Flooring upto 19 Floor, Painting upto 19 Floor</v>
      </c>
    </row>
    <row r="74" spans="1:14" x14ac:dyDescent="0.3">
      <c r="A74" s="16" t="s">
        <v>142</v>
      </c>
      <c r="B74" s="49">
        <v>0</v>
      </c>
      <c r="C74" s="49" t="s">
        <v>71</v>
      </c>
      <c r="D74" s="49">
        <v>1</v>
      </c>
      <c r="E74" s="49" t="s">
        <v>70</v>
      </c>
      <c r="F74" s="49">
        <v>0</v>
      </c>
      <c r="G74" s="49" t="s">
        <v>79</v>
      </c>
      <c r="H74" s="17">
        <f ca="1">--TRIM(RIGHT(SUBSTITUTE(LEFT(C73,_xlfn.AGGREGATE(16,6,FIND({0,1,2,3,4,5,6,7,8,9},C73,ROW(INDIRECT("1:"&amp;LEN(C73)))),1))," ",REPT(" ",LEN(C73))),LEN(C73)))</f>
        <v>22</v>
      </c>
      <c r="I74" s="46" t="str">
        <f ca="1">IF(D77=100%,"Excavation","")&amp;IF(D78=100%,", Plinth","")&amp;IF(D79=100%,", RCC Slab","")&amp;IF(D80=100%,", Brickwork","")&amp;IF(D81=100%,", Internal Plaster","")&amp;IF(D82=100%,", External Plaster","")&amp;IF(D83=100%,", Flooring","")&amp;IF(D84=100%,", Painting","")&amp;IF(D85=100%,", Building common Amenities","")</f>
        <v>Excavation, Plinth, RCC Slab, Brickwork, Internal Plaster</v>
      </c>
      <c r="J74" s="47" t="str">
        <f ca="1">(IF(C77=0,"Work not yet Started.",IF(D77=25%,"Piling work in process",IF(D77=50%,"Excavation work in process",IF(D77=100%,"","0")))))&amp;(IF(C78=0%,"",IF(C78=J79,", Footing work is process",IF(C78=J80,", Footing work Completed",IF(C78=J81,", 1st Basement Completed",IF(C78=J82,", 1st &amp; 2nd Basement Completed",IF(C78=J83,", 1st to 3rd Basement Completed",IF(C78=J84,", 1st to 4th Basement Completed",IF(C78=J85,", Plinth work is process",IF(C78=J86,"","0"))))))))))</f>
        <v/>
      </c>
    </row>
    <row r="75" spans="1:14" ht="50.55" customHeight="1" x14ac:dyDescent="0.3">
      <c r="A75" s="116" t="s">
        <v>89</v>
      </c>
      <c r="B75" s="114"/>
      <c r="C75" s="117" t="str">
        <f ca="1">I73</f>
        <v>Excavation, Plinth, RCC Slab, Brickwork, Internal Plaster Completed, External Plaster upto 21 Floor, Flooring upto 19 Floor, Painting upto 19 Floor Completed</v>
      </c>
      <c r="D75" s="117"/>
      <c r="E75" s="117"/>
      <c r="F75" s="117"/>
      <c r="G75" s="117"/>
      <c r="H75" s="118"/>
      <c r="I75" s="46" t="str">
        <f ca="1">IF(I74&lt;&gt;""," Completed","")</f>
        <v xml:space="preserve"> Completed</v>
      </c>
      <c r="J75" s="47" t="str">
        <f ca="1">IF(J73&lt;&gt;"","Completed","")</f>
        <v>Completed</v>
      </c>
    </row>
    <row r="76" spans="1:14" ht="15.75" customHeight="1" x14ac:dyDescent="0.3">
      <c r="A76" s="80" t="s">
        <v>48</v>
      </c>
      <c r="B76" s="81"/>
      <c r="C76" s="50" t="s">
        <v>139</v>
      </c>
      <c r="D76" s="50" t="s">
        <v>82</v>
      </c>
      <c r="E76" s="81" t="s">
        <v>84</v>
      </c>
      <c r="F76" s="81"/>
      <c r="G76" s="81" t="s">
        <v>83</v>
      </c>
      <c r="H76" s="139"/>
      <c r="I76" s="14" t="s">
        <v>141</v>
      </c>
      <c r="J76" s="26">
        <f ca="1">H74*25%</f>
        <v>5.5</v>
      </c>
    </row>
    <row r="77" spans="1:14" x14ac:dyDescent="0.3">
      <c r="A77" s="81" t="s">
        <v>128</v>
      </c>
      <c r="B77" s="81"/>
      <c r="C77" s="50">
        <f ca="1">J78</f>
        <v>22</v>
      </c>
      <c r="D77" s="51">
        <f ca="1">((100/H74)*C77)/100</f>
        <v>1.0000000000000002</v>
      </c>
      <c r="E77" s="164">
        <f ca="1">(((C78/H74*10)+(40/(D74+F74+H74)*C79)+(7.5/(H74)*C80)+(7.5/(H74)*C81)+(10/H74*C82)+(10/H74*C83)+(5/H74*C84)+(5/H74*C85)+(5/H74*C86))/100)</f>
        <v>0.875</v>
      </c>
      <c r="F77" s="164"/>
      <c r="G77" s="164">
        <f ca="1">((((C77/H74)*20)+((C78/H74)*25)+(30/(H74+F74+D74)*C79)+(5/H74*C80)+(5/H74*C81)+(5/H74*C82)+(5/H74*C83)+(0/H74*C84)+(0/H74*C85)+(5/H74*C86))/100)</f>
        <v>0.94090909090909081</v>
      </c>
      <c r="H77" s="164"/>
      <c r="I77" s="14" t="s">
        <v>100</v>
      </c>
      <c r="J77" s="27">
        <f ca="1">H74*50%</f>
        <v>11</v>
      </c>
    </row>
    <row r="78" spans="1:14" x14ac:dyDescent="0.3">
      <c r="A78" s="81" t="s">
        <v>49</v>
      </c>
      <c r="B78" s="81"/>
      <c r="C78" s="59">
        <f ca="1">J86</f>
        <v>22</v>
      </c>
      <c r="D78" s="51">
        <f ca="1">((100/H74)*C78)/100</f>
        <v>1.0000000000000002</v>
      </c>
      <c r="E78" s="164"/>
      <c r="F78" s="164"/>
      <c r="G78" s="164"/>
      <c r="H78" s="164"/>
      <c r="I78" s="14" t="s">
        <v>101</v>
      </c>
      <c r="J78" s="27">
        <f ca="1">H74</f>
        <v>22</v>
      </c>
    </row>
    <row r="79" spans="1:14" ht="15.75" customHeight="1" x14ac:dyDescent="0.3">
      <c r="A79" s="81" t="s">
        <v>129</v>
      </c>
      <c r="B79" s="81"/>
      <c r="C79" s="50">
        <v>23</v>
      </c>
      <c r="D79" s="51">
        <f ca="1">((100/(D74+F74+H74))*C79)/100</f>
        <v>1</v>
      </c>
      <c r="E79" s="164"/>
      <c r="F79" s="164"/>
      <c r="G79" s="164"/>
      <c r="H79" s="164"/>
      <c r="I79" s="14" t="s">
        <v>102</v>
      </c>
      <c r="J79" s="28">
        <f ca="1">(IF(B74&gt;1,(H74/(B74+2)),H74/4))</f>
        <v>5.5</v>
      </c>
    </row>
    <row r="80" spans="1:14" ht="15.75" customHeight="1" x14ac:dyDescent="0.3">
      <c r="A80" s="81" t="s">
        <v>136</v>
      </c>
      <c r="B80" s="81" t="s">
        <v>130</v>
      </c>
      <c r="C80" s="50">
        <v>22</v>
      </c>
      <c r="D80" s="51">
        <f ca="1">((100/H74)*C80)/100</f>
        <v>1.0000000000000002</v>
      </c>
      <c r="E80" s="164"/>
      <c r="F80" s="164"/>
      <c r="G80" s="164"/>
      <c r="H80" s="164"/>
      <c r="I80" s="14" t="s">
        <v>103</v>
      </c>
      <c r="J80" s="28">
        <f ca="1">(IF(B74&gt;1,(H74/(B74+2)+J79),H74/4+J79))</f>
        <v>11</v>
      </c>
    </row>
    <row r="81" spans="1:10" ht="15.75" customHeight="1" x14ac:dyDescent="0.3">
      <c r="A81" s="81" t="s">
        <v>137</v>
      </c>
      <c r="B81" s="81" t="s">
        <v>130</v>
      </c>
      <c r="C81" s="59">
        <v>22</v>
      </c>
      <c r="D81" s="51">
        <f ca="1">((100/H74)*C81)/100</f>
        <v>1.0000000000000002</v>
      </c>
      <c r="E81" s="164"/>
      <c r="F81" s="164"/>
      <c r="G81" s="164"/>
      <c r="H81" s="164"/>
      <c r="I81" s="14" t="s">
        <v>146</v>
      </c>
      <c r="J81" s="28">
        <f>(IF(B74&gt;1,(H74/(B74+2)+J80),0))</f>
        <v>0</v>
      </c>
    </row>
    <row r="82" spans="1:10" ht="15" customHeight="1" x14ac:dyDescent="0.3">
      <c r="A82" s="81" t="s">
        <v>135</v>
      </c>
      <c r="B82" s="81" t="s">
        <v>132</v>
      </c>
      <c r="C82" s="59">
        <v>21</v>
      </c>
      <c r="D82" s="51">
        <f ca="1">((100/(H74))*C82)/100</f>
        <v>0.9545454545454547</v>
      </c>
      <c r="E82" s="164"/>
      <c r="F82" s="164"/>
      <c r="G82" s="164"/>
      <c r="H82" s="164"/>
      <c r="I82" s="14" t="s">
        <v>143</v>
      </c>
      <c r="J82" s="28">
        <f>(IF(B74&gt;2,(H74/(B74+2)+J81),0))</f>
        <v>0</v>
      </c>
    </row>
    <row r="83" spans="1:10" ht="15.75" customHeight="1" x14ac:dyDescent="0.3">
      <c r="A83" s="81" t="s">
        <v>131</v>
      </c>
      <c r="B83" s="81" t="s">
        <v>131</v>
      </c>
      <c r="C83" s="50">
        <v>19</v>
      </c>
      <c r="D83" s="51">
        <f ca="1">((100/H74)*C83)/100</f>
        <v>0.86363636363636376</v>
      </c>
      <c r="E83" s="164"/>
      <c r="F83" s="164"/>
      <c r="G83" s="164"/>
      <c r="H83" s="164"/>
      <c r="I83" s="14" t="s">
        <v>144</v>
      </c>
      <c r="J83" s="29">
        <f>(IF(B74&gt;3,(H74/(B74+2)+J82),0))</f>
        <v>0</v>
      </c>
    </row>
    <row r="84" spans="1:10" ht="15.75" customHeight="1" x14ac:dyDescent="0.3">
      <c r="A84" s="81" t="s">
        <v>138</v>
      </c>
      <c r="B84" s="81"/>
      <c r="C84" s="50">
        <v>19</v>
      </c>
      <c r="D84" s="51">
        <f ca="1">((100/H74)*C84)/100</f>
        <v>0.86363636363636376</v>
      </c>
      <c r="E84" s="164"/>
      <c r="F84" s="164"/>
      <c r="G84" s="164"/>
      <c r="H84" s="164"/>
      <c r="I84" s="14" t="s">
        <v>145</v>
      </c>
      <c r="J84" s="28">
        <f>(IF(B74&gt;4,(H74/(B74+2)+J83),0))</f>
        <v>0</v>
      </c>
    </row>
    <row r="85" spans="1:10" ht="15.75" customHeight="1" x14ac:dyDescent="0.3">
      <c r="A85" s="81" t="s">
        <v>133</v>
      </c>
      <c r="B85" s="81" t="s">
        <v>133</v>
      </c>
      <c r="C85" s="50">
        <v>0</v>
      </c>
      <c r="D85" s="51">
        <f ca="1">((100/(H74))*C85)/100</f>
        <v>0</v>
      </c>
      <c r="E85" s="164"/>
      <c r="F85" s="164"/>
      <c r="G85" s="164"/>
      <c r="H85" s="164"/>
      <c r="I85" s="14" t="s">
        <v>147</v>
      </c>
      <c r="J85" s="28">
        <f ca="1">(IF(B74=1,(H74/(B74+3)+J80),IF(B74=0,(H74/4+J80),IF(B74&gt;1,0))))</f>
        <v>16.5</v>
      </c>
    </row>
    <row r="86" spans="1:10" ht="16.2" thickBot="1" x14ac:dyDescent="0.35">
      <c r="A86" s="81" t="s">
        <v>134</v>
      </c>
      <c r="B86" s="81"/>
      <c r="C86" s="50">
        <v>0</v>
      </c>
      <c r="D86" s="51">
        <f ca="1">((100/(H74))*C86)/100</f>
        <v>0</v>
      </c>
      <c r="E86" s="164"/>
      <c r="F86" s="164"/>
      <c r="G86" s="164"/>
      <c r="H86" s="164"/>
      <c r="I86" s="15" t="s">
        <v>104</v>
      </c>
      <c r="J86" s="30">
        <f ca="1">(IF(B74&gt;1.5,(H74/(B74+2)+J80+MAX(0,J81-J80)+MAX(0,J82-J81)+MAX(0,J83-J82)+MAX(0,J84-J83)+MAX(0,J85-J84)),IF(B74=1,(H74/(B74+3)+J85),IF(B74=0,H74/4+J85))))</f>
        <v>22</v>
      </c>
    </row>
    <row r="87" spans="1:10" ht="31.5" customHeight="1" x14ac:dyDescent="0.3">
      <c r="A87" s="117" t="s">
        <v>140</v>
      </c>
      <c r="B87" s="117"/>
      <c r="C87" s="117" t="str">
        <f>D64</f>
        <v>Building No.1(Wing B) = Gr/Stilt + 1st to 4th (Part Podium) + 5th to  22nd Floor</v>
      </c>
      <c r="D87" s="117"/>
      <c r="E87" s="117"/>
      <c r="F87" s="117"/>
      <c r="G87" s="117"/>
      <c r="H87" s="117"/>
      <c r="I87" s="63" t="str">
        <f ca="1">IF(D100=100%,"All work Completed. Possession granted to the Building.",IF(D99=100%,"All work Completed, Waiting for OC",I88&amp;""&amp;I89&amp;""&amp;J88&amp;""&amp;J87&amp;" "&amp;J89))</f>
        <v>Excavation, Plinth, RCC Slab, Brickwork, Internal Plaster Completed, External Plaster upto 20 Floor, Flooring upto 18 Floor, Painting upto 18 Floor Completed</v>
      </c>
      <c r="J87" s="45" t="str">
        <f ca="1">(IF(C93=(D88+F88+H88),"",IF(C93&gt;0,", RCC upto "&amp;C93&amp;" Slab","")))&amp;(IF(C94=H88,"",IF(C94&gt;0,", Brickwork upto "&amp;C94&amp;" Floor","")))&amp;(IF(C95=H88,"",IF(C95&gt;0,", Internal Plaster upto "&amp;C95&amp;" Floor","")))&amp;(IF(C96=H88,"",IF(C96&gt;0,", External Plaster upto "&amp;C96&amp;" Floor","")))&amp;(IF(C97=H88,"",IF(C97&gt;0,", Flooring upto "&amp;C97&amp;" Floor","")))&amp;(IF(C98=H88,"",IF(C98&gt;0,", Painting upto "&amp;C98&amp;" Floor","")))&amp;(IF(C99=H88,"",IF(C99&gt;0,", Finishing upto "&amp;C99&amp;" Floor","")))&amp;(IF(C100=H88,"",IF(C100&gt;0,", Possession upto "&amp;C100&amp;" Floor","")))</f>
        <v>, External Plaster upto 20 Floor, Flooring upto 18 Floor, Painting upto 18 Floor</v>
      </c>
    </row>
    <row r="88" spans="1:10" x14ac:dyDescent="0.3">
      <c r="A88" s="49" t="s">
        <v>142</v>
      </c>
      <c r="B88" s="49">
        <v>0</v>
      </c>
      <c r="C88" s="49" t="s">
        <v>71</v>
      </c>
      <c r="D88" s="49">
        <v>1</v>
      </c>
      <c r="E88" s="49" t="s">
        <v>70</v>
      </c>
      <c r="F88" s="49">
        <v>0</v>
      </c>
      <c r="G88" s="49" t="s">
        <v>79</v>
      </c>
      <c r="H88" s="49">
        <f ca="1">--TRIM(RIGHT(SUBSTITUTE(LEFT(C87,_xlfn.AGGREGATE(16,6,FIND({0,1,2,3,4,5,6,7,8,9},C87,ROW(INDIRECT("1:"&amp;LEN(C87)))),1))," ",REPT(" ",LEN(C87))),LEN(C87)))</f>
        <v>22</v>
      </c>
      <c r="I88" s="62" t="str">
        <f ca="1"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>Excavation, Plinth, RCC Slab, Brickwork, Internal Plaster</v>
      </c>
      <c r="J88" s="47" t="str">
        <f ca="1">(IF(C91=0,"Work not yet Started.",IF(D91=25%,"Piling work in process",IF(D91=50%,"Excavation work in process",IF(D91=100%,"","0")))))&amp;(IF(C92=0%,"",IF(C92=J93,", Footing work is process",IF(C92=J94,", Footing work Completed",IF(C92=J95,", 1st Basement Completed",IF(C92=J96,", 1st &amp; 2nd Basement Completed",IF(C92=J97,", 1st to 3rd Basement Completed",IF(C92=J98,", 1st to 4th Basement Completed",IF(C92=J99,", Plinth work is process",IF(C92=J100,"","0"))))))))))</f>
        <v/>
      </c>
    </row>
    <row r="89" spans="1:10" ht="34.200000000000003" customHeight="1" x14ac:dyDescent="0.3">
      <c r="A89" s="114" t="s">
        <v>89</v>
      </c>
      <c r="B89" s="114"/>
      <c r="C89" s="117" t="str">
        <f ca="1">I87</f>
        <v>Excavation, Plinth, RCC Slab, Brickwork, Internal Plaster Completed, External Plaster upto 20 Floor, Flooring upto 18 Floor, Painting upto 18 Floor Completed</v>
      </c>
      <c r="D89" s="117"/>
      <c r="E89" s="117"/>
      <c r="F89" s="117"/>
      <c r="G89" s="117"/>
      <c r="H89" s="117"/>
      <c r="I89" s="62" t="str">
        <f ca="1">IF(I88&lt;&gt;""," Completed","")</f>
        <v xml:space="preserve"> Completed</v>
      </c>
      <c r="J89" s="47" t="str">
        <f ca="1">IF(J87&lt;&gt;"","Completed","")</f>
        <v>Completed</v>
      </c>
    </row>
    <row r="90" spans="1:10" ht="15.75" customHeight="1" x14ac:dyDescent="0.3">
      <c r="A90" s="81" t="s">
        <v>48</v>
      </c>
      <c r="B90" s="81"/>
      <c r="C90" s="50" t="s">
        <v>139</v>
      </c>
      <c r="D90" s="50" t="s">
        <v>82</v>
      </c>
      <c r="E90" s="81" t="s">
        <v>84</v>
      </c>
      <c r="F90" s="81"/>
      <c r="G90" s="81" t="s">
        <v>83</v>
      </c>
      <c r="H90" s="81"/>
      <c r="I90" s="14" t="s">
        <v>141</v>
      </c>
      <c r="J90" s="26">
        <f ca="1">H88*25%</f>
        <v>5.5</v>
      </c>
    </row>
    <row r="91" spans="1:10" x14ac:dyDescent="0.3">
      <c r="A91" s="81" t="s">
        <v>128</v>
      </c>
      <c r="B91" s="81"/>
      <c r="C91" s="50">
        <f ca="1">J92</f>
        <v>22</v>
      </c>
      <c r="D91" s="51">
        <f ca="1">((100/H88)*C91)/100</f>
        <v>1.0000000000000002</v>
      </c>
      <c r="E91" s="164">
        <f ca="1">(((C92/H88*10)+(40/(D88+F88+H88)*C93)+(7.5/(H88)*C94)+(7.5/(H88)*C95)+(10/H88*C96)+(10/H88*C97)+(5/H88*C98)+(5/H88*C99)+(5/H88*C100))/100)</f>
        <v>0.86363636363636376</v>
      </c>
      <c r="F91" s="164"/>
      <c r="G91" s="164">
        <f ca="1">((((C91/H88)*20)+((C92/H88)*25)+(30/(H88+F88+D88)*C93)+(5/H88*C94)+(5/H88*C95)+(5/H88*C96)+(5/H88*C97)+(0/H88*C98)+(0/H88*C99)+(5/H88*C100))/100)</f>
        <v>0.9363636363636364</v>
      </c>
      <c r="H91" s="164"/>
      <c r="I91" s="14" t="s">
        <v>100</v>
      </c>
      <c r="J91" s="27">
        <f ca="1">H88*50%</f>
        <v>11</v>
      </c>
    </row>
    <row r="92" spans="1:10" x14ac:dyDescent="0.3">
      <c r="A92" s="81" t="s">
        <v>49</v>
      </c>
      <c r="B92" s="81"/>
      <c r="C92" s="59">
        <f ca="1">J100</f>
        <v>22</v>
      </c>
      <c r="D92" s="51">
        <f ca="1">((100/H88)*C92)/100</f>
        <v>1.0000000000000002</v>
      </c>
      <c r="E92" s="164"/>
      <c r="F92" s="164"/>
      <c r="G92" s="164"/>
      <c r="H92" s="164"/>
      <c r="I92" s="14" t="s">
        <v>101</v>
      </c>
      <c r="J92" s="27">
        <f ca="1">H88</f>
        <v>22</v>
      </c>
    </row>
    <row r="93" spans="1:10" ht="15.75" customHeight="1" x14ac:dyDescent="0.3">
      <c r="A93" s="81" t="s">
        <v>129</v>
      </c>
      <c r="B93" s="81"/>
      <c r="C93" s="50">
        <v>23</v>
      </c>
      <c r="D93" s="51">
        <f ca="1">((100/(D88+F88+H88))*C93)/100</f>
        <v>1</v>
      </c>
      <c r="E93" s="164"/>
      <c r="F93" s="164"/>
      <c r="G93" s="164"/>
      <c r="H93" s="164"/>
      <c r="I93" s="14" t="s">
        <v>102</v>
      </c>
      <c r="J93" s="28">
        <f ca="1">(IF(B88&gt;1,(H88/(B88+2)),H88/4))</f>
        <v>5.5</v>
      </c>
    </row>
    <row r="94" spans="1:10" ht="15.75" customHeight="1" x14ac:dyDescent="0.3">
      <c r="A94" s="81" t="s">
        <v>136</v>
      </c>
      <c r="B94" s="81" t="s">
        <v>130</v>
      </c>
      <c r="C94" s="50">
        <v>22</v>
      </c>
      <c r="D94" s="51">
        <f ca="1">((100/H88)*C94)/100</f>
        <v>1.0000000000000002</v>
      </c>
      <c r="E94" s="164"/>
      <c r="F94" s="164"/>
      <c r="G94" s="164"/>
      <c r="H94" s="164"/>
      <c r="I94" s="14" t="s">
        <v>103</v>
      </c>
      <c r="J94" s="28">
        <f ca="1">(IF(B88&gt;1,(H88/(B88+2)+J93),H88/4+J93))</f>
        <v>11</v>
      </c>
    </row>
    <row r="95" spans="1:10" ht="15.75" customHeight="1" x14ac:dyDescent="0.3">
      <c r="A95" s="81" t="s">
        <v>137</v>
      </c>
      <c r="B95" s="81" t="s">
        <v>130</v>
      </c>
      <c r="C95" s="59">
        <v>22</v>
      </c>
      <c r="D95" s="51">
        <f ca="1">((100/H88)*C95)/100</f>
        <v>1.0000000000000002</v>
      </c>
      <c r="E95" s="164"/>
      <c r="F95" s="164"/>
      <c r="G95" s="164"/>
      <c r="H95" s="164"/>
      <c r="I95" s="14" t="s">
        <v>146</v>
      </c>
      <c r="J95" s="28">
        <f>(IF(B88&gt;1,(H88/(B88+2)+J94),0))</f>
        <v>0</v>
      </c>
    </row>
    <row r="96" spans="1:10" ht="15" customHeight="1" x14ac:dyDescent="0.3">
      <c r="A96" s="81" t="s">
        <v>135</v>
      </c>
      <c r="B96" s="81" t="s">
        <v>132</v>
      </c>
      <c r="C96" s="59">
        <v>20</v>
      </c>
      <c r="D96" s="51">
        <f ca="1">((100/(H88))*C96)/100</f>
        <v>0.90909090909090917</v>
      </c>
      <c r="E96" s="164"/>
      <c r="F96" s="164"/>
      <c r="G96" s="164"/>
      <c r="H96" s="164"/>
      <c r="I96" s="14" t="s">
        <v>143</v>
      </c>
      <c r="J96" s="28">
        <f>(IF(B88&gt;2,(H88/(B88+2)+J95),0))</f>
        <v>0</v>
      </c>
    </row>
    <row r="97" spans="1:10" ht="15.75" customHeight="1" x14ac:dyDescent="0.3">
      <c r="A97" s="81" t="s">
        <v>131</v>
      </c>
      <c r="B97" s="81" t="s">
        <v>131</v>
      </c>
      <c r="C97" s="50">
        <v>18</v>
      </c>
      <c r="D97" s="51">
        <f ca="1">((100/H88)*C97)/100</f>
        <v>0.81818181818181823</v>
      </c>
      <c r="E97" s="164"/>
      <c r="F97" s="164"/>
      <c r="G97" s="164"/>
      <c r="H97" s="164"/>
      <c r="I97" s="14" t="s">
        <v>144</v>
      </c>
      <c r="J97" s="29">
        <f>(IF(B88&gt;3,(H88/(B88+2)+J96),0))</f>
        <v>0</v>
      </c>
    </row>
    <row r="98" spans="1:10" ht="15.75" customHeight="1" x14ac:dyDescent="0.3">
      <c r="A98" s="81" t="s">
        <v>138</v>
      </c>
      <c r="B98" s="81"/>
      <c r="C98" s="50">
        <v>18</v>
      </c>
      <c r="D98" s="51">
        <f ca="1">((100/H88)*C98)/100</f>
        <v>0.81818181818181823</v>
      </c>
      <c r="E98" s="164"/>
      <c r="F98" s="164"/>
      <c r="G98" s="164"/>
      <c r="H98" s="164"/>
      <c r="I98" s="14" t="s">
        <v>145</v>
      </c>
      <c r="J98" s="28">
        <f>(IF(B88&gt;4,(H88/(B88+2)+J97),0))</f>
        <v>0</v>
      </c>
    </row>
    <row r="99" spans="1:10" ht="15.75" customHeight="1" x14ac:dyDescent="0.3">
      <c r="A99" s="81" t="s">
        <v>133</v>
      </c>
      <c r="B99" s="81" t="s">
        <v>133</v>
      </c>
      <c r="C99" s="50">
        <v>0</v>
      </c>
      <c r="D99" s="51">
        <f ca="1">((100/(H88))*C99)/100</f>
        <v>0</v>
      </c>
      <c r="E99" s="164"/>
      <c r="F99" s="164"/>
      <c r="G99" s="164"/>
      <c r="H99" s="164"/>
      <c r="I99" s="14" t="s">
        <v>147</v>
      </c>
      <c r="J99" s="28">
        <f ca="1">(IF(B88=1,(H88/(B88+3)+J94),IF(B88=0,(H88/4+J94),IF(B88&gt;1,0))))</f>
        <v>16.5</v>
      </c>
    </row>
    <row r="100" spans="1:10" ht="16.2" thickBot="1" x14ac:dyDescent="0.35">
      <c r="A100" s="81" t="s">
        <v>134</v>
      </c>
      <c r="B100" s="81"/>
      <c r="C100" s="50">
        <v>0</v>
      </c>
      <c r="D100" s="51">
        <f ca="1">((100/(H88))*C100)/100</f>
        <v>0</v>
      </c>
      <c r="E100" s="164"/>
      <c r="F100" s="164"/>
      <c r="G100" s="164"/>
      <c r="H100" s="164"/>
      <c r="I100" s="15" t="s">
        <v>104</v>
      </c>
      <c r="J100" s="30">
        <f ca="1">(IF(B88&gt;1.5,(H88/(B88+2)+J94+MAX(0,J95-J94)+MAX(0,J96-J95)+MAX(0,J97-J96)+MAX(0,J98-J97)+MAX(0,J99-J98)),IF(B88=1,(H88/(B88+3)+J99),IF(B88=0,H88/4+J99))))</f>
        <v>22</v>
      </c>
    </row>
    <row r="101" spans="1:10" ht="15.75" customHeight="1" x14ac:dyDescent="0.3">
      <c r="A101" s="117" t="s">
        <v>140</v>
      </c>
      <c r="B101" s="117"/>
      <c r="C101" s="117" t="str">
        <f>D65</f>
        <v>Building No.2 = Gr/Stilt + 1st to 4th Floor (Commercial)</v>
      </c>
      <c r="D101" s="117"/>
      <c r="E101" s="117"/>
      <c r="F101" s="117"/>
      <c r="G101" s="117"/>
      <c r="H101" s="117"/>
      <c r="I101" s="63" t="str">
        <f ca="1">IF(D114=100%,"All work Completed. Possession granted to the Building.",IF(D113=100%,"All work Completed, Waiting for OC",I102&amp;""&amp;I103&amp;""&amp;J102&amp;""&amp;J101&amp;" "&amp;J103))</f>
        <v xml:space="preserve">Work not yet Started. </v>
      </c>
      <c r="J101" s="45" t="str">
        <f ca="1">(IF(C107=(D102+F102+H102),"",IF(C107&gt;0,", RCC upto "&amp;C107&amp;" Slab","")))&amp;(IF(C108=H102,"",IF(C108&gt;0,", Brickwork upto "&amp;C108&amp;" Floor","")))&amp;(IF(C109=H102,"",IF(C109&gt;0,", Internal Plaster upto "&amp;C109&amp;" Floor","")))&amp;(IF(C110=H102,"",IF(C110&gt;0,", External Plaster upto "&amp;C110&amp;" Floor","")))&amp;(IF(C111=H102,"",IF(C111&gt;0,", Flooring upto "&amp;C111&amp;" Floor","")))&amp;(IF(C112=H102,"",IF(C112&gt;0,", Painting upto "&amp;C112&amp;" Floor","")))&amp;(IF(C113=H102,"",IF(C113&gt;0,", Finishing upto "&amp;C113&amp;" Floor","")))&amp;(IF(C114=H102,"",IF(C114&gt;0,", Possession upto "&amp;C114&amp;" Floor","")))</f>
        <v/>
      </c>
    </row>
    <row r="102" spans="1:10" x14ac:dyDescent="0.3">
      <c r="A102" s="16" t="s">
        <v>142</v>
      </c>
      <c r="B102" s="49">
        <v>0</v>
      </c>
      <c r="C102" s="49" t="s">
        <v>71</v>
      </c>
      <c r="D102" s="49">
        <v>1</v>
      </c>
      <c r="E102" s="49" t="s">
        <v>70</v>
      </c>
      <c r="F102" s="49">
        <v>0</v>
      </c>
      <c r="G102" s="49" t="s">
        <v>79</v>
      </c>
      <c r="H102" s="17">
        <f ca="1">--TRIM(RIGHT(SUBSTITUTE(LEFT(C101,_xlfn.AGGREGATE(16,6,FIND({0,1,2,3,4,5,6,7,8,9},C101,ROW(INDIRECT("1:"&amp;LEN(C101)))),1))," ",REPT(" ",LEN(C101))),LEN(C101)))</f>
        <v>4</v>
      </c>
      <c r="I102" s="46" t="str">
        <f ca="1">IF(D105=100%,"Excavation","")&amp;IF(D106=100%,", Plinth","")&amp;IF(D107=100%,", RCC Slab","")&amp;IF(D108=100%,", Brickwork","")&amp;IF(D109=100%,", Internal Plaster","")&amp;IF(D110=100%,", External Plaster","")&amp;IF(D111=100%,", Flooring","")&amp;IF(D112=100%,", Painting","")&amp;IF(D113=100%,", Building common Amenities","")</f>
        <v/>
      </c>
      <c r="J102" s="47" t="str">
        <f>(IF(C105=0,"Work not yet Started.",IF(D105=25%,"Piling work in process",IF(D105=50%,"Excavation work in process",IF(D105=100%,"","0")))))&amp;(IF(C106=0%,"",IF(C106=J107,", Footing work is process",IF(C106=J108,", Footing work Completed",IF(C106=J109,", 1st Basement Completed",IF(C106=J110,", 1st &amp; 2nd Basement Completed",IF(C106=J111,", 1st to 3rd Basement Completed",IF(C106=J112,", 1st to 4th Basement Completed",IF(C106=J113,", Plinth work is process",IF(C106=J114,"","0"))))))))))</f>
        <v>Work not yet Started.</v>
      </c>
    </row>
    <row r="103" spans="1:10" x14ac:dyDescent="0.3">
      <c r="A103" s="116" t="s">
        <v>89</v>
      </c>
      <c r="B103" s="114"/>
      <c r="C103" s="117" t="str">
        <f ca="1">I101</f>
        <v xml:space="preserve">Work not yet Started. </v>
      </c>
      <c r="D103" s="117"/>
      <c r="E103" s="117"/>
      <c r="F103" s="117"/>
      <c r="G103" s="117"/>
      <c r="H103" s="118"/>
      <c r="I103" s="46" t="str">
        <f ca="1">IF(I102&lt;&gt;""," Completed","")</f>
        <v/>
      </c>
      <c r="J103" s="47" t="str">
        <f ca="1">IF(J101&lt;&gt;"","Completed","")</f>
        <v/>
      </c>
    </row>
    <row r="104" spans="1:10" ht="15.75" customHeight="1" x14ac:dyDescent="0.3">
      <c r="A104" s="80" t="s">
        <v>48</v>
      </c>
      <c r="B104" s="81"/>
      <c r="C104" s="50" t="s">
        <v>139</v>
      </c>
      <c r="D104" s="50" t="s">
        <v>82</v>
      </c>
      <c r="E104" s="81" t="s">
        <v>84</v>
      </c>
      <c r="F104" s="81"/>
      <c r="G104" s="81" t="s">
        <v>83</v>
      </c>
      <c r="H104" s="139"/>
      <c r="I104" s="14" t="s">
        <v>141</v>
      </c>
      <c r="J104" s="26">
        <f ca="1">H102*25%</f>
        <v>1</v>
      </c>
    </row>
    <row r="105" spans="1:10" x14ac:dyDescent="0.3">
      <c r="A105" s="80" t="s">
        <v>128</v>
      </c>
      <c r="B105" s="81"/>
      <c r="C105" s="50">
        <v>0</v>
      </c>
      <c r="D105" s="51">
        <f ca="1">((100/H102)*C105)/100</f>
        <v>0</v>
      </c>
      <c r="E105" s="140">
        <f ca="1">(((C106/H102*10)+(40/(D102+F102+H102)*C107)+(7.5/(H102)*C108)+(7.5/(H102)*C109)+(10/H102*C110)+(10/H102*C111)+(5/H102*C112)+(5/H102*C113)+(5/H102*C114))/100)</f>
        <v>0</v>
      </c>
      <c r="F105" s="141"/>
      <c r="G105" s="140">
        <f ca="1">((((C105/H102)*20)+((C106/H102)*25)+(30/(H102+F102+D102)*C107)+(5/H102*C108)+(5/H102*C109)+(5/H102*C110)+(5/H102*C111)+(0/H102*C112)+(0/H102*C113)+(5/H102*C114))/100)</f>
        <v>0</v>
      </c>
      <c r="H105" s="146"/>
      <c r="I105" s="14" t="s">
        <v>100</v>
      </c>
      <c r="J105" s="27">
        <f ca="1">H102*50%</f>
        <v>2</v>
      </c>
    </row>
    <row r="106" spans="1:10" x14ac:dyDescent="0.3">
      <c r="A106" s="80" t="s">
        <v>49</v>
      </c>
      <c r="B106" s="81"/>
      <c r="C106" s="50">
        <v>0</v>
      </c>
      <c r="D106" s="51">
        <f ca="1">((100/H102)*C106)/100</f>
        <v>0</v>
      </c>
      <c r="E106" s="142"/>
      <c r="F106" s="143"/>
      <c r="G106" s="142"/>
      <c r="H106" s="147"/>
      <c r="I106" s="14" t="s">
        <v>101</v>
      </c>
      <c r="J106" s="27">
        <f ca="1">H102</f>
        <v>4</v>
      </c>
    </row>
    <row r="107" spans="1:10" ht="15.75" customHeight="1" x14ac:dyDescent="0.3">
      <c r="A107" s="80" t="s">
        <v>129</v>
      </c>
      <c r="B107" s="81"/>
      <c r="C107" s="50">
        <v>0</v>
      </c>
      <c r="D107" s="51">
        <f ca="1">((100/(D102+F102+H102))*C107)/100</f>
        <v>0</v>
      </c>
      <c r="E107" s="142"/>
      <c r="F107" s="143"/>
      <c r="G107" s="142"/>
      <c r="H107" s="147"/>
      <c r="I107" s="14" t="s">
        <v>102</v>
      </c>
      <c r="J107" s="28">
        <f ca="1">(IF(B102&gt;1,(H102/(B102+2)),H102/4))</f>
        <v>1</v>
      </c>
    </row>
    <row r="108" spans="1:10" ht="15.75" customHeight="1" x14ac:dyDescent="0.3">
      <c r="A108" s="80" t="s">
        <v>136</v>
      </c>
      <c r="B108" s="81" t="s">
        <v>130</v>
      </c>
      <c r="C108" s="50">
        <v>0</v>
      </c>
      <c r="D108" s="51">
        <f ca="1">((100/H102)*C108)/100</f>
        <v>0</v>
      </c>
      <c r="E108" s="142"/>
      <c r="F108" s="143"/>
      <c r="G108" s="142"/>
      <c r="H108" s="147"/>
      <c r="I108" s="14" t="s">
        <v>103</v>
      </c>
      <c r="J108" s="28">
        <f ca="1">(IF(B102&gt;1,(H102/(B102+2)+J107),H102/4+J107))</f>
        <v>2</v>
      </c>
    </row>
    <row r="109" spans="1:10" ht="15.75" customHeight="1" x14ac:dyDescent="0.3">
      <c r="A109" s="80" t="s">
        <v>137</v>
      </c>
      <c r="B109" s="81" t="s">
        <v>130</v>
      </c>
      <c r="C109" s="50">
        <v>0</v>
      </c>
      <c r="D109" s="51">
        <f ca="1">((100/H102)*C109)/100</f>
        <v>0</v>
      </c>
      <c r="E109" s="142"/>
      <c r="F109" s="143"/>
      <c r="G109" s="142"/>
      <c r="H109" s="147"/>
      <c r="I109" s="14" t="s">
        <v>146</v>
      </c>
      <c r="J109" s="28">
        <f>(IF(B102&gt;1,(H102/(B102+2)+J108),0))</f>
        <v>0</v>
      </c>
    </row>
    <row r="110" spans="1:10" ht="15" customHeight="1" x14ac:dyDescent="0.3">
      <c r="A110" s="80" t="s">
        <v>135</v>
      </c>
      <c r="B110" s="81" t="s">
        <v>132</v>
      </c>
      <c r="C110" s="50">
        <v>0</v>
      </c>
      <c r="D110" s="51">
        <f ca="1">((100/(H102))*C110)/100</f>
        <v>0</v>
      </c>
      <c r="E110" s="142"/>
      <c r="F110" s="143"/>
      <c r="G110" s="142"/>
      <c r="H110" s="147"/>
      <c r="I110" s="14" t="s">
        <v>143</v>
      </c>
      <c r="J110" s="28">
        <f>(IF(B102&gt;2,(H102/(B102+2)+J109),0))</f>
        <v>0</v>
      </c>
    </row>
    <row r="111" spans="1:10" ht="15.75" customHeight="1" x14ac:dyDescent="0.3">
      <c r="A111" s="80" t="s">
        <v>131</v>
      </c>
      <c r="B111" s="81" t="s">
        <v>131</v>
      </c>
      <c r="C111" s="50">
        <v>0</v>
      </c>
      <c r="D111" s="51">
        <f ca="1">((100/H102)*C111)/100</f>
        <v>0</v>
      </c>
      <c r="E111" s="142"/>
      <c r="F111" s="143"/>
      <c r="G111" s="142"/>
      <c r="H111" s="147"/>
      <c r="I111" s="14" t="s">
        <v>144</v>
      </c>
      <c r="J111" s="29">
        <f>(IF(B102&gt;3,(H102/(B102+2)+J110),0))</f>
        <v>0</v>
      </c>
    </row>
    <row r="112" spans="1:10" ht="15.75" customHeight="1" x14ac:dyDescent="0.3">
      <c r="A112" s="80" t="s">
        <v>138</v>
      </c>
      <c r="B112" s="81"/>
      <c r="C112" s="50">
        <v>0</v>
      </c>
      <c r="D112" s="51">
        <f ca="1">((100/H102)*C112)/100</f>
        <v>0</v>
      </c>
      <c r="E112" s="142"/>
      <c r="F112" s="143"/>
      <c r="G112" s="142"/>
      <c r="H112" s="147"/>
      <c r="I112" s="14" t="s">
        <v>145</v>
      </c>
      <c r="J112" s="28">
        <f>(IF(B102&gt;4,(H102/(B102+2)+J111),0))</f>
        <v>0</v>
      </c>
    </row>
    <row r="113" spans="1:13" ht="15.75" customHeight="1" x14ac:dyDescent="0.3">
      <c r="A113" s="80" t="s">
        <v>133</v>
      </c>
      <c r="B113" s="81" t="s">
        <v>133</v>
      </c>
      <c r="C113" s="50">
        <v>0</v>
      </c>
      <c r="D113" s="51">
        <f ca="1">((100/(H102))*C113)/100</f>
        <v>0</v>
      </c>
      <c r="E113" s="142"/>
      <c r="F113" s="143"/>
      <c r="G113" s="142"/>
      <c r="H113" s="147"/>
      <c r="I113" s="14" t="s">
        <v>147</v>
      </c>
      <c r="J113" s="28">
        <f ca="1">(IF(B102=1,(H102/(B102+3)+J108),IF(B102=0,(H102/4+J108),IF(B102&gt;1,0))))</f>
        <v>3</v>
      </c>
    </row>
    <row r="114" spans="1:13" ht="16.2" thickBot="1" x14ac:dyDescent="0.35">
      <c r="A114" s="149" t="s">
        <v>134</v>
      </c>
      <c r="B114" s="150"/>
      <c r="C114" s="52">
        <v>0</v>
      </c>
      <c r="D114" s="53">
        <f ca="1">((100/(H102))*C114)/100</f>
        <v>0</v>
      </c>
      <c r="E114" s="144"/>
      <c r="F114" s="145"/>
      <c r="G114" s="144"/>
      <c r="H114" s="148"/>
      <c r="I114" s="15" t="s">
        <v>104</v>
      </c>
      <c r="J114" s="30">
        <f ca="1">(IF(B102&gt;1.5,(H102/(B102+2)+J108+MAX(0,J109-J108)+MAX(0,J110-J109)+MAX(0,J111-J110)+MAX(0,J112-J111)+MAX(0,J113-J112)),IF(B102=1,(H102/(B102+3)+J113),IF(B102=0,H102/4+J113))))</f>
        <v>4</v>
      </c>
    </row>
    <row r="115" spans="1:13" x14ac:dyDescent="0.3">
      <c r="A115" s="165" t="s">
        <v>157</v>
      </c>
      <c r="B115" s="165"/>
      <c r="C115" s="165"/>
      <c r="D115" s="165"/>
      <c r="E115" s="165"/>
      <c r="F115" s="89" t="s">
        <v>162</v>
      </c>
      <c r="G115" s="89"/>
      <c r="H115" s="89"/>
      <c r="I115" s="56"/>
      <c r="J115" s="56"/>
      <c r="K115" s="56"/>
      <c r="L115" s="56"/>
      <c r="M115" s="56"/>
    </row>
    <row r="116" spans="1:13" x14ac:dyDescent="0.3">
      <c r="A116" s="85" t="s">
        <v>160</v>
      </c>
      <c r="B116" s="85"/>
      <c r="C116" s="85"/>
      <c r="D116" s="85"/>
      <c r="E116" s="85"/>
      <c r="F116" s="84">
        <v>19000</v>
      </c>
      <c r="G116" s="84"/>
      <c r="H116" s="84"/>
      <c r="I116" s="56" t="s">
        <v>253</v>
      </c>
      <c r="J116" s="56" t="s">
        <v>254</v>
      </c>
      <c r="K116" s="61">
        <v>45344</v>
      </c>
      <c r="L116" s="56" t="s">
        <v>255</v>
      </c>
      <c r="M116" s="56"/>
    </row>
    <row r="117" spans="1:13" x14ac:dyDescent="0.3">
      <c r="A117" s="85" t="s">
        <v>159</v>
      </c>
      <c r="B117" s="85"/>
      <c r="C117" s="85"/>
      <c r="D117" s="85"/>
      <c r="E117" s="85"/>
      <c r="F117" s="84">
        <v>28000</v>
      </c>
      <c r="G117" s="84"/>
      <c r="H117" s="84"/>
      <c r="I117" s="56"/>
      <c r="J117" s="58"/>
      <c r="K117" s="56"/>
      <c r="L117" s="56"/>
      <c r="M117" s="56"/>
    </row>
    <row r="118" spans="1:13" x14ac:dyDescent="0.3">
      <c r="A118" s="85" t="s">
        <v>161</v>
      </c>
      <c r="B118" s="85"/>
      <c r="C118" s="85"/>
      <c r="D118" s="85"/>
      <c r="E118" s="85"/>
      <c r="F118" s="84">
        <v>22000</v>
      </c>
      <c r="G118" s="84"/>
      <c r="H118" s="84"/>
      <c r="I118" s="56"/>
      <c r="J118" s="56"/>
      <c r="K118" s="56"/>
      <c r="L118" s="56"/>
      <c r="M118" s="56"/>
    </row>
    <row r="119" spans="1:13" s="31" customFormat="1" hidden="1" x14ac:dyDescent="0.25">
      <c r="A119" s="85" t="s">
        <v>158</v>
      </c>
      <c r="B119" s="85"/>
      <c r="C119" s="85"/>
      <c r="D119" s="85"/>
      <c r="E119" s="85"/>
      <c r="F119" s="84"/>
      <c r="G119" s="84"/>
      <c r="H119" s="84"/>
      <c r="I119" s="57"/>
      <c r="J119" s="57"/>
      <c r="K119" s="57"/>
      <c r="L119" s="57"/>
      <c r="M119" s="57"/>
    </row>
    <row r="120" spans="1:13" s="31" customFormat="1" x14ac:dyDescent="0.25">
      <c r="A120" s="85" t="s">
        <v>94</v>
      </c>
      <c r="B120" s="85"/>
      <c r="C120" s="85"/>
      <c r="D120" s="85"/>
      <c r="E120" s="85"/>
      <c r="F120" s="84">
        <v>330000</v>
      </c>
      <c r="G120" s="84"/>
      <c r="H120" s="84"/>
    </row>
    <row r="121" spans="1:13" s="31" customFormat="1" hidden="1" x14ac:dyDescent="0.25">
      <c r="A121" s="85" t="s">
        <v>95</v>
      </c>
      <c r="B121" s="85"/>
      <c r="C121" s="85"/>
      <c r="D121" s="85"/>
      <c r="E121" s="85"/>
      <c r="F121" s="84"/>
      <c r="G121" s="84"/>
      <c r="H121" s="84"/>
    </row>
    <row r="122" spans="1:13" s="31" customFormat="1" hidden="1" x14ac:dyDescent="0.25">
      <c r="A122" s="85" t="s">
        <v>163</v>
      </c>
      <c r="B122" s="85"/>
      <c r="C122" s="85"/>
      <c r="D122" s="85"/>
      <c r="E122" s="85"/>
      <c r="F122" s="84"/>
      <c r="G122" s="84"/>
      <c r="H122" s="84"/>
    </row>
    <row r="123" spans="1:13" s="31" customFormat="1" hidden="1" x14ac:dyDescent="0.25">
      <c r="A123" s="85" t="s">
        <v>96</v>
      </c>
      <c r="B123" s="85"/>
      <c r="C123" s="85"/>
      <c r="D123" s="85"/>
      <c r="E123" s="85"/>
      <c r="F123" s="84"/>
      <c r="G123" s="84"/>
      <c r="H123" s="84"/>
    </row>
    <row r="124" spans="1:13" s="31" customFormat="1" hidden="1" x14ac:dyDescent="0.25">
      <c r="A124" s="85" t="s">
        <v>97</v>
      </c>
      <c r="B124" s="85"/>
      <c r="C124" s="85"/>
      <c r="D124" s="85"/>
      <c r="E124" s="85"/>
      <c r="F124" s="84"/>
      <c r="G124" s="84"/>
      <c r="H124" s="84"/>
    </row>
    <row r="125" spans="1:13" s="31" customFormat="1" hidden="1" x14ac:dyDescent="0.25">
      <c r="A125" s="85" t="s">
        <v>98</v>
      </c>
      <c r="B125" s="85"/>
      <c r="C125" s="85"/>
      <c r="D125" s="85"/>
      <c r="E125" s="85"/>
      <c r="F125" s="84"/>
      <c r="G125" s="84"/>
      <c r="H125" s="84"/>
    </row>
    <row r="126" spans="1:13" s="31" customFormat="1" hidden="1" x14ac:dyDescent="0.25">
      <c r="A126" s="85" t="s">
        <v>99</v>
      </c>
      <c r="B126" s="85"/>
      <c r="C126" s="85"/>
      <c r="D126" s="85"/>
      <c r="E126" s="85"/>
      <c r="F126" s="84"/>
      <c r="G126" s="84"/>
      <c r="H126" s="84"/>
    </row>
    <row r="127" spans="1:13" x14ac:dyDescent="0.3">
      <c r="A127" s="85" t="s">
        <v>50</v>
      </c>
      <c r="B127" s="85"/>
      <c r="C127" s="85"/>
      <c r="D127" s="85"/>
      <c r="E127" s="85"/>
      <c r="F127" s="84">
        <v>1000000</v>
      </c>
      <c r="G127" s="84"/>
      <c r="H127" s="84"/>
    </row>
    <row r="128" spans="1:13" s="32" customFormat="1" x14ac:dyDescent="0.3">
      <c r="A128" s="99" t="s">
        <v>51</v>
      </c>
      <c r="B128" s="99"/>
      <c r="C128" s="99"/>
      <c r="D128" s="99"/>
      <c r="E128" s="99"/>
      <c r="F128" s="84">
        <f>F117*0.8</f>
        <v>22400</v>
      </c>
      <c r="G128" s="84"/>
      <c r="H128" s="84"/>
    </row>
    <row r="129" spans="1:10" s="33" customFormat="1" ht="15.75" customHeight="1" x14ac:dyDescent="0.3">
      <c r="A129" s="93" t="s">
        <v>246</v>
      </c>
      <c r="B129" s="93"/>
      <c r="C129" s="93"/>
      <c r="D129" s="93"/>
      <c r="E129" s="93"/>
      <c r="F129" s="93"/>
      <c r="G129" s="93"/>
      <c r="H129" s="93"/>
    </row>
    <row r="130" spans="1:10" s="33" customFormat="1" ht="15.75" customHeight="1" x14ac:dyDescent="0.3">
      <c r="A130" s="90" t="s">
        <v>52</v>
      </c>
      <c r="B130" s="90"/>
      <c r="C130" s="95" t="s">
        <v>77</v>
      </c>
      <c r="D130" s="95"/>
      <c r="E130" s="131" t="s">
        <v>53</v>
      </c>
      <c r="F130" s="131"/>
      <c r="G130" s="90" t="s">
        <v>54</v>
      </c>
      <c r="H130" s="90"/>
    </row>
    <row r="131" spans="1:10" s="33" customFormat="1" x14ac:dyDescent="0.3">
      <c r="A131" s="43" t="s">
        <v>187</v>
      </c>
      <c r="B131" s="43" t="s">
        <v>186</v>
      </c>
      <c r="C131" s="82">
        <f>COUNT(D146:D152)</f>
        <v>7</v>
      </c>
      <c r="D131" s="91"/>
      <c r="E131" s="83">
        <f>SUM(D146:D152)</f>
        <v>1899.5769</v>
      </c>
      <c r="F131" s="92"/>
      <c r="G131" s="83">
        <f>SUM(F146:F152)</f>
        <v>3039.3230400000002</v>
      </c>
      <c r="H131" s="92"/>
    </row>
    <row r="132" spans="1:10" s="33" customFormat="1" x14ac:dyDescent="0.3">
      <c r="A132" s="43" t="s">
        <v>191</v>
      </c>
      <c r="B132" s="43" t="s">
        <v>190</v>
      </c>
      <c r="C132" s="82">
        <f>COUNT(D154:D157)+COUNT(D160:D162)</f>
        <v>7</v>
      </c>
      <c r="D132" s="91"/>
      <c r="E132" s="83">
        <f>SUM(D154:D157)+SUM(D160:D162)</f>
        <v>3555.9008549999999</v>
      </c>
      <c r="F132" s="92"/>
      <c r="G132" s="83">
        <f>SUM(F154:F157)+SUM(F160:F162)</f>
        <v>5689.4413679999998</v>
      </c>
      <c r="H132" s="92"/>
    </row>
    <row r="133" spans="1:10" s="33" customFormat="1" x14ac:dyDescent="0.3">
      <c r="A133" s="93" t="s">
        <v>150</v>
      </c>
      <c r="B133" s="93"/>
      <c r="C133" s="94">
        <f>SUM(C131:C132)</f>
        <v>14</v>
      </c>
      <c r="D133" s="95"/>
      <c r="E133" s="130">
        <f>SUM(E131:E132)</f>
        <v>5455.4777549999999</v>
      </c>
      <c r="F133" s="131"/>
      <c r="G133" s="90">
        <f>SUM(G131:G132)</f>
        <v>8728.7644079999991</v>
      </c>
      <c r="H133" s="90"/>
    </row>
    <row r="134" spans="1:10" s="33" customFormat="1" x14ac:dyDescent="0.3">
      <c r="A134" s="93" t="s">
        <v>247</v>
      </c>
      <c r="B134" s="93"/>
      <c r="C134" s="93"/>
      <c r="D134" s="93"/>
      <c r="E134" s="93"/>
      <c r="F134" s="93"/>
      <c r="G134" s="93"/>
      <c r="H134" s="93"/>
    </row>
    <row r="135" spans="1:10" s="33" customFormat="1" ht="15.75" customHeight="1" x14ac:dyDescent="0.3">
      <c r="A135" s="90" t="s">
        <v>52</v>
      </c>
      <c r="B135" s="90"/>
      <c r="C135" s="95" t="s">
        <v>77</v>
      </c>
      <c r="D135" s="95"/>
      <c r="E135" s="131" t="s">
        <v>53</v>
      </c>
      <c r="F135" s="131"/>
      <c r="G135" s="90" t="s">
        <v>54</v>
      </c>
      <c r="H135" s="90"/>
    </row>
    <row r="136" spans="1:10" s="33" customFormat="1" x14ac:dyDescent="0.3">
      <c r="A136" s="123" t="s">
        <v>214</v>
      </c>
      <c r="B136" s="123"/>
      <c r="C136" s="82">
        <f>COUNT(D172:D177)+COUNT(D179:D184)*2+COUNT(D186:D187,D190:D191)+COUNT(D193:D198)*2+COUNT(D200:D205)+COUNT(D207:D212)*2+COUNT(D214:D219)+COUNT(D221:D222,D225:D226)+COUNT(D228:D233)+COUNT(D235:D240)+COUNT(D242:D247)*5</f>
        <v>104</v>
      </c>
      <c r="D136" s="82"/>
      <c r="E136" s="83">
        <f>SUM(D172:D177)+SUM(D179:D184)*2+SUM(D186:D187,D190:D191)+SUM(D193:D198)*2+SUM(D200:D205)+SUM(D207:D212)*2+SUM(D214:D219)+SUM(D221:D222,D225:D226)+SUM(D228:D233)+SUM(D235:D240)+SUM(D242:D247)*5</f>
        <v>71581.676399999997</v>
      </c>
      <c r="F136" s="83"/>
      <c r="G136" s="83">
        <f>SUM(F172:F177)+SUM(F179:F184)*2+SUM(F186:F187,F190:F191)+SUM(F193:F198)*2+SUM(F200:F205)+SUM(F207:F212)*2+SUM(F214:F219)+SUM(F221:F222,F225:F226)+SUM(F228:F233)+SUM(F235:F240)+SUM(F242:F247)*5</f>
        <v>110951.59841999999</v>
      </c>
      <c r="H136" s="83"/>
    </row>
    <row r="137" spans="1:10" s="33" customFormat="1" x14ac:dyDescent="0.3">
      <c r="A137" s="123" t="s">
        <v>221</v>
      </c>
      <c r="B137" s="123"/>
      <c r="C137" s="82">
        <f>COUNT(D253:D258)+COUNT(D260:D265)*2+COUNT(D267:D269,D271:D272)+COUNT(D274:D279)*2+COUNT(D281:D286)+COUNT(D288:D293)*2+COUNT(D295:D300)+COUNT(D302:D304,D306:D307)+COUNT(D309:D314)+COUNT(D316:D321)+COUNT(D323:D328)*5</f>
        <v>106</v>
      </c>
      <c r="D137" s="82"/>
      <c r="E137" s="83">
        <f>SUM(D253:D258)+SUM(D260:D265)*2+SUM(D267:D269,D271:D272)+SUM(D274:D279)*2+SUM(D281:D286)+SUM(D288:D293)*2+SUM(D295:D300)+SUM(D302:D304,D306:D307)+SUM(D309:D314)+SUM(D316:D321)+SUM(D323:D328)*5</f>
        <v>64712.737439999997</v>
      </c>
      <c r="F137" s="83"/>
      <c r="G137" s="83">
        <f>SUM(F253:F258)+SUM(F260:F265)*2+SUM(F267:F269,F271:F272)+SUM(F274:F279)*2+SUM(F281:F286)+SUM(F288:F293)*2+SUM(F295:F300)+SUM(F302:F304,F306:F307)+SUM(F309:F314)+SUM(F316:F321)+SUM(F323:F328)*5</f>
        <v>100304.743032</v>
      </c>
      <c r="H137" s="83"/>
    </row>
    <row r="138" spans="1:10" s="33" customFormat="1" x14ac:dyDescent="0.3">
      <c r="A138" s="93" t="s">
        <v>150</v>
      </c>
      <c r="B138" s="93"/>
      <c r="C138" s="94">
        <f>SUM(C136:C137)</f>
        <v>210</v>
      </c>
      <c r="D138" s="95"/>
      <c r="E138" s="130">
        <f>SUM(E136:E137)</f>
        <v>136294.41383999999</v>
      </c>
      <c r="F138" s="131"/>
      <c r="G138" s="90">
        <f>SUM(G136:G137)</f>
        <v>211256.34145199999</v>
      </c>
      <c r="H138" s="90"/>
    </row>
    <row r="139" spans="1:10" s="33" customFormat="1" x14ac:dyDescent="0.3">
      <c r="A139" s="93" t="s">
        <v>243</v>
      </c>
      <c r="B139" s="93"/>
      <c r="C139" s="94">
        <f>C133+C138</f>
        <v>224</v>
      </c>
      <c r="D139" s="95"/>
      <c r="E139" s="130">
        <f>E133+E138</f>
        <v>141749.89159499999</v>
      </c>
      <c r="F139" s="131"/>
      <c r="G139" s="90">
        <f>G133+G138</f>
        <v>219985.10585999998</v>
      </c>
      <c r="H139" s="90"/>
    </row>
    <row r="140" spans="1:10" s="32" customFormat="1" x14ac:dyDescent="0.3">
      <c r="A140" s="104" t="s">
        <v>55</v>
      </c>
      <c r="B140" s="104"/>
      <c r="C140" s="104"/>
      <c r="D140" s="104"/>
      <c r="E140" s="104"/>
      <c r="F140" s="104"/>
      <c r="G140" s="104"/>
      <c r="H140" s="104"/>
    </row>
    <row r="141" spans="1:10" x14ac:dyDescent="0.3">
      <c r="A141" s="104" t="s">
        <v>56</v>
      </c>
      <c r="B141" s="104"/>
      <c r="C141" s="104"/>
      <c r="D141" s="104"/>
      <c r="E141" s="104"/>
      <c r="F141" s="104"/>
      <c r="G141" s="104"/>
      <c r="H141" s="104"/>
    </row>
    <row r="142" spans="1:10" ht="47.25" customHeight="1" x14ac:dyDescent="0.3">
      <c r="A142" s="88" t="s">
        <v>119</v>
      </c>
      <c r="B142" s="88" t="s">
        <v>185</v>
      </c>
      <c r="C142" s="88" t="s">
        <v>57</v>
      </c>
      <c r="D142" s="88" t="s">
        <v>58</v>
      </c>
      <c r="E142" s="87" t="s">
        <v>156</v>
      </c>
      <c r="F142" s="64" t="s">
        <v>149</v>
      </c>
      <c r="G142" s="88" t="s">
        <v>60</v>
      </c>
      <c r="H142" s="88"/>
    </row>
    <row r="143" spans="1:10" s="35" customFormat="1" x14ac:dyDescent="0.3">
      <c r="A143" s="88"/>
      <c r="B143" s="88"/>
      <c r="C143" s="88"/>
      <c r="D143" s="88"/>
      <c r="E143" s="87"/>
      <c r="F143" s="65">
        <v>0.6</v>
      </c>
      <c r="G143" s="88"/>
      <c r="H143" s="88"/>
    </row>
    <row r="144" spans="1:10" s="35" customFormat="1" x14ac:dyDescent="0.3">
      <c r="A144" s="86" t="s">
        <v>244</v>
      </c>
      <c r="B144" s="86"/>
      <c r="C144" s="86"/>
      <c r="D144" s="86"/>
      <c r="E144" s="86"/>
      <c r="F144" s="86"/>
      <c r="G144" s="86"/>
      <c r="H144" s="86"/>
      <c r="J144" s="34"/>
    </row>
    <row r="145" spans="1:14" s="35" customFormat="1" x14ac:dyDescent="0.3">
      <c r="A145" s="86" t="s">
        <v>188</v>
      </c>
      <c r="B145" s="86"/>
      <c r="C145" s="86"/>
      <c r="D145" s="86"/>
      <c r="E145" s="86"/>
      <c r="F145" s="86"/>
      <c r="G145" s="86"/>
      <c r="H145" s="86"/>
      <c r="J145" s="34"/>
    </row>
    <row r="146" spans="1:14" s="35" customFormat="1" ht="15.75" customHeight="1" x14ac:dyDescent="0.3">
      <c r="A146" s="40">
        <v>1</v>
      </c>
      <c r="B146" s="40" t="s">
        <v>186</v>
      </c>
      <c r="C146" s="40" t="s">
        <v>187</v>
      </c>
      <c r="D146" s="48">
        <f>(2.9*9.5+1.85*1.1+0.925*1.25)*10.764</f>
        <v>330.89881500000001</v>
      </c>
      <c r="E146" s="40">
        <v>0</v>
      </c>
      <c r="F146" s="40">
        <f>(D146+E146)*(($F$143)+1)</f>
        <v>529.43810400000007</v>
      </c>
      <c r="G146" s="173" t="str">
        <f>A145</f>
        <v>Ground Floor for Commercial &amp; Parking</v>
      </c>
      <c r="H146" s="173"/>
      <c r="I146" s="34"/>
      <c r="J146" s="34">
        <f>19500000/F146</f>
        <v>36831.500892500924</v>
      </c>
      <c r="L146" s="79"/>
      <c r="M146" s="79"/>
      <c r="N146" s="34"/>
    </row>
    <row r="147" spans="1:14" s="35" customFormat="1" x14ac:dyDescent="0.3">
      <c r="A147" s="40">
        <f t="shared" ref="A147:A152" si="0">A146+1</f>
        <v>2</v>
      </c>
      <c r="B147" s="40" t="s">
        <v>186</v>
      </c>
      <c r="C147" s="40" t="s">
        <v>187</v>
      </c>
      <c r="D147" s="48">
        <f>(2.1*10.7+1.125*3.875)*10.764</f>
        <v>288.79139249999997</v>
      </c>
      <c r="E147" s="40">
        <v>0</v>
      </c>
      <c r="F147" s="40">
        <f t="shared" ref="F147:F149" si="1">(D147+E147)*(($F$143)+1)</f>
        <v>462.06622799999997</v>
      </c>
      <c r="G147" s="173"/>
      <c r="H147" s="173"/>
      <c r="I147" s="34"/>
      <c r="L147" s="79"/>
      <c r="M147" s="79"/>
      <c r="N147" s="34"/>
    </row>
    <row r="148" spans="1:14" s="35" customFormat="1" x14ac:dyDescent="0.3">
      <c r="A148" s="40">
        <f t="shared" si="0"/>
        <v>3</v>
      </c>
      <c r="B148" s="40" t="s">
        <v>186</v>
      </c>
      <c r="C148" s="40" t="s">
        <v>187</v>
      </c>
      <c r="D148" s="48">
        <f>(2.025*6.675+1.05*1.2+1.05*1.5)*10.764</f>
        <v>176.01158249999997</v>
      </c>
      <c r="E148" s="40">
        <v>0</v>
      </c>
      <c r="F148" s="40">
        <f t="shared" si="1"/>
        <v>281.61853199999996</v>
      </c>
      <c r="G148" s="173"/>
      <c r="H148" s="173"/>
      <c r="I148" s="34"/>
      <c r="J148" s="34"/>
      <c r="L148" s="79"/>
      <c r="M148" s="79"/>
      <c r="N148" s="34"/>
    </row>
    <row r="149" spans="1:14" s="35" customFormat="1" x14ac:dyDescent="0.3">
      <c r="A149" s="40">
        <f t="shared" si="0"/>
        <v>4</v>
      </c>
      <c r="B149" s="40" t="s">
        <v>186</v>
      </c>
      <c r="C149" s="40" t="s">
        <v>187</v>
      </c>
      <c r="D149" s="48">
        <f>(2.55*6.675+1.2*1.225)*10.764</f>
        <v>199.03981499999995</v>
      </c>
      <c r="E149" s="40">
        <v>0</v>
      </c>
      <c r="F149" s="40">
        <f t="shared" si="1"/>
        <v>318.46370399999995</v>
      </c>
      <c r="G149" s="173"/>
      <c r="H149" s="173"/>
      <c r="I149" s="34"/>
      <c r="L149" s="79"/>
      <c r="M149" s="79"/>
      <c r="N149" s="34"/>
    </row>
    <row r="150" spans="1:14" s="35" customFormat="1" x14ac:dyDescent="0.3">
      <c r="A150" s="40">
        <f t="shared" si="0"/>
        <v>5</v>
      </c>
      <c r="B150" s="40" t="s">
        <v>186</v>
      </c>
      <c r="C150" s="40" t="s">
        <v>187</v>
      </c>
      <c r="D150" s="48">
        <f>(2.05*9.375+1.2*1.2)*10.764</f>
        <v>222.37078500000001</v>
      </c>
      <c r="E150" s="40">
        <v>0</v>
      </c>
      <c r="F150" s="40">
        <f t="shared" ref="F150:F152" si="2">(D150+E150)*(($F$143)+1)</f>
        <v>355.79325600000004</v>
      </c>
      <c r="G150" s="173"/>
      <c r="H150" s="173"/>
      <c r="I150" s="34"/>
      <c r="J150" s="34">
        <f>14000000/F150</f>
        <v>39348.694119148786</v>
      </c>
      <c r="L150" s="79"/>
      <c r="M150" s="79"/>
      <c r="N150" s="34"/>
    </row>
    <row r="151" spans="1:14" s="35" customFormat="1" x14ac:dyDescent="0.3">
      <c r="A151" s="40">
        <f t="shared" si="0"/>
        <v>6</v>
      </c>
      <c r="B151" s="40" t="s">
        <v>186</v>
      </c>
      <c r="C151" s="40" t="s">
        <v>187</v>
      </c>
      <c r="D151" s="48">
        <f>(2.65*10.7+2.05*1.2+1.2*1.2)*10.764</f>
        <v>347.19281999999993</v>
      </c>
      <c r="E151" s="40">
        <v>0</v>
      </c>
      <c r="F151" s="40">
        <f t="shared" si="2"/>
        <v>555.50851199999988</v>
      </c>
      <c r="G151" s="173"/>
      <c r="H151" s="173"/>
      <c r="I151" s="34"/>
      <c r="L151" s="79"/>
      <c r="M151" s="79"/>
      <c r="N151" s="34"/>
    </row>
    <row r="152" spans="1:14" s="35" customFormat="1" x14ac:dyDescent="0.3">
      <c r="A152" s="40">
        <f t="shared" si="0"/>
        <v>7</v>
      </c>
      <c r="B152" s="40" t="s">
        <v>186</v>
      </c>
      <c r="C152" s="40" t="s">
        <v>187</v>
      </c>
      <c r="D152" s="48">
        <f>(2.95*9.45+0.9*1.25+1.95*1.1)*10.764</f>
        <v>335.27168999999998</v>
      </c>
      <c r="E152" s="40">
        <v>0</v>
      </c>
      <c r="F152" s="40">
        <f t="shared" si="2"/>
        <v>536.43470400000001</v>
      </c>
      <c r="G152" s="173"/>
      <c r="H152" s="173"/>
      <c r="I152" s="34"/>
      <c r="L152" s="79"/>
      <c r="M152" s="79"/>
      <c r="N152" s="34"/>
    </row>
    <row r="153" spans="1:14" s="35" customFormat="1" x14ac:dyDescent="0.3">
      <c r="A153" s="132" t="s">
        <v>189</v>
      </c>
      <c r="B153" s="133"/>
      <c r="C153" s="133"/>
      <c r="D153" s="133"/>
      <c r="E153" s="133"/>
      <c r="F153" s="133"/>
      <c r="G153" s="133"/>
      <c r="H153" s="134"/>
      <c r="J153" s="34"/>
    </row>
    <row r="154" spans="1:14" s="35" customFormat="1" ht="15.75" customHeight="1" x14ac:dyDescent="0.3">
      <c r="A154" s="40">
        <v>1</v>
      </c>
      <c r="B154" s="40" t="s">
        <v>190</v>
      </c>
      <c r="C154" s="40" t="s">
        <v>191</v>
      </c>
      <c r="D154" s="48">
        <f>(5.15*10.55+2.5*1.3)*10.764</f>
        <v>619.81803000000002</v>
      </c>
      <c r="E154" s="40">
        <v>0</v>
      </c>
      <c r="F154" s="40">
        <f>(D154+E154)*(($F$143)+1)</f>
        <v>991.7088480000001</v>
      </c>
      <c r="G154" s="151" t="str">
        <f>A153</f>
        <v>1st Floor</v>
      </c>
      <c r="H154" s="152"/>
      <c r="I154" s="34"/>
      <c r="L154" s="79"/>
      <c r="M154" s="79"/>
      <c r="N154" s="34"/>
    </row>
    <row r="155" spans="1:14" s="35" customFormat="1" x14ac:dyDescent="0.3">
      <c r="A155" s="40">
        <f t="shared" ref="A155:A157" si="3">A154+1</f>
        <v>2</v>
      </c>
      <c r="B155" s="40" t="s">
        <v>190</v>
      </c>
      <c r="C155" s="40" t="s">
        <v>191</v>
      </c>
      <c r="D155" s="48">
        <f>(4.725*6.9+3.375*2.3+1.2*2.15)*10.764</f>
        <v>462.25997999999987</v>
      </c>
      <c r="E155" s="40">
        <v>0</v>
      </c>
      <c r="F155" s="40">
        <f t="shared" ref="F155:F157" si="4">(D155+E155)*(($F$143)+1)</f>
        <v>739.61596799999984</v>
      </c>
      <c r="G155" s="153"/>
      <c r="H155" s="154"/>
      <c r="I155" s="34"/>
      <c r="L155" s="79"/>
      <c r="M155" s="79"/>
      <c r="N155" s="34"/>
    </row>
    <row r="156" spans="1:14" s="35" customFormat="1" x14ac:dyDescent="0.3">
      <c r="A156" s="40">
        <f t="shared" si="3"/>
        <v>3</v>
      </c>
      <c r="B156" s="40" t="s">
        <v>190</v>
      </c>
      <c r="C156" s="40" t="s">
        <v>191</v>
      </c>
      <c r="D156" s="48">
        <f>(1.05*2.15+7.95*4.9+6.6*2.3+1.2*2.15)*10.764</f>
        <v>634.77999</v>
      </c>
      <c r="E156" s="40">
        <v>0</v>
      </c>
      <c r="F156" s="40">
        <f t="shared" si="4"/>
        <v>1015.6479840000001</v>
      </c>
      <c r="G156" s="153"/>
      <c r="H156" s="154"/>
      <c r="I156" s="34"/>
      <c r="L156" s="79"/>
      <c r="M156" s="79"/>
      <c r="N156" s="34"/>
    </row>
    <row r="157" spans="1:14" s="35" customFormat="1" x14ac:dyDescent="0.3">
      <c r="A157" s="40">
        <f t="shared" si="3"/>
        <v>4</v>
      </c>
      <c r="B157" s="40" t="s">
        <v>190</v>
      </c>
      <c r="C157" s="40" t="s">
        <v>191</v>
      </c>
      <c r="D157" s="48">
        <f>(6.75*3.2)*10.764</f>
        <v>232.50239999999999</v>
      </c>
      <c r="E157" s="40">
        <v>0</v>
      </c>
      <c r="F157" s="40">
        <f t="shared" si="4"/>
        <v>372.00384000000003</v>
      </c>
      <c r="G157" s="155"/>
      <c r="H157" s="156"/>
      <c r="I157" s="34"/>
      <c r="L157" s="79"/>
      <c r="M157" s="79"/>
      <c r="N157" s="34"/>
    </row>
    <row r="158" spans="1:14" s="35" customFormat="1" x14ac:dyDescent="0.3">
      <c r="A158" s="132" t="s">
        <v>192</v>
      </c>
      <c r="B158" s="133"/>
      <c r="C158" s="133"/>
      <c r="D158" s="133"/>
      <c r="E158" s="133"/>
      <c r="F158" s="133"/>
      <c r="G158" s="133"/>
      <c r="H158" s="134"/>
      <c r="J158" s="34"/>
    </row>
    <row r="159" spans="1:14" s="35" customFormat="1" x14ac:dyDescent="0.3">
      <c r="A159" s="132" t="s">
        <v>193</v>
      </c>
      <c r="B159" s="133"/>
      <c r="C159" s="133"/>
      <c r="D159" s="133"/>
      <c r="E159" s="133"/>
      <c r="F159" s="133"/>
      <c r="G159" s="133"/>
      <c r="H159" s="134"/>
      <c r="J159" s="34"/>
    </row>
    <row r="160" spans="1:14" s="35" customFormat="1" ht="15.75" customHeight="1" x14ac:dyDescent="0.3">
      <c r="A160" s="40">
        <v>1</v>
      </c>
      <c r="B160" s="40" t="s">
        <v>190</v>
      </c>
      <c r="C160" s="40" t="s">
        <v>191</v>
      </c>
      <c r="D160" s="48">
        <f>(5.15*10.55+2.5*1.3+1.725*2+1.725*1.85)*10.764</f>
        <v>691.3044450000001</v>
      </c>
      <c r="E160" s="40">
        <v>0</v>
      </c>
      <c r="F160" s="40">
        <f>(D160+E160)*(($F$143)+1)</f>
        <v>1106.0871120000002</v>
      </c>
      <c r="G160" s="151" t="str">
        <f>A159</f>
        <v>4th Floor for Commercial &amp; Society Office (Part Terrace Area)</v>
      </c>
      <c r="H160" s="152"/>
      <c r="I160" s="34"/>
      <c r="L160" s="79"/>
      <c r="M160" s="79"/>
      <c r="N160" s="34"/>
    </row>
    <row r="161" spans="1:14" s="35" customFormat="1" x14ac:dyDescent="0.3">
      <c r="A161" s="40">
        <f t="shared" ref="A161:A162" si="5">A160+1</f>
        <v>2</v>
      </c>
      <c r="B161" s="40" t="s">
        <v>190</v>
      </c>
      <c r="C161" s="40" t="s">
        <v>191</v>
      </c>
      <c r="D161" s="48">
        <f>(4.725*6.9+3.375*2.3+1.2*2.15)*10.764</f>
        <v>462.25997999999987</v>
      </c>
      <c r="E161" s="40">
        <v>0</v>
      </c>
      <c r="F161" s="40">
        <f t="shared" ref="F161:F162" si="6">(D161+E161)*(($F$143)+1)</f>
        <v>739.61596799999984</v>
      </c>
      <c r="G161" s="153"/>
      <c r="H161" s="154"/>
      <c r="I161" s="34"/>
      <c r="L161" s="79"/>
      <c r="M161" s="79"/>
      <c r="N161" s="34"/>
    </row>
    <row r="162" spans="1:14" s="35" customFormat="1" x14ac:dyDescent="0.3">
      <c r="A162" s="40">
        <f t="shared" si="5"/>
        <v>3</v>
      </c>
      <c r="B162" s="40" t="s">
        <v>190</v>
      </c>
      <c r="C162" s="40" t="s">
        <v>191</v>
      </c>
      <c r="D162" s="48">
        <f>(3.35*3.2+3.4*8+1.5*1.2+1.75*1.35)*10.764</f>
        <v>452.97602999999992</v>
      </c>
      <c r="E162" s="40">
        <v>0</v>
      </c>
      <c r="F162" s="40">
        <f t="shared" si="6"/>
        <v>724.76164799999992</v>
      </c>
      <c r="G162" s="153"/>
      <c r="H162" s="154"/>
      <c r="I162" s="34"/>
      <c r="L162" s="79"/>
      <c r="M162" s="79"/>
      <c r="N162" s="34"/>
    </row>
    <row r="163" spans="1:14" s="35" customFormat="1" x14ac:dyDescent="0.3">
      <c r="A163" s="125"/>
      <c r="B163" s="126"/>
      <c r="C163" s="126"/>
      <c r="D163" s="126"/>
      <c r="E163" s="126"/>
      <c r="F163" s="126"/>
      <c r="G163" s="126"/>
      <c r="H163" s="127"/>
      <c r="I163" s="34"/>
      <c r="N163" s="34"/>
    </row>
    <row r="164" spans="1:14" ht="47.25" customHeight="1" x14ac:dyDescent="0.3">
      <c r="A164" s="128" t="s">
        <v>120</v>
      </c>
      <c r="B164" s="128" t="s">
        <v>216</v>
      </c>
      <c r="C164" s="167" t="s">
        <v>57</v>
      </c>
      <c r="D164" s="167" t="s">
        <v>58</v>
      </c>
      <c r="E164" s="169" t="s">
        <v>59</v>
      </c>
      <c r="F164" s="41" t="s">
        <v>149</v>
      </c>
      <c r="G164" s="128" t="s">
        <v>60</v>
      </c>
      <c r="H164" s="171"/>
      <c r="I164" s="34"/>
    </row>
    <row r="165" spans="1:14" s="35" customFormat="1" x14ac:dyDescent="0.3">
      <c r="A165" s="129"/>
      <c r="B165" s="129"/>
      <c r="C165" s="168"/>
      <c r="D165" s="168"/>
      <c r="E165" s="170"/>
      <c r="F165" s="13">
        <v>0.55000000000000004</v>
      </c>
      <c r="G165" s="129"/>
      <c r="H165" s="172"/>
      <c r="I165" s="34"/>
    </row>
    <row r="166" spans="1:14" s="35" customFormat="1" x14ac:dyDescent="0.3">
      <c r="A166" s="132" t="s">
        <v>245</v>
      </c>
      <c r="B166" s="133"/>
      <c r="C166" s="133"/>
      <c r="D166" s="133"/>
      <c r="E166" s="133"/>
      <c r="F166" s="133"/>
      <c r="G166" s="133"/>
      <c r="H166" s="134"/>
      <c r="J166" s="34"/>
    </row>
    <row r="167" spans="1:14" s="35" customFormat="1" x14ac:dyDescent="0.3">
      <c r="A167" s="132" t="s">
        <v>214</v>
      </c>
      <c r="B167" s="133"/>
      <c r="C167" s="133"/>
      <c r="D167" s="133"/>
      <c r="E167" s="133"/>
      <c r="F167" s="133"/>
      <c r="G167" s="133"/>
      <c r="H167" s="134"/>
      <c r="J167" s="34"/>
    </row>
    <row r="168" spans="1:14" s="35" customFormat="1" x14ac:dyDescent="0.3">
      <c r="A168" s="132" t="s">
        <v>211</v>
      </c>
      <c r="B168" s="133"/>
      <c r="C168" s="133"/>
      <c r="D168" s="133"/>
      <c r="E168" s="133"/>
      <c r="F168" s="133"/>
      <c r="G168" s="133"/>
      <c r="H168" s="134"/>
      <c r="J168" s="34"/>
    </row>
    <row r="169" spans="1:14" s="35" customFormat="1" x14ac:dyDescent="0.3">
      <c r="A169" s="132" t="s">
        <v>212</v>
      </c>
      <c r="B169" s="133"/>
      <c r="C169" s="133"/>
      <c r="D169" s="133"/>
      <c r="E169" s="133"/>
      <c r="F169" s="133"/>
      <c r="G169" s="133"/>
      <c r="H169" s="134"/>
      <c r="J169" s="34"/>
    </row>
    <row r="170" spans="1:14" s="35" customFormat="1" x14ac:dyDescent="0.3">
      <c r="A170" s="132" t="s">
        <v>213</v>
      </c>
      <c r="B170" s="133"/>
      <c r="C170" s="133"/>
      <c r="D170" s="133"/>
      <c r="E170" s="133"/>
      <c r="F170" s="133"/>
      <c r="G170" s="133"/>
      <c r="H170" s="134"/>
      <c r="J170" s="34"/>
    </row>
    <row r="171" spans="1:14" s="35" customFormat="1" x14ac:dyDescent="0.3">
      <c r="A171" s="132" t="s">
        <v>215</v>
      </c>
      <c r="B171" s="133"/>
      <c r="C171" s="133"/>
      <c r="D171" s="133"/>
      <c r="E171" s="133"/>
      <c r="F171" s="133"/>
      <c r="G171" s="133"/>
      <c r="H171" s="134"/>
      <c r="J171" s="34"/>
    </row>
    <row r="172" spans="1:14" s="35" customFormat="1" ht="15.75" customHeight="1" x14ac:dyDescent="0.3">
      <c r="A172" s="40">
        <v>1</v>
      </c>
      <c r="B172" s="40" t="s">
        <v>232</v>
      </c>
      <c r="C172" s="40" t="s">
        <v>217</v>
      </c>
      <c r="D172" s="48">
        <f>(42.19)*10.764</f>
        <v>454.13315999999998</v>
      </c>
      <c r="E172" s="48">
        <v>0</v>
      </c>
      <c r="F172" s="40">
        <f t="shared" ref="F172:F177" si="7">D172*(($F$165)+1)+(IF(E172&lt;101,E172,IF(E172&lt;201,E172/2,IF(E172&lt;=301,E172/3,E172/4))))</f>
        <v>703.90639799999997</v>
      </c>
      <c r="G172" s="151" t="str">
        <f>A171</f>
        <v>5th Floor for Residential</v>
      </c>
      <c r="H172" s="152"/>
      <c r="I172" s="34"/>
      <c r="J172" s="34"/>
      <c r="L172" s="79"/>
      <c r="M172" s="79"/>
      <c r="N172" s="34"/>
    </row>
    <row r="173" spans="1:14" s="35" customFormat="1" x14ac:dyDescent="0.3">
      <c r="A173" s="40">
        <f t="shared" ref="A173:A177" si="8">A172+1</f>
        <v>2</v>
      </c>
      <c r="B173" s="40" t="s">
        <v>232</v>
      </c>
      <c r="C173" s="40" t="s">
        <v>218</v>
      </c>
      <c r="D173" s="48">
        <f>(60.66)*10.764</f>
        <v>652.94423999999992</v>
      </c>
      <c r="E173" s="48">
        <v>0</v>
      </c>
      <c r="F173" s="40">
        <f t="shared" si="7"/>
        <v>1012.0635719999999</v>
      </c>
      <c r="G173" s="153"/>
      <c r="H173" s="154"/>
      <c r="I173" s="34"/>
      <c r="L173" s="79"/>
      <c r="M173" s="79"/>
      <c r="N173" s="34"/>
    </row>
    <row r="174" spans="1:14" s="35" customFormat="1" x14ac:dyDescent="0.3">
      <c r="A174" s="40">
        <f t="shared" si="8"/>
        <v>3</v>
      </c>
      <c r="B174" s="40" t="s">
        <v>232</v>
      </c>
      <c r="C174" s="40" t="s">
        <v>218</v>
      </c>
      <c r="D174" s="48">
        <f>(63.15)*10.764</f>
        <v>679.74659999999994</v>
      </c>
      <c r="E174" s="48">
        <v>0</v>
      </c>
      <c r="F174" s="40">
        <f t="shared" si="7"/>
        <v>1053.6072299999998</v>
      </c>
      <c r="G174" s="153"/>
      <c r="H174" s="154"/>
      <c r="I174" s="34"/>
      <c r="L174" s="79"/>
      <c r="M174" s="79"/>
      <c r="N174" s="34"/>
    </row>
    <row r="175" spans="1:14" s="35" customFormat="1" x14ac:dyDescent="0.3">
      <c r="A175" s="40">
        <f t="shared" si="8"/>
        <v>4</v>
      </c>
      <c r="B175" s="40" t="s">
        <v>232</v>
      </c>
      <c r="C175" s="40" t="s">
        <v>217</v>
      </c>
      <c r="D175" s="48">
        <f>(40.98)*10.764</f>
        <v>441.10871999999995</v>
      </c>
      <c r="E175" s="48">
        <v>0</v>
      </c>
      <c r="F175" s="40">
        <f t="shared" si="7"/>
        <v>683.71851599999991</v>
      </c>
      <c r="G175" s="153"/>
      <c r="H175" s="154"/>
      <c r="I175" s="34"/>
      <c r="L175" s="79"/>
      <c r="M175" s="79"/>
      <c r="N175" s="34"/>
    </row>
    <row r="176" spans="1:14" s="35" customFormat="1" x14ac:dyDescent="0.3">
      <c r="A176" s="40">
        <f t="shared" si="8"/>
        <v>5</v>
      </c>
      <c r="B176" s="40" t="s">
        <v>232</v>
      </c>
      <c r="C176" s="40" t="s">
        <v>219</v>
      </c>
      <c r="D176" s="48">
        <f>(86.69)*10.764</f>
        <v>933.13115999999991</v>
      </c>
      <c r="E176" s="48">
        <v>0</v>
      </c>
      <c r="F176" s="40">
        <f t="shared" si="7"/>
        <v>1446.353298</v>
      </c>
      <c r="G176" s="153"/>
      <c r="H176" s="154"/>
      <c r="I176" s="34">
        <f>3.05*6.2+1.55*2.75+2.15*3.3+3.65*3.05+3.65*2.75+3.95*2.9+1.5*2+2.25*1.5+2.25*1.4+1.5*0.9+2.15*1.2+1.3*2.15+2.15*0.95</f>
        <v>81.185000000000002</v>
      </c>
      <c r="L176" s="79"/>
      <c r="M176" s="79"/>
      <c r="N176" s="34"/>
    </row>
    <row r="177" spans="1:14" s="35" customFormat="1" x14ac:dyDescent="0.3">
      <c r="A177" s="40">
        <f t="shared" si="8"/>
        <v>6</v>
      </c>
      <c r="B177" s="40" t="s">
        <v>232</v>
      </c>
      <c r="C177" s="40" t="s">
        <v>219</v>
      </c>
      <c r="D177" s="48">
        <f>(85.88)*10.764</f>
        <v>924.41231999999991</v>
      </c>
      <c r="E177" s="48">
        <v>0</v>
      </c>
      <c r="F177" s="40">
        <f t="shared" si="7"/>
        <v>1432.8390959999999</v>
      </c>
      <c r="G177" s="155"/>
      <c r="H177" s="156"/>
      <c r="I177" s="34"/>
      <c r="L177" s="79"/>
      <c r="M177" s="79"/>
      <c r="N177" s="34"/>
    </row>
    <row r="178" spans="1:14" s="35" customFormat="1" x14ac:dyDescent="0.3">
      <c r="A178" s="132" t="s">
        <v>220</v>
      </c>
      <c r="B178" s="133"/>
      <c r="C178" s="133"/>
      <c r="D178" s="133"/>
      <c r="E178" s="133"/>
      <c r="F178" s="133"/>
      <c r="G178" s="133"/>
      <c r="H178" s="134"/>
      <c r="J178" s="34"/>
    </row>
    <row r="179" spans="1:14" s="35" customFormat="1" ht="15.75" customHeight="1" x14ac:dyDescent="0.3">
      <c r="A179" s="40">
        <v>1</v>
      </c>
      <c r="B179" s="40" t="s">
        <v>232</v>
      </c>
      <c r="C179" s="40" t="s">
        <v>217</v>
      </c>
      <c r="D179" s="48">
        <f>(42.19)*10.764</f>
        <v>454.13315999999998</v>
      </c>
      <c r="E179" s="48">
        <v>0</v>
      </c>
      <c r="F179" s="40">
        <f t="shared" ref="F179:F184" si="9">D179*(($F$165)+1)+(IF(E179&lt;101,E179,IF(E179&lt;201,E179/2,IF(E179&lt;=301,E179/3,E179/4))))</f>
        <v>703.90639799999997</v>
      </c>
      <c r="G179" s="151" t="str">
        <f>A178</f>
        <v>6th &amp; 7th Floor</v>
      </c>
      <c r="H179" s="152"/>
      <c r="I179" s="34"/>
      <c r="L179" s="79"/>
      <c r="M179" s="79"/>
      <c r="N179" s="34"/>
    </row>
    <row r="180" spans="1:14" s="35" customFormat="1" x14ac:dyDescent="0.3">
      <c r="A180" s="40">
        <f t="shared" ref="A180:A184" si="10">A179+1</f>
        <v>2</v>
      </c>
      <c r="B180" s="40" t="s">
        <v>232</v>
      </c>
      <c r="C180" s="40" t="s">
        <v>218</v>
      </c>
      <c r="D180" s="48">
        <f>(61.14)*10.764</f>
        <v>658.11095999999998</v>
      </c>
      <c r="E180" s="48">
        <v>0</v>
      </c>
      <c r="F180" s="40">
        <f t="shared" si="9"/>
        <v>1020.071988</v>
      </c>
      <c r="G180" s="153"/>
      <c r="H180" s="154"/>
      <c r="I180" s="34"/>
      <c r="L180" s="79"/>
      <c r="M180" s="79"/>
      <c r="N180" s="34"/>
    </row>
    <row r="181" spans="1:14" s="35" customFormat="1" x14ac:dyDescent="0.3">
      <c r="A181" s="40">
        <f t="shared" si="10"/>
        <v>3</v>
      </c>
      <c r="B181" s="40" t="s">
        <v>232</v>
      </c>
      <c r="C181" s="40" t="s">
        <v>218</v>
      </c>
      <c r="D181" s="48">
        <f>(63.15)*10.764</f>
        <v>679.74659999999994</v>
      </c>
      <c r="E181" s="48">
        <v>0</v>
      </c>
      <c r="F181" s="40">
        <f t="shared" si="9"/>
        <v>1053.6072299999998</v>
      </c>
      <c r="G181" s="153"/>
      <c r="H181" s="154"/>
      <c r="I181" s="34"/>
      <c r="L181" s="79"/>
      <c r="M181" s="79"/>
      <c r="N181" s="34"/>
    </row>
    <row r="182" spans="1:14" s="35" customFormat="1" x14ac:dyDescent="0.3">
      <c r="A182" s="40">
        <f t="shared" si="10"/>
        <v>4</v>
      </c>
      <c r="B182" s="40" t="s">
        <v>232</v>
      </c>
      <c r="C182" s="40" t="s">
        <v>217</v>
      </c>
      <c r="D182" s="48">
        <f>(40.98)*10.764</f>
        <v>441.10871999999995</v>
      </c>
      <c r="E182" s="48">
        <v>0</v>
      </c>
      <c r="F182" s="40">
        <f t="shared" si="9"/>
        <v>683.71851599999991</v>
      </c>
      <c r="G182" s="153"/>
      <c r="H182" s="154"/>
      <c r="I182" s="34"/>
      <c r="L182" s="79"/>
      <c r="M182" s="79"/>
      <c r="N182" s="34"/>
    </row>
    <row r="183" spans="1:14" s="35" customFormat="1" x14ac:dyDescent="0.3">
      <c r="A183" s="40">
        <f t="shared" si="10"/>
        <v>5</v>
      </c>
      <c r="B183" s="40" t="s">
        <v>232</v>
      </c>
      <c r="C183" s="40" t="s">
        <v>219</v>
      </c>
      <c r="D183" s="48">
        <f>(86.69)*10.764</f>
        <v>933.13115999999991</v>
      </c>
      <c r="E183" s="48">
        <v>0</v>
      </c>
      <c r="F183" s="40">
        <f t="shared" si="9"/>
        <v>1446.353298</v>
      </c>
      <c r="G183" s="153"/>
      <c r="H183" s="154"/>
      <c r="I183" s="34"/>
      <c r="L183" s="79"/>
      <c r="M183" s="79"/>
      <c r="N183" s="34"/>
    </row>
    <row r="184" spans="1:14" s="35" customFormat="1" x14ac:dyDescent="0.3">
      <c r="A184" s="40">
        <f t="shared" si="10"/>
        <v>6</v>
      </c>
      <c r="B184" s="40" t="s">
        <v>232</v>
      </c>
      <c r="C184" s="40" t="s">
        <v>219</v>
      </c>
      <c r="D184" s="48">
        <f>(85.88)*10.764</f>
        <v>924.41231999999991</v>
      </c>
      <c r="E184" s="48">
        <v>0</v>
      </c>
      <c r="F184" s="40">
        <f t="shared" si="9"/>
        <v>1432.8390959999999</v>
      </c>
      <c r="G184" s="155"/>
      <c r="H184" s="156"/>
      <c r="I184" s="34"/>
      <c r="L184" s="79"/>
      <c r="M184" s="79"/>
      <c r="N184" s="34"/>
    </row>
    <row r="185" spans="1:14" s="35" customFormat="1" x14ac:dyDescent="0.3">
      <c r="A185" s="86" t="s">
        <v>222</v>
      </c>
      <c r="B185" s="86"/>
      <c r="C185" s="86"/>
      <c r="D185" s="86"/>
      <c r="E185" s="86"/>
      <c r="F185" s="86"/>
      <c r="G185" s="86"/>
      <c r="H185" s="86"/>
      <c r="J185" s="34"/>
    </row>
    <row r="186" spans="1:14" s="35" customFormat="1" ht="15.75" customHeight="1" x14ac:dyDescent="0.3">
      <c r="A186" s="40">
        <v>1</v>
      </c>
      <c r="B186" s="40" t="s">
        <v>232</v>
      </c>
      <c r="C186" s="40" t="s">
        <v>217</v>
      </c>
      <c r="D186" s="48">
        <f>(42.19)*10.764</f>
        <v>454.13315999999998</v>
      </c>
      <c r="E186" s="48">
        <v>0</v>
      </c>
      <c r="F186" s="40">
        <f>D186*(($F$165)+1)+(IF(E186&lt;101,E186,IF(E186&lt;201,E186/2,IF(E186&lt;=301,E186/3,E186/4))))</f>
        <v>703.90639799999997</v>
      </c>
      <c r="G186" s="173" t="str">
        <f>A185</f>
        <v>8th Floor (Part Refuge Area)</v>
      </c>
      <c r="H186" s="173"/>
      <c r="I186" s="34"/>
      <c r="L186" s="79"/>
      <c r="M186" s="79"/>
      <c r="N186" s="34"/>
    </row>
    <row r="187" spans="1:14" s="35" customFormat="1" x14ac:dyDescent="0.3">
      <c r="A187" s="40">
        <f t="shared" ref="A187:A191" si="11">A186+1</f>
        <v>2</v>
      </c>
      <c r="B187" s="40" t="s">
        <v>232</v>
      </c>
      <c r="C187" s="40" t="s">
        <v>218</v>
      </c>
      <c r="D187" s="48">
        <f>(61.14)*10.764</f>
        <v>658.11095999999998</v>
      </c>
      <c r="E187" s="48">
        <v>0</v>
      </c>
      <c r="F187" s="40">
        <f>D187*(($F$165)+1)+(IF(E187&lt;101,E187,IF(E187&lt;201,E187/2,IF(E187&lt;=301,E187/3,E187/4))))</f>
        <v>1020.071988</v>
      </c>
      <c r="G187" s="173"/>
      <c r="H187" s="173"/>
      <c r="I187" s="34"/>
      <c r="L187" s="79"/>
      <c r="M187" s="79"/>
      <c r="N187" s="34"/>
    </row>
    <row r="188" spans="1:14" s="35" customFormat="1" x14ac:dyDescent="0.3">
      <c r="A188" s="40">
        <f t="shared" si="11"/>
        <v>3</v>
      </c>
      <c r="B188" s="173" t="s">
        <v>223</v>
      </c>
      <c r="C188" s="173"/>
      <c r="D188" s="173"/>
      <c r="E188" s="173"/>
      <c r="F188" s="173"/>
      <c r="G188" s="173"/>
      <c r="H188" s="173"/>
      <c r="I188" s="34"/>
      <c r="L188" s="79"/>
      <c r="M188" s="79"/>
      <c r="N188" s="34"/>
    </row>
    <row r="189" spans="1:14" s="35" customFormat="1" x14ac:dyDescent="0.3">
      <c r="A189" s="40">
        <f t="shared" si="11"/>
        <v>4</v>
      </c>
      <c r="B189" s="173"/>
      <c r="C189" s="173"/>
      <c r="D189" s="173"/>
      <c r="E189" s="173"/>
      <c r="F189" s="173"/>
      <c r="G189" s="173"/>
      <c r="H189" s="173"/>
      <c r="I189" s="34"/>
      <c r="L189" s="79"/>
      <c r="M189" s="79"/>
      <c r="N189" s="34"/>
    </row>
    <row r="190" spans="1:14" s="35" customFormat="1" x14ac:dyDescent="0.3">
      <c r="A190" s="40">
        <f t="shared" si="11"/>
        <v>5</v>
      </c>
      <c r="B190" s="40" t="s">
        <v>232</v>
      </c>
      <c r="C190" s="40" t="s">
        <v>219</v>
      </c>
      <c r="D190" s="48">
        <f>(86.69)*10.764</f>
        <v>933.13115999999991</v>
      </c>
      <c r="E190" s="48">
        <v>0</v>
      </c>
      <c r="F190" s="40">
        <f>D190*(($F$165)+1)+(IF(E190&lt;101,E190,IF(E190&lt;201,E190/2,IF(E190&lt;=301,E190/3,E190/4))))</f>
        <v>1446.353298</v>
      </c>
      <c r="G190" s="173"/>
      <c r="H190" s="173"/>
      <c r="I190" s="34"/>
      <c r="L190" s="79"/>
      <c r="M190" s="79"/>
      <c r="N190" s="34"/>
    </row>
    <row r="191" spans="1:14" s="35" customFormat="1" x14ac:dyDescent="0.3">
      <c r="A191" s="40">
        <f t="shared" si="11"/>
        <v>6</v>
      </c>
      <c r="B191" s="40" t="s">
        <v>232</v>
      </c>
      <c r="C191" s="40" t="s">
        <v>219</v>
      </c>
      <c r="D191" s="48">
        <f>(85.88)*10.764</f>
        <v>924.41231999999991</v>
      </c>
      <c r="E191" s="48">
        <v>0</v>
      </c>
      <c r="F191" s="40">
        <f>D191*(($F$165)+1)+(IF(E191&lt;101,E191,IF(E191&lt;201,E191/2,IF(E191&lt;=301,E191/3,E191/4))))</f>
        <v>1432.8390959999999</v>
      </c>
      <c r="G191" s="173"/>
      <c r="H191" s="173"/>
      <c r="I191" s="34"/>
      <c r="L191" s="79"/>
      <c r="M191" s="79"/>
      <c r="N191" s="34"/>
    </row>
    <row r="192" spans="1:14" s="35" customFormat="1" x14ac:dyDescent="0.3">
      <c r="A192" s="86" t="s">
        <v>224</v>
      </c>
      <c r="B192" s="86"/>
      <c r="C192" s="86"/>
      <c r="D192" s="86"/>
      <c r="E192" s="86"/>
      <c r="F192" s="86"/>
      <c r="G192" s="86"/>
      <c r="H192" s="86"/>
      <c r="J192" s="34"/>
    </row>
    <row r="193" spans="1:14" s="35" customFormat="1" ht="15.75" customHeight="1" x14ac:dyDescent="0.3">
      <c r="A193" s="40">
        <v>1</v>
      </c>
      <c r="B193" s="40" t="s">
        <v>232</v>
      </c>
      <c r="C193" s="40" t="s">
        <v>217</v>
      </c>
      <c r="D193" s="48">
        <f>(42.19)*10.764</f>
        <v>454.13315999999998</v>
      </c>
      <c r="E193" s="48">
        <v>0</v>
      </c>
      <c r="F193" s="40">
        <f t="shared" ref="F193:F198" si="12">D193*(($F$165)+1)+(IF(E193&lt;101,E193,IF(E193&lt;201,E193/2,IF(E193&lt;=301,E193/3,E193/4))))</f>
        <v>703.90639799999997</v>
      </c>
      <c r="G193" s="173" t="str">
        <f>A192</f>
        <v>9th &amp; 10th Floor</v>
      </c>
      <c r="H193" s="173"/>
      <c r="I193" s="34"/>
      <c r="L193" s="79"/>
      <c r="M193" s="79"/>
      <c r="N193" s="34"/>
    </row>
    <row r="194" spans="1:14" s="35" customFormat="1" x14ac:dyDescent="0.3">
      <c r="A194" s="40">
        <f t="shared" ref="A194:A198" si="13">A193+1</f>
        <v>2</v>
      </c>
      <c r="B194" s="40" t="s">
        <v>232</v>
      </c>
      <c r="C194" s="40" t="s">
        <v>218</v>
      </c>
      <c r="D194" s="48">
        <f>(61.14)*10.764</f>
        <v>658.11095999999998</v>
      </c>
      <c r="E194" s="48">
        <v>0</v>
      </c>
      <c r="F194" s="40">
        <f t="shared" si="12"/>
        <v>1020.071988</v>
      </c>
      <c r="G194" s="173"/>
      <c r="H194" s="173"/>
      <c r="I194" s="34"/>
      <c r="L194" s="79"/>
      <c r="M194" s="79"/>
      <c r="N194" s="34"/>
    </row>
    <row r="195" spans="1:14" s="35" customFormat="1" x14ac:dyDescent="0.3">
      <c r="A195" s="40">
        <f t="shared" si="13"/>
        <v>3</v>
      </c>
      <c r="B195" s="40" t="s">
        <v>232</v>
      </c>
      <c r="C195" s="40" t="s">
        <v>218</v>
      </c>
      <c r="D195" s="48">
        <f>(63.15)*10.764</f>
        <v>679.74659999999994</v>
      </c>
      <c r="E195" s="48">
        <v>0</v>
      </c>
      <c r="F195" s="40">
        <f t="shared" si="12"/>
        <v>1053.6072299999998</v>
      </c>
      <c r="G195" s="173"/>
      <c r="H195" s="173"/>
      <c r="I195" s="34"/>
      <c r="L195" s="79"/>
      <c r="M195" s="79"/>
      <c r="N195" s="34"/>
    </row>
    <row r="196" spans="1:14" s="35" customFormat="1" x14ac:dyDescent="0.3">
      <c r="A196" s="40">
        <f t="shared" si="13"/>
        <v>4</v>
      </c>
      <c r="B196" s="40" t="s">
        <v>232</v>
      </c>
      <c r="C196" s="40" t="s">
        <v>217</v>
      </c>
      <c r="D196" s="48">
        <f>(40.98)*10.764</f>
        <v>441.10871999999995</v>
      </c>
      <c r="E196" s="48">
        <v>0</v>
      </c>
      <c r="F196" s="40">
        <f t="shared" si="12"/>
        <v>683.71851599999991</v>
      </c>
      <c r="G196" s="173"/>
      <c r="H196" s="173"/>
      <c r="I196" s="34"/>
      <c r="L196" s="79"/>
      <c r="M196" s="79"/>
      <c r="N196" s="34"/>
    </row>
    <row r="197" spans="1:14" s="35" customFormat="1" x14ac:dyDescent="0.3">
      <c r="A197" s="40">
        <f t="shared" si="13"/>
        <v>5</v>
      </c>
      <c r="B197" s="40" t="s">
        <v>232</v>
      </c>
      <c r="C197" s="40" t="s">
        <v>219</v>
      </c>
      <c r="D197" s="48">
        <f>(86.69)*10.764</f>
        <v>933.13115999999991</v>
      </c>
      <c r="E197" s="48">
        <v>0</v>
      </c>
      <c r="F197" s="40">
        <f t="shared" si="12"/>
        <v>1446.353298</v>
      </c>
      <c r="G197" s="173"/>
      <c r="H197" s="173"/>
      <c r="I197" s="34"/>
      <c r="L197" s="79"/>
      <c r="M197" s="79"/>
      <c r="N197" s="34"/>
    </row>
    <row r="198" spans="1:14" s="35" customFormat="1" x14ac:dyDescent="0.3">
      <c r="A198" s="40">
        <f t="shared" si="13"/>
        <v>6</v>
      </c>
      <c r="B198" s="40" t="s">
        <v>232</v>
      </c>
      <c r="C198" s="40" t="s">
        <v>219</v>
      </c>
      <c r="D198" s="48">
        <f>(85.88)*10.764</f>
        <v>924.41231999999991</v>
      </c>
      <c r="E198" s="48">
        <v>0</v>
      </c>
      <c r="F198" s="40">
        <f t="shared" si="12"/>
        <v>1432.8390959999999</v>
      </c>
      <c r="G198" s="173"/>
      <c r="H198" s="173"/>
      <c r="I198" s="34"/>
      <c r="L198" s="79"/>
      <c r="M198" s="79"/>
      <c r="N198" s="34"/>
    </row>
    <row r="199" spans="1:14" s="35" customFormat="1" x14ac:dyDescent="0.3">
      <c r="A199" s="132" t="s">
        <v>225</v>
      </c>
      <c r="B199" s="133"/>
      <c r="C199" s="133"/>
      <c r="D199" s="133"/>
      <c r="E199" s="133"/>
      <c r="F199" s="133"/>
      <c r="G199" s="133"/>
      <c r="H199" s="134"/>
      <c r="J199" s="34"/>
    </row>
    <row r="200" spans="1:14" s="35" customFormat="1" ht="15.75" customHeight="1" x14ac:dyDescent="0.3">
      <c r="A200" s="40">
        <v>1</v>
      </c>
      <c r="B200" s="40" t="s">
        <v>232</v>
      </c>
      <c r="C200" s="40" t="s">
        <v>217</v>
      </c>
      <c r="D200" s="48">
        <f>(42.19)*10.764</f>
        <v>454.13315999999998</v>
      </c>
      <c r="E200" s="48">
        <v>0</v>
      </c>
      <c r="F200" s="40">
        <f t="shared" ref="F200:F205" si="14">D200*(($F$165)+1)+(IF(E200&lt;101,E200,IF(E200&lt;201,E200/2,IF(E200&lt;=301,E200/3,E200/4))))</f>
        <v>703.90639799999997</v>
      </c>
      <c r="G200" s="151" t="str">
        <f>A199</f>
        <v>11th Floor</v>
      </c>
      <c r="H200" s="152"/>
      <c r="I200" s="34"/>
      <c r="L200" s="79"/>
      <c r="M200" s="79"/>
      <c r="N200" s="34"/>
    </row>
    <row r="201" spans="1:14" s="35" customFormat="1" x14ac:dyDescent="0.3">
      <c r="A201" s="40">
        <f t="shared" ref="A201:A205" si="15">A200+1</f>
        <v>2</v>
      </c>
      <c r="B201" s="40" t="s">
        <v>232</v>
      </c>
      <c r="C201" s="40" t="s">
        <v>218</v>
      </c>
      <c r="D201" s="48">
        <f>(61.14)*10.764</f>
        <v>658.11095999999998</v>
      </c>
      <c r="E201" s="48">
        <v>0</v>
      </c>
      <c r="F201" s="40">
        <f t="shared" si="14"/>
        <v>1020.071988</v>
      </c>
      <c r="G201" s="153"/>
      <c r="H201" s="154"/>
      <c r="I201" s="34"/>
      <c r="L201" s="79"/>
      <c r="M201" s="79"/>
      <c r="N201" s="34"/>
    </row>
    <row r="202" spans="1:14" s="35" customFormat="1" x14ac:dyDescent="0.3">
      <c r="A202" s="40">
        <f t="shared" si="15"/>
        <v>3</v>
      </c>
      <c r="B202" s="40" t="s">
        <v>232</v>
      </c>
      <c r="C202" s="40" t="s">
        <v>218</v>
      </c>
      <c r="D202" s="48">
        <f>(63.15)*10.764</f>
        <v>679.74659999999994</v>
      </c>
      <c r="E202" s="48">
        <v>0</v>
      </c>
      <c r="F202" s="40">
        <f t="shared" si="14"/>
        <v>1053.6072299999998</v>
      </c>
      <c r="G202" s="153"/>
      <c r="H202" s="154"/>
      <c r="I202" s="34"/>
      <c r="L202" s="79"/>
      <c r="M202" s="79"/>
      <c r="N202" s="34"/>
    </row>
    <row r="203" spans="1:14" s="35" customFormat="1" x14ac:dyDescent="0.3">
      <c r="A203" s="40">
        <f t="shared" si="15"/>
        <v>4</v>
      </c>
      <c r="B203" s="40" t="s">
        <v>232</v>
      </c>
      <c r="C203" s="40" t="s">
        <v>217</v>
      </c>
      <c r="D203" s="48">
        <f>(40.98)*10.764</f>
        <v>441.10871999999995</v>
      </c>
      <c r="E203" s="48">
        <v>0</v>
      </c>
      <c r="F203" s="40">
        <f t="shared" si="14"/>
        <v>683.71851599999991</v>
      </c>
      <c r="G203" s="153"/>
      <c r="H203" s="154"/>
      <c r="I203" s="34"/>
      <c r="L203" s="79"/>
      <c r="M203" s="79"/>
      <c r="N203" s="34"/>
    </row>
    <row r="204" spans="1:14" s="35" customFormat="1" x14ac:dyDescent="0.3">
      <c r="A204" s="40">
        <f t="shared" si="15"/>
        <v>5</v>
      </c>
      <c r="B204" s="40" t="s">
        <v>232</v>
      </c>
      <c r="C204" s="40" t="s">
        <v>219</v>
      </c>
      <c r="D204" s="48">
        <f>(86.69)*10.764</f>
        <v>933.13115999999991</v>
      </c>
      <c r="E204" s="48">
        <v>0</v>
      </c>
      <c r="F204" s="40">
        <f t="shared" si="14"/>
        <v>1446.353298</v>
      </c>
      <c r="G204" s="153"/>
      <c r="H204" s="154"/>
      <c r="I204" s="34"/>
      <c r="L204" s="79"/>
      <c r="M204" s="79"/>
      <c r="N204" s="34"/>
    </row>
    <row r="205" spans="1:14" s="35" customFormat="1" x14ac:dyDescent="0.3">
      <c r="A205" s="40">
        <f t="shared" si="15"/>
        <v>6</v>
      </c>
      <c r="B205" s="40" t="s">
        <v>232</v>
      </c>
      <c r="C205" s="40" t="s">
        <v>219</v>
      </c>
      <c r="D205" s="48">
        <f>(85.88)*10.764</f>
        <v>924.41231999999991</v>
      </c>
      <c r="E205" s="48">
        <v>0</v>
      </c>
      <c r="F205" s="40">
        <f t="shared" si="14"/>
        <v>1432.8390959999999</v>
      </c>
      <c r="G205" s="155"/>
      <c r="H205" s="156"/>
      <c r="I205" s="34"/>
      <c r="L205" s="79"/>
      <c r="M205" s="79"/>
      <c r="N205" s="34"/>
    </row>
    <row r="206" spans="1:14" s="35" customFormat="1" x14ac:dyDescent="0.3">
      <c r="A206" s="132" t="s">
        <v>226</v>
      </c>
      <c r="B206" s="133"/>
      <c r="C206" s="133"/>
      <c r="D206" s="133"/>
      <c r="E206" s="133"/>
      <c r="F206" s="133"/>
      <c r="G206" s="133"/>
      <c r="H206" s="134"/>
      <c r="J206" s="34"/>
    </row>
    <row r="207" spans="1:14" s="35" customFormat="1" ht="15.75" customHeight="1" x14ac:dyDescent="0.3">
      <c r="A207" s="40">
        <v>1</v>
      </c>
      <c r="B207" s="40" t="s">
        <v>232</v>
      </c>
      <c r="C207" s="40" t="s">
        <v>217</v>
      </c>
      <c r="D207" s="48">
        <f>(42.19)*10.764</f>
        <v>454.13315999999998</v>
      </c>
      <c r="E207" s="48">
        <v>0</v>
      </c>
      <c r="F207" s="40">
        <f t="shared" ref="F207:F212" si="16">D207*(($F$165)+1)+(IF(E207&lt;101,E207,IF(E207&lt;201,E207/2,IF(E207&lt;=301,E207/3,E207/4))))</f>
        <v>703.90639799999997</v>
      </c>
      <c r="G207" s="151" t="str">
        <f>A206</f>
        <v>12th &amp; 13th Floor</v>
      </c>
      <c r="H207" s="152"/>
      <c r="I207" s="34"/>
      <c r="L207" s="79"/>
      <c r="M207" s="79"/>
      <c r="N207" s="34"/>
    </row>
    <row r="208" spans="1:14" s="35" customFormat="1" x14ac:dyDescent="0.3">
      <c r="A208" s="40">
        <f t="shared" ref="A208:A212" si="17">A207+1</f>
        <v>2</v>
      </c>
      <c r="B208" s="40" t="s">
        <v>232</v>
      </c>
      <c r="C208" s="40" t="s">
        <v>218</v>
      </c>
      <c r="D208" s="48">
        <f>(61.14)*10.764</f>
        <v>658.11095999999998</v>
      </c>
      <c r="E208" s="48">
        <v>0</v>
      </c>
      <c r="F208" s="40">
        <f t="shared" si="16"/>
        <v>1020.071988</v>
      </c>
      <c r="G208" s="153"/>
      <c r="H208" s="154"/>
      <c r="I208" s="34"/>
      <c r="L208" s="79"/>
      <c r="M208" s="79"/>
      <c r="N208" s="34"/>
    </row>
    <row r="209" spans="1:14" s="35" customFormat="1" x14ac:dyDescent="0.3">
      <c r="A209" s="40">
        <f t="shared" si="17"/>
        <v>3</v>
      </c>
      <c r="B209" s="40" t="s">
        <v>232</v>
      </c>
      <c r="C209" s="40" t="s">
        <v>218</v>
      </c>
      <c r="D209" s="48">
        <f>(63.15)*10.764</f>
        <v>679.74659999999994</v>
      </c>
      <c r="E209" s="48">
        <v>0</v>
      </c>
      <c r="F209" s="40">
        <f t="shared" si="16"/>
        <v>1053.6072299999998</v>
      </c>
      <c r="G209" s="153"/>
      <c r="H209" s="154"/>
      <c r="I209" s="34"/>
      <c r="L209" s="79"/>
      <c r="M209" s="79"/>
      <c r="N209" s="34"/>
    </row>
    <row r="210" spans="1:14" s="35" customFormat="1" x14ac:dyDescent="0.3">
      <c r="A210" s="40">
        <f t="shared" si="17"/>
        <v>4</v>
      </c>
      <c r="B210" s="40" t="s">
        <v>232</v>
      </c>
      <c r="C210" s="40" t="s">
        <v>217</v>
      </c>
      <c r="D210" s="48">
        <f>(40.98)*10.764</f>
        <v>441.10871999999995</v>
      </c>
      <c r="E210" s="48">
        <v>0</v>
      </c>
      <c r="F210" s="40">
        <f t="shared" si="16"/>
        <v>683.71851599999991</v>
      </c>
      <c r="G210" s="153"/>
      <c r="H210" s="154"/>
      <c r="I210" s="34"/>
      <c r="L210" s="79"/>
      <c r="M210" s="79"/>
      <c r="N210" s="34"/>
    </row>
    <row r="211" spans="1:14" s="35" customFormat="1" x14ac:dyDescent="0.3">
      <c r="A211" s="40">
        <f t="shared" si="17"/>
        <v>5</v>
      </c>
      <c r="B211" s="40" t="s">
        <v>232</v>
      </c>
      <c r="C211" s="40" t="s">
        <v>219</v>
      </c>
      <c r="D211" s="48">
        <f>(86.69)*10.764</f>
        <v>933.13115999999991</v>
      </c>
      <c r="E211" s="48">
        <v>0</v>
      </c>
      <c r="F211" s="40">
        <f t="shared" si="16"/>
        <v>1446.353298</v>
      </c>
      <c r="G211" s="153"/>
      <c r="H211" s="154"/>
      <c r="I211" s="34"/>
      <c r="L211" s="79"/>
      <c r="M211" s="79"/>
      <c r="N211" s="34"/>
    </row>
    <row r="212" spans="1:14" s="35" customFormat="1" x14ac:dyDescent="0.3">
      <c r="A212" s="40">
        <f t="shared" si="17"/>
        <v>6</v>
      </c>
      <c r="B212" s="40" t="s">
        <v>232</v>
      </c>
      <c r="C212" s="40" t="s">
        <v>219</v>
      </c>
      <c r="D212" s="48">
        <f>(85.88)*10.764</f>
        <v>924.41231999999991</v>
      </c>
      <c r="E212" s="48">
        <v>0</v>
      </c>
      <c r="F212" s="40">
        <f t="shared" si="16"/>
        <v>1432.8390959999999</v>
      </c>
      <c r="G212" s="155"/>
      <c r="H212" s="156"/>
      <c r="I212" s="34"/>
      <c r="L212" s="79"/>
      <c r="M212" s="79"/>
      <c r="N212" s="34"/>
    </row>
    <row r="213" spans="1:14" s="35" customFormat="1" x14ac:dyDescent="0.3">
      <c r="A213" s="132" t="s">
        <v>227</v>
      </c>
      <c r="B213" s="133"/>
      <c r="C213" s="133"/>
      <c r="D213" s="133"/>
      <c r="E213" s="133"/>
      <c r="F213" s="133"/>
      <c r="G213" s="133"/>
      <c r="H213" s="134"/>
      <c r="J213" s="34"/>
    </row>
    <row r="214" spans="1:14" s="35" customFormat="1" ht="15.75" customHeight="1" x14ac:dyDescent="0.3">
      <c r="A214" s="40">
        <v>1</v>
      </c>
      <c r="B214" s="40" t="s">
        <v>232</v>
      </c>
      <c r="C214" s="40" t="s">
        <v>217</v>
      </c>
      <c r="D214" s="48">
        <f>(42.19)*10.764</f>
        <v>454.13315999999998</v>
      </c>
      <c r="E214" s="48">
        <v>0</v>
      </c>
      <c r="F214" s="40">
        <f t="shared" ref="F214:F219" si="18">D214*(($F$165)+1)+(IF(E214&lt;101,E214,IF(E214&lt;201,E214/2,IF(E214&lt;=301,E214/3,E214/4))))</f>
        <v>703.90639799999997</v>
      </c>
      <c r="G214" s="151" t="str">
        <f>A213</f>
        <v>14th Floor</v>
      </c>
      <c r="H214" s="152"/>
      <c r="I214" s="34"/>
      <c r="L214" s="79"/>
      <c r="M214" s="79"/>
      <c r="N214" s="34"/>
    </row>
    <row r="215" spans="1:14" s="35" customFormat="1" x14ac:dyDescent="0.3">
      <c r="A215" s="40">
        <f t="shared" ref="A215:A219" si="19">A214+1</f>
        <v>2</v>
      </c>
      <c r="B215" s="40" t="s">
        <v>232</v>
      </c>
      <c r="C215" s="40" t="s">
        <v>218</v>
      </c>
      <c r="D215" s="48">
        <f>(61.14)*10.764</f>
        <v>658.11095999999998</v>
      </c>
      <c r="E215" s="48">
        <v>0</v>
      </c>
      <c r="F215" s="40">
        <f t="shared" si="18"/>
        <v>1020.071988</v>
      </c>
      <c r="G215" s="153"/>
      <c r="H215" s="154"/>
      <c r="I215" s="34"/>
      <c r="L215" s="79"/>
      <c r="M215" s="79"/>
      <c r="N215" s="34"/>
    </row>
    <row r="216" spans="1:14" s="35" customFormat="1" x14ac:dyDescent="0.3">
      <c r="A216" s="40">
        <f t="shared" si="19"/>
        <v>3</v>
      </c>
      <c r="B216" s="40" t="s">
        <v>232</v>
      </c>
      <c r="C216" s="40" t="s">
        <v>218</v>
      </c>
      <c r="D216" s="48">
        <f>(63.15)*10.764</f>
        <v>679.74659999999994</v>
      </c>
      <c r="E216" s="48">
        <v>0</v>
      </c>
      <c r="F216" s="40">
        <f t="shared" si="18"/>
        <v>1053.6072299999998</v>
      </c>
      <c r="G216" s="153"/>
      <c r="H216" s="154"/>
      <c r="I216" s="34"/>
      <c r="L216" s="79"/>
      <c r="M216" s="79"/>
      <c r="N216" s="34"/>
    </row>
    <row r="217" spans="1:14" s="35" customFormat="1" x14ac:dyDescent="0.3">
      <c r="A217" s="40">
        <f t="shared" si="19"/>
        <v>4</v>
      </c>
      <c r="B217" s="40" t="s">
        <v>232</v>
      </c>
      <c r="C217" s="40" t="s">
        <v>217</v>
      </c>
      <c r="D217" s="48">
        <f>(40.98)*10.764</f>
        <v>441.10871999999995</v>
      </c>
      <c r="E217" s="48">
        <v>0</v>
      </c>
      <c r="F217" s="40">
        <f t="shared" si="18"/>
        <v>683.71851599999991</v>
      </c>
      <c r="G217" s="153"/>
      <c r="H217" s="154"/>
      <c r="I217" s="34"/>
      <c r="L217" s="79"/>
      <c r="M217" s="79"/>
      <c r="N217" s="34"/>
    </row>
    <row r="218" spans="1:14" s="35" customFormat="1" x14ac:dyDescent="0.3">
      <c r="A218" s="40">
        <f t="shared" si="19"/>
        <v>5</v>
      </c>
      <c r="B218" s="40" t="s">
        <v>232</v>
      </c>
      <c r="C218" s="40" t="s">
        <v>219</v>
      </c>
      <c r="D218" s="48">
        <f>(86.69)*10.764</f>
        <v>933.13115999999991</v>
      </c>
      <c r="E218" s="48">
        <v>0</v>
      </c>
      <c r="F218" s="40">
        <f t="shared" si="18"/>
        <v>1446.353298</v>
      </c>
      <c r="G218" s="153"/>
      <c r="H218" s="154"/>
      <c r="I218" s="34"/>
      <c r="L218" s="79"/>
      <c r="M218" s="79"/>
      <c r="N218" s="34"/>
    </row>
    <row r="219" spans="1:14" s="35" customFormat="1" x14ac:dyDescent="0.3">
      <c r="A219" s="40">
        <f t="shared" si="19"/>
        <v>6</v>
      </c>
      <c r="B219" s="40" t="s">
        <v>232</v>
      </c>
      <c r="C219" s="40" t="s">
        <v>219</v>
      </c>
      <c r="D219" s="48">
        <f>(85.88)*10.764</f>
        <v>924.41231999999991</v>
      </c>
      <c r="E219" s="48">
        <v>0</v>
      </c>
      <c r="F219" s="40">
        <f t="shared" si="18"/>
        <v>1432.8390959999999</v>
      </c>
      <c r="G219" s="155"/>
      <c r="H219" s="156"/>
      <c r="I219" s="34"/>
      <c r="L219" s="79"/>
      <c r="M219" s="79"/>
      <c r="N219" s="34"/>
    </row>
    <row r="220" spans="1:14" s="35" customFormat="1" x14ac:dyDescent="0.3">
      <c r="A220" s="132" t="s">
        <v>228</v>
      </c>
      <c r="B220" s="133"/>
      <c r="C220" s="133"/>
      <c r="D220" s="133"/>
      <c r="E220" s="133"/>
      <c r="F220" s="133"/>
      <c r="G220" s="133"/>
      <c r="H220" s="134"/>
      <c r="J220" s="34"/>
    </row>
    <row r="221" spans="1:14" s="35" customFormat="1" ht="15.75" customHeight="1" x14ac:dyDescent="0.3">
      <c r="A221" s="40">
        <v>1</v>
      </c>
      <c r="B221" s="40" t="s">
        <v>232</v>
      </c>
      <c r="C221" s="40" t="s">
        <v>217</v>
      </c>
      <c r="D221" s="48">
        <f>(42.19)*10.764</f>
        <v>454.13315999999998</v>
      </c>
      <c r="E221" s="48">
        <v>0</v>
      </c>
      <c r="F221" s="40">
        <f>D221*(($F$165)+1)+(IF(E221&lt;101,E221,IF(E221&lt;201,E221/2,IF(E221&lt;=301,E221/3,E221/4))))</f>
        <v>703.90639799999997</v>
      </c>
      <c r="G221" s="151" t="str">
        <f>A220</f>
        <v>15th Floor (Part Refuge Area)</v>
      </c>
      <c r="H221" s="152"/>
      <c r="I221" s="34"/>
      <c r="L221" s="79"/>
      <c r="M221" s="79"/>
      <c r="N221" s="34"/>
    </row>
    <row r="222" spans="1:14" s="35" customFormat="1" x14ac:dyDescent="0.3">
      <c r="A222" s="40">
        <f t="shared" ref="A222:A226" si="20">A221+1</f>
        <v>2</v>
      </c>
      <c r="B222" s="40" t="s">
        <v>232</v>
      </c>
      <c r="C222" s="40" t="s">
        <v>218</v>
      </c>
      <c r="D222" s="48">
        <f>(61.14)*10.764</f>
        <v>658.11095999999998</v>
      </c>
      <c r="E222" s="48">
        <v>0</v>
      </c>
      <c r="F222" s="40">
        <f>D222*(($F$165)+1)+(IF(E222&lt;101,E222,IF(E222&lt;201,E222/2,IF(E222&lt;=301,E222/3,E222/4))))</f>
        <v>1020.071988</v>
      </c>
      <c r="G222" s="153"/>
      <c r="H222" s="154"/>
      <c r="I222" s="34"/>
      <c r="L222" s="79"/>
      <c r="M222" s="79"/>
      <c r="N222" s="34"/>
    </row>
    <row r="223" spans="1:14" s="35" customFormat="1" x14ac:dyDescent="0.3">
      <c r="A223" s="40">
        <f t="shared" si="20"/>
        <v>3</v>
      </c>
      <c r="B223" s="151" t="s">
        <v>223</v>
      </c>
      <c r="C223" s="179"/>
      <c r="D223" s="179"/>
      <c r="E223" s="179"/>
      <c r="F223" s="152"/>
      <c r="G223" s="153"/>
      <c r="H223" s="154"/>
      <c r="I223" s="34"/>
      <c r="L223" s="79"/>
      <c r="M223" s="79"/>
      <c r="N223" s="34"/>
    </row>
    <row r="224" spans="1:14" s="35" customFormat="1" x14ac:dyDescent="0.3">
      <c r="A224" s="40">
        <f t="shared" si="20"/>
        <v>4</v>
      </c>
      <c r="B224" s="155"/>
      <c r="C224" s="180"/>
      <c r="D224" s="180"/>
      <c r="E224" s="180"/>
      <c r="F224" s="156"/>
      <c r="G224" s="153"/>
      <c r="H224" s="154"/>
      <c r="I224" s="34"/>
      <c r="L224" s="79"/>
      <c r="M224" s="79"/>
      <c r="N224" s="34"/>
    </row>
    <row r="225" spans="1:14" s="35" customFormat="1" x14ac:dyDescent="0.3">
      <c r="A225" s="40">
        <f t="shared" si="20"/>
        <v>5</v>
      </c>
      <c r="B225" s="40" t="s">
        <v>232</v>
      </c>
      <c r="C225" s="40" t="s">
        <v>219</v>
      </c>
      <c r="D225" s="48">
        <f>(86.69)*10.764</f>
        <v>933.13115999999991</v>
      </c>
      <c r="E225" s="48">
        <v>0</v>
      </c>
      <c r="F225" s="40">
        <f>D225*(($F$165)+1)+(IF(E225&lt;101,E225,IF(E225&lt;201,E225/2,IF(E225&lt;=301,E225/3,E225/4))))</f>
        <v>1446.353298</v>
      </c>
      <c r="G225" s="153"/>
      <c r="H225" s="154"/>
      <c r="I225" s="34"/>
      <c r="L225" s="79"/>
      <c r="M225" s="79"/>
      <c r="N225" s="34"/>
    </row>
    <row r="226" spans="1:14" s="35" customFormat="1" x14ac:dyDescent="0.3">
      <c r="A226" s="40">
        <f t="shared" si="20"/>
        <v>6</v>
      </c>
      <c r="B226" s="40" t="s">
        <v>232</v>
      </c>
      <c r="C226" s="40" t="s">
        <v>219</v>
      </c>
      <c r="D226" s="48">
        <f>(85.88)*10.764</f>
        <v>924.41231999999991</v>
      </c>
      <c r="E226" s="48">
        <v>0</v>
      </c>
      <c r="F226" s="40">
        <f>D226*(($F$165)+1)+(IF(E226&lt;101,E226,IF(E226&lt;201,E226/2,IF(E226&lt;=301,E226/3,E226/4))))</f>
        <v>1432.8390959999999</v>
      </c>
      <c r="G226" s="155"/>
      <c r="H226" s="156"/>
      <c r="I226" s="34"/>
      <c r="L226" s="79"/>
      <c r="M226" s="79"/>
      <c r="N226" s="34"/>
    </row>
    <row r="227" spans="1:14" s="35" customFormat="1" x14ac:dyDescent="0.3">
      <c r="A227" s="86" t="s">
        <v>229</v>
      </c>
      <c r="B227" s="86"/>
      <c r="C227" s="86"/>
      <c r="D227" s="86"/>
      <c r="E227" s="86"/>
      <c r="F227" s="86"/>
      <c r="G227" s="86"/>
      <c r="H227" s="86"/>
      <c r="J227" s="34"/>
    </row>
    <row r="228" spans="1:14" s="35" customFormat="1" ht="15.75" customHeight="1" x14ac:dyDescent="0.3">
      <c r="A228" s="40">
        <v>1</v>
      </c>
      <c r="B228" s="40" t="s">
        <v>232</v>
      </c>
      <c r="C228" s="40" t="s">
        <v>217</v>
      </c>
      <c r="D228" s="48">
        <f>(42.19)*10.764</f>
        <v>454.13315999999998</v>
      </c>
      <c r="E228" s="48">
        <v>0</v>
      </c>
      <c r="F228" s="40">
        <f t="shared" ref="F228:F233" si="21">D228*(($F$165)+1)+(IF(E228&lt;101,E228,IF(E228&lt;201,E228/2,IF(E228&lt;=301,E228/3,E228/4))))</f>
        <v>703.90639799999997</v>
      </c>
      <c r="G228" s="173" t="str">
        <f>A227</f>
        <v>16th Floor</v>
      </c>
      <c r="H228" s="173"/>
      <c r="I228" s="34"/>
      <c r="L228" s="79"/>
      <c r="M228" s="79"/>
      <c r="N228" s="34"/>
    </row>
    <row r="229" spans="1:14" s="35" customFormat="1" x14ac:dyDescent="0.3">
      <c r="A229" s="40">
        <f t="shared" ref="A229:A233" si="22">A228+1</f>
        <v>2</v>
      </c>
      <c r="B229" s="40" t="s">
        <v>232</v>
      </c>
      <c r="C229" s="40" t="s">
        <v>218</v>
      </c>
      <c r="D229" s="48">
        <f>(61.14)*10.764</f>
        <v>658.11095999999998</v>
      </c>
      <c r="E229" s="48">
        <v>0</v>
      </c>
      <c r="F229" s="40">
        <f t="shared" si="21"/>
        <v>1020.071988</v>
      </c>
      <c r="G229" s="173"/>
      <c r="H229" s="173"/>
      <c r="I229" s="34"/>
      <c r="L229" s="79"/>
      <c r="M229" s="79"/>
      <c r="N229" s="34"/>
    </row>
    <row r="230" spans="1:14" s="35" customFormat="1" x14ac:dyDescent="0.3">
      <c r="A230" s="40">
        <f t="shared" si="22"/>
        <v>3</v>
      </c>
      <c r="B230" s="40" t="s">
        <v>232</v>
      </c>
      <c r="C230" s="40" t="s">
        <v>218</v>
      </c>
      <c r="D230" s="48">
        <f>(63.15)*10.764</f>
        <v>679.74659999999994</v>
      </c>
      <c r="E230" s="48">
        <v>0</v>
      </c>
      <c r="F230" s="40">
        <f t="shared" si="21"/>
        <v>1053.6072299999998</v>
      </c>
      <c r="G230" s="173"/>
      <c r="H230" s="173"/>
      <c r="I230" s="34"/>
      <c r="L230" s="79"/>
      <c r="M230" s="79"/>
      <c r="N230" s="34"/>
    </row>
    <row r="231" spans="1:14" s="35" customFormat="1" x14ac:dyDescent="0.3">
      <c r="A231" s="40">
        <f t="shared" si="22"/>
        <v>4</v>
      </c>
      <c r="B231" s="40" t="s">
        <v>232</v>
      </c>
      <c r="C231" s="40" t="s">
        <v>217</v>
      </c>
      <c r="D231" s="48">
        <f>(40.98)*10.764</f>
        <v>441.10871999999995</v>
      </c>
      <c r="E231" s="48">
        <v>0</v>
      </c>
      <c r="F231" s="40">
        <f t="shared" si="21"/>
        <v>683.71851599999991</v>
      </c>
      <c r="G231" s="173"/>
      <c r="H231" s="173"/>
      <c r="I231" s="34"/>
      <c r="L231" s="79"/>
      <c r="M231" s="79"/>
      <c r="N231" s="34"/>
    </row>
    <row r="232" spans="1:14" s="35" customFormat="1" x14ac:dyDescent="0.3">
      <c r="A232" s="40">
        <f t="shared" si="22"/>
        <v>5</v>
      </c>
      <c r="B232" s="40" t="s">
        <v>232</v>
      </c>
      <c r="C232" s="40" t="s">
        <v>219</v>
      </c>
      <c r="D232" s="48">
        <f>(86.69)*10.764</f>
        <v>933.13115999999991</v>
      </c>
      <c r="E232" s="48">
        <v>0</v>
      </c>
      <c r="F232" s="40">
        <f t="shared" si="21"/>
        <v>1446.353298</v>
      </c>
      <c r="G232" s="173"/>
      <c r="H232" s="173"/>
      <c r="I232" s="34"/>
      <c r="L232" s="79"/>
      <c r="M232" s="79"/>
      <c r="N232" s="34"/>
    </row>
    <row r="233" spans="1:14" s="35" customFormat="1" x14ac:dyDescent="0.3">
      <c r="A233" s="40">
        <f t="shared" si="22"/>
        <v>6</v>
      </c>
      <c r="B233" s="40" t="s">
        <v>232</v>
      </c>
      <c r="C233" s="40" t="s">
        <v>219</v>
      </c>
      <c r="D233" s="48">
        <f>(85.88)*10.764</f>
        <v>924.41231999999991</v>
      </c>
      <c r="E233" s="48">
        <v>0</v>
      </c>
      <c r="F233" s="40">
        <f t="shared" si="21"/>
        <v>1432.8390959999999</v>
      </c>
      <c r="G233" s="173"/>
      <c r="H233" s="173"/>
      <c r="I233" s="34"/>
      <c r="L233" s="79"/>
      <c r="M233" s="79"/>
      <c r="N233" s="34"/>
    </row>
    <row r="234" spans="1:14" s="35" customFormat="1" x14ac:dyDescent="0.3">
      <c r="A234" s="86" t="s">
        <v>230</v>
      </c>
      <c r="B234" s="86"/>
      <c r="C234" s="86"/>
      <c r="D234" s="86"/>
      <c r="E234" s="86"/>
      <c r="F234" s="86"/>
      <c r="G234" s="86"/>
      <c r="H234" s="86"/>
      <c r="J234" s="34"/>
    </row>
    <row r="235" spans="1:14" s="35" customFormat="1" ht="15.75" customHeight="1" x14ac:dyDescent="0.3">
      <c r="A235" s="40">
        <v>1</v>
      </c>
      <c r="B235" s="40" t="s">
        <v>232</v>
      </c>
      <c r="C235" s="40" t="s">
        <v>217</v>
      </c>
      <c r="D235" s="48">
        <f>(42.19)*10.764</f>
        <v>454.13315999999998</v>
      </c>
      <c r="E235" s="48">
        <v>0</v>
      </c>
      <c r="F235" s="40">
        <f t="shared" ref="F235:F240" si="23">D235*(($F$165)+1)+(IF(E235&lt;101,E235,IF(E235&lt;201,E235/2,IF(E235&lt;=301,E235/3,E235/4))))</f>
        <v>703.90639799999997</v>
      </c>
      <c r="G235" s="173" t="str">
        <f>A234</f>
        <v>17th Floor</v>
      </c>
      <c r="H235" s="173"/>
      <c r="I235" s="34"/>
      <c r="L235" s="79"/>
      <c r="M235" s="79"/>
      <c r="N235" s="34"/>
    </row>
    <row r="236" spans="1:14" s="35" customFormat="1" x14ac:dyDescent="0.3">
      <c r="A236" s="40">
        <f t="shared" ref="A236:A240" si="24">A235+1</f>
        <v>2</v>
      </c>
      <c r="B236" s="40" t="s">
        <v>232</v>
      </c>
      <c r="C236" s="40" t="s">
        <v>218</v>
      </c>
      <c r="D236" s="48">
        <f>(61.14)*10.764</f>
        <v>658.11095999999998</v>
      </c>
      <c r="E236" s="48">
        <v>0</v>
      </c>
      <c r="F236" s="40">
        <f t="shared" si="23"/>
        <v>1020.071988</v>
      </c>
      <c r="G236" s="173"/>
      <c r="H236" s="173"/>
      <c r="I236" s="34"/>
      <c r="L236" s="79"/>
      <c r="M236" s="79"/>
      <c r="N236" s="34"/>
    </row>
    <row r="237" spans="1:14" s="35" customFormat="1" x14ac:dyDescent="0.3">
      <c r="A237" s="40">
        <f t="shared" si="24"/>
        <v>3</v>
      </c>
      <c r="B237" s="40" t="s">
        <v>232</v>
      </c>
      <c r="C237" s="40" t="s">
        <v>218</v>
      </c>
      <c r="D237" s="48">
        <f>(65.7)*10.764</f>
        <v>707.19479999999999</v>
      </c>
      <c r="E237" s="48">
        <v>0</v>
      </c>
      <c r="F237" s="40">
        <f t="shared" si="23"/>
        <v>1096.15194</v>
      </c>
      <c r="G237" s="173"/>
      <c r="H237" s="173"/>
      <c r="I237" s="34"/>
      <c r="L237" s="79"/>
      <c r="M237" s="79"/>
      <c r="N237" s="34"/>
    </row>
    <row r="238" spans="1:14" s="35" customFormat="1" x14ac:dyDescent="0.3">
      <c r="A238" s="40">
        <f t="shared" si="24"/>
        <v>4</v>
      </c>
      <c r="B238" s="40" t="s">
        <v>232</v>
      </c>
      <c r="C238" s="40" t="s">
        <v>217</v>
      </c>
      <c r="D238" s="48">
        <f>(40.98)*10.764</f>
        <v>441.10871999999995</v>
      </c>
      <c r="E238" s="48">
        <v>0</v>
      </c>
      <c r="F238" s="40">
        <f t="shared" si="23"/>
        <v>683.71851599999991</v>
      </c>
      <c r="G238" s="173"/>
      <c r="H238" s="173"/>
      <c r="I238" s="34"/>
      <c r="L238" s="79"/>
      <c r="M238" s="79"/>
      <c r="N238" s="34"/>
    </row>
    <row r="239" spans="1:14" s="35" customFormat="1" x14ac:dyDescent="0.3">
      <c r="A239" s="40">
        <f t="shared" si="24"/>
        <v>5</v>
      </c>
      <c r="B239" s="40" t="s">
        <v>232</v>
      </c>
      <c r="C239" s="40" t="s">
        <v>219</v>
      </c>
      <c r="D239" s="48">
        <f>(86.69)*10.764</f>
        <v>933.13115999999991</v>
      </c>
      <c r="E239" s="48">
        <v>0</v>
      </c>
      <c r="F239" s="40">
        <f t="shared" si="23"/>
        <v>1446.353298</v>
      </c>
      <c r="G239" s="173"/>
      <c r="H239" s="173"/>
      <c r="I239" s="34"/>
      <c r="L239" s="79"/>
      <c r="M239" s="79"/>
      <c r="N239" s="34"/>
    </row>
    <row r="240" spans="1:14" s="35" customFormat="1" x14ac:dyDescent="0.3">
      <c r="A240" s="40">
        <f t="shared" si="24"/>
        <v>6</v>
      </c>
      <c r="B240" s="40" t="s">
        <v>232</v>
      </c>
      <c r="C240" s="40" t="s">
        <v>219</v>
      </c>
      <c r="D240" s="48">
        <f>(85.88)*10.764</f>
        <v>924.41231999999991</v>
      </c>
      <c r="E240" s="48">
        <v>0</v>
      </c>
      <c r="F240" s="40">
        <f t="shared" si="23"/>
        <v>1432.8390959999999</v>
      </c>
      <c r="G240" s="173"/>
      <c r="H240" s="173"/>
      <c r="I240" s="34"/>
      <c r="L240" s="79"/>
      <c r="M240" s="79"/>
      <c r="N240" s="34"/>
    </row>
    <row r="241" spans="1:14" s="35" customFormat="1" x14ac:dyDescent="0.3">
      <c r="A241" s="132" t="s">
        <v>231</v>
      </c>
      <c r="B241" s="133"/>
      <c r="C241" s="133"/>
      <c r="D241" s="133"/>
      <c r="E241" s="133"/>
      <c r="F241" s="133"/>
      <c r="G241" s="133"/>
      <c r="H241" s="134"/>
      <c r="J241" s="34"/>
    </row>
    <row r="242" spans="1:14" s="35" customFormat="1" ht="15.75" customHeight="1" x14ac:dyDescent="0.3">
      <c r="A242" s="40">
        <v>1</v>
      </c>
      <c r="B242" s="40" t="s">
        <v>232</v>
      </c>
      <c r="C242" s="40" t="s">
        <v>217</v>
      </c>
      <c r="D242" s="48">
        <f>(42.19)*10.764</f>
        <v>454.13315999999998</v>
      </c>
      <c r="E242" s="48">
        <v>0</v>
      </c>
      <c r="F242" s="40">
        <f t="shared" ref="F242:F247" si="25">D242*(($F$165)+1)+(IF(E242&lt;101,E242,IF(E242&lt;201,E242/2,IF(E242&lt;=301,E242/3,E242/4))))</f>
        <v>703.90639799999997</v>
      </c>
      <c r="G242" s="151" t="str">
        <f>A241</f>
        <v>18th to 22nd Floor</v>
      </c>
      <c r="H242" s="152"/>
      <c r="I242" s="34"/>
      <c r="L242" s="79"/>
      <c r="M242" s="79"/>
      <c r="N242" s="34"/>
    </row>
    <row r="243" spans="1:14" s="35" customFormat="1" x14ac:dyDescent="0.3">
      <c r="A243" s="40">
        <f t="shared" ref="A243:A247" si="26">A242+1</f>
        <v>2</v>
      </c>
      <c r="B243" s="40" t="s">
        <v>232</v>
      </c>
      <c r="C243" s="40" t="s">
        <v>218</v>
      </c>
      <c r="D243" s="48">
        <f>(61.14)*10.764</f>
        <v>658.11095999999998</v>
      </c>
      <c r="E243" s="48">
        <v>0</v>
      </c>
      <c r="F243" s="40">
        <f t="shared" si="25"/>
        <v>1020.071988</v>
      </c>
      <c r="G243" s="153"/>
      <c r="H243" s="154"/>
      <c r="I243" s="34"/>
      <c r="L243" s="79"/>
      <c r="M243" s="79"/>
      <c r="N243" s="34"/>
    </row>
    <row r="244" spans="1:14" s="35" customFormat="1" x14ac:dyDescent="0.3">
      <c r="A244" s="40">
        <f t="shared" si="26"/>
        <v>3</v>
      </c>
      <c r="B244" s="40" t="s">
        <v>232</v>
      </c>
      <c r="C244" s="40" t="s">
        <v>218</v>
      </c>
      <c r="D244" s="48">
        <f>(66.3)*10.764</f>
        <v>713.65319999999997</v>
      </c>
      <c r="E244" s="48">
        <v>0</v>
      </c>
      <c r="F244" s="40">
        <f t="shared" si="25"/>
        <v>1106.16246</v>
      </c>
      <c r="G244" s="153"/>
      <c r="H244" s="154"/>
      <c r="I244" s="34"/>
      <c r="L244" s="79"/>
      <c r="M244" s="79"/>
      <c r="N244" s="34"/>
    </row>
    <row r="245" spans="1:14" s="35" customFormat="1" x14ac:dyDescent="0.3">
      <c r="A245" s="40">
        <f t="shared" si="26"/>
        <v>4</v>
      </c>
      <c r="B245" s="40" t="s">
        <v>232</v>
      </c>
      <c r="C245" s="40" t="s">
        <v>217</v>
      </c>
      <c r="D245" s="48">
        <f>(40.98)*10.764</f>
        <v>441.10871999999995</v>
      </c>
      <c r="E245" s="48">
        <v>0</v>
      </c>
      <c r="F245" s="40">
        <f t="shared" si="25"/>
        <v>683.71851599999991</v>
      </c>
      <c r="G245" s="153"/>
      <c r="H245" s="154"/>
      <c r="I245" s="34"/>
      <c r="L245" s="79"/>
      <c r="M245" s="79"/>
      <c r="N245" s="34"/>
    </row>
    <row r="246" spans="1:14" s="35" customFormat="1" x14ac:dyDescent="0.3">
      <c r="A246" s="40">
        <f t="shared" si="26"/>
        <v>5</v>
      </c>
      <c r="B246" s="40" t="s">
        <v>232</v>
      </c>
      <c r="C246" s="40" t="s">
        <v>219</v>
      </c>
      <c r="D246" s="48">
        <f>(86.69)*10.764</f>
        <v>933.13115999999991</v>
      </c>
      <c r="E246" s="48">
        <v>0</v>
      </c>
      <c r="F246" s="40">
        <f t="shared" si="25"/>
        <v>1446.353298</v>
      </c>
      <c r="G246" s="153"/>
      <c r="H246" s="154"/>
      <c r="I246" s="34"/>
      <c r="L246" s="79"/>
      <c r="M246" s="79"/>
      <c r="N246" s="34"/>
    </row>
    <row r="247" spans="1:14" s="35" customFormat="1" x14ac:dyDescent="0.3">
      <c r="A247" s="40">
        <f t="shared" si="26"/>
        <v>6</v>
      </c>
      <c r="B247" s="40" t="s">
        <v>232</v>
      </c>
      <c r="C247" s="40" t="s">
        <v>219</v>
      </c>
      <c r="D247" s="48">
        <f>(85.88)*10.764</f>
        <v>924.41231999999991</v>
      </c>
      <c r="E247" s="48">
        <v>0</v>
      </c>
      <c r="F247" s="40">
        <f t="shared" si="25"/>
        <v>1432.8390959999999</v>
      </c>
      <c r="G247" s="155"/>
      <c r="H247" s="156"/>
      <c r="I247" s="34"/>
      <c r="L247" s="79"/>
      <c r="M247" s="79"/>
      <c r="N247" s="34"/>
    </row>
    <row r="248" spans="1:14" s="35" customFormat="1" x14ac:dyDescent="0.3">
      <c r="A248" s="132" t="s">
        <v>221</v>
      </c>
      <c r="B248" s="133"/>
      <c r="C248" s="133"/>
      <c r="D248" s="133"/>
      <c r="E248" s="133"/>
      <c r="F248" s="133"/>
      <c r="G248" s="133"/>
      <c r="H248" s="134"/>
      <c r="J248" s="34"/>
    </row>
    <row r="249" spans="1:14" s="35" customFormat="1" x14ac:dyDescent="0.3">
      <c r="A249" s="132" t="s">
        <v>211</v>
      </c>
      <c r="B249" s="133"/>
      <c r="C249" s="133"/>
      <c r="D249" s="133"/>
      <c r="E249" s="133"/>
      <c r="F249" s="133"/>
      <c r="G249" s="133"/>
      <c r="H249" s="134"/>
      <c r="J249" s="34"/>
    </row>
    <row r="250" spans="1:14" s="35" customFormat="1" x14ac:dyDescent="0.3">
      <c r="A250" s="132" t="s">
        <v>212</v>
      </c>
      <c r="B250" s="133"/>
      <c r="C250" s="133"/>
      <c r="D250" s="133"/>
      <c r="E250" s="133"/>
      <c r="F250" s="133"/>
      <c r="G250" s="133"/>
      <c r="H250" s="134"/>
      <c r="J250" s="34"/>
    </row>
    <row r="251" spans="1:14" s="35" customFormat="1" x14ac:dyDescent="0.3">
      <c r="A251" s="132" t="s">
        <v>213</v>
      </c>
      <c r="B251" s="133"/>
      <c r="C251" s="133"/>
      <c r="D251" s="133"/>
      <c r="E251" s="133"/>
      <c r="F251" s="133"/>
      <c r="G251" s="133"/>
      <c r="H251" s="134"/>
      <c r="J251" s="34"/>
    </row>
    <row r="252" spans="1:14" s="35" customFormat="1" x14ac:dyDescent="0.3">
      <c r="A252" s="132" t="s">
        <v>215</v>
      </c>
      <c r="B252" s="133"/>
      <c r="C252" s="133"/>
      <c r="D252" s="133"/>
      <c r="E252" s="133"/>
      <c r="F252" s="133"/>
      <c r="G252" s="133"/>
      <c r="H252" s="134"/>
      <c r="J252" s="34"/>
    </row>
    <row r="253" spans="1:14" s="35" customFormat="1" ht="15.75" customHeight="1" x14ac:dyDescent="0.3">
      <c r="A253" s="40">
        <v>1</v>
      </c>
      <c r="B253" s="40" t="s">
        <v>232</v>
      </c>
      <c r="C253" s="40" t="s">
        <v>219</v>
      </c>
      <c r="D253" s="48">
        <f>(72.54)*10.764</f>
        <v>780.82056</v>
      </c>
      <c r="E253" s="48">
        <v>0</v>
      </c>
      <c r="F253" s="40">
        <f t="shared" ref="F253:F258" si="27">D253*(($F$165)+1)+(IF(E253&lt;101,E253,IF(E253&lt;201,E253/2,IF(E253&lt;=301,E253/3,E253/4))))</f>
        <v>1210.271868</v>
      </c>
      <c r="G253" s="151" t="str">
        <f>A252</f>
        <v>5th Floor for Residential</v>
      </c>
      <c r="H253" s="152"/>
      <c r="I253" s="34"/>
      <c r="L253" s="79"/>
      <c r="M253" s="79"/>
      <c r="N253" s="34"/>
    </row>
    <row r="254" spans="1:14" s="35" customFormat="1" x14ac:dyDescent="0.3">
      <c r="A254" s="40">
        <f t="shared" ref="A254:A258" si="28">A253+1</f>
        <v>2</v>
      </c>
      <c r="B254" s="40" t="s">
        <v>232</v>
      </c>
      <c r="C254" s="40" t="s">
        <v>219</v>
      </c>
      <c r="D254" s="48">
        <f>(72.54)*10.764</f>
        <v>780.82056</v>
      </c>
      <c r="E254" s="48">
        <v>0</v>
      </c>
      <c r="F254" s="40">
        <f t="shared" si="27"/>
        <v>1210.271868</v>
      </c>
      <c r="G254" s="153"/>
      <c r="H254" s="154"/>
      <c r="I254" s="34"/>
      <c r="L254" s="79"/>
      <c r="M254" s="79"/>
      <c r="N254" s="34"/>
    </row>
    <row r="255" spans="1:14" s="35" customFormat="1" x14ac:dyDescent="0.3">
      <c r="A255" s="40">
        <f t="shared" si="28"/>
        <v>3</v>
      </c>
      <c r="B255" s="40" t="s">
        <v>232</v>
      </c>
      <c r="C255" s="40" t="s">
        <v>217</v>
      </c>
      <c r="D255" s="48">
        <f>(41.52)*10.764</f>
        <v>446.92128000000002</v>
      </c>
      <c r="E255" s="48">
        <v>0</v>
      </c>
      <c r="F255" s="40">
        <f t="shared" si="27"/>
        <v>692.72798400000011</v>
      </c>
      <c r="G255" s="153"/>
      <c r="H255" s="154"/>
      <c r="I255" s="34"/>
      <c r="L255" s="79"/>
      <c r="M255" s="79"/>
      <c r="N255" s="34"/>
    </row>
    <row r="256" spans="1:14" s="35" customFormat="1" x14ac:dyDescent="0.3">
      <c r="A256" s="40">
        <f t="shared" si="28"/>
        <v>4</v>
      </c>
      <c r="B256" s="40" t="s">
        <v>232</v>
      </c>
      <c r="C256" s="40" t="s">
        <v>218</v>
      </c>
      <c r="D256" s="48">
        <f>(55.34)*10.764</f>
        <v>595.67975999999999</v>
      </c>
      <c r="E256" s="48">
        <v>0</v>
      </c>
      <c r="F256" s="40">
        <f t="shared" si="27"/>
        <v>923.303628</v>
      </c>
      <c r="G256" s="153"/>
      <c r="H256" s="154"/>
      <c r="I256" s="34"/>
      <c r="L256" s="79"/>
      <c r="M256" s="79"/>
      <c r="N256" s="34"/>
    </row>
    <row r="257" spans="1:14" s="35" customFormat="1" x14ac:dyDescent="0.3">
      <c r="A257" s="40">
        <f t="shared" si="28"/>
        <v>5</v>
      </c>
      <c r="B257" s="40" t="s">
        <v>232</v>
      </c>
      <c r="C257" s="40" t="s">
        <v>218</v>
      </c>
      <c r="D257" s="48">
        <f>(50.52)*10.764</f>
        <v>543.79728</v>
      </c>
      <c r="E257" s="48">
        <v>0</v>
      </c>
      <c r="F257" s="40">
        <f t="shared" si="27"/>
        <v>842.88578400000006</v>
      </c>
      <c r="G257" s="153"/>
      <c r="H257" s="154"/>
      <c r="I257" s="34"/>
      <c r="L257" s="79"/>
      <c r="M257" s="79"/>
      <c r="N257" s="34"/>
    </row>
    <row r="258" spans="1:14" s="35" customFormat="1" x14ac:dyDescent="0.3">
      <c r="A258" s="40">
        <f t="shared" si="28"/>
        <v>6</v>
      </c>
      <c r="B258" s="40" t="s">
        <v>232</v>
      </c>
      <c r="C258" s="40" t="s">
        <v>217</v>
      </c>
      <c r="D258" s="48">
        <f>(37.47)*10.764</f>
        <v>403.32707999999997</v>
      </c>
      <c r="E258" s="48">
        <v>0</v>
      </c>
      <c r="F258" s="40">
        <f t="shared" si="27"/>
        <v>625.15697399999999</v>
      </c>
      <c r="G258" s="155"/>
      <c r="H258" s="156"/>
      <c r="I258" s="34"/>
      <c r="L258" s="79"/>
      <c r="M258" s="79"/>
      <c r="N258" s="34"/>
    </row>
    <row r="259" spans="1:14" s="35" customFormat="1" x14ac:dyDescent="0.3">
      <c r="A259" s="132" t="s">
        <v>220</v>
      </c>
      <c r="B259" s="133"/>
      <c r="C259" s="133"/>
      <c r="D259" s="133"/>
      <c r="E259" s="133"/>
      <c r="F259" s="133"/>
      <c r="G259" s="133"/>
      <c r="H259" s="134"/>
      <c r="J259" s="34"/>
    </row>
    <row r="260" spans="1:14" s="35" customFormat="1" ht="15.75" customHeight="1" x14ac:dyDescent="0.3">
      <c r="A260" s="40">
        <v>1</v>
      </c>
      <c r="B260" s="40" t="s">
        <v>232</v>
      </c>
      <c r="C260" s="40" t="s">
        <v>219</v>
      </c>
      <c r="D260" s="48">
        <f>(72.54)*10.764</f>
        <v>780.82056</v>
      </c>
      <c r="E260" s="48">
        <v>0</v>
      </c>
      <c r="F260" s="40">
        <f t="shared" ref="F260:F265" si="29">D260*(($F$165)+1)+(IF(E260&lt;101,E260,IF(E260&lt;201,E260/2,IF(E260&lt;=301,E260/3,E260/4))))</f>
        <v>1210.271868</v>
      </c>
      <c r="G260" s="151" t="str">
        <f>A259</f>
        <v>6th &amp; 7th Floor</v>
      </c>
      <c r="H260" s="152"/>
      <c r="I260" s="34"/>
      <c r="L260" s="79"/>
      <c r="M260" s="79"/>
      <c r="N260" s="34"/>
    </row>
    <row r="261" spans="1:14" s="35" customFormat="1" x14ac:dyDescent="0.3">
      <c r="A261" s="40">
        <f t="shared" ref="A261:A265" si="30">A260+1</f>
        <v>2</v>
      </c>
      <c r="B261" s="40" t="s">
        <v>232</v>
      </c>
      <c r="C261" s="40" t="s">
        <v>219</v>
      </c>
      <c r="D261" s="48">
        <f>(72.54)*10.764</f>
        <v>780.82056</v>
      </c>
      <c r="E261" s="48">
        <v>0</v>
      </c>
      <c r="F261" s="40">
        <f t="shared" si="29"/>
        <v>1210.271868</v>
      </c>
      <c r="G261" s="153"/>
      <c r="H261" s="154"/>
      <c r="I261" s="34"/>
      <c r="L261" s="79"/>
      <c r="M261" s="79"/>
      <c r="N261" s="34"/>
    </row>
    <row r="262" spans="1:14" s="35" customFormat="1" x14ac:dyDescent="0.3">
      <c r="A262" s="40">
        <f t="shared" si="30"/>
        <v>3</v>
      </c>
      <c r="B262" s="40" t="s">
        <v>232</v>
      </c>
      <c r="C262" s="40" t="s">
        <v>217</v>
      </c>
      <c r="D262" s="48">
        <f>(41.52)*10.764</f>
        <v>446.92128000000002</v>
      </c>
      <c r="E262" s="48">
        <v>0</v>
      </c>
      <c r="F262" s="40">
        <f t="shared" si="29"/>
        <v>692.72798400000011</v>
      </c>
      <c r="G262" s="153"/>
      <c r="H262" s="154"/>
      <c r="I262" s="34"/>
      <c r="L262" s="79"/>
      <c r="M262" s="79"/>
      <c r="N262" s="34"/>
    </row>
    <row r="263" spans="1:14" s="35" customFormat="1" x14ac:dyDescent="0.3">
      <c r="A263" s="40">
        <f t="shared" si="30"/>
        <v>4</v>
      </c>
      <c r="B263" s="40" t="s">
        <v>232</v>
      </c>
      <c r="C263" s="40" t="s">
        <v>218</v>
      </c>
      <c r="D263" s="48">
        <f>(55.34)*10.764</f>
        <v>595.67975999999999</v>
      </c>
      <c r="E263" s="48">
        <v>0</v>
      </c>
      <c r="F263" s="40">
        <f t="shared" si="29"/>
        <v>923.303628</v>
      </c>
      <c r="G263" s="153"/>
      <c r="H263" s="154"/>
      <c r="I263" s="34"/>
      <c r="L263" s="79"/>
      <c r="M263" s="79"/>
      <c r="N263" s="34"/>
    </row>
    <row r="264" spans="1:14" s="35" customFormat="1" x14ac:dyDescent="0.3">
      <c r="A264" s="40">
        <f t="shared" si="30"/>
        <v>5</v>
      </c>
      <c r="B264" s="40" t="s">
        <v>232</v>
      </c>
      <c r="C264" s="40" t="s">
        <v>218</v>
      </c>
      <c r="D264" s="48">
        <f>(50.52)*10.764</f>
        <v>543.79728</v>
      </c>
      <c r="E264" s="48">
        <v>0</v>
      </c>
      <c r="F264" s="40">
        <f t="shared" si="29"/>
        <v>842.88578400000006</v>
      </c>
      <c r="G264" s="153"/>
      <c r="H264" s="154"/>
      <c r="I264" s="34"/>
      <c r="L264" s="79"/>
      <c r="M264" s="79"/>
      <c r="N264" s="34"/>
    </row>
    <row r="265" spans="1:14" s="35" customFormat="1" x14ac:dyDescent="0.3">
      <c r="A265" s="40">
        <f t="shared" si="30"/>
        <v>6</v>
      </c>
      <c r="B265" s="40" t="s">
        <v>232</v>
      </c>
      <c r="C265" s="40" t="s">
        <v>217</v>
      </c>
      <c r="D265" s="48">
        <f>(37.47)*10.764</f>
        <v>403.32707999999997</v>
      </c>
      <c r="E265" s="48">
        <v>0</v>
      </c>
      <c r="F265" s="40">
        <f t="shared" si="29"/>
        <v>625.15697399999999</v>
      </c>
      <c r="G265" s="155"/>
      <c r="H265" s="156"/>
      <c r="I265" s="34"/>
      <c r="L265" s="79"/>
      <c r="M265" s="79"/>
      <c r="N265" s="34"/>
    </row>
    <row r="266" spans="1:14" s="35" customFormat="1" x14ac:dyDescent="0.3">
      <c r="A266" s="86" t="s">
        <v>222</v>
      </c>
      <c r="B266" s="86"/>
      <c r="C266" s="86"/>
      <c r="D266" s="86"/>
      <c r="E266" s="86"/>
      <c r="F266" s="86"/>
      <c r="G266" s="86"/>
      <c r="H266" s="86"/>
      <c r="J266" s="34"/>
    </row>
    <row r="267" spans="1:14" s="35" customFormat="1" ht="15.75" customHeight="1" x14ac:dyDescent="0.3">
      <c r="A267" s="40">
        <v>1</v>
      </c>
      <c r="B267" s="40" t="s">
        <v>232</v>
      </c>
      <c r="C267" s="40" t="s">
        <v>219</v>
      </c>
      <c r="D267" s="48">
        <f>(72.54)*10.764</f>
        <v>780.82056</v>
      </c>
      <c r="E267" s="48">
        <v>0</v>
      </c>
      <c r="F267" s="40">
        <f>D267*(($F$165)+1)+(IF(E267&lt;101,E267,IF(E267&lt;201,E267/2,IF(E267&lt;=301,E267/3,E267/4))))</f>
        <v>1210.271868</v>
      </c>
      <c r="G267" s="173" t="str">
        <f>A266</f>
        <v>8th Floor (Part Refuge Area)</v>
      </c>
      <c r="H267" s="173"/>
      <c r="I267" s="34"/>
      <c r="L267" s="79"/>
      <c r="M267" s="79"/>
      <c r="N267" s="34"/>
    </row>
    <row r="268" spans="1:14" s="35" customFormat="1" x14ac:dyDescent="0.3">
      <c r="A268" s="40">
        <f t="shared" ref="A268:A272" si="31">A267+1</f>
        <v>2</v>
      </c>
      <c r="B268" s="40" t="s">
        <v>232</v>
      </c>
      <c r="C268" s="40" t="s">
        <v>219</v>
      </c>
      <c r="D268" s="48">
        <f>(72.54)*10.764</f>
        <v>780.82056</v>
      </c>
      <c r="E268" s="48">
        <v>0</v>
      </c>
      <c r="F268" s="40">
        <f>D268*(($F$165)+1)+(IF(E268&lt;101,E268,IF(E268&lt;201,E268/2,IF(E268&lt;=301,E268/3,E268/4))))</f>
        <v>1210.271868</v>
      </c>
      <c r="G268" s="173"/>
      <c r="H268" s="173"/>
      <c r="I268" s="34"/>
      <c r="L268" s="79"/>
      <c r="M268" s="79"/>
      <c r="N268" s="34"/>
    </row>
    <row r="269" spans="1:14" s="35" customFormat="1" x14ac:dyDescent="0.3">
      <c r="A269" s="40">
        <f t="shared" si="31"/>
        <v>3</v>
      </c>
      <c r="B269" s="40" t="s">
        <v>232</v>
      </c>
      <c r="C269" s="40" t="s">
        <v>217</v>
      </c>
      <c r="D269" s="48">
        <f>(41.52)*10.764</f>
        <v>446.92128000000002</v>
      </c>
      <c r="E269" s="48">
        <v>0</v>
      </c>
      <c r="F269" s="40">
        <f>D269*(($F$165)+1)+(IF(E269&lt;101,E269,IF(E269&lt;201,E269/2,IF(E269&lt;=301,E269/3,E269/4))))</f>
        <v>692.72798400000011</v>
      </c>
      <c r="G269" s="173"/>
      <c r="H269" s="173"/>
      <c r="I269" s="34"/>
      <c r="L269" s="79"/>
      <c r="M269" s="79"/>
      <c r="N269" s="34"/>
    </row>
    <row r="270" spans="1:14" s="35" customFormat="1" x14ac:dyDescent="0.3">
      <c r="A270" s="40">
        <f t="shared" si="31"/>
        <v>4</v>
      </c>
      <c r="B270" s="173" t="s">
        <v>223</v>
      </c>
      <c r="C270" s="173"/>
      <c r="D270" s="173"/>
      <c r="E270" s="173"/>
      <c r="F270" s="173"/>
      <c r="G270" s="173"/>
      <c r="H270" s="173"/>
      <c r="I270" s="34"/>
      <c r="L270" s="79"/>
      <c r="M270" s="79"/>
      <c r="N270" s="34"/>
    </row>
    <row r="271" spans="1:14" s="35" customFormat="1" x14ac:dyDescent="0.3">
      <c r="A271" s="40">
        <f t="shared" si="31"/>
        <v>5</v>
      </c>
      <c r="B271" s="40" t="s">
        <v>232</v>
      </c>
      <c r="C271" s="40" t="s">
        <v>218</v>
      </c>
      <c r="D271" s="48">
        <f>(50.52)*10.764</f>
        <v>543.79728</v>
      </c>
      <c r="E271" s="48">
        <v>0</v>
      </c>
      <c r="F271" s="40">
        <f>D271*(($F$165)+1)+(IF(E271&lt;101,E271,IF(E271&lt;201,E271/2,IF(E271&lt;=301,E271/3,E271/4))))</f>
        <v>842.88578400000006</v>
      </c>
      <c r="G271" s="173"/>
      <c r="H271" s="173"/>
      <c r="I271" s="34"/>
      <c r="L271" s="79"/>
      <c r="M271" s="79"/>
      <c r="N271" s="34"/>
    </row>
    <row r="272" spans="1:14" s="35" customFormat="1" x14ac:dyDescent="0.3">
      <c r="A272" s="40">
        <f t="shared" si="31"/>
        <v>6</v>
      </c>
      <c r="B272" s="40" t="s">
        <v>232</v>
      </c>
      <c r="C272" s="40" t="s">
        <v>217</v>
      </c>
      <c r="D272" s="48">
        <f>(37.47)*10.764</f>
        <v>403.32707999999997</v>
      </c>
      <c r="E272" s="48">
        <v>0</v>
      </c>
      <c r="F272" s="40">
        <f>D272*(($F$165)+1)+(IF(E272&lt;101,E272,IF(E272&lt;201,E272/2,IF(E272&lt;=301,E272/3,E272/4))))</f>
        <v>625.15697399999999</v>
      </c>
      <c r="G272" s="173"/>
      <c r="H272" s="173"/>
      <c r="I272" s="34"/>
      <c r="L272" s="79"/>
      <c r="M272" s="79"/>
      <c r="N272" s="34"/>
    </row>
    <row r="273" spans="1:14" s="35" customFormat="1" x14ac:dyDescent="0.3">
      <c r="A273" s="86" t="s">
        <v>224</v>
      </c>
      <c r="B273" s="86"/>
      <c r="C273" s="86"/>
      <c r="D273" s="86"/>
      <c r="E273" s="86"/>
      <c r="F273" s="86"/>
      <c r="G273" s="86"/>
      <c r="H273" s="86"/>
      <c r="J273" s="34"/>
    </row>
    <row r="274" spans="1:14" s="35" customFormat="1" ht="15.75" customHeight="1" x14ac:dyDescent="0.3">
      <c r="A274" s="40">
        <v>1</v>
      </c>
      <c r="B274" s="40" t="s">
        <v>232</v>
      </c>
      <c r="C274" s="40" t="s">
        <v>219</v>
      </c>
      <c r="D274" s="48">
        <f>(72.54)*10.764</f>
        <v>780.82056</v>
      </c>
      <c r="E274" s="40">
        <v>0</v>
      </c>
      <c r="F274" s="40">
        <f t="shared" ref="F274:F279" si="32">D274*(($F$165)+1)+(IF(E274&lt;101,E274,IF(E274&lt;201,E274/2,IF(E274&lt;=301,E274/3,E274/4))))</f>
        <v>1210.271868</v>
      </c>
      <c r="G274" s="173" t="str">
        <f>A273</f>
        <v>9th &amp; 10th Floor</v>
      </c>
      <c r="H274" s="173"/>
      <c r="I274" s="34"/>
      <c r="L274" s="79"/>
      <c r="M274" s="79"/>
      <c r="N274" s="34"/>
    </row>
    <row r="275" spans="1:14" s="35" customFormat="1" x14ac:dyDescent="0.3">
      <c r="A275" s="40">
        <f t="shared" ref="A275:A279" si="33">A274+1</f>
        <v>2</v>
      </c>
      <c r="B275" s="40" t="s">
        <v>232</v>
      </c>
      <c r="C275" s="40" t="s">
        <v>219</v>
      </c>
      <c r="D275" s="48">
        <f>(72.54)*10.764</f>
        <v>780.82056</v>
      </c>
      <c r="E275" s="40">
        <v>0</v>
      </c>
      <c r="F275" s="40">
        <f t="shared" si="32"/>
        <v>1210.271868</v>
      </c>
      <c r="G275" s="173"/>
      <c r="H275" s="173"/>
      <c r="I275" s="34"/>
      <c r="L275" s="79"/>
      <c r="M275" s="79"/>
      <c r="N275" s="34"/>
    </row>
    <row r="276" spans="1:14" s="35" customFormat="1" x14ac:dyDescent="0.3">
      <c r="A276" s="40">
        <f t="shared" si="33"/>
        <v>3</v>
      </c>
      <c r="B276" s="40" t="s">
        <v>232</v>
      </c>
      <c r="C276" s="40" t="s">
        <v>217</v>
      </c>
      <c r="D276" s="48">
        <f>(41.52)*10.764</f>
        <v>446.92128000000002</v>
      </c>
      <c r="E276" s="40">
        <v>0</v>
      </c>
      <c r="F276" s="40">
        <f t="shared" si="32"/>
        <v>692.72798400000011</v>
      </c>
      <c r="G276" s="173"/>
      <c r="H276" s="173"/>
      <c r="I276" s="34"/>
      <c r="L276" s="79"/>
      <c r="M276" s="79"/>
      <c r="N276" s="34"/>
    </row>
    <row r="277" spans="1:14" s="35" customFormat="1" x14ac:dyDescent="0.3">
      <c r="A277" s="40">
        <f t="shared" si="33"/>
        <v>4</v>
      </c>
      <c r="B277" s="40" t="s">
        <v>232</v>
      </c>
      <c r="C277" s="40" t="s">
        <v>218</v>
      </c>
      <c r="D277" s="48">
        <f>(55.34)*10.764</f>
        <v>595.67975999999999</v>
      </c>
      <c r="E277" s="40">
        <v>0</v>
      </c>
      <c r="F277" s="40">
        <f t="shared" si="32"/>
        <v>923.303628</v>
      </c>
      <c r="G277" s="173"/>
      <c r="H277" s="173"/>
      <c r="I277" s="34"/>
      <c r="L277" s="79"/>
      <c r="M277" s="79"/>
      <c r="N277" s="34"/>
    </row>
    <row r="278" spans="1:14" s="35" customFormat="1" x14ac:dyDescent="0.3">
      <c r="A278" s="40">
        <f t="shared" si="33"/>
        <v>5</v>
      </c>
      <c r="B278" s="40" t="s">
        <v>232</v>
      </c>
      <c r="C278" s="40" t="s">
        <v>218</v>
      </c>
      <c r="D278" s="48">
        <f>(50.52)*10.764</f>
        <v>543.79728</v>
      </c>
      <c r="E278" s="40">
        <v>0</v>
      </c>
      <c r="F278" s="40">
        <f t="shared" si="32"/>
        <v>842.88578400000006</v>
      </c>
      <c r="G278" s="173"/>
      <c r="H278" s="173"/>
      <c r="I278" s="34"/>
      <c r="L278" s="79"/>
      <c r="M278" s="79"/>
      <c r="N278" s="34"/>
    </row>
    <row r="279" spans="1:14" s="35" customFormat="1" x14ac:dyDescent="0.3">
      <c r="A279" s="40">
        <f t="shared" si="33"/>
        <v>6</v>
      </c>
      <c r="B279" s="40" t="s">
        <v>232</v>
      </c>
      <c r="C279" s="40" t="s">
        <v>217</v>
      </c>
      <c r="D279" s="48">
        <f>(39.45)*10.764</f>
        <v>424.63979999999998</v>
      </c>
      <c r="E279" s="40">
        <v>0</v>
      </c>
      <c r="F279" s="40">
        <f t="shared" si="32"/>
        <v>658.19168999999999</v>
      </c>
      <c r="G279" s="173"/>
      <c r="H279" s="173"/>
      <c r="I279" s="34"/>
      <c r="L279" s="79"/>
      <c r="M279" s="79"/>
      <c r="N279" s="34"/>
    </row>
    <row r="280" spans="1:14" s="35" customFormat="1" x14ac:dyDescent="0.3">
      <c r="A280" s="132" t="s">
        <v>225</v>
      </c>
      <c r="B280" s="133"/>
      <c r="C280" s="133"/>
      <c r="D280" s="133"/>
      <c r="E280" s="133"/>
      <c r="F280" s="133"/>
      <c r="G280" s="133"/>
      <c r="H280" s="134"/>
      <c r="J280" s="34"/>
    </row>
    <row r="281" spans="1:14" s="35" customFormat="1" ht="15.75" customHeight="1" x14ac:dyDescent="0.3">
      <c r="A281" s="40">
        <v>1</v>
      </c>
      <c r="B281" s="40" t="s">
        <v>232</v>
      </c>
      <c r="C281" s="40" t="s">
        <v>219</v>
      </c>
      <c r="D281" s="48">
        <f>(72.54)*10.764</f>
        <v>780.82056</v>
      </c>
      <c r="E281" s="48">
        <v>0</v>
      </c>
      <c r="F281" s="40">
        <f t="shared" ref="F281:F286" si="34">D281*(($F$165)+1)+(IF(E281&lt;101,E281,IF(E281&lt;201,E281/2,IF(E281&lt;=301,E281/3,E281/4))))</f>
        <v>1210.271868</v>
      </c>
      <c r="G281" s="151" t="str">
        <f>A280</f>
        <v>11th Floor</v>
      </c>
      <c r="H281" s="152"/>
      <c r="I281" s="34"/>
      <c r="L281" s="79"/>
      <c r="M281" s="79"/>
      <c r="N281" s="34"/>
    </row>
    <row r="282" spans="1:14" s="35" customFormat="1" x14ac:dyDescent="0.3">
      <c r="A282" s="40">
        <f t="shared" ref="A282:A286" si="35">A281+1</f>
        <v>2</v>
      </c>
      <c r="B282" s="40" t="s">
        <v>232</v>
      </c>
      <c r="C282" s="40" t="s">
        <v>219</v>
      </c>
      <c r="D282" s="48">
        <f>(72.54)*10.764</f>
        <v>780.82056</v>
      </c>
      <c r="E282" s="48">
        <v>0</v>
      </c>
      <c r="F282" s="40">
        <f t="shared" si="34"/>
        <v>1210.271868</v>
      </c>
      <c r="G282" s="153"/>
      <c r="H282" s="154"/>
      <c r="I282" s="34"/>
      <c r="L282" s="79"/>
      <c r="M282" s="79"/>
      <c r="N282" s="34"/>
    </row>
    <row r="283" spans="1:14" s="35" customFormat="1" x14ac:dyDescent="0.3">
      <c r="A283" s="40">
        <f t="shared" si="35"/>
        <v>3</v>
      </c>
      <c r="B283" s="40" t="s">
        <v>232</v>
      </c>
      <c r="C283" s="40" t="s">
        <v>217</v>
      </c>
      <c r="D283" s="48">
        <f>(41.52)*10.764</f>
        <v>446.92128000000002</v>
      </c>
      <c r="E283" s="48">
        <v>0</v>
      </c>
      <c r="F283" s="40">
        <f t="shared" si="34"/>
        <v>692.72798400000011</v>
      </c>
      <c r="G283" s="153"/>
      <c r="H283" s="154"/>
      <c r="I283" s="34"/>
      <c r="L283" s="79"/>
      <c r="M283" s="79"/>
      <c r="N283" s="34"/>
    </row>
    <row r="284" spans="1:14" s="35" customFormat="1" x14ac:dyDescent="0.3">
      <c r="A284" s="40">
        <f t="shared" si="35"/>
        <v>4</v>
      </c>
      <c r="B284" s="40" t="s">
        <v>232</v>
      </c>
      <c r="C284" s="40" t="s">
        <v>218</v>
      </c>
      <c r="D284" s="48">
        <f>(55.34)*10.764</f>
        <v>595.67975999999999</v>
      </c>
      <c r="E284" s="48">
        <v>0</v>
      </c>
      <c r="F284" s="40">
        <f t="shared" si="34"/>
        <v>923.303628</v>
      </c>
      <c r="G284" s="153"/>
      <c r="H284" s="154"/>
      <c r="I284" s="34"/>
      <c r="L284" s="79"/>
      <c r="M284" s="79"/>
      <c r="N284" s="34"/>
    </row>
    <row r="285" spans="1:14" s="35" customFormat="1" x14ac:dyDescent="0.3">
      <c r="A285" s="40">
        <f t="shared" si="35"/>
        <v>5</v>
      </c>
      <c r="B285" s="40" t="s">
        <v>232</v>
      </c>
      <c r="C285" s="40" t="s">
        <v>218</v>
      </c>
      <c r="D285" s="48">
        <f>(50.52)*10.764</f>
        <v>543.79728</v>
      </c>
      <c r="E285" s="48">
        <v>0</v>
      </c>
      <c r="F285" s="40">
        <f t="shared" si="34"/>
        <v>842.88578400000006</v>
      </c>
      <c r="G285" s="153"/>
      <c r="H285" s="154"/>
      <c r="I285" s="34"/>
      <c r="L285" s="79"/>
      <c r="M285" s="79"/>
      <c r="N285" s="34"/>
    </row>
    <row r="286" spans="1:14" s="35" customFormat="1" x14ac:dyDescent="0.3">
      <c r="A286" s="40">
        <f t="shared" si="35"/>
        <v>6</v>
      </c>
      <c r="B286" s="40" t="s">
        <v>232</v>
      </c>
      <c r="C286" s="40" t="s">
        <v>217</v>
      </c>
      <c r="D286" s="48">
        <f>(39.45)*10.764</f>
        <v>424.63979999999998</v>
      </c>
      <c r="E286" s="48">
        <v>0</v>
      </c>
      <c r="F286" s="40">
        <f t="shared" si="34"/>
        <v>658.19168999999999</v>
      </c>
      <c r="G286" s="155"/>
      <c r="H286" s="156"/>
      <c r="I286" s="34"/>
      <c r="L286" s="79"/>
      <c r="M286" s="79"/>
      <c r="N286" s="34"/>
    </row>
    <row r="287" spans="1:14" s="35" customFormat="1" x14ac:dyDescent="0.3">
      <c r="A287" s="132" t="s">
        <v>226</v>
      </c>
      <c r="B287" s="133"/>
      <c r="C287" s="133"/>
      <c r="D287" s="133"/>
      <c r="E287" s="133"/>
      <c r="F287" s="133"/>
      <c r="G287" s="133"/>
      <c r="H287" s="134"/>
      <c r="J287" s="34"/>
    </row>
    <row r="288" spans="1:14" s="35" customFormat="1" ht="15.75" customHeight="1" x14ac:dyDescent="0.3">
      <c r="A288" s="40">
        <v>1</v>
      </c>
      <c r="B288" s="40" t="s">
        <v>232</v>
      </c>
      <c r="C288" s="40" t="s">
        <v>219</v>
      </c>
      <c r="D288" s="48">
        <f>(73.34)*10.764</f>
        <v>789.43175999999994</v>
      </c>
      <c r="E288" s="48">
        <v>0</v>
      </c>
      <c r="F288" s="40">
        <f t="shared" ref="F288:F293" si="36">D288*(($F$165)+1)+(IF(E288&lt;101,E288,IF(E288&lt;201,E288/2,IF(E288&lt;=301,E288/3,E288/4))))</f>
        <v>1223.619228</v>
      </c>
      <c r="G288" s="151" t="str">
        <f>A287</f>
        <v>12th &amp; 13th Floor</v>
      </c>
      <c r="H288" s="152"/>
      <c r="I288" s="34"/>
      <c r="L288" s="79"/>
      <c r="M288" s="79"/>
      <c r="N288" s="34"/>
    </row>
    <row r="289" spans="1:14" s="35" customFormat="1" x14ac:dyDescent="0.3">
      <c r="A289" s="40">
        <f t="shared" ref="A289:A293" si="37">A288+1</f>
        <v>2</v>
      </c>
      <c r="B289" s="40" t="s">
        <v>232</v>
      </c>
      <c r="C289" s="40" t="s">
        <v>219</v>
      </c>
      <c r="D289" s="48">
        <f>(73.34)*10.764</f>
        <v>789.43175999999994</v>
      </c>
      <c r="E289" s="48">
        <v>0</v>
      </c>
      <c r="F289" s="40">
        <f t="shared" si="36"/>
        <v>1223.619228</v>
      </c>
      <c r="G289" s="153"/>
      <c r="H289" s="154"/>
      <c r="I289" s="34"/>
      <c r="L289" s="79"/>
      <c r="M289" s="79"/>
      <c r="N289" s="34"/>
    </row>
    <row r="290" spans="1:14" s="35" customFormat="1" x14ac:dyDescent="0.3">
      <c r="A290" s="40">
        <f t="shared" si="37"/>
        <v>3</v>
      </c>
      <c r="B290" s="40" t="s">
        <v>232</v>
      </c>
      <c r="C290" s="40" t="s">
        <v>217</v>
      </c>
      <c r="D290" s="48">
        <f>(41.52)*10.764</f>
        <v>446.92128000000002</v>
      </c>
      <c r="E290" s="48">
        <v>0</v>
      </c>
      <c r="F290" s="40">
        <f t="shared" si="36"/>
        <v>692.72798400000011</v>
      </c>
      <c r="G290" s="153"/>
      <c r="H290" s="154"/>
      <c r="I290" s="34"/>
      <c r="L290" s="79"/>
      <c r="M290" s="79"/>
      <c r="N290" s="34"/>
    </row>
    <row r="291" spans="1:14" s="35" customFormat="1" x14ac:dyDescent="0.3">
      <c r="A291" s="40">
        <f t="shared" si="37"/>
        <v>4</v>
      </c>
      <c r="B291" s="40" t="s">
        <v>232</v>
      </c>
      <c r="C291" s="40" t="s">
        <v>218</v>
      </c>
      <c r="D291" s="48">
        <f>(55.34)*10.764</f>
        <v>595.67975999999999</v>
      </c>
      <c r="E291" s="48">
        <v>0</v>
      </c>
      <c r="F291" s="40">
        <f t="shared" si="36"/>
        <v>923.303628</v>
      </c>
      <c r="G291" s="153"/>
      <c r="H291" s="154"/>
      <c r="I291" s="34"/>
      <c r="L291" s="79"/>
      <c r="M291" s="79"/>
      <c r="N291" s="34"/>
    </row>
    <row r="292" spans="1:14" s="35" customFormat="1" x14ac:dyDescent="0.3">
      <c r="A292" s="40">
        <f t="shared" si="37"/>
        <v>5</v>
      </c>
      <c r="B292" s="40" t="s">
        <v>232</v>
      </c>
      <c r="C292" s="40" t="s">
        <v>218</v>
      </c>
      <c r="D292" s="48">
        <f>(56.71)*10.764</f>
        <v>610.42643999999996</v>
      </c>
      <c r="E292" s="48">
        <v>0</v>
      </c>
      <c r="F292" s="40">
        <f t="shared" si="36"/>
        <v>946.16098199999999</v>
      </c>
      <c r="G292" s="153"/>
      <c r="H292" s="154"/>
      <c r="I292" s="34"/>
      <c r="L292" s="79"/>
      <c r="M292" s="79"/>
      <c r="N292" s="34"/>
    </row>
    <row r="293" spans="1:14" s="35" customFormat="1" x14ac:dyDescent="0.3">
      <c r="A293" s="40">
        <f t="shared" si="37"/>
        <v>6</v>
      </c>
      <c r="B293" s="40" t="s">
        <v>232</v>
      </c>
      <c r="C293" s="40" t="s">
        <v>217</v>
      </c>
      <c r="D293" s="48">
        <f>(39.45)*10.764</f>
        <v>424.63979999999998</v>
      </c>
      <c r="E293" s="48">
        <v>0</v>
      </c>
      <c r="F293" s="40">
        <f t="shared" si="36"/>
        <v>658.19168999999999</v>
      </c>
      <c r="G293" s="155"/>
      <c r="H293" s="156"/>
      <c r="I293" s="34"/>
      <c r="L293" s="79"/>
      <c r="M293" s="79"/>
      <c r="N293" s="34"/>
    </row>
    <row r="294" spans="1:14" s="35" customFormat="1" x14ac:dyDescent="0.3">
      <c r="A294" s="132" t="s">
        <v>227</v>
      </c>
      <c r="B294" s="133"/>
      <c r="C294" s="133"/>
      <c r="D294" s="133"/>
      <c r="E294" s="133"/>
      <c r="F294" s="133"/>
      <c r="G294" s="133"/>
      <c r="H294" s="134"/>
      <c r="J294" s="34"/>
    </row>
    <row r="295" spans="1:14" s="35" customFormat="1" ht="15.75" customHeight="1" x14ac:dyDescent="0.3">
      <c r="A295" s="40">
        <v>1</v>
      </c>
      <c r="B295" s="40" t="s">
        <v>232</v>
      </c>
      <c r="C295" s="40" t="s">
        <v>219</v>
      </c>
      <c r="D295" s="48">
        <f>(74.95)*10.764</f>
        <v>806.76179999999999</v>
      </c>
      <c r="E295" s="48">
        <v>0</v>
      </c>
      <c r="F295" s="40">
        <f t="shared" ref="F295:F300" si="38">D295*(($F$165)+1)+(IF(E295&lt;101,E295,IF(E295&lt;201,E295/2,IF(E295&lt;=301,E295/3,E295/4))))</f>
        <v>1250.4807900000001</v>
      </c>
      <c r="G295" s="151" t="str">
        <f>A294</f>
        <v>14th Floor</v>
      </c>
      <c r="H295" s="152"/>
      <c r="I295" s="34"/>
      <c r="L295" s="79"/>
      <c r="M295" s="79"/>
      <c r="N295" s="34"/>
    </row>
    <row r="296" spans="1:14" s="35" customFormat="1" x14ac:dyDescent="0.3">
      <c r="A296" s="40">
        <f t="shared" ref="A296:A300" si="39">A295+1</f>
        <v>2</v>
      </c>
      <c r="B296" s="40" t="s">
        <v>232</v>
      </c>
      <c r="C296" s="40" t="s">
        <v>219</v>
      </c>
      <c r="D296" s="48">
        <f>(74.95)*10.764</f>
        <v>806.76179999999999</v>
      </c>
      <c r="E296" s="48">
        <v>0</v>
      </c>
      <c r="F296" s="40">
        <f t="shared" si="38"/>
        <v>1250.4807900000001</v>
      </c>
      <c r="G296" s="153"/>
      <c r="H296" s="154"/>
      <c r="I296" s="34"/>
      <c r="L296" s="79"/>
      <c r="M296" s="79"/>
      <c r="N296" s="34"/>
    </row>
    <row r="297" spans="1:14" s="35" customFormat="1" x14ac:dyDescent="0.3">
      <c r="A297" s="40">
        <f t="shared" si="39"/>
        <v>3</v>
      </c>
      <c r="B297" s="40" t="s">
        <v>232</v>
      </c>
      <c r="C297" s="40" t="s">
        <v>217</v>
      </c>
      <c r="D297" s="48">
        <f>(41.52)*10.764</f>
        <v>446.92128000000002</v>
      </c>
      <c r="E297" s="48">
        <v>0</v>
      </c>
      <c r="F297" s="40">
        <f t="shared" si="38"/>
        <v>692.72798400000011</v>
      </c>
      <c r="G297" s="153"/>
      <c r="H297" s="154"/>
      <c r="I297" s="34"/>
      <c r="L297" s="79"/>
      <c r="M297" s="79"/>
      <c r="N297" s="34"/>
    </row>
    <row r="298" spans="1:14" s="35" customFormat="1" x14ac:dyDescent="0.3">
      <c r="A298" s="40">
        <f t="shared" si="39"/>
        <v>4</v>
      </c>
      <c r="B298" s="40" t="s">
        <v>232</v>
      </c>
      <c r="C298" s="40" t="s">
        <v>218</v>
      </c>
      <c r="D298" s="48">
        <f>(55.34)*10.764</f>
        <v>595.67975999999999</v>
      </c>
      <c r="E298" s="48">
        <v>0</v>
      </c>
      <c r="F298" s="40">
        <f t="shared" si="38"/>
        <v>923.303628</v>
      </c>
      <c r="G298" s="153"/>
      <c r="H298" s="154"/>
      <c r="I298" s="34"/>
      <c r="L298" s="79"/>
      <c r="M298" s="79"/>
      <c r="N298" s="34"/>
    </row>
    <row r="299" spans="1:14" s="35" customFormat="1" x14ac:dyDescent="0.3">
      <c r="A299" s="40">
        <f t="shared" si="39"/>
        <v>5</v>
      </c>
      <c r="B299" s="40" t="s">
        <v>232</v>
      </c>
      <c r="C299" s="40" t="s">
        <v>218</v>
      </c>
      <c r="D299" s="48">
        <f>(56.71)*10.764</f>
        <v>610.42643999999996</v>
      </c>
      <c r="E299" s="48">
        <v>0</v>
      </c>
      <c r="F299" s="40">
        <f t="shared" si="38"/>
        <v>946.16098199999999</v>
      </c>
      <c r="G299" s="153"/>
      <c r="H299" s="154"/>
      <c r="I299" s="34"/>
      <c r="L299" s="79"/>
      <c r="M299" s="79"/>
      <c r="N299" s="34"/>
    </row>
    <row r="300" spans="1:14" s="35" customFormat="1" x14ac:dyDescent="0.3">
      <c r="A300" s="40">
        <f t="shared" si="39"/>
        <v>6</v>
      </c>
      <c r="B300" s="40" t="s">
        <v>232</v>
      </c>
      <c r="C300" s="40" t="s">
        <v>217</v>
      </c>
      <c r="D300" s="48">
        <f>(39.45)*10.764</f>
        <v>424.63979999999998</v>
      </c>
      <c r="E300" s="48">
        <v>0</v>
      </c>
      <c r="F300" s="40">
        <f t="shared" si="38"/>
        <v>658.19168999999999</v>
      </c>
      <c r="G300" s="155"/>
      <c r="H300" s="156"/>
      <c r="I300" s="34"/>
      <c r="L300" s="79"/>
      <c r="M300" s="79"/>
      <c r="N300" s="34"/>
    </row>
    <row r="301" spans="1:14" s="35" customFormat="1" x14ac:dyDescent="0.3">
      <c r="A301" s="132" t="s">
        <v>228</v>
      </c>
      <c r="B301" s="133"/>
      <c r="C301" s="133"/>
      <c r="D301" s="133"/>
      <c r="E301" s="133"/>
      <c r="F301" s="133"/>
      <c r="G301" s="133"/>
      <c r="H301" s="134"/>
      <c r="J301" s="34"/>
    </row>
    <row r="302" spans="1:14" s="35" customFormat="1" ht="15.75" customHeight="1" x14ac:dyDescent="0.3">
      <c r="A302" s="40">
        <v>1</v>
      </c>
      <c r="B302" s="40" t="s">
        <v>232</v>
      </c>
      <c r="C302" s="40" t="s">
        <v>219</v>
      </c>
      <c r="D302" s="48">
        <f>(74.95)*10.764</f>
        <v>806.76179999999999</v>
      </c>
      <c r="E302" s="48">
        <v>0</v>
      </c>
      <c r="F302" s="40">
        <f>D302*(($F$165)+1)+(IF(E302&lt;101,E302,IF(E302&lt;201,E302/2,IF(E302&lt;=301,E302/3,E302/4))))</f>
        <v>1250.4807900000001</v>
      </c>
      <c r="G302" s="151" t="str">
        <f>A301</f>
        <v>15th Floor (Part Refuge Area)</v>
      </c>
      <c r="H302" s="152"/>
      <c r="I302" s="34"/>
      <c r="L302" s="79"/>
      <c r="M302" s="79"/>
      <c r="N302" s="34"/>
    </row>
    <row r="303" spans="1:14" s="35" customFormat="1" x14ac:dyDescent="0.3">
      <c r="A303" s="40">
        <f t="shared" ref="A303:A307" si="40">A302+1</f>
        <v>2</v>
      </c>
      <c r="B303" s="40" t="s">
        <v>232</v>
      </c>
      <c r="C303" s="40" t="s">
        <v>219</v>
      </c>
      <c r="D303" s="48">
        <f>(74.95)*10.764</f>
        <v>806.76179999999999</v>
      </c>
      <c r="E303" s="48">
        <v>0</v>
      </c>
      <c r="F303" s="40">
        <f>D303*(($F$165)+1)+(IF(E303&lt;101,E303,IF(E303&lt;201,E303/2,IF(E303&lt;=301,E303/3,E303/4))))</f>
        <v>1250.4807900000001</v>
      </c>
      <c r="G303" s="153"/>
      <c r="H303" s="154"/>
      <c r="I303" s="34"/>
      <c r="L303" s="79"/>
      <c r="M303" s="79"/>
      <c r="N303" s="34"/>
    </row>
    <row r="304" spans="1:14" s="35" customFormat="1" x14ac:dyDescent="0.3">
      <c r="A304" s="40">
        <f t="shared" si="40"/>
        <v>3</v>
      </c>
      <c r="B304" s="40" t="s">
        <v>232</v>
      </c>
      <c r="C304" s="40" t="s">
        <v>217</v>
      </c>
      <c r="D304" s="48">
        <f>(41.52)*10.764</f>
        <v>446.92128000000002</v>
      </c>
      <c r="E304" s="48">
        <v>0</v>
      </c>
      <c r="F304" s="40">
        <f>D304*(($F$165)+1)+(IF(E304&lt;101,E304,IF(E304&lt;201,E304/2,IF(E304&lt;=301,E304/3,E304/4))))</f>
        <v>692.72798400000011</v>
      </c>
      <c r="G304" s="153"/>
      <c r="H304" s="154"/>
      <c r="I304" s="34"/>
      <c r="L304" s="79"/>
      <c r="M304" s="79"/>
      <c r="N304" s="34"/>
    </row>
    <row r="305" spans="1:14" s="35" customFormat="1" x14ac:dyDescent="0.3">
      <c r="A305" s="40">
        <f t="shared" si="40"/>
        <v>4</v>
      </c>
      <c r="B305" s="125" t="s">
        <v>223</v>
      </c>
      <c r="C305" s="126"/>
      <c r="D305" s="126"/>
      <c r="E305" s="126"/>
      <c r="F305" s="127"/>
      <c r="G305" s="153"/>
      <c r="H305" s="154"/>
      <c r="I305" s="34"/>
      <c r="L305" s="79"/>
      <c r="M305" s="79"/>
      <c r="N305" s="34"/>
    </row>
    <row r="306" spans="1:14" s="35" customFormat="1" x14ac:dyDescent="0.3">
      <c r="A306" s="40">
        <f t="shared" si="40"/>
        <v>5</v>
      </c>
      <c r="B306" s="40" t="s">
        <v>232</v>
      </c>
      <c r="C306" s="40" t="s">
        <v>218</v>
      </c>
      <c r="D306" s="48">
        <f>(56.71)*10.764</f>
        <v>610.42643999999996</v>
      </c>
      <c r="E306" s="48">
        <v>0</v>
      </c>
      <c r="F306" s="40">
        <f>D306*(($F$165)+1)+(IF(E306&lt;101,E306,IF(E306&lt;201,E306/2,IF(E306&lt;=301,E306/3,E306/4))))</f>
        <v>946.16098199999999</v>
      </c>
      <c r="G306" s="153"/>
      <c r="H306" s="154"/>
      <c r="I306" s="34"/>
      <c r="L306" s="79"/>
      <c r="M306" s="79"/>
      <c r="N306" s="34"/>
    </row>
    <row r="307" spans="1:14" s="35" customFormat="1" x14ac:dyDescent="0.3">
      <c r="A307" s="40">
        <f t="shared" si="40"/>
        <v>6</v>
      </c>
      <c r="B307" s="40" t="s">
        <v>232</v>
      </c>
      <c r="C307" s="40" t="s">
        <v>217</v>
      </c>
      <c r="D307" s="48">
        <f>(39.45)*10.764</f>
        <v>424.63979999999998</v>
      </c>
      <c r="E307" s="48">
        <v>0</v>
      </c>
      <c r="F307" s="40">
        <f>D307*(($F$165)+1)+(IF(E307&lt;101,E307,IF(E307&lt;201,E307/2,IF(E307&lt;=301,E307/3,E307/4))))</f>
        <v>658.19168999999999</v>
      </c>
      <c r="G307" s="155"/>
      <c r="H307" s="156"/>
      <c r="I307" s="34"/>
      <c r="L307" s="79"/>
      <c r="M307" s="79"/>
      <c r="N307" s="34"/>
    </row>
    <row r="308" spans="1:14" s="35" customFormat="1" x14ac:dyDescent="0.3">
      <c r="A308" s="86" t="s">
        <v>229</v>
      </c>
      <c r="B308" s="86"/>
      <c r="C308" s="86"/>
      <c r="D308" s="86"/>
      <c r="E308" s="86"/>
      <c r="F308" s="86"/>
      <c r="G308" s="86"/>
      <c r="H308" s="86"/>
      <c r="J308" s="34"/>
    </row>
    <row r="309" spans="1:14" s="35" customFormat="1" ht="15.75" customHeight="1" x14ac:dyDescent="0.3">
      <c r="A309" s="40">
        <v>1</v>
      </c>
      <c r="B309" s="40" t="s">
        <v>232</v>
      </c>
      <c r="C309" s="40" t="s">
        <v>219</v>
      </c>
      <c r="D309" s="48">
        <f>(74.95)*10.764</f>
        <v>806.76179999999999</v>
      </c>
      <c r="E309" s="48">
        <v>0</v>
      </c>
      <c r="F309" s="40">
        <f t="shared" ref="F309:F314" si="41">D309*(($F$165)+1)+(IF(E309&lt;101,E309,IF(E309&lt;201,E309/2,IF(E309&lt;=301,E309/3,E309/4))))</f>
        <v>1250.4807900000001</v>
      </c>
      <c r="G309" s="173" t="str">
        <f>A308</f>
        <v>16th Floor</v>
      </c>
      <c r="H309" s="173"/>
      <c r="I309" s="34"/>
      <c r="L309" s="79"/>
      <c r="M309" s="79"/>
      <c r="N309" s="34"/>
    </row>
    <row r="310" spans="1:14" s="35" customFormat="1" x14ac:dyDescent="0.3">
      <c r="A310" s="40">
        <f t="shared" ref="A310:A314" si="42">A309+1</f>
        <v>2</v>
      </c>
      <c r="B310" s="40" t="s">
        <v>232</v>
      </c>
      <c r="C310" s="40" t="s">
        <v>219</v>
      </c>
      <c r="D310" s="48">
        <f>(74.95)*10.764</f>
        <v>806.76179999999999</v>
      </c>
      <c r="E310" s="48">
        <v>0</v>
      </c>
      <c r="F310" s="40">
        <f t="shared" si="41"/>
        <v>1250.4807900000001</v>
      </c>
      <c r="G310" s="173"/>
      <c r="H310" s="173"/>
      <c r="I310" s="34"/>
      <c r="L310" s="79"/>
      <c r="M310" s="79"/>
      <c r="N310" s="34"/>
    </row>
    <row r="311" spans="1:14" s="35" customFormat="1" x14ac:dyDescent="0.3">
      <c r="A311" s="40">
        <f t="shared" si="42"/>
        <v>3</v>
      </c>
      <c r="B311" s="40" t="s">
        <v>232</v>
      </c>
      <c r="C311" s="40" t="s">
        <v>217</v>
      </c>
      <c r="D311" s="48">
        <f>(43.66)*10.764</f>
        <v>469.95623999999992</v>
      </c>
      <c r="E311" s="48">
        <v>0</v>
      </c>
      <c r="F311" s="40">
        <f t="shared" si="41"/>
        <v>728.43217199999992</v>
      </c>
      <c r="G311" s="173"/>
      <c r="H311" s="173"/>
      <c r="I311" s="34"/>
      <c r="L311" s="79"/>
      <c r="M311" s="79"/>
      <c r="N311" s="34"/>
    </row>
    <row r="312" spans="1:14" s="35" customFormat="1" x14ac:dyDescent="0.3">
      <c r="A312" s="40">
        <f t="shared" si="42"/>
        <v>4</v>
      </c>
      <c r="B312" s="40" t="s">
        <v>232</v>
      </c>
      <c r="C312" s="40" t="s">
        <v>218</v>
      </c>
      <c r="D312" s="48">
        <f>(59.13)*10.764</f>
        <v>636.47532000000001</v>
      </c>
      <c r="E312" s="48">
        <v>0</v>
      </c>
      <c r="F312" s="40">
        <f t="shared" si="41"/>
        <v>986.53674599999999</v>
      </c>
      <c r="G312" s="173"/>
      <c r="H312" s="173"/>
      <c r="I312" s="34"/>
      <c r="L312" s="79"/>
      <c r="M312" s="79"/>
      <c r="N312" s="34"/>
    </row>
    <row r="313" spans="1:14" s="35" customFormat="1" x14ac:dyDescent="0.3">
      <c r="A313" s="40">
        <f t="shared" si="42"/>
        <v>5</v>
      </c>
      <c r="B313" s="40" t="s">
        <v>232</v>
      </c>
      <c r="C313" s="40" t="s">
        <v>218</v>
      </c>
      <c r="D313" s="48">
        <f>(56.71)*10.764</f>
        <v>610.42643999999996</v>
      </c>
      <c r="E313" s="48">
        <v>0</v>
      </c>
      <c r="F313" s="40">
        <f t="shared" si="41"/>
        <v>946.16098199999999</v>
      </c>
      <c r="G313" s="173"/>
      <c r="H313" s="173"/>
      <c r="I313" s="34"/>
      <c r="L313" s="79"/>
      <c r="M313" s="79"/>
      <c r="N313" s="34"/>
    </row>
    <row r="314" spans="1:14" s="35" customFormat="1" x14ac:dyDescent="0.3">
      <c r="A314" s="40">
        <f t="shared" si="42"/>
        <v>6</v>
      </c>
      <c r="B314" s="40" t="s">
        <v>232</v>
      </c>
      <c r="C314" s="40" t="s">
        <v>217</v>
      </c>
      <c r="D314" s="48">
        <f>(39.45)*10.764</f>
        <v>424.63979999999998</v>
      </c>
      <c r="E314" s="48">
        <v>0</v>
      </c>
      <c r="F314" s="40">
        <f t="shared" si="41"/>
        <v>658.19168999999999</v>
      </c>
      <c r="G314" s="173"/>
      <c r="H314" s="173"/>
      <c r="I314" s="34"/>
      <c r="L314" s="79"/>
      <c r="M314" s="79"/>
      <c r="N314" s="34"/>
    </row>
    <row r="315" spans="1:14" s="35" customFormat="1" x14ac:dyDescent="0.3">
      <c r="A315" s="86" t="s">
        <v>230</v>
      </c>
      <c r="B315" s="86"/>
      <c r="C315" s="86"/>
      <c r="D315" s="86"/>
      <c r="E315" s="86"/>
      <c r="F315" s="86"/>
      <c r="G315" s="86"/>
      <c r="H315" s="86"/>
      <c r="J315" s="34"/>
    </row>
    <row r="316" spans="1:14" s="35" customFormat="1" ht="15.75" customHeight="1" x14ac:dyDescent="0.3">
      <c r="A316" s="40">
        <v>1</v>
      </c>
      <c r="B316" s="40" t="s">
        <v>232</v>
      </c>
      <c r="C316" s="40" t="s">
        <v>219</v>
      </c>
      <c r="D316" s="48">
        <f>(74.95)*10.764</f>
        <v>806.76179999999999</v>
      </c>
      <c r="E316" s="48">
        <v>0</v>
      </c>
      <c r="F316" s="40">
        <f t="shared" ref="F316:F321" si="43">D316*(($F$165)+1)+(IF(E316&lt;101,E316,IF(E316&lt;201,E316/2,IF(E316&lt;=301,E316/3,E316/4))))</f>
        <v>1250.4807900000001</v>
      </c>
      <c r="G316" s="173" t="str">
        <f>A315</f>
        <v>17th Floor</v>
      </c>
      <c r="H316" s="173"/>
      <c r="I316" s="34"/>
      <c r="L316" s="79"/>
      <c r="M316" s="79"/>
      <c r="N316" s="34"/>
    </row>
    <row r="317" spans="1:14" s="35" customFormat="1" x14ac:dyDescent="0.3">
      <c r="A317" s="40">
        <f t="shared" ref="A317:A321" si="44">A316+1</f>
        <v>2</v>
      </c>
      <c r="B317" s="40" t="s">
        <v>232</v>
      </c>
      <c r="C317" s="40" t="s">
        <v>219</v>
      </c>
      <c r="D317" s="48">
        <f>(74.95)*10.764</f>
        <v>806.76179999999999</v>
      </c>
      <c r="E317" s="48">
        <v>0</v>
      </c>
      <c r="F317" s="40">
        <f t="shared" si="43"/>
        <v>1250.4807900000001</v>
      </c>
      <c r="G317" s="173"/>
      <c r="H317" s="173"/>
      <c r="I317" s="34"/>
      <c r="L317" s="79"/>
      <c r="M317" s="79"/>
      <c r="N317" s="34"/>
    </row>
    <row r="318" spans="1:14" s="35" customFormat="1" x14ac:dyDescent="0.3">
      <c r="A318" s="40">
        <f t="shared" si="44"/>
        <v>3</v>
      </c>
      <c r="B318" s="40" t="s">
        <v>232</v>
      </c>
      <c r="C318" s="40" t="s">
        <v>217</v>
      </c>
      <c r="D318" s="48">
        <f>(43.66)*10.764</f>
        <v>469.95623999999992</v>
      </c>
      <c r="E318" s="48">
        <v>0</v>
      </c>
      <c r="F318" s="40">
        <f t="shared" si="43"/>
        <v>728.43217199999992</v>
      </c>
      <c r="G318" s="173"/>
      <c r="H318" s="173"/>
      <c r="I318" s="34"/>
      <c r="L318" s="79"/>
      <c r="M318" s="79"/>
      <c r="N318" s="34"/>
    </row>
    <row r="319" spans="1:14" s="35" customFormat="1" x14ac:dyDescent="0.3">
      <c r="A319" s="40">
        <f t="shared" si="44"/>
        <v>4</v>
      </c>
      <c r="B319" s="40" t="s">
        <v>232</v>
      </c>
      <c r="C319" s="40" t="s">
        <v>218</v>
      </c>
      <c r="D319" s="48">
        <f>(59.13)*10.764</f>
        <v>636.47532000000001</v>
      </c>
      <c r="E319" s="48">
        <v>0</v>
      </c>
      <c r="F319" s="40">
        <f t="shared" si="43"/>
        <v>986.53674599999999</v>
      </c>
      <c r="G319" s="173"/>
      <c r="H319" s="173"/>
      <c r="I319" s="34"/>
      <c r="L319" s="79"/>
      <c r="M319" s="79"/>
      <c r="N319" s="34"/>
    </row>
    <row r="320" spans="1:14" s="35" customFormat="1" x14ac:dyDescent="0.3">
      <c r="A320" s="40">
        <f t="shared" si="44"/>
        <v>5</v>
      </c>
      <c r="B320" s="40" t="s">
        <v>232</v>
      </c>
      <c r="C320" s="40" t="s">
        <v>218</v>
      </c>
      <c r="D320" s="48">
        <f>(56.71)*10.764</f>
        <v>610.42643999999996</v>
      </c>
      <c r="E320" s="48">
        <v>0</v>
      </c>
      <c r="F320" s="40">
        <f t="shared" si="43"/>
        <v>946.16098199999999</v>
      </c>
      <c r="G320" s="173"/>
      <c r="H320" s="173"/>
      <c r="I320" s="34"/>
      <c r="L320" s="79"/>
      <c r="M320" s="79"/>
      <c r="N320" s="34"/>
    </row>
    <row r="321" spans="1:14" s="35" customFormat="1" x14ac:dyDescent="0.3">
      <c r="A321" s="40">
        <f t="shared" si="44"/>
        <v>6</v>
      </c>
      <c r="B321" s="40" t="s">
        <v>232</v>
      </c>
      <c r="C321" s="40" t="s">
        <v>217</v>
      </c>
      <c r="D321" s="48">
        <f>(39.45)*10.764</f>
        <v>424.63979999999998</v>
      </c>
      <c r="E321" s="48">
        <v>0</v>
      </c>
      <c r="F321" s="40">
        <f t="shared" si="43"/>
        <v>658.19168999999999</v>
      </c>
      <c r="G321" s="173"/>
      <c r="H321" s="173"/>
      <c r="I321" s="34"/>
      <c r="L321" s="79"/>
      <c r="M321" s="79"/>
      <c r="N321" s="34"/>
    </row>
    <row r="322" spans="1:14" s="35" customFormat="1" x14ac:dyDescent="0.3">
      <c r="A322" s="132" t="s">
        <v>231</v>
      </c>
      <c r="B322" s="133"/>
      <c r="C322" s="133"/>
      <c r="D322" s="133"/>
      <c r="E322" s="133"/>
      <c r="F322" s="133"/>
      <c r="G322" s="133"/>
      <c r="H322" s="134"/>
      <c r="J322" s="34"/>
    </row>
    <row r="323" spans="1:14" s="35" customFormat="1" ht="15.75" customHeight="1" x14ac:dyDescent="0.3">
      <c r="A323" s="40">
        <v>1</v>
      </c>
      <c r="B323" s="40" t="s">
        <v>232</v>
      </c>
      <c r="C323" s="40" t="s">
        <v>219</v>
      </c>
      <c r="D323" s="48">
        <f>(74.95)*10.764</f>
        <v>806.76179999999999</v>
      </c>
      <c r="E323" s="48">
        <v>0</v>
      </c>
      <c r="F323" s="40">
        <f t="shared" ref="F323:F328" si="45">D323*(($F$165)+1)+(IF(E323&lt;101,E323,IF(E323&lt;201,E323/2,IF(E323&lt;=301,E323/3,E323/4))))</f>
        <v>1250.4807900000001</v>
      </c>
      <c r="G323" s="151" t="str">
        <f>A322</f>
        <v>18th to 22nd Floor</v>
      </c>
      <c r="H323" s="152"/>
      <c r="I323" s="34"/>
      <c r="L323" s="79"/>
      <c r="M323" s="79"/>
      <c r="N323" s="34"/>
    </row>
    <row r="324" spans="1:14" s="35" customFormat="1" x14ac:dyDescent="0.3">
      <c r="A324" s="40">
        <f t="shared" ref="A324:A328" si="46">A323+1</f>
        <v>2</v>
      </c>
      <c r="B324" s="40" t="s">
        <v>232</v>
      </c>
      <c r="C324" s="40" t="s">
        <v>219</v>
      </c>
      <c r="D324" s="48">
        <f>(74.95)*10.764</f>
        <v>806.76179999999999</v>
      </c>
      <c r="E324" s="48">
        <v>0</v>
      </c>
      <c r="F324" s="40">
        <f t="shared" si="45"/>
        <v>1250.4807900000001</v>
      </c>
      <c r="G324" s="153"/>
      <c r="H324" s="154"/>
      <c r="I324" s="34"/>
      <c r="L324" s="79"/>
      <c r="M324" s="79"/>
      <c r="N324" s="34"/>
    </row>
    <row r="325" spans="1:14" s="35" customFormat="1" x14ac:dyDescent="0.3">
      <c r="A325" s="40">
        <f t="shared" si="46"/>
        <v>3</v>
      </c>
      <c r="B325" s="40" t="s">
        <v>232</v>
      </c>
      <c r="C325" s="40" t="s">
        <v>217</v>
      </c>
      <c r="D325" s="48">
        <f>(43.66)*10.764</f>
        <v>469.95623999999992</v>
      </c>
      <c r="E325" s="48">
        <v>0</v>
      </c>
      <c r="F325" s="40">
        <f t="shared" si="45"/>
        <v>728.43217199999992</v>
      </c>
      <c r="G325" s="153"/>
      <c r="H325" s="154"/>
      <c r="I325" s="34"/>
      <c r="L325" s="79"/>
      <c r="M325" s="79"/>
      <c r="N325" s="34"/>
    </row>
    <row r="326" spans="1:14" s="35" customFormat="1" x14ac:dyDescent="0.3">
      <c r="A326" s="40">
        <f t="shared" si="46"/>
        <v>4</v>
      </c>
      <c r="B326" s="40" t="s">
        <v>232</v>
      </c>
      <c r="C326" s="40" t="s">
        <v>218</v>
      </c>
      <c r="D326" s="48">
        <f>(59.13)*10.764</f>
        <v>636.47532000000001</v>
      </c>
      <c r="E326" s="48">
        <v>0</v>
      </c>
      <c r="F326" s="40">
        <f t="shared" si="45"/>
        <v>986.53674599999999</v>
      </c>
      <c r="G326" s="153"/>
      <c r="H326" s="154"/>
      <c r="I326" s="34"/>
      <c r="L326" s="79"/>
      <c r="M326" s="79"/>
      <c r="N326" s="34"/>
    </row>
    <row r="327" spans="1:14" s="35" customFormat="1" x14ac:dyDescent="0.3">
      <c r="A327" s="40">
        <f t="shared" si="46"/>
        <v>5</v>
      </c>
      <c r="B327" s="40" t="s">
        <v>232</v>
      </c>
      <c r="C327" s="40" t="s">
        <v>218</v>
      </c>
      <c r="D327" s="48">
        <f>(56.71)*10.764</f>
        <v>610.42643999999996</v>
      </c>
      <c r="E327" s="48">
        <v>0</v>
      </c>
      <c r="F327" s="40">
        <f t="shared" si="45"/>
        <v>946.16098199999999</v>
      </c>
      <c r="G327" s="153"/>
      <c r="H327" s="154"/>
      <c r="I327" s="34"/>
      <c r="L327" s="79"/>
      <c r="M327" s="79"/>
      <c r="N327" s="34"/>
    </row>
    <row r="328" spans="1:14" s="35" customFormat="1" x14ac:dyDescent="0.3">
      <c r="A328" s="40">
        <f t="shared" si="46"/>
        <v>6</v>
      </c>
      <c r="B328" s="40" t="s">
        <v>232</v>
      </c>
      <c r="C328" s="40" t="s">
        <v>217</v>
      </c>
      <c r="D328" s="48">
        <f>(39.45)*10.764</f>
        <v>424.63979999999998</v>
      </c>
      <c r="E328" s="48">
        <v>0</v>
      </c>
      <c r="F328" s="40">
        <f t="shared" si="45"/>
        <v>658.19168999999999</v>
      </c>
      <c r="G328" s="155"/>
      <c r="H328" s="156"/>
      <c r="I328" s="34"/>
      <c r="L328" s="79"/>
      <c r="M328" s="79"/>
      <c r="N328" s="34"/>
    </row>
    <row r="329" spans="1:14" s="33" customFormat="1" x14ac:dyDescent="0.3">
      <c r="A329" s="157" t="s">
        <v>68</v>
      </c>
      <c r="B329" s="157"/>
      <c r="C329" s="157"/>
      <c r="D329" s="157"/>
      <c r="E329" s="157"/>
      <c r="F329" s="157"/>
      <c r="G329" s="157"/>
      <c r="H329" s="157"/>
    </row>
    <row r="330" spans="1:14" s="55" customFormat="1" ht="31.5" customHeight="1" x14ac:dyDescent="0.3">
      <c r="A330" s="54" t="s">
        <v>153</v>
      </c>
      <c r="B330" s="135" t="s">
        <v>260</v>
      </c>
      <c r="C330" s="136"/>
      <c r="D330" s="136"/>
      <c r="E330" s="136"/>
      <c r="F330" s="136"/>
      <c r="G330" s="136"/>
      <c r="H330" s="137"/>
    </row>
    <row r="331" spans="1:14" s="33" customFormat="1" x14ac:dyDescent="0.3">
      <c r="A331" s="43" t="s">
        <v>153</v>
      </c>
      <c r="B331" s="135" t="str">
        <f>(IF(F164="Saleable area Loading :","We have considered Saleable area of Flats as per our Calculation.","We considered Saleable area of Flat as per Builder area Sheet."))</f>
        <v>We have considered Saleable area of Flats as per our Calculation.</v>
      </c>
      <c r="C331" s="136"/>
      <c r="D331" s="136"/>
      <c r="E331" s="136"/>
      <c r="F331" s="136"/>
      <c r="G331" s="136"/>
      <c r="H331" s="137"/>
    </row>
    <row r="332" spans="1:14" s="33" customFormat="1" x14ac:dyDescent="0.3">
      <c r="A332" s="43" t="s">
        <v>153</v>
      </c>
      <c r="B332" s="135" t="str">
        <f>(IF(F142="Saleable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32" s="136"/>
      <c r="D332" s="136"/>
      <c r="E332" s="136"/>
      <c r="F332" s="136"/>
      <c r="G332" s="136"/>
      <c r="H332" s="137"/>
    </row>
    <row r="333" spans="1:14" s="33" customFormat="1" x14ac:dyDescent="0.3">
      <c r="A333" s="43" t="s">
        <v>153</v>
      </c>
      <c r="B333" s="76" t="s">
        <v>123</v>
      </c>
      <c r="C333" s="77"/>
      <c r="D333" s="77"/>
      <c r="E333" s="77"/>
      <c r="F333" s="77"/>
      <c r="G333" s="77"/>
      <c r="H333" s="78"/>
    </row>
    <row r="334" spans="1:14" s="33" customFormat="1" x14ac:dyDescent="0.3">
      <c r="A334" s="43" t="s">
        <v>153</v>
      </c>
      <c r="B334" s="135" t="s">
        <v>194</v>
      </c>
      <c r="C334" s="136"/>
      <c r="D334" s="136"/>
      <c r="E334" s="136"/>
      <c r="F334" s="136"/>
      <c r="G334" s="136"/>
      <c r="H334" s="137"/>
    </row>
    <row r="335" spans="1:14" s="33" customFormat="1" x14ac:dyDescent="0.3">
      <c r="A335" s="43" t="s">
        <v>153</v>
      </c>
      <c r="B335" s="76" t="s">
        <v>152</v>
      </c>
      <c r="C335" s="77"/>
      <c r="D335" s="77"/>
      <c r="E335" s="77"/>
      <c r="F335" s="77"/>
      <c r="G335" s="77"/>
      <c r="H335" s="78"/>
    </row>
    <row r="336" spans="1:14" s="33" customFormat="1" x14ac:dyDescent="0.3">
      <c r="A336" s="43" t="s">
        <v>153</v>
      </c>
      <c r="B336" s="76" t="s">
        <v>124</v>
      </c>
      <c r="C336" s="77"/>
      <c r="D336" s="77"/>
      <c r="E336" s="77"/>
      <c r="F336" s="77"/>
      <c r="G336" s="77"/>
      <c r="H336" s="78"/>
    </row>
    <row r="337" spans="1:8" s="33" customFormat="1" ht="34.5" customHeight="1" x14ac:dyDescent="0.3">
      <c r="A337" s="43" t="s">
        <v>153</v>
      </c>
      <c r="B337" s="76" t="s">
        <v>154</v>
      </c>
      <c r="C337" s="77"/>
      <c r="D337" s="77"/>
      <c r="E337" s="77"/>
      <c r="F337" s="77"/>
      <c r="G337" s="77"/>
      <c r="H337" s="78"/>
    </row>
    <row r="338" spans="1:8" s="33" customFormat="1" x14ac:dyDescent="0.3">
      <c r="A338" s="43" t="s">
        <v>153</v>
      </c>
      <c r="B338" s="76" t="s">
        <v>125</v>
      </c>
      <c r="C338" s="77"/>
      <c r="D338" s="77"/>
      <c r="E338" s="77"/>
      <c r="F338" s="77"/>
      <c r="G338" s="77"/>
      <c r="H338" s="78"/>
    </row>
    <row r="339" spans="1:8" s="33" customFormat="1" x14ac:dyDescent="0.3">
      <c r="A339" s="43" t="s">
        <v>153</v>
      </c>
      <c r="B339" s="76" t="s">
        <v>256</v>
      </c>
      <c r="C339" s="77"/>
      <c r="D339" s="77"/>
      <c r="E339" s="77"/>
      <c r="F339" s="77"/>
      <c r="G339" s="77"/>
      <c r="H339" s="78"/>
    </row>
    <row r="340" spans="1:8" s="33" customFormat="1" x14ac:dyDescent="0.3">
      <c r="A340" s="43" t="s">
        <v>153</v>
      </c>
      <c r="B340" s="76" t="s">
        <v>235</v>
      </c>
      <c r="C340" s="77"/>
      <c r="D340" s="77"/>
      <c r="E340" s="77"/>
      <c r="F340" s="77"/>
      <c r="G340" s="77"/>
      <c r="H340" s="78"/>
    </row>
    <row r="341" spans="1:8" s="33" customFormat="1" x14ac:dyDescent="0.3">
      <c r="A341" s="43" t="s">
        <v>153</v>
      </c>
      <c r="B341" s="76" t="s">
        <v>206</v>
      </c>
      <c r="C341" s="77"/>
      <c r="D341" s="77"/>
      <c r="E341" s="77"/>
      <c r="F341" s="77"/>
      <c r="G341" s="77"/>
      <c r="H341" s="78"/>
    </row>
    <row r="342" spans="1:8" s="33" customFormat="1" ht="32.25" customHeight="1" x14ac:dyDescent="0.3">
      <c r="A342" s="43" t="s">
        <v>153</v>
      </c>
      <c r="B342" s="66" t="s">
        <v>233</v>
      </c>
      <c r="C342" s="66"/>
      <c r="D342" s="66"/>
      <c r="E342" s="66"/>
      <c r="F342" s="66"/>
      <c r="G342" s="66"/>
      <c r="H342" s="66"/>
    </row>
    <row r="343" spans="1:8" s="33" customFormat="1" x14ac:dyDescent="0.3">
      <c r="A343" s="43" t="s">
        <v>153</v>
      </c>
      <c r="B343" s="66" t="s">
        <v>252</v>
      </c>
      <c r="C343" s="66"/>
      <c r="D343" s="66"/>
      <c r="E343" s="66"/>
      <c r="F343" s="66"/>
      <c r="G343" s="66"/>
      <c r="H343" s="66"/>
    </row>
    <row r="344" spans="1:8" s="33" customFormat="1" ht="31.5" customHeight="1" x14ac:dyDescent="0.3">
      <c r="A344" s="43" t="s">
        <v>153</v>
      </c>
      <c r="B344" s="66" t="s">
        <v>264</v>
      </c>
      <c r="C344" s="66"/>
      <c r="D344" s="66"/>
      <c r="E344" s="66"/>
      <c r="F344" s="66"/>
      <c r="G344" s="66"/>
      <c r="H344" s="66"/>
    </row>
    <row r="345" spans="1:8" x14ac:dyDescent="0.3">
      <c r="A345" s="124" t="s">
        <v>61</v>
      </c>
      <c r="B345" s="124"/>
      <c r="C345" s="124"/>
      <c r="D345" s="124"/>
      <c r="E345" s="124"/>
      <c r="F345" s="124"/>
      <c r="G345" s="124"/>
      <c r="H345" s="124"/>
    </row>
    <row r="346" spans="1:8" x14ac:dyDescent="0.3">
      <c r="A346" s="85" t="s">
        <v>62</v>
      </c>
      <c r="B346" s="85"/>
      <c r="C346" s="85"/>
      <c r="D346" s="85"/>
      <c r="E346" s="85"/>
      <c r="F346" s="85"/>
      <c r="G346" s="85"/>
      <c r="H346" s="85"/>
    </row>
    <row r="347" spans="1:8" ht="15.75" customHeight="1" x14ac:dyDescent="0.3">
      <c r="A347" s="166" t="s">
        <v>63</v>
      </c>
      <c r="B347" s="166"/>
      <c r="C347" s="166"/>
      <c r="D347" s="166"/>
      <c r="E347" s="166"/>
      <c r="F347" s="166"/>
      <c r="G347" s="166"/>
      <c r="H347" s="166"/>
    </row>
    <row r="348" spans="1:8" x14ac:dyDescent="0.3">
      <c r="A348" s="85" t="s">
        <v>64</v>
      </c>
      <c r="B348" s="85"/>
      <c r="C348" s="85"/>
      <c r="D348" s="85"/>
      <c r="E348" s="85"/>
      <c r="F348" s="85"/>
      <c r="G348" s="85"/>
      <c r="H348" s="85"/>
    </row>
    <row r="349" spans="1:8" x14ac:dyDescent="0.3">
      <c r="A349" s="85" t="s">
        <v>65</v>
      </c>
      <c r="B349" s="85"/>
      <c r="C349" s="85"/>
      <c r="D349" s="85"/>
      <c r="E349" s="85"/>
      <c r="F349" s="85"/>
      <c r="G349" s="85"/>
      <c r="H349" s="85"/>
    </row>
    <row r="350" spans="1:8" x14ac:dyDescent="0.3">
      <c r="A350" s="85" t="s">
        <v>126</v>
      </c>
      <c r="B350" s="85"/>
      <c r="C350" s="85"/>
      <c r="D350" s="85"/>
      <c r="E350" s="85"/>
      <c r="F350" s="85"/>
      <c r="G350" s="85"/>
      <c r="H350" s="85"/>
    </row>
    <row r="351" spans="1:8" x14ac:dyDescent="0.3">
      <c r="A351" s="100" t="s">
        <v>127</v>
      </c>
      <c r="B351" s="100"/>
      <c r="C351" s="100"/>
      <c r="D351" s="100"/>
      <c r="E351" s="100"/>
      <c r="F351" s="100"/>
      <c r="G351" s="100"/>
      <c r="H351" s="100"/>
    </row>
    <row r="352" spans="1:8" x14ac:dyDescent="0.3">
      <c r="A352" s="122" t="s">
        <v>76</v>
      </c>
      <c r="B352" s="122"/>
      <c r="C352" s="122" t="s">
        <v>266</v>
      </c>
      <c r="D352" s="122"/>
      <c r="E352" s="122" t="s">
        <v>106</v>
      </c>
      <c r="F352" s="122"/>
      <c r="G352" s="122" t="s">
        <v>265</v>
      </c>
      <c r="H352" s="122"/>
    </row>
    <row r="353" spans="1:8" x14ac:dyDescent="0.3">
      <c r="A353" s="121" t="s">
        <v>78</v>
      </c>
      <c r="B353" s="121"/>
      <c r="C353" s="121"/>
      <c r="D353" s="121"/>
      <c r="E353" s="121"/>
      <c r="F353" s="121"/>
      <c r="G353" s="121"/>
      <c r="H353" s="121"/>
    </row>
    <row r="354" spans="1:8" x14ac:dyDescent="0.3">
      <c r="A354" s="121"/>
      <c r="B354" s="121"/>
      <c r="C354" s="121"/>
      <c r="D354" s="121"/>
      <c r="E354" s="121"/>
      <c r="F354" s="121"/>
      <c r="G354" s="121"/>
      <c r="H354" s="121"/>
    </row>
    <row r="355" spans="1:8" x14ac:dyDescent="0.3">
      <c r="A355" s="121"/>
      <c r="B355" s="121"/>
      <c r="C355" s="121"/>
      <c r="D355" s="121"/>
      <c r="E355" s="121"/>
      <c r="F355" s="121"/>
      <c r="G355" s="121"/>
      <c r="H355" s="121"/>
    </row>
    <row r="356" spans="1:8" x14ac:dyDescent="0.3">
      <c r="A356" s="121"/>
      <c r="B356" s="121"/>
      <c r="C356" s="121"/>
      <c r="D356" s="121"/>
      <c r="E356" s="121"/>
      <c r="F356" s="121"/>
      <c r="G356" s="121"/>
      <c r="H356" s="121"/>
    </row>
    <row r="357" spans="1:8" x14ac:dyDescent="0.3">
      <c r="A357" s="36" t="s">
        <v>66</v>
      </c>
      <c r="B357" s="37"/>
      <c r="C357" s="37"/>
      <c r="D357" s="36" t="str">
        <f>E8</f>
        <v>Akshaya and Jayshree Redevelopment</v>
      </c>
      <c r="F357" s="37"/>
      <c r="G357" s="37"/>
      <c r="H357" s="37"/>
    </row>
    <row r="358" spans="1:8" x14ac:dyDescent="0.3">
      <c r="A358" s="37"/>
      <c r="B358" s="37"/>
      <c r="C358" s="37"/>
      <c r="D358" s="37"/>
      <c r="E358" s="37"/>
      <c r="F358" s="37"/>
      <c r="G358" s="37"/>
      <c r="H358" s="37"/>
    </row>
    <row r="359" spans="1:8" x14ac:dyDescent="0.3">
      <c r="A359" s="37"/>
      <c r="B359" s="37"/>
      <c r="C359" s="37"/>
      <c r="D359" s="37"/>
      <c r="E359" s="37"/>
      <c r="F359" s="37"/>
      <c r="G359" s="37"/>
      <c r="H359" s="37"/>
    </row>
    <row r="360" spans="1:8" ht="15" customHeight="1" x14ac:dyDescent="0.3"/>
    <row r="399" spans="1:1" x14ac:dyDescent="0.3">
      <c r="A399" s="39" t="s">
        <v>168</v>
      </c>
    </row>
    <row r="438" spans="1:1" hidden="1" x14ac:dyDescent="0.3"/>
    <row r="439" spans="1:1" hidden="1" x14ac:dyDescent="0.3"/>
    <row r="440" spans="1:1" hidden="1" x14ac:dyDescent="0.3"/>
    <row r="441" spans="1:1" hidden="1" x14ac:dyDescent="0.3"/>
    <row r="442" spans="1:1" hidden="1" x14ac:dyDescent="0.3"/>
    <row r="443" spans="1:1" x14ac:dyDescent="0.3">
      <c r="A443" s="39" t="s">
        <v>67</v>
      </c>
    </row>
  </sheetData>
  <mergeCells count="530">
    <mergeCell ref="B343:H343"/>
    <mergeCell ref="A139:B139"/>
    <mergeCell ref="C139:D139"/>
    <mergeCell ref="E139:F139"/>
    <mergeCell ref="G139:H139"/>
    <mergeCell ref="L313:M313"/>
    <mergeCell ref="L314:M314"/>
    <mergeCell ref="A322:H322"/>
    <mergeCell ref="G323:H328"/>
    <mergeCell ref="L323:M323"/>
    <mergeCell ref="L324:M324"/>
    <mergeCell ref="L325:M325"/>
    <mergeCell ref="L326:M326"/>
    <mergeCell ref="L327:M327"/>
    <mergeCell ref="L328:M328"/>
    <mergeCell ref="B340:H340"/>
    <mergeCell ref="B341:H341"/>
    <mergeCell ref="L235:M235"/>
    <mergeCell ref="L236:M236"/>
    <mergeCell ref="A315:H315"/>
    <mergeCell ref="G316:H321"/>
    <mergeCell ref="L316:M316"/>
    <mergeCell ref="L317:M317"/>
    <mergeCell ref="L320:M320"/>
    <mergeCell ref="L321:M321"/>
    <mergeCell ref="A241:H241"/>
    <mergeCell ref="G242:H247"/>
    <mergeCell ref="L242:M242"/>
    <mergeCell ref="L243:M243"/>
    <mergeCell ref="L244:M244"/>
    <mergeCell ref="L245:M245"/>
    <mergeCell ref="L246:M246"/>
    <mergeCell ref="L247:M247"/>
    <mergeCell ref="A308:H308"/>
    <mergeCell ref="G309:H314"/>
    <mergeCell ref="L309:M309"/>
    <mergeCell ref="L310:M310"/>
    <mergeCell ref="L311:M311"/>
    <mergeCell ref="L312:M312"/>
    <mergeCell ref="G302:H307"/>
    <mergeCell ref="L302:M302"/>
    <mergeCell ref="L303:M303"/>
    <mergeCell ref="L304:M304"/>
    <mergeCell ref="A301:H301"/>
    <mergeCell ref="A294:H294"/>
    <mergeCell ref="G295:H300"/>
    <mergeCell ref="L296:M296"/>
    <mergeCell ref="L297:M297"/>
    <mergeCell ref="L298:M298"/>
    <mergeCell ref="L299:M299"/>
    <mergeCell ref="L300:M300"/>
    <mergeCell ref="B305:F305"/>
    <mergeCell ref="L305:M305"/>
    <mergeCell ref="L306:M306"/>
    <mergeCell ref="L319:M319"/>
    <mergeCell ref="L307:M307"/>
    <mergeCell ref="L318:M318"/>
    <mergeCell ref="L291:M291"/>
    <mergeCell ref="L292:M292"/>
    <mergeCell ref="L293:M293"/>
    <mergeCell ref="A280:H280"/>
    <mergeCell ref="G274:H279"/>
    <mergeCell ref="L274:M274"/>
    <mergeCell ref="L275:M275"/>
    <mergeCell ref="L276:M276"/>
    <mergeCell ref="L277:M277"/>
    <mergeCell ref="L278:M278"/>
    <mergeCell ref="L279:M279"/>
    <mergeCell ref="G281:H286"/>
    <mergeCell ref="L281:M281"/>
    <mergeCell ref="L282:M282"/>
    <mergeCell ref="L283:M283"/>
    <mergeCell ref="L284:M284"/>
    <mergeCell ref="L285:M285"/>
    <mergeCell ref="L286:M286"/>
    <mergeCell ref="A287:H287"/>
    <mergeCell ref="G288:H293"/>
    <mergeCell ref="L288:M288"/>
    <mergeCell ref="L289:M289"/>
    <mergeCell ref="A234:H234"/>
    <mergeCell ref="G235:H240"/>
    <mergeCell ref="L295:M295"/>
    <mergeCell ref="A206:H206"/>
    <mergeCell ref="G207:H212"/>
    <mergeCell ref="L207:M207"/>
    <mergeCell ref="L208:M208"/>
    <mergeCell ref="L209:M209"/>
    <mergeCell ref="L210:M210"/>
    <mergeCell ref="L211:M211"/>
    <mergeCell ref="L212:M212"/>
    <mergeCell ref="L290:M290"/>
    <mergeCell ref="A220:H220"/>
    <mergeCell ref="G221:H226"/>
    <mergeCell ref="L221:M221"/>
    <mergeCell ref="L222:M222"/>
    <mergeCell ref="B223:F224"/>
    <mergeCell ref="L223:M223"/>
    <mergeCell ref="L224:M224"/>
    <mergeCell ref="L225:M225"/>
    <mergeCell ref="L226:M226"/>
    <mergeCell ref="A227:H227"/>
    <mergeCell ref="G228:H233"/>
    <mergeCell ref="L228:M228"/>
    <mergeCell ref="A273:H273"/>
    <mergeCell ref="G260:H265"/>
    <mergeCell ref="L260:M260"/>
    <mergeCell ref="L261:M261"/>
    <mergeCell ref="L262:M262"/>
    <mergeCell ref="L263:M263"/>
    <mergeCell ref="L264:M264"/>
    <mergeCell ref="L265:M265"/>
    <mergeCell ref="L237:M237"/>
    <mergeCell ref="L238:M238"/>
    <mergeCell ref="L239:M239"/>
    <mergeCell ref="L240:M240"/>
    <mergeCell ref="A213:H213"/>
    <mergeCell ref="G214:H219"/>
    <mergeCell ref="L214:M214"/>
    <mergeCell ref="L215:M215"/>
    <mergeCell ref="L216:M216"/>
    <mergeCell ref="L217:M217"/>
    <mergeCell ref="L218:M218"/>
    <mergeCell ref="L219:M219"/>
    <mergeCell ref="L233:M233"/>
    <mergeCell ref="L232:M232"/>
    <mergeCell ref="L231:M231"/>
    <mergeCell ref="L229:M229"/>
    <mergeCell ref="L230:M230"/>
    <mergeCell ref="A199:H199"/>
    <mergeCell ref="G200:H205"/>
    <mergeCell ref="L200:M200"/>
    <mergeCell ref="L201:M201"/>
    <mergeCell ref="L202:M202"/>
    <mergeCell ref="L203:M203"/>
    <mergeCell ref="L204:M204"/>
    <mergeCell ref="L205:M205"/>
    <mergeCell ref="G267:H272"/>
    <mergeCell ref="L267:M267"/>
    <mergeCell ref="L268:M268"/>
    <mergeCell ref="L269:M269"/>
    <mergeCell ref="L270:M270"/>
    <mergeCell ref="L271:M271"/>
    <mergeCell ref="L272:M272"/>
    <mergeCell ref="B270:F270"/>
    <mergeCell ref="A266:H266"/>
    <mergeCell ref="L253:M253"/>
    <mergeCell ref="L254:M254"/>
    <mergeCell ref="L255:M255"/>
    <mergeCell ref="L256:M256"/>
    <mergeCell ref="L257:M257"/>
    <mergeCell ref="L258:M258"/>
    <mergeCell ref="A259:H259"/>
    <mergeCell ref="A192:H192"/>
    <mergeCell ref="G193:H198"/>
    <mergeCell ref="L193:M193"/>
    <mergeCell ref="L194:M194"/>
    <mergeCell ref="L195:M195"/>
    <mergeCell ref="L196:M196"/>
    <mergeCell ref="L197:M197"/>
    <mergeCell ref="L198:M198"/>
    <mergeCell ref="G186:H191"/>
    <mergeCell ref="L186:M186"/>
    <mergeCell ref="L187:M187"/>
    <mergeCell ref="L188:M188"/>
    <mergeCell ref="L189:M189"/>
    <mergeCell ref="L190:M190"/>
    <mergeCell ref="L191:M191"/>
    <mergeCell ref="B188:F189"/>
    <mergeCell ref="L183:M183"/>
    <mergeCell ref="L184:M184"/>
    <mergeCell ref="G179:H184"/>
    <mergeCell ref="A171:H171"/>
    <mergeCell ref="G172:H177"/>
    <mergeCell ref="L172:M172"/>
    <mergeCell ref="L173:M173"/>
    <mergeCell ref="L174:M174"/>
    <mergeCell ref="L175:M175"/>
    <mergeCell ref="L176:M176"/>
    <mergeCell ref="L177:M177"/>
    <mergeCell ref="L182:M182"/>
    <mergeCell ref="L179:M179"/>
    <mergeCell ref="L180:M180"/>
    <mergeCell ref="L181:M181"/>
    <mergeCell ref="A86:B86"/>
    <mergeCell ref="A87:B87"/>
    <mergeCell ref="C87:H87"/>
    <mergeCell ref="A89:B89"/>
    <mergeCell ref="C89:H89"/>
    <mergeCell ref="A90:B90"/>
    <mergeCell ref="E90:F90"/>
    <mergeCell ref="G90:H90"/>
    <mergeCell ref="A91:B91"/>
    <mergeCell ref="E91:F100"/>
    <mergeCell ref="G91:H100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51:B51"/>
    <mergeCell ref="C51:E51"/>
    <mergeCell ref="G51:H51"/>
    <mergeCell ref="A52:B52"/>
    <mergeCell ref="C52:E52"/>
    <mergeCell ref="G52:H52"/>
    <mergeCell ref="C56:E56"/>
    <mergeCell ref="G56:H56"/>
    <mergeCell ref="D65:H65"/>
    <mergeCell ref="A63:C65"/>
    <mergeCell ref="D64:H64"/>
    <mergeCell ref="A60:C60"/>
    <mergeCell ref="A61:C61"/>
    <mergeCell ref="D61:H61"/>
    <mergeCell ref="G58:H58"/>
    <mergeCell ref="A57:B57"/>
    <mergeCell ref="L155:M155"/>
    <mergeCell ref="L156:M156"/>
    <mergeCell ref="L157:M157"/>
    <mergeCell ref="G154:H157"/>
    <mergeCell ref="A158:H158"/>
    <mergeCell ref="A159:H159"/>
    <mergeCell ref="G160:H162"/>
    <mergeCell ref="L160:M160"/>
    <mergeCell ref="L161:M161"/>
    <mergeCell ref="L162:M162"/>
    <mergeCell ref="L150:M150"/>
    <mergeCell ref="L151:M151"/>
    <mergeCell ref="L152:M152"/>
    <mergeCell ref="G146:H152"/>
    <mergeCell ref="A144:H144"/>
    <mergeCell ref="A153:H153"/>
    <mergeCell ref="L154:M154"/>
    <mergeCell ref="E42:H42"/>
    <mergeCell ref="A42:D42"/>
    <mergeCell ref="A110:B110"/>
    <mergeCell ref="A49:B49"/>
    <mergeCell ref="C49:E49"/>
    <mergeCell ref="C57:E57"/>
    <mergeCell ref="G57:H57"/>
    <mergeCell ref="G49:H49"/>
    <mergeCell ref="G55:H55"/>
    <mergeCell ref="D60:H60"/>
    <mergeCell ref="C55:E55"/>
    <mergeCell ref="D63:H63"/>
    <mergeCell ref="C50:E50"/>
    <mergeCell ref="A58:B58"/>
    <mergeCell ref="C58:E58"/>
    <mergeCell ref="A50:B50"/>
    <mergeCell ref="A59:H59"/>
    <mergeCell ref="A350:H350"/>
    <mergeCell ref="A347:H347"/>
    <mergeCell ref="A135:B135"/>
    <mergeCell ref="D164:D165"/>
    <mergeCell ref="E164:E165"/>
    <mergeCell ref="G164:H165"/>
    <mergeCell ref="F116:H116"/>
    <mergeCell ref="G131:H131"/>
    <mergeCell ref="B342:H342"/>
    <mergeCell ref="F123:H123"/>
    <mergeCell ref="C130:D130"/>
    <mergeCell ref="F126:H126"/>
    <mergeCell ref="F124:H124"/>
    <mergeCell ref="A141:H141"/>
    <mergeCell ref="G130:H130"/>
    <mergeCell ref="B142:B143"/>
    <mergeCell ref="A142:A143"/>
    <mergeCell ref="C164:C165"/>
    <mergeCell ref="C138:D138"/>
    <mergeCell ref="A178:H178"/>
    <mergeCell ref="F125:H125"/>
    <mergeCell ref="E130:F130"/>
    <mergeCell ref="A130:B130"/>
    <mergeCell ref="A125:E125"/>
    <mergeCell ref="A67:C67"/>
    <mergeCell ref="D67:H67"/>
    <mergeCell ref="A120:E120"/>
    <mergeCell ref="A73:B73"/>
    <mergeCell ref="C73:H73"/>
    <mergeCell ref="A75:B75"/>
    <mergeCell ref="C75:H75"/>
    <mergeCell ref="A76:B76"/>
    <mergeCell ref="E76:F76"/>
    <mergeCell ref="G76:H76"/>
    <mergeCell ref="A77:B77"/>
    <mergeCell ref="E77:F86"/>
    <mergeCell ref="G77:H86"/>
    <mergeCell ref="A117:E117"/>
    <mergeCell ref="A119:E119"/>
    <mergeCell ref="A118:E118"/>
    <mergeCell ref="A115:E115"/>
    <mergeCell ref="F119:H119"/>
    <mergeCell ref="A78:B78"/>
    <mergeCell ref="A79:B79"/>
    <mergeCell ref="A80:B80"/>
    <mergeCell ref="A81:B81"/>
    <mergeCell ref="A82:B82"/>
    <mergeCell ref="A83:B83"/>
    <mergeCell ref="A346:H346"/>
    <mergeCell ref="E135:F135"/>
    <mergeCell ref="B338:H338"/>
    <mergeCell ref="B336:H336"/>
    <mergeCell ref="B332:H332"/>
    <mergeCell ref="A140:H140"/>
    <mergeCell ref="B330:H330"/>
    <mergeCell ref="E137:F137"/>
    <mergeCell ref="G137:H137"/>
    <mergeCell ref="A248:H248"/>
    <mergeCell ref="A249:H249"/>
    <mergeCell ref="A250:H250"/>
    <mergeCell ref="A251:H251"/>
    <mergeCell ref="A252:H252"/>
    <mergeCell ref="G253:H258"/>
    <mergeCell ref="A185:H185"/>
    <mergeCell ref="B337:H337"/>
    <mergeCell ref="B335:H335"/>
    <mergeCell ref="D142:D143"/>
    <mergeCell ref="A138:B138"/>
    <mergeCell ref="E138:F138"/>
    <mergeCell ref="B333:H333"/>
    <mergeCell ref="B334:H334"/>
    <mergeCell ref="A329:H329"/>
    <mergeCell ref="B331:H331"/>
    <mergeCell ref="D70:H70"/>
    <mergeCell ref="A71:C71"/>
    <mergeCell ref="D71:H71"/>
    <mergeCell ref="A105:B105"/>
    <mergeCell ref="G104:H104"/>
    <mergeCell ref="E105:F114"/>
    <mergeCell ref="G105:H114"/>
    <mergeCell ref="A113:B113"/>
    <mergeCell ref="A114:B114"/>
    <mergeCell ref="A121:E121"/>
    <mergeCell ref="F121:H121"/>
    <mergeCell ref="A122:E122"/>
    <mergeCell ref="A124:E124"/>
    <mergeCell ref="F118:H118"/>
    <mergeCell ref="A123:E123"/>
    <mergeCell ref="A137:B137"/>
    <mergeCell ref="C137:D137"/>
    <mergeCell ref="A167:H167"/>
    <mergeCell ref="A168:H168"/>
    <mergeCell ref="A169:H169"/>
    <mergeCell ref="A170:H170"/>
    <mergeCell ref="A84:B84"/>
    <mergeCell ref="A85:B85"/>
    <mergeCell ref="G135:H135"/>
    <mergeCell ref="A163:H163"/>
    <mergeCell ref="A164:A165"/>
    <mergeCell ref="E133:F133"/>
    <mergeCell ref="G133:H133"/>
    <mergeCell ref="B164:B165"/>
    <mergeCell ref="A166:H166"/>
    <mergeCell ref="C131:D131"/>
    <mergeCell ref="E131:F131"/>
    <mergeCell ref="A108:B108"/>
    <mergeCell ref="E104:F104"/>
    <mergeCell ref="A69:C69"/>
    <mergeCell ref="D69:H69"/>
    <mergeCell ref="A72:C72"/>
    <mergeCell ref="D72:H72"/>
    <mergeCell ref="A70:C70"/>
    <mergeCell ref="A353:H356"/>
    <mergeCell ref="A352:B352"/>
    <mergeCell ref="E352:F352"/>
    <mergeCell ref="C352:D352"/>
    <mergeCell ref="G352:H352"/>
    <mergeCell ref="A129:H129"/>
    <mergeCell ref="A127:E127"/>
    <mergeCell ref="F127:H127"/>
    <mergeCell ref="A128:E128"/>
    <mergeCell ref="F128:H128"/>
    <mergeCell ref="A136:B136"/>
    <mergeCell ref="A348:H348"/>
    <mergeCell ref="A134:H134"/>
    <mergeCell ref="A351:H351"/>
    <mergeCell ref="A349:H349"/>
    <mergeCell ref="A345:H345"/>
    <mergeCell ref="C135:D13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40:H40"/>
    <mergeCell ref="A66:C66"/>
    <mergeCell ref="D66:H66"/>
    <mergeCell ref="A43:D43"/>
    <mergeCell ref="E43:H43"/>
    <mergeCell ref="E44:H44"/>
    <mergeCell ref="E45:H45"/>
    <mergeCell ref="E46:H46"/>
    <mergeCell ref="A38:B38"/>
    <mergeCell ref="C38:H38"/>
    <mergeCell ref="A45:D45"/>
    <mergeCell ref="A39:B39"/>
    <mergeCell ref="C39:H39"/>
    <mergeCell ref="A44:D44"/>
    <mergeCell ref="F36:H36"/>
    <mergeCell ref="A48:B48"/>
    <mergeCell ref="C48:H48"/>
    <mergeCell ref="A46:D46"/>
    <mergeCell ref="A47:H47"/>
    <mergeCell ref="D62:H62"/>
    <mergeCell ref="A62:C62"/>
    <mergeCell ref="G50:H50"/>
    <mergeCell ref="C132:D132"/>
    <mergeCell ref="E132:F132"/>
    <mergeCell ref="G132:H132"/>
    <mergeCell ref="A133:B133"/>
    <mergeCell ref="C133:D133"/>
    <mergeCell ref="C142:C143"/>
    <mergeCell ref="F117:H117"/>
    <mergeCell ref="A37:H37"/>
    <mergeCell ref="A36:B36"/>
    <mergeCell ref="C36:E36"/>
    <mergeCell ref="A41:D41"/>
    <mergeCell ref="E41:H41"/>
    <mergeCell ref="A55:B56"/>
    <mergeCell ref="A111:B111"/>
    <mergeCell ref="A104:B104"/>
    <mergeCell ref="A107:B107"/>
    <mergeCell ref="A103:B103"/>
    <mergeCell ref="A101:B101"/>
    <mergeCell ref="C101:H101"/>
    <mergeCell ref="A109:B109"/>
    <mergeCell ref="A68:C68"/>
    <mergeCell ref="D68:H68"/>
    <mergeCell ref="C103:H103"/>
    <mergeCell ref="A106:B106"/>
    <mergeCell ref="B344:H344"/>
    <mergeCell ref="A53:B54"/>
    <mergeCell ref="C53:E53"/>
    <mergeCell ref="G53:H53"/>
    <mergeCell ref="C54:E54"/>
    <mergeCell ref="G54:H54"/>
    <mergeCell ref="B339:H339"/>
    <mergeCell ref="L149:M149"/>
    <mergeCell ref="L148:M148"/>
    <mergeCell ref="L147:M147"/>
    <mergeCell ref="L146:M146"/>
    <mergeCell ref="A112:B112"/>
    <mergeCell ref="C136:D136"/>
    <mergeCell ref="E136:F136"/>
    <mergeCell ref="G136:H136"/>
    <mergeCell ref="F122:H122"/>
    <mergeCell ref="A116:E116"/>
    <mergeCell ref="A145:H145"/>
    <mergeCell ref="E142:E143"/>
    <mergeCell ref="G142:H143"/>
    <mergeCell ref="F115:H115"/>
    <mergeCell ref="F120:H120"/>
    <mergeCell ref="A126:E126"/>
    <mergeCell ref="G138:H138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6" max="16383" man="1"/>
    <brk id="356" max="16383" man="1"/>
    <brk id="398" max="16383" man="1"/>
    <brk id="44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1" t="s">
        <v>107</v>
      </c>
      <c r="C3" s="181"/>
      <c r="D3" s="181"/>
      <c r="E3" s="181"/>
      <c r="F3" s="181"/>
      <c r="G3" s="181"/>
      <c r="H3" s="181"/>
    </row>
    <row r="4" spans="1:9" x14ac:dyDescent="0.3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2025-08-22T05:38:12Z</cp:lastPrinted>
  <dcterms:created xsi:type="dcterms:W3CDTF">2019-07-16T09:29:46Z</dcterms:created>
  <dcterms:modified xsi:type="dcterms:W3CDTF">2025-08-22T05:41:46Z</dcterms:modified>
</cp:coreProperties>
</file>