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K:\VSJ Work\Aug 25\Axis Dump\"/>
    </mc:Choice>
  </mc:AlternateContent>
  <xr:revisionPtr revIDLastSave="0" documentId="13_ncr:1_{6F24AC7F-FDED-4750-903F-64BC8894EAD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VALUATION" sheetId="18" r:id="rId2"/>
    <sheet name="NOTE" sheetId="19" r:id="rId3"/>
    <sheet name="A%" sheetId="14" r:id="rId4"/>
    <sheet name="B%" sheetId="15" r:id="rId5"/>
    <sheet name="C%" sheetId="17" r:id="rId6"/>
    <sheet name="D%" sheetId="16" r:id="rId7"/>
    <sheet name="Wing A" sheetId="11" r:id="rId8"/>
    <sheet name="Wing B" sheetId="12" r:id="rId9"/>
    <sheet name="Wing C" sheetId="13" r:id="rId10"/>
  </sheets>
  <definedNames>
    <definedName name="_xlnm.Print_Area" localSheetId="0">Sheet1!$A$1:$J$312</definedName>
  </definedNames>
  <calcPr calcId="191029"/>
</workbook>
</file>

<file path=xl/calcChain.xml><?xml version="1.0" encoding="utf-8"?>
<calcChain xmlns="http://schemas.openxmlformats.org/spreadsheetml/2006/main">
  <c r="F3" i="1" l="1"/>
  <c r="L121" i="1" l="1"/>
  <c r="L120" i="1"/>
  <c r="L119" i="1"/>
  <c r="L118" i="1"/>
  <c r="L107" i="1"/>
  <c r="L106" i="1"/>
  <c r="L105" i="1"/>
  <c r="L104" i="1"/>
  <c r="L93" i="1"/>
  <c r="L92" i="1"/>
  <c r="L91" i="1"/>
  <c r="L90" i="1"/>
  <c r="L79" i="1"/>
  <c r="L78" i="1"/>
  <c r="L77" i="1"/>
  <c r="L76" i="1"/>
  <c r="L65" i="1"/>
  <c r="L64" i="1"/>
  <c r="L63" i="1"/>
  <c r="L62" i="1"/>
  <c r="I111" i="1"/>
  <c r="I55" i="1"/>
  <c r="I69" i="1"/>
  <c r="I83" i="1"/>
  <c r="I97" i="1"/>
  <c r="D123" i="1" l="1"/>
  <c r="D117" i="1"/>
  <c r="L113" i="1"/>
  <c r="L116" i="1"/>
  <c r="L117" i="1" s="1"/>
  <c r="L122" i="1" s="1"/>
  <c r="L123" i="1" s="1"/>
  <c r="D122" i="1"/>
  <c r="D116" i="1"/>
  <c r="D121" i="1"/>
  <c r="L115" i="1"/>
  <c r="D114" i="1" s="1"/>
  <c r="D120" i="1"/>
  <c r="L114" i="1"/>
  <c r="D119" i="1"/>
  <c r="D118" i="1"/>
  <c r="L99" i="1"/>
  <c r="L102" i="1"/>
  <c r="L103" i="1" s="1"/>
  <c r="L108" i="1" s="1"/>
  <c r="L109" i="1" s="1"/>
  <c r="C101" i="1" s="1"/>
  <c r="D109" i="1"/>
  <c r="D103" i="1"/>
  <c r="D108" i="1"/>
  <c r="D102" i="1"/>
  <c r="L101" i="1"/>
  <c r="C100" i="1" s="1"/>
  <c r="D100" i="1" s="1"/>
  <c r="D107" i="1"/>
  <c r="D105" i="1"/>
  <c r="D106" i="1"/>
  <c r="L100" i="1"/>
  <c r="D104" i="1"/>
  <c r="D95" i="1"/>
  <c r="D89" i="1"/>
  <c r="L85" i="1"/>
  <c r="L88" i="1"/>
  <c r="L89" i="1" s="1"/>
  <c r="L94" i="1" s="1"/>
  <c r="L95" i="1" s="1"/>
  <c r="C87" i="1" s="1"/>
  <c r="D93" i="1"/>
  <c r="D94" i="1"/>
  <c r="D88" i="1"/>
  <c r="L86" i="1"/>
  <c r="D91" i="1"/>
  <c r="D90" i="1"/>
  <c r="L87" i="1"/>
  <c r="C86" i="1" s="1"/>
  <c r="D86" i="1" s="1"/>
  <c r="D92" i="1"/>
  <c r="D81" i="1"/>
  <c r="D75" i="1"/>
  <c r="L71" i="1"/>
  <c r="L74" i="1"/>
  <c r="L75" i="1" s="1"/>
  <c r="L80" i="1" s="1"/>
  <c r="L81" i="1" s="1"/>
  <c r="C73" i="1" s="1"/>
  <c r="D80" i="1"/>
  <c r="D74" i="1"/>
  <c r="D79" i="1"/>
  <c r="L73" i="1"/>
  <c r="C72" i="1" s="1"/>
  <c r="D72" i="1" s="1"/>
  <c r="L72" i="1"/>
  <c r="D78" i="1"/>
  <c r="D77" i="1"/>
  <c r="D76" i="1"/>
  <c r="L60" i="1"/>
  <c r="L61" i="1" s="1"/>
  <c r="L66" i="1" s="1"/>
  <c r="L67" i="1" s="1"/>
  <c r="C59" i="1" s="1"/>
  <c r="D66" i="1"/>
  <c r="C60" i="1"/>
  <c r="D60" i="1" s="1"/>
  <c r="D65" i="1"/>
  <c r="L59" i="1"/>
  <c r="C58" i="1" s="1"/>
  <c r="D64" i="1"/>
  <c r="L58" i="1"/>
  <c r="D63" i="1"/>
  <c r="D62" i="1"/>
  <c r="D67" i="1"/>
  <c r="D61" i="1"/>
  <c r="L57" i="1"/>
  <c r="F9" i="18"/>
  <c r="F8" i="18"/>
  <c r="G8" i="18" s="1"/>
  <c r="F7" i="18"/>
  <c r="G7" i="18" s="1"/>
  <c r="G6" i="18"/>
  <c r="G5" i="18"/>
  <c r="B16" i="17"/>
  <c r="E10" i="17" s="1"/>
  <c r="B14" i="17"/>
  <c r="N6" i="17" s="1"/>
  <c r="G18" i="17" s="1"/>
  <c r="B12" i="17"/>
  <c r="M7" i="17" s="1"/>
  <c r="H17" i="17" s="1"/>
  <c r="B10" i="17"/>
  <c r="L6" i="17" s="1"/>
  <c r="G16" i="17" s="1"/>
  <c r="B8" i="17"/>
  <c r="K7" i="17" s="1"/>
  <c r="H15" i="17" s="1"/>
  <c r="O7" i="17"/>
  <c r="H19" i="17" s="1"/>
  <c r="I6" i="17"/>
  <c r="G13" i="17" s="1"/>
  <c r="B6" i="17"/>
  <c r="E5" i="17" s="1"/>
  <c r="E4" i="17"/>
  <c r="B16" i="16"/>
  <c r="O7" i="16" s="1"/>
  <c r="H19" i="16" s="1"/>
  <c r="B14" i="16"/>
  <c r="E9" i="16" s="1"/>
  <c r="B12" i="16"/>
  <c r="M7" i="16" s="1"/>
  <c r="H17" i="16" s="1"/>
  <c r="B10" i="16"/>
  <c r="L7" i="16" s="1"/>
  <c r="H16" i="16" s="1"/>
  <c r="L6" i="16"/>
  <c r="G16" i="16" s="1"/>
  <c r="B8" i="16"/>
  <c r="K7" i="16" s="1"/>
  <c r="H15" i="16" s="1"/>
  <c r="I6" i="16"/>
  <c r="G13" i="16" s="1"/>
  <c r="B6" i="16"/>
  <c r="J7" i="16" s="1"/>
  <c r="H14" i="16" s="1"/>
  <c r="E4" i="16"/>
  <c r="B16" i="15"/>
  <c r="O7" i="15" s="1"/>
  <c r="H19" i="15" s="1"/>
  <c r="B14" i="15"/>
  <c r="N7" i="15" s="1"/>
  <c r="H18" i="15" s="1"/>
  <c r="E9" i="15"/>
  <c r="B12" i="15"/>
  <c r="E8" i="15" s="1"/>
  <c r="B10" i="15"/>
  <c r="L6" i="15" s="1"/>
  <c r="G16" i="15" s="1"/>
  <c r="B8" i="15"/>
  <c r="E6" i="15" s="1"/>
  <c r="I6" i="15"/>
  <c r="G13" i="15" s="1"/>
  <c r="B6" i="15"/>
  <c r="E5" i="15" s="1"/>
  <c r="E4" i="15"/>
  <c r="B16" i="14"/>
  <c r="O6" i="14" s="1"/>
  <c r="G19" i="14" s="1"/>
  <c r="B14" i="14"/>
  <c r="N7" i="14" s="1"/>
  <c r="H18" i="14" s="1"/>
  <c r="B12" i="14"/>
  <c r="E8" i="14" s="1"/>
  <c r="B10" i="14"/>
  <c r="E7" i="14" s="1"/>
  <c r="B8" i="14"/>
  <c r="K7" i="14" s="1"/>
  <c r="H15" i="14" s="1"/>
  <c r="L6" i="14"/>
  <c r="G16" i="14" s="1"/>
  <c r="I6" i="14"/>
  <c r="I7" i="14" s="1"/>
  <c r="H13" i="14" s="1"/>
  <c r="B6" i="14"/>
  <c r="J7" i="14" s="1"/>
  <c r="H14" i="14" s="1"/>
  <c r="E4" i="14"/>
  <c r="D225" i="1"/>
  <c r="D173" i="1"/>
  <c r="G173" i="1" s="1"/>
  <c r="D177" i="1"/>
  <c r="G177" i="1" s="1"/>
  <c r="D176" i="1"/>
  <c r="G176" i="1" s="1"/>
  <c r="D174" i="1"/>
  <c r="G174" i="1" s="1"/>
  <c r="D171" i="1"/>
  <c r="G171" i="1" s="1"/>
  <c r="D170" i="1"/>
  <c r="G170" i="1" s="1"/>
  <c r="D169" i="1"/>
  <c r="G169" i="1" s="1"/>
  <c r="D168" i="1"/>
  <c r="G168" i="1" s="1"/>
  <c r="D167" i="1"/>
  <c r="G167" i="1" s="1"/>
  <c r="D166" i="1"/>
  <c r="G166" i="1" s="1"/>
  <c r="D165" i="1"/>
  <c r="G165" i="1" s="1"/>
  <c r="D164" i="1"/>
  <c r="G164" i="1" s="1"/>
  <c r="D163" i="1"/>
  <c r="G163" i="1" s="1"/>
  <c r="D212" i="1"/>
  <c r="G212" i="1" s="1"/>
  <c r="D211" i="1"/>
  <c r="G211" i="1" s="1"/>
  <c r="D210" i="1"/>
  <c r="G210" i="1" s="1"/>
  <c r="D209" i="1"/>
  <c r="G209" i="1" s="1"/>
  <c r="D205" i="1"/>
  <c r="G205" i="1" s="1"/>
  <c r="D204" i="1"/>
  <c r="G204" i="1" s="1"/>
  <c r="D203" i="1"/>
  <c r="G203" i="1" s="1"/>
  <c r="D202" i="1"/>
  <c r="G202" i="1" s="1"/>
  <c r="D199" i="1"/>
  <c r="G199" i="1" s="1"/>
  <c r="D198" i="1"/>
  <c r="G198" i="1" s="1"/>
  <c r="D197" i="1"/>
  <c r="G197" i="1" s="1"/>
  <c r="D196" i="1"/>
  <c r="G196" i="1" s="1"/>
  <c r="D194" i="1"/>
  <c r="G194" i="1" s="1"/>
  <c r="D193" i="1"/>
  <c r="G193" i="1" s="1"/>
  <c r="D192" i="1"/>
  <c r="G192" i="1" s="1"/>
  <c r="D191" i="1"/>
  <c r="G191" i="1" s="1"/>
  <c r="D189" i="1"/>
  <c r="G189" i="1" s="1"/>
  <c r="D188" i="1"/>
  <c r="G188" i="1" s="1"/>
  <c r="D187" i="1"/>
  <c r="G187" i="1" s="1"/>
  <c r="D186" i="1"/>
  <c r="G186" i="1" s="1"/>
  <c r="D184" i="1"/>
  <c r="G184" i="1" s="1"/>
  <c r="D183" i="1"/>
  <c r="G183" i="1" s="1"/>
  <c r="D182" i="1"/>
  <c r="G182" i="1" s="1"/>
  <c r="D181" i="1"/>
  <c r="G181" i="1" s="1"/>
  <c r="D160" i="1"/>
  <c r="G160" i="1" s="1"/>
  <c r="D159" i="1"/>
  <c r="G159" i="1" s="1"/>
  <c r="D157" i="1"/>
  <c r="G157" i="1" s="1"/>
  <c r="D155" i="1"/>
  <c r="G155" i="1" s="1"/>
  <c r="D154" i="1"/>
  <c r="G154" i="1" s="1"/>
  <c r="D153" i="1"/>
  <c r="G153" i="1" s="1"/>
  <c r="D152" i="1"/>
  <c r="G152" i="1" s="1"/>
  <c r="D151" i="1"/>
  <c r="G151" i="1" s="1"/>
  <c r="D150" i="1"/>
  <c r="G150" i="1" s="1"/>
  <c r="D149" i="1"/>
  <c r="G149" i="1" s="1"/>
  <c r="D148" i="1"/>
  <c r="G148" i="1" s="1"/>
  <c r="D147" i="1"/>
  <c r="G147" i="1" s="1"/>
  <c r="D146" i="1"/>
  <c r="G146" i="1" s="1"/>
  <c r="D145" i="1"/>
  <c r="G145" i="1" s="1"/>
  <c r="D144" i="1"/>
  <c r="G144" i="1" s="1"/>
  <c r="D143" i="1"/>
  <c r="G143" i="1" s="1"/>
  <c r="H45" i="1"/>
  <c r="D47" i="1" s="1"/>
  <c r="D49" i="1"/>
  <c r="G137" i="1"/>
  <c r="N34" i="13"/>
  <c r="K34" i="13"/>
  <c r="G34" i="13"/>
  <c r="N33" i="13"/>
  <c r="K33" i="13"/>
  <c r="G33" i="13"/>
  <c r="N32" i="13"/>
  <c r="K32" i="13"/>
  <c r="G32" i="13"/>
  <c r="N31" i="13"/>
  <c r="K31" i="13"/>
  <c r="G31" i="13"/>
  <c r="N30" i="13"/>
  <c r="K30" i="13"/>
  <c r="G30" i="13"/>
  <c r="N29" i="13"/>
  <c r="K29" i="13"/>
  <c r="G29" i="13"/>
  <c r="N28" i="13"/>
  <c r="K28" i="13"/>
  <c r="G28" i="13"/>
  <c r="N27" i="13"/>
  <c r="K27" i="13"/>
  <c r="G27" i="13"/>
  <c r="N26" i="13"/>
  <c r="K26" i="13"/>
  <c r="G26" i="13"/>
  <c r="N25" i="13"/>
  <c r="K25" i="13"/>
  <c r="G25" i="13"/>
  <c r="N24" i="13"/>
  <c r="K24" i="13"/>
  <c r="G24" i="13"/>
  <c r="N23" i="13"/>
  <c r="K23" i="13"/>
  <c r="G23" i="13"/>
  <c r="N22" i="13"/>
  <c r="K22" i="13"/>
  <c r="G22" i="13"/>
  <c r="N21" i="13"/>
  <c r="K21" i="13"/>
  <c r="G21" i="13"/>
  <c r="N20" i="13"/>
  <c r="K20" i="13"/>
  <c r="G20" i="13"/>
  <c r="N19" i="13"/>
  <c r="K19" i="13"/>
  <c r="G19" i="13"/>
  <c r="N18" i="13"/>
  <c r="K18" i="13"/>
  <c r="G18" i="13"/>
  <c r="N17" i="13"/>
  <c r="K17" i="13"/>
  <c r="G17" i="13"/>
  <c r="N16" i="13"/>
  <c r="K16" i="13"/>
  <c r="G16" i="13"/>
  <c r="N15" i="13"/>
  <c r="K15" i="13"/>
  <c r="G15" i="13"/>
  <c r="N14" i="13"/>
  <c r="K14" i="13"/>
  <c r="G14" i="13"/>
  <c r="N13" i="13"/>
  <c r="K13" i="13"/>
  <c r="G13" i="13"/>
  <c r="N12" i="13"/>
  <c r="K12" i="13"/>
  <c r="G12" i="13"/>
  <c r="N11" i="13"/>
  <c r="K11" i="13"/>
  <c r="G11" i="13"/>
  <c r="N10" i="13"/>
  <c r="K10" i="13"/>
  <c r="G10" i="13"/>
  <c r="N9" i="13"/>
  <c r="K9" i="13"/>
  <c r="G9" i="13"/>
  <c r="N8" i="13"/>
  <c r="K8" i="13"/>
  <c r="G8" i="13"/>
  <c r="N7" i="13"/>
  <c r="K7" i="13"/>
  <c r="G7" i="13"/>
  <c r="M34" i="12"/>
  <c r="J34" i="12"/>
  <c r="F34" i="12"/>
  <c r="M33" i="12"/>
  <c r="J33" i="12"/>
  <c r="F33" i="12"/>
  <c r="M32" i="12"/>
  <c r="J32" i="12"/>
  <c r="F32" i="12"/>
  <c r="M31" i="12"/>
  <c r="J31" i="12"/>
  <c r="F31" i="12"/>
  <c r="M30" i="12"/>
  <c r="J30" i="12"/>
  <c r="F30" i="12"/>
  <c r="M29" i="12"/>
  <c r="J29" i="12"/>
  <c r="F29" i="12"/>
  <c r="M28" i="12"/>
  <c r="J28" i="12"/>
  <c r="F28" i="12"/>
  <c r="M27" i="12"/>
  <c r="J27" i="12"/>
  <c r="F27" i="12"/>
  <c r="M26" i="12"/>
  <c r="J26" i="12"/>
  <c r="F26" i="12"/>
  <c r="M25" i="12"/>
  <c r="J25" i="12"/>
  <c r="F25" i="12"/>
  <c r="M24" i="12"/>
  <c r="J24" i="12"/>
  <c r="F24" i="12"/>
  <c r="M23" i="12"/>
  <c r="J23" i="12"/>
  <c r="F23" i="12"/>
  <c r="M22" i="12"/>
  <c r="J22" i="12"/>
  <c r="F22" i="12"/>
  <c r="M21" i="12"/>
  <c r="J21" i="12"/>
  <c r="F21" i="12"/>
  <c r="M20" i="12"/>
  <c r="J20" i="12"/>
  <c r="F20" i="12"/>
  <c r="M19" i="12"/>
  <c r="J19" i="12"/>
  <c r="F19" i="12"/>
  <c r="M18" i="12"/>
  <c r="J18" i="12"/>
  <c r="F18" i="12"/>
  <c r="M17" i="12"/>
  <c r="J17" i="12"/>
  <c r="F17" i="12"/>
  <c r="M16" i="12"/>
  <c r="J16" i="12"/>
  <c r="F16" i="12"/>
  <c r="M15" i="12"/>
  <c r="J15" i="12"/>
  <c r="F15" i="12"/>
  <c r="M14" i="12"/>
  <c r="J14" i="12"/>
  <c r="F14" i="12"/>
  <c r="M13" i="12"/>
  <c r="J13" i="12"/>
  <c r="F13" i="12"/>
  <c r="M12" i="12"/>
  <c r="J12" i="12"/>
  <c r="F12" i="12"/>
  <c r="M11" i="12"/>
  <c r="J11" i="12"/>
  <c r="F11" i="12"/>
  <c r="M10" i="12"/>
  <c r="J10" i="12"/>
  <c r="F10" i="12"/>
  <c r="M9" i="12"/>
  <c r="J9" i="12"/>
  <c r="F9" i="12"/>
  <c r="M8" i="12"/>
  <c r="J8" i="12"/>
  <c r="F8" i="12"/>
  <c r="M7" i="12"/>
  <c r="J7" i="12"/>
  <c r="F7" i="12"/>
  <c r="M21" i="11"/>
  <c r="M22" i="11"/>
  <c r="M23" i="11"/>
  <c r="M24" i="11"/>
  <c r="M25" i="11"/>
  <c r="M26" i="11"/>
  <c r="M27" i="11"/>
  <c r="M28" i="11"/>
  <c r="M29" i="11"/>
  <c r="J21" i="11"/>
  <c r="J22" i="11"/>
  <c r="J23" i="11"/>
  <c r="J24" i="11"/>
  <c r="J25" i="11"/>
  <c r="J26" i="11"/>
  <c r="J27" i="11"/>
  <c r="J28" i="11"/>
  <c r="J29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M33" i="11"/>
  <c r="J33" i="11"/>
  <c r="M32" i="11"/>
  <c r="J32" i="11"/>
  <c r="M31" i="11"/>
  <c r="J31" i="11"/>
  <c r="M30" i="11"/>
  <c r="J30" i="11"/>
  <c r="M6" i="11"/>
  <c r="J6" i="11"/>
  <c r="F6" i="11"/>
  <c r="E6" i="16"/>
  <c r="E7" i="16"/>
  <c r="E10" i="16"/>
  <c r="I7" i="17"/>
  <c r="H13" i="17" s="1"/>
  <c r="I7" i="16"/>
  <c r="H13" i="16" s="1"/>
  <c r="E5" i="16"/>
  <c r="K6" i="16"/>
  <c r="G15" i="16" s="1"/>
  <c r="I7" i="15"/>
  <c r="H13" i="15" s="1"/>
  <c r="N6" i="15"/>
  <c r="G18" i="15" s="1"/>
  <c r="K6" i="15"/>
  <c r="G15" i="15" s="1"/>
  <c r="K6" i="14"/>
  <c r="G15" i="14" s="1"/>
  <c r="L7" i="14"/>
  <c r="H16" i="14" s="1"/>
  <c r="M7" i="15" l="1"/>
  <c r="H17" i="15" s="1"/>
  <c r="O7" i="14"/>
  <c r="H19" i="14" s="1"/>
  <c r="E7" i="15"/>
  <c r="M6" i="15"/>
  <c r="G17" i="15" s="1"/>
  <c r="K6" i="17"/>
  <c r="G15" i="17" s="1"/>
  <c r="K7" i="15"/>
  <c r="H15" i="15" s="1"/>
  <c r="E6" i="14"/>
  <c r="E10" i="14"/>
  <c r="J7" i="17"/>
  <c r="H14" i="17" s="1"/>
  <c r="E9" i="17"/>
  <c r="O6" i="17"/>
  <c r="G19" i="17" s="1"/>
  <c r="N7" i="16"/>
  <c r="H18" i="16" s="1"/>
  <c r="H20" i="16" s="1"/>
  <c r="E10" i="15"/>
  <c r="M7" i="14"/>
  <c r="H17" i="14" s="1"/>
  <c r="H20" i="14" s="1"/>
  <c r="E8" i="17"/>
  <c r="O6" i="16"/>
  <c r="G19" i="16" s="1"/>
  <c r="J34" i="11"/>
  <c r="I34" i="11" s="1"/>
  <c r="N6" i="16"/>
  <c r="G18" i="16" s="1"/>
  <c r="M6" i="17"/>
  <c r="G17" i="17" s="1"/>
  <c r="O6" i="15"/>
  <c r="G19" i="15" s="1"/>
  <c r="M6" i="14"/>
  <c r="G17" i="14" s="1"/>
  <c r="N6" i="14"/>
  <c r="G18" i="14" s="1"/>
  <c r="L7" i="17"/>
  <c r="H16" i="17" s="1"/>
  <c r="M35" i="12"/>
  <c r="L35" i="12" s="1"/>
  <c r="J6" i="15"/>
  <c r="G14" i="15" s="1"/>
  <c r="F35" i="12"/>
  <c r="E35" i="12" s="1"/>
  <c r="N35" i="13"/>
  <c r="M35" i="13" s="1"/>
  <c r="K35" i="13"/>
  <c r="J35" i="13" s="1"/>
  <c r="M34" i="11"/>
  <c r="L34" i="11" s="1"/>
  <c r="F34" i="11"/>
  <c r="E34" i="11" s="1"/>
  <c r="J35" i="12"/>
  <c r="I35" i="12" s="1"/>
  <c r="G35" i="13"/>
  <c r="F35" i="13" s="1"/>
  <c r="G9" i="18"/>
  <c r="J6" i="16"/>
  <c r="G14" i="16" s="1"/>
  <c r="N7" i="17"/>
  <c r="H18" i="17" s="1"/>
  <c r="G13" i="14"/>
  <c r="E9" i="14"/>
  <c r="J7" i="15"/>
  <c r="H14" i="15" s="1"/>
  <c r="E6" i="17"/>
  <c r="E7" i="17"/>
  <c r="J6" i="14"/>
  <c r="G14" i="14" s="1"/>
  <c r="E8" i="16"/>
  <c r="E5" i="14"/>
  <c r="L7" i="15"/>
  <c r="H16" i="15" s="1"/>
  <c r="J6" i="17"/>
  <c r="G14" i="17" s="1"/>
  <c r="G20" i="17" s="1"/>
  <c r="M6" i="16"/>
  <c r="G17" i="16" s="1"/>
  <c r="F114" i="1"/>
  <c r="K110" i="1" s="1"/>
  <c r="C112" i="1" s="1"/>
  <c r="D115" i="1"/>
  <c r="H114" i="1"/>
  <c r="F100" i="1"/>
  <c r="K96" i="1" s="1"/>
  <c r="C98" i="1" s="1"/>
  <c r="D101" i="1"/>
  <c r="H100" i="1"/>
  <c r="F86" i="1"/>
  <c r="K82" i="1" s="1"/>
  <c r="C84" i="1" s="1"/>
  <c r="D87" i="1"/>
  <c r="H86" i="1"/>
  <c r="F72" i="1"/>
  <c r="K68" i="1" s="1"/>
  <c r="C70" i="1" s="1"/>
  <c r="D73" i="1"/>
  <c r="H72" i="1"/>
  <c r="F58" i="1"/>
  <c r="D59" i="1"/>
  <c r="H58" i="1"/>
  <c r="D58" i="1"/>
  <c r="H20" i="17" l="1"/>
  <c r="G20" i="15"/>
  <c r="H20" i="15"/>
  <c r="G20" i="16"/>
  <c r="G20" i="14"/>
  <c r="K54" i="1"/>
  <c r="C56" i="1" s="1"/>
</calcChain>
</file>

<file path=xl/sharedStrings.xml><?xml version="1.0" encoding="utf-8"?>
<sst xmlns="http://schemas.openxmlformats.org/spreadsheetml/2006/main" count="845" uniqueCount="260">
  <si>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</si>
  <si>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</si>
  <si>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</si>
  <si>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</si>
  <si>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</si>
  <si>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</si>
  <si>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Docouments Provided</t>
  </si>
  <si>
    <t>Road</t>
  </si>
  <si>
    <t>City</t>
  </si>
  <si>
    <t>Class of locality</t>
  </si>
  <si>
    <t>Nature of land with topographical condtion</t>
  </si>
  <si>
    <t xml:space="preserve">Nature of the locality </t>
  </si>
  <si>
    <t>Boundaries</t>
  </si>
  <si>
    <t>East</t>
  </si>
  <si>
    <t>West</t>
  </si>
  <si>
    <t>North</t>
  </si>
  <si>
    <t>As per deed</t>
  </si>
  <si>
    <t>At site</t>
  </si>
  <si>
    <t>Approval details:</t>
  </si>
  <si>
    <t>Permissible FSI</t>
  </si>
  <si>
    <t>Permissible TDR/Paid FSI</t>
  </si>
  <si>
    <t>Total FSI availaible for the project</t>
  </si>
  <si>
    <t>Total number of Buildings</t>
  </si>
  <si>
    <t>Building wise Construction details</t>
  </si>
  <si>
    <t>Recommended Rates of the Property :</t>
  </si>
  <si>
    <t>Undertaking :</t>
  </si>
  <si>
    <t>Authorized Signatory
                                                                                                                                                                                                                                                                                     Name &amp; Seal of the agency</t>
  </si>
  <si>
    <t>2) I/We have no direct or Indirect Interest in the property being valued</t>
  </si>
  <si>
    <t>Quality of infrastructure in vicinity</t>
  </si>
  <si>
    <t>Description</t>
  </si>
  <si>
    <t>Attached Terrace area</t>
  </si>
  <si>
    <t>PLC Y/N</t>
  </si>
  <si>
    <t>1) We have personally visited the property &amp; identified the same based on the documents provided</t>
  </si>
  <si>
    <t>Type of Work</t>
  </si>
  <si>
    <t>Plinth</t>
  </si>
  <si>
    <t>RCC</t>
  </si>
  <si>
    <t>Plaster</t>
  </si>
  <si>
    <t>3) The information furnished above is true and correct to my/our knowledge.</t>
  </si>
  <si>
    <t>5) Legal title of the property is not verified by us.</t>
  </si>
  <si>
    <t>6) Gross carpet area =  Net Carpet area + Fungible area.</t>
  </si>
  <si>
    <t>7) Fungible Area= Enclosed Balcony + Flower Bed + Covered Balcony + Service Slab + Duct + Chajja + Wheather Shed area.</t>
  </si>
  <si>
    <t xml:space="preserve">Latitude &amp; Longitude </t>
  </si>
  <si>
    <t>Flooring</t>
  </si>
  <si>
    <t>Finishing</t>
  </si>
  <si>
    <t xml:space="preserve">Valuation Report </t>
  </si>
  <si>
    <t xml:space="preserve">Details of Flats in Building   </t>
  </si>
  <si>
    <t>Yes</t>
  </si>
  <si>
    <t>Expiry date:NA</t>
  </si>
  <si>
    <t>Expiry date: One year from date of issue</t>
  </si>
  <si>
    <t>Quality of construction: Good</t>
  </si>
  <si>
    <t>Violations Observed if any : NA</t>
  </si>
  <si>
    <t>NA</t>
  </si>
  <si>
    <t>South</t>
  </si>
  <si>
    <t xml:space="preserve">Distance from city centre: </t>
  </si>
  <si>
    <t>Plane</t>
  </si>
  <si>
    <t>Expiry date: NA</t>
  </si>
  <si>
    <t>Projected life of the structure: 60 Years After Completion</t>
  </si>
  <si>
    <t>Material laying at Site: :Bricks, Cement &amp; Steel etc.</t>
  </si>
  <si>
    <t>No of floors at site : See Construction details</t>
  </si>
  <si>
    <t>Wheather the construction is as per approved Building plan : Under Construction</t>
  </si>
  <si>
    <t xml:space="preserve">4)  The saleable area is as per Our Calculation.  </t>
  </si>
  <si>
    <t>Does the boundaries at site match, as mentioned in the Docoumentation: NA</t>
  </si>
  <si>
    <t>all available at  1 to 2 km.</t>
  </si>
  <si>
    <t>Dated</t>
  </si>
  <si>
    <t xml:space="preserve">Project location details       </t>
  </si>
  <si>
    <t>Locality</t>
  </si>
  <si>
    <t>District</t>
  </si>
  <si>
    <t>Pin Code</t>
  </si>
  <si>
    <t>Near by Landmark</t>
  </si>
  <si>
    <t>Good</t>
  </si>
  <si>
    <t>Total land area of the project in Sq. Mt.</t>
  </si>
  <si>
    <t>Total Approved Builtup area of the project in Sq. Mt.</t>
  </si>
  <si>
    <t xml:space="preserve">Layout Approval No     </t>
  </si>
  <si>
    <t xml:space="preserve">Approval Detail : Plan approval </t>
  </si>
  <si>
    <t xml:space="preserve">Building plan approval No    </t>
  </si>
  <si>
    <t>Expected Completion</t>
  </si>
  <si>
    <t>Approved no of Floors</t>
  </si>
  <si>
    <r>
      <t xml:space="preserve">Proposed Amenities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rFont val="Times New Roman"/>
        <family val="1"/>
      </rPr>
      <t xml:space="preserve">1.  Vitrified tiles flooring 2. Granite Kitchen Platform  3. Decorative Enternace  etc.   </t>
    </r>
    <r>
      <rPr>
        <b/>
        <sz val="11"/>
        <rFont val="Times New Roman"/>
        <family val="1"/>
      </rPr>
      <t xml:space="preserve">                                               </t>
    </r>
  </si>
  <si>
    <t xml:space="preserve">Commencement date of construction </t>
  </si>
  <si>
    <t>Carpet area</t>
  </si>
  <si>
    <t>Discription</t>
  </si>
  <si>
    <t>Carpet</t>
  </si>
  <si>
    <t>Fungible</t>
  </si>
  <si>
    <t>Terrace</t>
  </si>
  <si>
    <t>L</t>
  </si>
  <si>
    <t>W</t>
  </si>
  <si>
    <t>A</t>
  </si>
  <si>
    <t>Hall</t>
  </si>
  <si>
    <t>Bed1</t>
  </si>
  <si>
    <t>Bed2</t>
  </si>
  <si>
    <t>kitch</t>
  </si>
  <si>
    <t>passage1</t>
  </si>
  <si>
    <t>passage2</t>
  </si>
  <si>
    <t>passage3</t>
  </si>
  <si>
    <t>passage4</t>
  </si>
  <si>
    <t>toilet1</t>
  </si>
  <si>
    <t>toilet2</t>
  </si>
  <si>
    <t>toilet3</t>
  </si>
  <si>
    <t>Total</t>
  </si>
  <si>
    <t xml:space="preserve">Floor No </t>
  </si>
  <si>
    <t>Flat</t>
  </si>
  <si>
    <t xml:space="preserve">Recommended rate of Parking </t>
  </si>
  <si>
    <t>CB</t>
  </si>
  <si>
    <t>FB</t>
  </si>
  <si>
    <t>DB</t>
  </si>
  <si>
    <t>Approved area of the building in Sq.Mt</t>
  </si>
  <si>
    <t>Recommended rate of the flat Per Sq. Ft. ( on Saleble area)</t>
  </si>
  <si>
    <t xml:space="preserve">O. Certificate No.: </t>
  </si>
  <si>
    <t xml:space="preserve">Date of approval: </t>
  </si>
  <si>
    <t>Contect Details ( Name &amp; Contect No.)</t>
  </si>
  <si>
    <t>Name / no of the Building</t>
  </si>
  <si>
    <t>Plot No</t>
  </si>
  <si>
    <t>Accessibility to the Project from the City:
(Proximity to civic amenities like school, hospital, market, etc.)</t>
  </si>
  <si>
    <t>Does property have Electricity / Water / Drainage Connection</t>
  </si>
  <si>
    <t>Distressed valuation of the Property</t>
  </si>
  <si>
    <t>Building details Floor Wise</t>
  </si>
  <si>
    <t>Floor</t>
  </si>
  <si>
    <t>Axis Goregaon</t>
  </si>
  <si>
    <t>M/s. Ascon Construction &amp; Co.</t>
  </si>
  <si>
    <t>M/s. Shree Enterprises</t>
  </si>
  <si>
    <t>Mr.Amit Singh(7709545078 &amp; 9975429612)</t>
  </si>
  <si>
    <t>Ascon Heights-Phase I/02 Bldgs</t>
  </si>
  <si>
    <t>1. Approved Building Plan, 2. CC</t>
  </si>
  <si>
    <t>Ascon Heights-Phase I, S.No.160/2, Plot No.2, 3, 4 &amp; 5, Village-Pamtembhi, Tembhi Navapur Road, Boiser(W), Dist.Palghar.</t>
  </si>
  <si>
    <t>2, 3, 4 &amp; 5</t>
  </si>
  <si>
    <t>160/2</t>
  </si>
  <si>
    <t>Pamtembhi</t>
  </si>
  <si>
    <t>Tembhi Navapur Road</t>
  </si>
  <si>
    <t>Palghar</t>
  </si>
  <si>
    <t>Tembhi Police Chowki</t>
  </si>
  <si>
    <t>401 501.</t>
  </si>
  <si>
    <t>Middle Class</t>
  </si>
  <si>
    <t>Developing</t>
  </si>
  <si>
    <t>Open</t>
  </si>
  <si>
    <t>Type of Structure :RCC</t>
  </si>
  <si>
    <t>PJP/JP/Pradhikaran/153</t>
  </si>
  <si>
    <t>14/12/2016.</t>
  </si>
  <si>
    <t xml:space="preserve">Approved usage of the Property: Commercial &amp; Residential
(Restrictive Covenants in regard to Land Use, if any)                                                                                                                                                </t>
  </si>
  <si>
    <t>Building No.1</t>
  </si>
  <si>
    <t>Flat/Shop No.</t>
  </si>
  <si>
    <t>Ground Floor For Parking, Residential &amp; Commercial Shop</t>
  </si>
  <si>
    <t>Shop</t>
  </si>
  <si>
    <t>Gr.</t>
  </si>
  <si>
    <t>B Wing</t>
  </si>
  <si>
    <t>1BHK</t>
  </si>
  <si>
    <t>C Wing</t>
  </si>
  <si>
    <t>Building 1 &amp; 2</t>
  </si>
  <si>
    <t>1st &amp; 2nd Floor</t>
  </si>
  <si>
    <t>A Wing</t>
  </si>
  <si>
    <t>1st &amp; 2nd</t>
  </si>
  <si>
    <t>2BHK</t>
  </si>
  <si>
    <t>D Wing</t>
  </si>
  <si>
    <t>3rd Floor</t>
  </si>
  <si>
    <t>B Wing For Terrace</t>
  </si>
  <si>
    <t>C Wing For Terrace</t>
  </si>
  <si>
    <t>3rd</t>
  </si>
  <si>
    <t>Building No.2</t>
  </si>
  <si>
    <t>About 7 Km from Boisar      Railway Station</t>
  </si>
  <si>
    <t>PJP/JP/Pradhikaran/153                                                                                                                 Aproved up to 3rd floor</t>
  </si>
  <si>
    <t xml:space="preserve">PHOTOGRAPHS OF PROPERTY : 
</t>
  </si>
  <si>
    <t xml:space="preserve">Google Map : 
</t>
  </si>
  <si>
    <t>Particulars</t>
  </si>
  <si>
    <t xml:space="preserve">totaL floor </t>
  </si>
  <si>
    <t xml:space="preserve">total </t>
  </si>
  <si>
    <t xml:space="preserve">completed  </t>
  </si>
  <si>
    <t>plinth</t>
  </si>
  <si>
    <t>slab</t>
  </si>
  <si>
    <t>total slab</t>
  </si>
  <si>
    <t>completed slab</t>
  </si>
  <si>
    <t>p</t>
  </si>
  <si>
    <t>rcc</t>
  </si>
  <si>
    <t>Bricks</t>
  </si>
  <si>
    <t>Wood &amp; painting</t>
  </si>
  <si>
    <t>Progress</t>
  </si>
  <si>
    <t xml:space="preserve">Bricks </t>
  </si>
  <si>
    <t>Total Floor</t>
  </si>
  <si>
    <t>completed Floor</t>
  </si>
  <si>
    <t xml:space="preserve">Recommended </t>
  </si>
  <si>
    <t>plaster</t>
  </si>
  <si>
    <t>Recommended</t>
  </si>
  <si>
    <t xml:space="preserve"> </t>
  </si>
  <si>
    <t>total</t>
  </si>
  <si>
    <t>19/10/2020.</t>
  </si>
  <si>
    <t>Proposeded no of Floors</t>
  </si>
  <si>
    <t>Wing A &amp; D = Gr.+3rd Floor
 Wing B &amp; C = Gr.+2nd Floor</t>
  </si>
  <si>
    <t>Dhanashree</t>
  </si>
  <si>
    <t>OLD APF</t>
  </si>
  <si>
    <t>Rate has not Changed</t>
  </si>
  <si>
    <t>Befor it was = 3800/-sq.ft &amp; now it is given as = 2600/-sq.ft</t>
  </si>
  <si>
    <t>Market Research Data</t>
  </si>
  <si>
    <t>Source</t>
  </si>
  <si>
    <t>Distance from proposed property</t>
  </si>
  <si>
    <t>Net Carpet</t>
  </si>
  <si>
    <t>Saleable Area</t>
  </si>
  <si>
    <t>Rate on Saleable</t>
  </si>
  <si>
    <t>Market Value</t>
  </si>
  <si>
    <t>housing.</t>
  </si>
  <si>
    <t>roofandfloor</t>
  </si>
  <si>
    <t>commonfloor.</t>
  </si>
  <si>
    <t>Average</t>
  </si>
  <si>
    <t xml:space="preserve">Valuation Adopted </t>
  </si>
  <si>
    <t>04 Wings</t>
  </si>
  <si>
    <t>Divyaraj Valuehomes - 1.5km</t>
  </si>
  <si>
    <t>Recommended rate of the Shop Per Sq. Ft. ( on Saleble area)</t>
  </si>
  <si>
    <t>100000/-</t>
  </si>
  <si>
    <t>Saleable area</t>
  </si>
  <si>
    <t>Pratiksha</t>
  </si>
  <si>
    <t>S No</t>
  </si>
  <si>
    <t xml:space="preserve">RERA No. </t>
  </si>
  <si>
    <t>P99000012633</t>
  </si>
  <si>
    <t>Construction details:</t>
  </si>
  <si>
    <t>Basement</t>
  </si>
  <si>
    <t>Ground</t>
  </si>
  <si>
    <t>Podium</t>
  </si>
  <si>
    <t>Floors</t>
  </si>
  <si>
    <t xml:space="preserve">Stage of construction: </t>
  </si>
  <si>
    <t>All work Completed. OC Received.</t>
  </si>
  <si>
    <t>Slab/Floor</t>
  </si>
  <si>
    <t>Complition %</t>
  </si>
  <si>
    <t>Progress %</t>
  </si>
  <si>
    <t>Disbursement %</t>
  </si>
  <si>
    <t>Piling Work in process</t>
  </si>
  <si>
    <t>Excavation</t>
  </si>
  <si>
    <t>Excavation in process</t>
  </si>
  <si>
    <t>Excavation Completed</t>
  </si>
  <si>
    <t>RCC (Including podiums)</t>
  </si>
  <si>
    <t>Footing in Process</t>
  </si>
  <si>
    <t>Brickwork</t>
  </si>
  <si>
    <t>Brickwork &amp; Internal Plaster</t>
  </si>
  <si>
    <t>Footing Completed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</si>
  <si>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</si>
  <si>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</si>
  <si>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</si>
  <si>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</si>
  <si>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</si>
  <si>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</si>
  <si>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</si>
  <si>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</si>
  <si>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</si>
  <si>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</si>
  <si>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Plinth in process</t>
  </si>
  <si>
    <t>Possession</t>
  </si>
  <si>
    <t>Plinth completed</t>
  </si>
  <si>
    <t xml:space="preserve"> Building No. 2 (Wing A)  = G + 1st to 4th Floor</t>
  </si>
  <si>
    <t>Approved no of units</t>
  </si>
  <si>
    <t xml:space="preserve"> Building No. 2 (Wing C)  = G + 1st to 2nd Floor</t>
  </si>
  <si>
    <t xml:space="preserve"> Building No. 2 (Wing D)  = G + 1st to 3rd Floor</t>
  </si>
  <si>
    <t xml:space="preserve"> Building No. 1 = G + 1st to 4th Floor</t>
  </si>
  <si>
    <t>Commencement of Construction</t>
  </si>
  <si>
    <t>Resi - 87 &amp; Comm - 22</t>
  </si>
  <si>
    <t>Location Link</t>
  </si>
  <si>
    <t>https://goo.gl/maps/KJm6KDDSeCPzhCVx7?coh=178572&amp;entry=tt</t>
  </si>
  <si>
    <t>Office No. 1031, Wing J, Akshar Business Park, Plot No. 03 Sector 25, Near APMC Market,
 Vashi, Navi Mumbai, Maharashtra 400703 TEL: 022-46090378/79/80                                                                      
 E mail : vsjcapf@gmail.com. Web site : www.vsjadon.com</t>
  </si>
  <si>
    <t>Ascon Heights Phase I</t>
  </si>
  <si>
    <t>19.78566861,72.7017456</t>
  </si>
  <si>
    <t>30/06/2019.</t>
  </si>
  <si>
    <t>same as last visit (05/05/2024)</t>
  </si>
  <si>
    <t>Wing A  = Gr.+ 4th Floor
Wing B &amp; C = Gr.+4th Floor
Wing  D = Gr.+3rd Floor</t>
  </si>
  <si>
    <t xml:space="preserve"> Building No. 2 (Wing B)  = G + 1st to 4th Floor</t>
  </si>
  <si>
    <r>
      <t xml:space="preserve">Remarks:  
1. Bldg No. 2 = A Wing = Construction Work is in process at the time of visit. (Very Slow Speed)
    Bldg No. 2 = B Wing = Construction Work is in process at the time of visit.
   Bldg No. 2 = C &amp; D Wing = Work is same as last visit (11/02/2024).
   Bldg No.1 = Work not yet started.
2. We considered saleable area as per our calculation.
3. We have considered construction percentage as per proposed no of Floors (G + 4th Floor) for A Wing because construction goes beyond approved no of floors (G + 3rd). Please provide revised Approved Plans &amp; CC
4. We have considered rate by verifying it from market inquire.
</t>
    </r>
    <r>
      <rPr>
        <b/>
        <sz val="11"/>
        <color rgb="FFFF0000"/>
        <rFont val="Times New Roman"/>
        <family val="1"/>
      </rPr>
      <t xml:space="preserve">5. As per RERA, completion period of project Ascon Heights is expired on 30/06/2019 but still project is under construction.
</t>
    </r>
    <r>
      <rPr>
        <b/>
        <sz val="11"/>
        <rFont val="Times New Roman"/>
        <family val="1"/>
      </rPr>
      <t>6. Since building no.1 &amp; 2 have received CC on 14/12/2016., but still project is under construction.</t>
    </r>
    <r>
      <rPr>
        <b/>
        <sz val="11"/>
        <color rgb="FFFF0000"/>
        <rFont val="Times New Roman"/>
        <family val="1"/>
      </rPr>
      <t xml:space="preserve">
</t>
    </r>
    <r>
      <rPr>
        <b/>
        <sz val="11"/>
        <color theme="1"/>
        <rFont val="Times New Roman"/>
        <family val="1"/>
      </rPr>
      <t>7. Promoter name has been changed from RERA site "Murtuza Yusuf Electricwala.".
Please check from your end.
8. Construction progress of Building No.2 Wing B is decreased because the proposed structure of Building No.2 Wing B is changed.
9. As checked on RERA portal on dated 18/08/2025, we have observed that above project is kept under abeyance.
10. Please provide revised approved plans &amp; CC.</t>
    </r>
    <r>
      <rPr>
        <b/>
        <sz val="11"/>
        <color rgb="FFFF0000"/>
        <rFont val="Times New Roman"/>
        <family val="1"/>
      </rPr>
      <t xml:space="preserve">
</t>
    </r>
    <r>
      <rPr>
        <b/>
        <sz val="11"/>
        <color indexed="8"/>
        <rFont val="Times New Roman"/>
        <family val="1"/>
      </rPr>
      <t xml:space="preserve">
5. On site, we meet Mr. Amit Singh (Developer) - 7709545078.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</si>
</sst>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FF0000"/>
      <name val="Calibri"/>
      <family val="2"/>
    </font>
    <font>
      <b/>
      <sz val="11"/>
      <color rgb="FFFF000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16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</cellStyleXfs>
  <cellXfs count="204">
    <xf numFmtId="0" fontId="0" fillId="0" borderId="0" xfId="0"/>
    <xf numFmtId="0" fontId="5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2" xfId="0" applyFont="1" applyBorder="1" applyAlignment="1">
      <alignment vertical="top" wrapText="1"/>
    </xf>
    <xf numFmtId="1" fontId="6" fillId="0" borderId="2" xfId="0" applyNumberFormat="1" applyFont="1" applyBorder="1" applyAlignment="1">
      <alignment horizontal="center" vertical="top" wrapText="1"/>
    </xf>
    <xf numFmtId="0" fontId="0" fillId="0" borderId="2" xfId="0" applyBorder="1"/>
    <xf numFmtId="0" fontId="17" fillId="0" borderId="2" xfId="0" applyFont="1" applyBorder="1"/>
    <xf numFmtId="0" fontId="0" fillId="0" borderId="3" xfId="0" applyBorder="1"/>
    <xf numFmtId="0" fontId="0" fillId="2" borderId="2" xfId="0" applyFill="1" applyBorder="1"/>
    <xf numFmtId="0" fontId="17" fillId="0" borderId="2" xfId="0" applyFont="1" applyBorder="1" applyAlignment="1">
      <alignment horizontal="center"/>
    </xf>
    <xf numFmtId="1" fontId="13" fillId="0" borderId="2" xfId="0" applyNumberFormat="1" applyFont="1" applyBorder="1" applyAlignment="1">
      <alignment horizontal="center" vertical="top" wrapText="1"/>
    </xf>
    <xf numFmtId="0" fontId="15" fillId="0" borderId="0" xfId="5"/>
    <xf numFmtId="0" fontId="17" fillId="2" borderId="2" xfId="5" applyFont="1" applyFill="1" applyBorder="1"/>
    <xf numFmtId="0" fontId="15" fillId="0" borderId="2" xfId="5" applyBorder="1"/>
    <xf numFmtId="0" fontId="15" fillId="0" borderId="4" xfId="5" applyBorder="1"/>
    <xf numFmtId="0" fontId="15" fillId="0" borderId="0" xfId="5" applyAlignment="1">
      <alignment wrapText="1"/>
    </xf>
    <xf numFmtId="0" fontId="15" fillId="0" borderId="2" xfId="5" applyBorder="1" applyAlignment="1">
      <alignment wrapText="1"/>
    </xf>
    <xf numFmtId="0" fontId="18" fillId="0" borderId="0" xfId="5" applyFont="1"/>
    <xf numFmtId="0" fontId="1" fillId="0" borderId="0" xfId="3"/>
    <xf numFmtId="0" fontId="15" fillId="0" borderId="0" xfId="7"/>
    <xf numFmtId="0" fontId="17" fillId="0" borderId="2" xfId="7" applyFont="1" applyBorder="1" applyAlignment="1">
      <alignment horizontal="center" vertical="top" wrapText="1"/>
    </xf>
    <xf numFmtId="0" fontId="14" fillId="0" borderId="2" xfId="4" applyFont="1" applyBorder="1" applyAlignment="1">
      <alignment horizontal="center" vertical="top" wrapText="1"/>
    </xf>
    <xf numFmtId="0" fontId="15" fillId="0" borderId="2" xfId="7" applyBorder="1" applyAlignment="1">
      <alignment horizontal="center" vertical="center"/>
    </xf>
    <xf numFmtId="1" fontId="15" fillId="0" borderId="2" xfId="7" applyNumberFormat="1" applyBorder="1" applyAlignment="1">
      <alignment horizontal="center" vertical="center"/>
    </xf>
    <xf numFmtId="165" fontId="15" fillId="0" borderId="2" xfId="1" applyNumberFormat="1" applyFont="1" applyBorder="1" applyAlignment="1">
      <alignment horizontal="right" vertical="center"/>
    </xf>
    <xf numFmtId="43" fontId="1" fillId="0" borderId="0" xfId="3" applyNumberFormat="1"/>
    <xf numFmtId="0" fontId="17" fillId="0" borderId="2" xfId="7" applyFont="1" applyBorder="1" applyAlignment="1">
      <alignment horizontal="center" vertical="center"/>
    </xf>
    <xf numFmtId="1" fontId="18" fillId="0" borderId="2" xfId="7" applyNumberFormat="1" applyFont="1" applyBorder="1" applyAlignment="1">
      <alignment horizontal="center" vertical="center"/>
    </xf>
    <xf numFmtId="0" fontId="1" fillId="0" borderId="2" xfId="3" applyBorder="1" applyAlignment="1">
      <alignment horizontal="center" vertical="center"/>
    </xf>
    <xf numFmtId="0" fontId="21" fillId="0" borderId="0" xfId="3" applyFont="1"/>
    <xf numFmtId="1" fontId="1" fillId="0" borderId="0" xfId="3" applyNumberFormat="1"/>
    <xf numFmtId="0" fontId="1" fillId="0" borderId="0" xfId="3" applyAlignment="1">
      <alignment wrapText="1"/>
    </xf>
    <xf numFmtId="0" fontId="15" fillId="0" borderId="2" xfId="7" applyBorder="1" applyAlignment="1">
      <alignment horizontal="left" vertical="center"/>
    </xf>
    <xf numFmtId="14" fontId="0" fillId="0" borderId="0" xfId="0" applyNumberFormat="1"/>
    <xf numFmtId="0" fontId="23" fillId="0" borderId="18" xfId="6" applyFont="1" applyBorder="1" applyAlignment="1" applyProtection="1">
      <alignment horizontal="center" vertical="top"/>
      <protection locked="0"/>
    </xf>
    <xf numFmtId="0" fontId="23" fillId="0" borderId="0" xfId="6" applyFont="1" applyProtection="1">
      <protection hidden="1"/>
    </xf>
    <xf numFmtId="0" fontId="23" fillId="0" borderId="1" xfId="6" applyFont="1" applyBorder="1" applyAlignment="1" applyProtection="1">
      <alignment horizontal="center" vertical="top"/>
      <protection locked="0"/>
    </xf>
    <xf numFmtId="0" fontId="9" fillId="0" borderId="0" xfId="0" applyFont="1" applyProtection="1">
      <protection hidden="1"/>
    </xf>
    <xf numFmtId="1" fontId="10" fillId="0" borderId="2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top"/>
    </xf>
    <xf numFmtId="0" fontId="23" fillId="0" borderId="2" xfId="6" applyFont="1" applyBorder="1" applyAlignment="1" applyProtection="1">
      <alignment horizontal="center" vertical="top"/>
      <protection locked="0"/>
    </xf>
    <xf numFmtId="0" fontId="19" fillId="0" borderId="0" xfId="0" applyFont="1" applyAlignment="1">
      <alignment horizontal="left" vertical="top"/>
    </xf>
    <xf numFmtId="0" fontId="25" fillId="0" borderId="0" xfId="0" applyFont="1"/>
    <xf numFmtId="0" fontId="23" fillId="0" borderId="2" xfId="6" applyFont="1" applyBorder="1" applyAlignment="1" applyProtection="1">
      <alignment horizontal="center" vertical="top" wrapText="1"/>
      <protection locked="0"/>
    </xf>
    <xf numFmtId="0" fontId="23" fillId="0" borderId="0" xfId="6" applyFont="1"/>
    <xf numFmtId="0" fontId="23" fillId="0" borderId="2" xfId="6" applyFont="1" applyBorder="1" applyAlignment="1" applyProtection="1">
      <alignment horizontal="center" wrapText="1"/>
      <protection locked="0"/>
    </xf>
    <xf numFmtId="1" fontId="23" fillId="0" borderId="2" xfId="6" applyNumberFormat="1" applyFont="1" applyBorder="1" applyAlignment="1" applyProtection="1">
      <alignment horizontal="center" wrapText="1"/>
      <protection locked="0"/>
    </xf>
    <xf numFmtId="1" fontId="25" fillId="0" borderId="0" xfId="0" applyNumberFormat="1" applyFont="1"/>
    <xf numFmtId="1" fontId="25" fillId="0" borderId="0" xfId="0" applyNumberFormat="1" applyFont="1" applyAlignment="1">
      <alignment horizontal="right"/>
    </xf>
    <xf numFmtId="0" fontId="23" fillId="0" borderId="23" xfId="6" applyFont="1" applyBorder="1" applyAlignment="1" applyProtection="1">
      <alignment horizontal="center" wrapText="1"/>
      <protection locked="0"/>
    </xf>
    <xf numFmtId="0" fontId="2" fillId="0" borderId="0" xfId="2"/>
    <xf numFmtId="0" fontId="13" fillId="0" borderId="0" xfId="6" applyFont="1" applyAlignment="1">
      <alignment vertical="top"/>
    </xf>
    <xf numFmtId="0" fontId="3" fillId="0" borderId="0" xfId="6" applyFont="1" applyAlignment="1">
      <alignment vertical="top" wrapText="1"/>
    </xf>
    <xf numFmtId="0" fontId="20" fillId="0" borderId="0" xfId="0" applyFont="1"/>
    <xf numFmtId="0" fontId="0" fillId="0" borderId="0" xfId="0" applyAlignment="1">
      <alignment vertical="top"/>
    </xf>
    <xf numFmtId="0" fontId="5" fillId="0" borderId="2" xfId="0" applyFont="1" applyBorder="1" applyAlignment="1">
      <alignment horizontal="left" vertical="top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1" fontId="10" fillId="0" borderId="6" xfId="0" applyNumberFormat="1" applyFont="1" applyBorder="1" applyAlignment="1">
      <alignment horizontal="center" vertical="center" wrapText="1"/>
    </xf>
    <xf numFmtId="1" fontId="10" fillId="0" borderId="2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13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7" fillId="0" borderId="1" xfId="0" applyFont="1" applyBorder="1" applyAlignment="1">
      <alignment horizontal="left" vertical="top"/>
    </xf>
    <xf numFmtId="0" fontId="7" fillId="0" borderId="5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8" fillId="0" borderId="1" xfId="0" applyFont="1" applyBorder="1" applyAlignment="1">
      <alignment horizontal="left" vertical="top"/>
    </xf>
    <xf numFmtId="0" fontId="8" fillId="0" borderId="5" xfId="0" applyFont="1" applyBorder="1" applyAlignment="1">
      <alignment horizontal="left" vertical="top"/>
    </xf>
    <xf numFmtId="0" fontId="8" fillId="0" borderId="6" xfId="0" applyFont="1" applyBorder="1" applyAlignment="1">
      <alignment horizontal="left" vertical="top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/>
    </xf>
    <xf numFmtId="0" fontId="9" fillId="0" borderId="5" xfId="0" applyFont="1" applyBorder="1" applyAlignment="1">
      <alignment horizontal="left" vertical="top"/>
    </xf>
    <xf numFmtId="0" fontId="9" fillId="0" borderId="6" xfId="0" applyFont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5" fillId="0" borderId="6" xfId="0" applyFont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1" fontId="6" fillId="0" borderId="2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14" fontId="4" fillId="0" borderId="1" xfId="0" applyNumberFormat="1" applyFont="1" applyBorder="1" applyAlignment="1">
      <alignment horizontal="left" vertical="top"/>
    </xf>
    <xf numFmtId="14" fontId="4" fillId="0" borderId="5" xfId="0" applyNumberFormat="1" applyFont="1" applyBorder="1" applyAlignment="1">
      <alignment horizontal="left" vertical="top"/>
    </xf>
    <xf numFmtId="14" fontId="4" fillId="0" borderId="6" xfId="0" applyNumberFormat="1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6" fillId="0" borderId="1" xfId="4" applyFill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0" fontId="5" fillId="0" borderId="5" xfId="0" applyFont="1" applyBorder="1" applyAlignment="1">
      <alignment vertical="top"/>
    </xf>
    <xf numFmtId="0" fontId="5" fillId="0" borderId="6" xfId="0" applyFont="1" applyBorder="1" applyAlignment="1">
      <alignment vertical="top"/>
    </xf>
    <xf numFmtId="0" fontId="4" fillId="0" borderId="7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9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4" fillId="0" borderId="7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4" fillId="0" borderId="10" xfId="0" applyFont="1" applyBorder="1" applyAlignment="1">
      <alignment horizontal="left" vertical="top"/>
    </xf>
    <xf numFmtId="0" fontId="4" fillId="0" borderId="3" xfId="0" applyFont="1" applyBorder="1" applyAlignment="1">
      <alignment horizontal="left" vertical="top"/>
    </xf>
    <xf numFmtId="0" fontId="4" fillId="0" borderId="11" xfId="0" applyFont="1" applyBorder="1" applyAlignment="1">
      <alignment horizontal="left" vertical="top"/>
    </xf>
    <xf numFmtId="0" fontId="5" fillId="0" borderId="1" xfId="0" applyFont="1" applyBorder="1" applyAlignment="1">
      <alignment vertical="top"/>
    </xf>
    <xf numFmtId="0" fontId="3" fillId="0" borderId="1" xfId="2" applyFont="1" applyBorder="1" applyAlignment="1">
      <alignment horizontal="left" vertical="top" wrapText="1"/>
    </xf>
    <xf numFmtId="0" fontId="3" fillId="0" borderId="5" xfId="2" applyFont="1" applyBorder="1" applyAlignment="1">
      <alignment horizontal="left" vertical="top" wrapText="1"/>
    </xf>
    <xf numFmtId="0" fontId="3" fillId="0" borderId="6" xfId="2" applyFont="1" applyBorder="1" applyAlignment="1">
      <alignment horizontal="left" vertical="top" wrapText="1"/>
    </xf>
    <xf numFmtId="0" fontId="3" fillId="0" borderId="1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" xfId="0" applyFont="1" applyBorder="1" applyAlignment="1">
      <alignment vertical="top"/>
    </xf>
    <xf numFmtId="0" fontId="0" fillId="0" borderId="6" xfId="0" applyBorder="1" applyAlignment="1">
      <alignment horizontal="left"/>
    </xf>
    <xf numFmtId="0" fontId="4" fillId="0" borderId="2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5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9" fillId="0" borderId="1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9" fillId="0" borderId="6" xfId="0" applyFont="1" applyBorder="1" applyAlignment="1">
      <alignment horizontal="left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6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1" fontId="6" fillId="0" borderId="5" xfId="0" applyNumberFormat="1" applyFont="1" applyBorder="1" applyAlignment="1">
      <alignment horizontal="center" vertical="top" wrapText="1"/>
    </xf>
    <xf numFmtId="0" fontId="23" fillId="0" borderId="18" xfId="6" applyFont="1" applyBorder="1" applyAlignment="1" applyProtection="1">
      <alignment horizontal="center" vertical="top" wrapText="1"/>
      <protection locked="0"/>
    </xf>
    <xf numFmtId="0" fontId="23" fillId="0" borderId="1" xfId="6" applyFont="1" applyBorder="1" applyAlignment="1" applyProtection="1">
      <alignment horizontal="center" vertical="top" wrapText="1"/>
      <protection locked="0"/>
    </xf>
    <xf numFmtId="9" fontId="23" fillId="0" borderId="2" xfId="6" applyNumberFormat="1" applyFont="1" applyBorder="1" applyAlignment="1" applyProtection="1">
      <alignment horizontal="center" vertical="center" wrapText="1"/>
      <protection hidden="1"/>
    </xf>
    <xf numFmtId="1" fontId="6" fillId="0" borderId="2" xfId="0" applyNumberFormat="1" applyFont="1" applyBorder="1" applyAlignment="1">
      <alignment horizontal="center" vertical="top" wrapText="1"/>
    </xf>
    <xf numFmtId="0" fontId="23" fillId="0" borderId="21" xfId="6" applyFont="1" applyBorder="1" applyAlignment="1" applyProtection="1">
      <alignment horizontal="center" vertical="top" wrapText="1"/>
      <protection locked="0"/>
    </xf>
    <xf numFmtId="0" fontId="23" fillId="0" borderId="22" xfId="6" applyFont="1" applyBorder="1" applyAlignment="1" applyProtection="1">
      <alignment horizontal="center" vertical="top" wrapText="1"/>
      <protection locked="0"/>
    </xf>
    <xf numFmtId="9" fontId="23" fillId="0" borderId="23" xfId="6" applyNumberFormat="1" applyFont="1" applyBorder="1" applyAlignment="1" applyProtection="1">
      <alignment horizontal="center" vertical="center" wrapText="1"/>
      <protection hidden="1"/>
    </xf>
    <xf numFmtId="0" fontId="24" fillId="0" borderId="14" xfId="6" applyFont="1" applyBorder="1" applyAlignment="1" applyProtection="1">
      <alignment horizontal="center" vertical="top" wrapText="1"/>
      <protection locked="0"/>
    </xf>
    <xf numFmtId="0" fontId="24" fillId="0" borderId="15" xfId="6" applyFont="1" applyBorder="1" applyAlignment="1" applyProtection="1">
      <alignment horizontal="center" vertical="top" wrapText="1"/>
      <protection locked="0"/>
    </xf>
    <xf numFmtId="0" fontId="24" fillId="0" borderId="16" xfId="6" applyFont="1" applyBorder="1" applyAlignment="1" applyProtection="1">
      <alignment horizontal="left" vertical="top" wrapText="1"/>
      <protection locked="0"/>
    </xf>
    <xf numFmtId="0" fontId="24" fillId="0" borderId="17" xfId="6" applyFont="1" applyBorder="1" applyAlignment="1" applyProtection="1">
      <alignment horizontal="left" vertical="top" wrapText="1"/>
      <protection locked="0"/>
    </xf>
    <xf numFmtId="0" fontId="23" fillId="0" borderId="2" xfId="6" applyFont="1" applyBorder="1" applyAlignment="1" applyProtection="1">
      <alignment horizontal="center" vertical="top"/>
      <protection locked="0"/>
    </xf>
    <xf numFmtId="0" fontId="23" fillId="0" borderId="19" xfId="6" applyFont="1" applyBorder="1" applyAlignment="1" applyProtection="1">
      <alignment horizontal="center" vertical="top"/>
      <protection locked="0"/>
    </xf>
    <xf numFmtId="0" fontId="24" fillId="0" borderId="18" xfId="6" applyFont="1" applyBorder="1" applyAlignment="1" applyProtection="1">
      <alignment horizontal="left" vertical="top"/>
      <protection locked="0"/>
    </xf>
    <xf numFmtId="0" fontId="24" fillId="0" borderId="1" xfId="6" applyFont="1" applyBorder="1" applyAlignment="1" applyProtection="1">
      <alignment horizontal="left" vertical="top"/>
      <protection locked="0"/>
    </xf>
    <xf numFmtId="0" fontId="24" fillId="0" borderId="2" xfId="6" applyFont="1" applyBorder="1" applyAlignment="1" applyProtection="1">
      <alignment horizontal="left" vertical="top" wrapText="1"/>
      <protection locked="0"/>
    </xf>
    <xf numFmtId="0" fontId="24" fillId="0" borderId="19" xfId="6" applyFont="1" applyBorder="1" applyAlignment="1" applyProtection="1">
      <alignment horizontal="left" vertical="top" wrapText="1"/>
      <protection locked="0"/>
    </xf>
    <xf numFmtId="0" fontId="23" fillId="0" borderId="20" xfId="6" applyFont="1" applyBorder="1" applyAlignment="1" applyProtection="1">
      <alignment horizontal="center" vertical="top" wrapText="1"/>
      <protection locked="0"/>
    </xf>
    <xf numFmtId="0" fontId="23" fillId="0" borderId="5" xfId="6" applyFont="1" applyBorder="1" applyAlignment="1" applyProtection="1">
      <alignment horizontal="center" vertical="top" wrapText="1"/>
      <protection locked="0"/>
    </xf>
    <xf numFmtId="0" fontId="23" fillId="0" borderId="2" xfId="6" applyFont="1" applyBorder="1" applyAlignment="1" applyProtection="1">
      <alignment horizontal="center" vertical="top" wrapText="1"/>
      <protection locked="0"/>
    </xf>
    <xf numFmtId="0" fontId="23" fillId="0" borderId="19" xfId="6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9" fontId="23" fillId="0" borderId="19" xfId="6" applyNumberFormat="1" applyFont="1" applyBorder="1" applyAlignment="1" applyProtection="1">
      <alignment horizontal="center" vertical="center" wrapText="1"/>
      <protection hidden="1"/>
    </xf>
    <xf numFmtId="9" fontId="23" fillId="0" borderId="24" xfId="6" applyNumberFormat="1" applyFont="1" applyBorder="1" applyAlignment="1" applyProtection="1">
      <alignment horizontal="center" vertical="center" wrapText="1"/>
      <protection hidden="1"/>
    </xf>
    <xf numFmtId="0" fontId="24" fillId="0" borderId="2" xfId="6" applyFont="1" applyBorder="1" applyAlignment="1" applyProtection="1">
      <alignment horizontal="center" vertical="top" wrapText="1"/>
      <protection locked="0"/>
    </xf>
    <xf numFmtId="0" fontId="24" fillId="0" borderId="2" xfId="6" applyFont="1" applyBorder="1" applyAlignment="1" applyProtection="1">
      <alignment horizontal="left" vertical="top"/>
      <protection locked="0"/>
    </xf>
    <xf numFmtId="0" fontId="17" fillId="0" borderId="2" xfId="7" applyFont="1" applyBorder="1" applyAlignment="1">
      <alignment horizontal="left"/>
    </xf>
    <xf numFmtId="0" fontId="0" fillId="2" borderId="2" xfId="0" applyFill="1" applyBorder="1" applyAlignment="1">
      <alignment horizontal="center" wrapText="1"/>
    </xf>
    <xf numFmtId="0" fontId="17" fillId="0" borderId="2" xfId="0" applyFont="1" applyBorder="1" applyAlignment="1">
      <alignment horizontal="center"/>
    </xf>
    <xf numFmtId="0" fontId="23" fillId="0" borderId="18" xfId="6" applyFont="1" applyBorder="1" applyAlignment="1" applyProtection="1">
      <alignment horizontal="center" vertical="top"/>
      <protection locked="0"/>
    </xf>
    <xf numFmtId="0" fontId="23" fillId="0" borderId="1" xfId="6" applyFont="1" applyBorder="1" applyAlignment="1" applyProtection="1">
      <alignment horizontal="center" vertical="top"/>
      <protection locked="0"/>
    </xf>
  </cellXfs>
  <cellStyles count="8">
    <cellStyle name="Comma 2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Normal 3" xfId="6" xr:uid="{00000000-0005-0000-0000-000006000000}"/>
    <cellStyle name="Normal 4" xfId="7" xr:uid="{00000000-0005-0000-0000-00000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271</xdr:row>
      <xdr:rowOff>0</xdr:rowOff>
    </xdr:from>
    <xdr:to>
      <xdr:col>9</xdr:col>
      <xdr:colOff>47625</xdr:colOff>
      <xdr:row>291</xdr:row>
      <xdr:rowOff>76201</xdr:rowOff>
    </xdr:to>
    <xdr:pic>
      <xdr:nvPicPr>
        <xdr:cNvPr id="2012" name="Picture 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53139975"/>
          <a:ext cx="5581650" cy="38862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293</xdr:row>
      <xdr:rowOff>0</xdr:rowOff>
    </xdr:from>
    <xdr:to>
      <xdr:col>9</xdr:col>
      <xdr:colOff>47625</xdr:colOff>
      <xdr:row>311</xdr:row>
      <xdr:rowOff>0</xdr:rowOff>
    </xdr:to>
    <xdr:pic>
      <xdr:nvPicPr>
        <xdr:cNvPr id="2013" name="Picture 2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57330975"/>
          <a:ext cx="5581650" cy="3429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286314</xdr:colOff>
      <xdr:row>240</xdr:row>
      <xdr:rowOff>18447</xdr:rowOff>
    </xdr:from>
    <xdr:to>
      <xdr:col>13</xdr:col>
      <xdr:colOff>593197</xdr:colOff>
      <xdr:row>241</xdr:row>
      <xdr:rowOff>92507</xdr:rowOff>
    </xdr:to>
    <xdr:sp macro="" textlink="">
      <xdr:nvSpPr>
        <xdr:cNvPr id="36" name="TextBox 8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7210989" y="52034472"/>
          <a:ext cx="916483" cy="264560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 b="1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Wing C</a:t>
          </a:r>
        </a:p>
      </xdr:txBody>
    </xdr:sp>
    <xdr:clientData/>
  </xdr:twoCellAnchor>
  <xdr:twoCellAnchor>
    <xdr:from>
      <xdr:col>17</xdr:col>
      <xdr:colOff>239299</xdr:colOff>
      <xdr:row>240</xdr:row>
      <xdr:rowOff>18447</xdr:rowOff>
    </xdr:from>
    <xdr:to>
      <xdr:col>18</xdr:col>
      <xdr:colOff>546182</xdr:colOff>
      <xdr:row>241</xdr:row>
      <xdr:rowOff>92507</xdr:rowOff>
    </xdr:to>
    <xdr:sp macro="" textlink="">
      <xdr:nvSpPr>
        <xdr:cNvPr id="37" name="TextBox 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10211974" y="52034472"/>
          <a:ext cx="916483" cy="264560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sz="1100" b="1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Wing D</a:t>
          </a:r>
        </a:p>
      </xdr:txBody>
    </xdr:sp>
    <xdr:clientData/>
  </xdr:twoCellAnchor>
  <xdr:twoCellAnchor>
    <xdr:from>
      <xdr:col>14</xdr:col>
      <xdr:colOff>279400</xdr:colOff>
      <xdr:row>225</xdr:row>
      <xdr:rowOff>21590</xdr:rowOff>
    </xdr:from>
    <xdr:to>
      <xdr:col>22</xdr:col>
      <xdr:colOff>402951</xdr:colOff>
      <xdr:row>267</xdr:row>
      <xdr:rowOff>48020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C96D85C-163B-891D-C5F9-9FF895D1A603}"/>
            </a:ext>
          </a:extLst>
        </xdr:cNvPr>
        <xdr:cNvGrpSpPr/>
      </xdr:nvGrpSpPr>
      <xdr:grpSpPr>
        <a:xfrm>
          <a:off x="8661400" y="49757330"/>
          <a:ext cx="4550771" cy="7707390"/>
          <a:chOff x="652780" y="48850550"/>
          <a:chExt cx="5183231" cy="7707390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10508" y="56021750"/>
            <a:ext cx="1187705" cy="53619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52780" y="48850550"/>
            <a:ext cx="955073" cy="214603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14582" y="48850550"/>
            <a:ext cx="951263" cy="214603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59874" y="48850550"/>
            <a:ext cx="963963" cy="214603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38575" y="56021750"/>
            <a:ext cx="1164677" cy="53619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80938" y="48850550"/>
            <a:ext cx="955073" cy="214603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48306" y="51118125"/>
            <a:ext cx="3532632" cy="160857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48306" y="52814050"/>
            <a:ext cx="3532632" cy="160857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76907" y="54502355"/>
            <a:ext cx="3132921" cy="143111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19136" y="48850550"/>
            <a:ext cx="955073" cy="214603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55" name="TextBox 8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/>
        </xdr:nvSpPr>
        <xdr:spPr>
          <a:xfrm>
            <a:off x="868681" y="50534570"/>
            <a:ext cx="607059" cy="26329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0" anchor="t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100" b="1" cap="none" spc="0">
                <a:ln w="0"/>
                <a:solidFill>
                  <a:srgbClr val="FFFF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Wing A</a:t>
            </a:r>
          </a:p>
        </xdr:txBody>
      </xdr:sp>
      <xdr:sp macro="" textlink="">
        <xdr:nvSpPr>
          <xdr:cNvPr id="58" name="TextBox 8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/>
        </xdr:nvSpPr>
        <xdr:spPr>
          <a:xfrm>
            <a:off x="2091256" y="52089675"/>
            <a:ext cx="603249" cy="26202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0" anchor="t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100" b="1" cap="none" spc="0">
                <a:ln w="0"/>
                <a:solidFill>
                  <a:srgbClr val="FFFF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Wing B</a:t>
            </a:r>
          </a:p>
        </xdr:txBody>
      </xdr:sp>
      <xdr:sp macro="" textlink="">
        <xdr:nvSpPr>
          <xdr:cNvPr id="59" name="TextBox 8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/>
        </xdr:nvSpPr>
        <xdr:spPr>
          <a:xfrm>
            <a:off x="2103956" y="55537405"/>
            <a:ext cx="603249" cy="26202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0" anchor="t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100" b="1" cap="none" spc="0">
                <a:ln w="0"/>
                <a:solidFill>
                  <a:srgbClr val="FFFF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Wing D</a:t>
            </a:r>
          </a:p>
        </xdr:txBody>
      </xdr:sp>
    </xdr:grpSp>
    <xdr:clientData/>
  </xdr:twoCellAnchor>
  <xdr:twoCellAnchor editAs="oneCell">
    <xdr:from>
      <xdr:col>11</xdr:col>
      <xdr:colOff>297180</xdr:colOff>
      <xdr:row>212</xdr:row>
      <xdr:rowOff>982980</xdr:rowOff>
    </xdr:from>
    <xdr:to>
      <xdr:col>17</xdr:col>
      <xdr:colOff>102420</xdr:colOff>
      <xdr:row>212</xdr:row>
      <xdr:rowOff>3007980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6279F3-607C-21DB-3CEE-78E124C71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81800" y="44668440"/>
          <a:ext cx="3600000" cy="2025000"/>
        </a:xfrm>
        <a:prstGeom prst="rect">
          <a:avLst/>
        </a:prstGeom>
      </xdr:spPr>
    </xdr:pic>
    <xdr:clientData/>
  </xdr:twoCellAnchor>
  <xdr:twoCellAnchor>
    <xdr:from>
      <xdr:col>0</xdr:col>
      <xdr:colOff>175261</xdr:colOff>
      <xdr:row>226</xdr:row>
      <xdr:rowOff>15240</xdr:rowOff>
    </xdr:from>
    <xdr:to>
      <xdr:col>9</xdr:col>
      <xdr:colOff>228601</xdr:colOff>
      <xdr:row>259</xdr:row>
      <xdr:rowOff>77106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BDA48482-12F8-806B-6E7A-E1F96146227D}"/>
            </a:ext>
          </a:extLst>
        </xdr:cNvPr>
        <xdr:cNvGrpSpPr/>
      </xdr:nvGrpSpPr>
      <xdr:grpSpPr>
        <a:xfrm>
          <a:off x="175261" y="49933860"/>
          <a:ext cx="5920740" cy="6096906"/>
          <a:chOff x="-123004" y="138635"/>
          <a:chExt cx="7485915" cy="7270386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C553DF1C-03AE-61C2-20B0-674F134F0F2B}"/>
              </a:ext>
            </a:extLst>
          </xdr:cNvPr>
          <xdr:cNvGrpSpPr/>
        </xdr:nvGrpSpPr>
        <xdr:grpSpPr>
          <a:xfrm>
            <a:off x="890094" y="5606552"/>
            <a:ext cx="5459719" cy="1802469"/>
            <a:chOff x="-380997" y="5606552"/>
            <a:chExt cx="5459719" cy="1802469"/>
          </a:xfrm>
        </xdr:grpSpPr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295C7916-80B6-5A3D-E7CB-EA7FC25C68B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99301" y="5606552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872A8372-0E83-D3EE-70E3-21045CA12E6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730128" y="5606552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EAC0A2BD-88AC-A75A-7AD2-7A5051EE12E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-380997" y="5609021"/>
              <a:ext cx="239806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CA2A2E85-C9A4-7312-C55F-B9EB4F46AD3B}"/>
              </a:ext>
            </a:extLst>
          </xdr:cNvPr>
          <xdr:cNvGrpSpPr/>
        </xdr:nvGrpSpPr>
        <xdr:grpSpPr>
          <a:xfrm>
            <a:off x="-123004" y="138635"/>
            <a:ext cx="7485915" cy="2520000"/>
            <a:chOff x="134989" y="138635"/>
            <a:chExt cx="7485915" cy="2520000"/>
          </a:xfrm>
        </xdr:grpSpPr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DA8E4520-3594-3B07-E51C-EAF77D610EE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32873" y="138635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C40D49AF-213F-230D-E010-5A96130B0DE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668561" y="138635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5163D3D4-83E2-3A35-2BFC-0E4A2BC4ACE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34989" y="138635"/>
              <a:ext cx="335729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5E7DA5B-451A-B697-D0A0-901D2B291D70}"/>
              </a:ext>
            </a:extLst>
          </xdr:cNvPr>
          <xdr:cNvGrpSpPr/>
        </xdr:nvGrpSpPr>
        <xdr:grpSpPr>
          <a:xfrm>
            <a:off x="-123004" y="2873828"/>
            <a:ext cx="7485915" cy="2520000"/>
            <a:chOff x="134989" y="2873828"/>
            <a:chExt cx="7485915" cy="2520000"/>
          </a:xfrm>
        </xdr:grpSpPr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A6744A82-3798-1505-1F18-E509D913C4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32873" y="2873828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5C1CD4EF-06F9-BEF0-7073-C3B654102D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99301" y="2873828"/>
              <a:ext cx="335729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1FBB6C8D-10A3-5B32-CC1F-79E8B84EE64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34989" y="2873828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14" name="TextBox 19">
              <a:extLst>
                <a:ext uri="{FF2B5EF4-FFF2-40B4-BE49-F238E27FC236}">
                  <a16:creationId xmlns:a16="http://schemas.microsoft.com/office/drawing/2014/main" id="{4FDF17EC-0DCD-F66A-9AA0-F61893A334C6}"/>
                </a:ext>
              </a:extLst>
            </xdr:cNvPr>
            <xdr:cNvSpPr txBox="1"/>
          </xdr:nvSpPr>
          <xdr:spPr>
            <a:xfrm>
              <a:off x="6208323" y="4648147"/>
              <a:ext cx="1133182" cy="44615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IN" b="1"/>
                <a:t>Wing A</a:t>
              </a: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38100</xdr:rowOff>
    </xdr:from>
    <xdr:to>
      <xdr:col>6</xdr:col>
      <xdr:colOff>352425</xdr:colOff>
      <xdr:row>30</xdr:row>
      <xdr:rowOff>19050</xdr:rowOff>
    </xdr:to>
    <xdr:pic>
      <xdr:nvPicPr>
        <xdr:cNvPr id="4247" name="Picture 1">
          <a:extLst>
            <a:ext uri="{FF2B5EF4-FFF2-40B4-BE49-F238E27FC236}">
              <a16:creationId xmlns:a16="http://schemas.microsoft.com/office/drawing/2014/main" id="{00000000-0008-0000-0100-00009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133600"/>
          <a:ext cx="6753225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38100</xdr:rowOff>
    </xdr:from>
    <xdr:to>
      <xdr:col>6</xdr:col>
      <xdr:colOff>352425</xdr:colOff>
      <xdr:row>50</xdr:row>
      <xdr:rowOff>19050</xdr:rowOff>
    </xdr:to>
    <xdr:pic>
      <xdr:nvPicPr>
        <xdr:cNvPr id="4248" name="Picture 2">
          <a:extLst>
            <a:ext uri="{FF2B5EF4-FFF2-40B4-BE49-F238E27FC236}">
              <a16:creationId xmlns:a16="http://schemas.microsoft.com/office/drawing/2014/main" id="{00000000-0008-0000-0100-00009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5943600"/>
          <a:ext cx="6753225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609600</xdr:colOff>
      <xdr:row>11</xdr:row>
      <xdr:rowOff>38100</xdr:rowOff>
    </xdr:from>
    <xdr:to>
      <xdr:col>16</xdr:col>
      <xdr:colOff>209550</xdr:colOff>
      <xdr:row>30</xdr:row>
      <xdr:rowOff>19050</xdr:rowOff>
    </xdr:to>
    <xdr:pic>
      <xdr:nvPicPr>
        <xdr:cNvPr id="4249" name="Picture 3">
          <a:extLst>
            <a:ext uri="{FF2B5EF4-FFF2-40B4-BE49-F238E27FC236}">
              <a16:creationId xmlns:a16="http://schemas.microsoft.com/office/drawing/2014/main" id="{00000000-0008-0000-0100-00009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1425" y="2133600"/>
          <a:ext cx="6753225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609600</xdr:colOff>
      <xdr:row>31</xdr:row>
      <xdr:rowOff>38100</xdr:rowOff>
    </xdr:from>
    <xdr:to>
      <xdr:col>16</xdr:col>
      <xdr:colOff>209550</xdr:colOff>
      <xdr:row>50</xdr:row>
      <xdr:rowOff>19050</xdr:rowOff>
    </xdr:to>
    <xdr:pic>
      <xdr:nvPicPr>
        <xdr:cNvPr id="4250" name="Picture 4">
          <a:extLst>
            <a:ext uri="{FF2B5EF4-FFF2-40B4-BE49-F238E27FC236}">
              <a16:creationId xmlns:a16="http://schemas.microsoft.com/office/drawing/2014/main" id="{00000000-0008-0000-0100-00009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1425" y="5943600"/>
          <a:ext cx="6753225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466725</xdr:colOff>
      <xdr:row>11</xdr:row>
      <xdr:rowOff>0</xdr:rowOff>
    </xdr:from>
    <xdr:to>
      <xdr:col>28</xdr:col>
      <xdr:colOff>247650</xdr:colOff>
      <xdr:row>29</xdr:row>
      <xdr:rowOff>171450</xdr:rowOff>
    </xdr:to>
    <xdr:pic>
      <xdr:nvPicPr>
        <xdr:cNvPr id="4251" name="Picture 5">
          <a:extLst>
            <a:ext uri="{FF2B5EF4-FFF2-40B4-BE49-F238E27FC236}">
              <a16:creationId xmlns:a16="http://schemas.microsoft.com/office/drawing/2014/main" id="{00000000-0008-0000-0100-00009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1825" y="2095500"/>
          <a:ext cx="6753225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295275</xdr:colOff>
      <xdr:row>4</xdr:row>
      <xdr:rowOff>0</xdr:rowOff>
    </xdr:from>
    <xdr:to>
      <xdr:col>12</xdr:col>
      <xdr:colOff>485775</xdr:colOff>
      <xdr:row>27</xdr:row>
      <xdr:rowOff>123825</xdr:rowOff>
    </xdr:to>
    <xdr:pic>
      <xdr:nvPicPr>
        <xdr:cNvPr id="5125" name="Picture 1">
          <a:extLst>
            <a:ext uri="{FF2B5EF4-FFF2-40B4-BE49-F238E27FC236}">
              <a16:creationId xmlns:a16="http://schemas.microsoft.com/office/drawing/2014/main" id="{00000000-0008-0000-0200-00000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762000"/>
          <a:ext cx="3238500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7</xdr:col>
      <xdr:colOff>190500</xdr:colOff>
      <xdr:row>27</xdr:row>
      <xdr:rowOff>123825</xdr:rowOff>
    </xdr:to>
    <xdr:pic>
      <xdr:nvPicPr>
        <xdr:cNvPr id="5126" name="Picture 2">
          <a:extLst>
            <a:ext uri="{FF2B5EF4-FFF2-40B4-BE49-F238E27FC236}">
              <a16:creationId xmlns:a16="http://schemas.microsoft.com/office/drawing/2014/main" id="{00000000-0008-0000-0200-00000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2100" y="762000"/>
          <a:ext cx="3238500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12</xdr:row>
      <xdr:rowOff>0</xdr:rowOff>
    </xdr:from>
    <xdr:to>
      <xdr:col>11</xdr:col>
      <xdr:colOff>400050</xdr:colOff>
      <xdr:row>21</xdr:row>
      <xdr:rowOff>66675</xdr:rowOff>
    </xdr:to>
    <xdr:pic>
      <xdr:nvPicPr>
        <xdr:cNvPr id="3185" name="Picture 1">
          <a:extLst>
            <a:ext uri="{FF2B5EF4-FFF2-40B4-BE49-F238E27FC236}">
              <a16:creationId xmlns:a16="http://schemas.microsoft.com/office/drawing/2014/main" id="{00000000-0008-0000-03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57850" y="2286000"/>
          <a:ext cx="1619250" cy="21621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457200</xdr:colOff>
      <xdr:row>12</xdr:row>
      <xdr:rowOff>0</xdr:rowOff>
    </xdr:from>
    <xdr:to>
      <xdr:col>14</xdr:col>
      <xdr:colOff>247650</xdr:colOff>
      <xdr:row>21</xdr:row>
      <xdr:rowOff>66675</xdr:rowOff>
    </xdr:to>
    <xdr:pic>
      <xdr:nvPicPr>
        <xdr:cNvPr id="3186" name="Picture 2">
          <a:extLst>
            <a:ext uri="{FF2B5EF4-FFF2-40B4-BE49-F238E27FC236}">
              <a16:creationId xmlns:a16="http://schemas.microsoft.com/office/drawing/2014/main" id="{00000000-0008-0000-03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0" y="2286000"/>
          <a:ext cx="1619250" cy="21621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KJm6KDDSeCPzhCVx7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70"/>
  <sheetViews>
    <sheetView tabSelected="1" view="pageBreakPreview" topLeftCell="A64" zoomScaleNormal="100" zoomScaleSheetLayoutView="100" zoomScalePageLayoutView="85" workbookViewId="0">
      <selection activeCell="Q72" sqref="Q72"/>
    </sheetView>
  </sheetViews>
  <sheetFormatPr defaultColWidth="9.21875" defaultRowHeight="14.4" x14ac:dyDescent="0.3"/>
  <cols>
    <col min="1" max="1" width="8.77734375" customWidth="1"/>
    <col min="2" max="2" width="9.77734375" customWidth="1"/>
    <col min="3" max="3" width="14.44140625" customWidth="1"/>
    <col min="4" max="4" width="7.21875" customWidth="1"/>
    <col min="5" max="5" width="5.5546875" customWidth="1"/>
    <col min="6" max="6" width="9" customWidth="1"/>
    <col min="7" max="8" width="9.77734375" customWidth="1"/>
    <col min="9" max="9" width="11.21875" customWidth="1"/>
    <col min="10" max="10" width="5.44140625" customWidth="1"/>
    <col min="11" max="11" width="3.5546875" customWidth="1"/>
    <col min="20" max="20" width="0" hidden="1" customWidth="1"/>
  </cols>
  <sheetData>
    <row r="1" spans="1:10" ht="43.95" customHeight="1" x14ac:dyDescent="0.3">
      <c r="A1" s="164" t="s">
        <v>252</v>
      </c>
      <c r="B1" s="165"/>
      <c r="C1" s="165"/>
      <c r="D1" s="165"/>
      <c r="E1" s="165"/>
      <c r="F1" s="165"/>
      <c r="G1" s="165"/>
      <c r="H1" s="165"/>
      <c r="I1" s="165"/>
      <c r="J1" s="166"/>
    </row>
    <row r="2" spans="1:10" x14ac:dyDescent="0.3">
      <c r="A2" s="92" t="s">
        <v>44</v>
      </c>
      <c r="B2" s="93"/>
      <c r="C2" s="93"/>
      <c r="D2" s="93"/>
      <c r="E2" s="93"/>
      <c r="F2" s="93"/>
      <c r="G2" s="93"/>
      <c r="H2" s="93"/>
      <c r="I2" s="93"/>
      <c r="J2" s="94"/>
    </row>
    <row r="3" spans="1:10" x14ac:dyDescent="0.3">
      <c r="A3" s="95" t="s">
        <v>0</v>
      </c>
      <c r="B3" s="86"/>
      <c r="C3" s="86"/>
      <c r="D3" s="86"/>
      <c r="E3" s="87"/>
      <c r="F3" s="96" t="str">
        <f ca="1">TEXT(TODAY(),"DD/MM/YYYY")</f>
        <v>18/08/2025</v>
      </c>
      <c r="G3" s="97"/>
      <c r="H3" s="97"/>
      <c r="I3" s="97"/>
      <c r="J3" s="98"/>
    </row>
    <row r="4" spans="1:10" x14ac:dyDescent="0.3">
      <c r="A4" s="95" t="s">
        <v>1</v>
      </c>
      <c r="B4" s="86"/>
      <c r="C4" s="86"/>
      <c r="D4" s="86"/>
      <c r="E4" s="87"/>
      <c r="F4" s="85" t="s">
        <v>117</v>
      </c>
      <c r="G4" s="99"/>
      <c r="H4" s="99"/>
      <c r="I4" s="99"/>
      <c r="J4" s="100"/>
    </row>
    <row r="5" spans="1:10" x14ac:dyDescent="0.3">
      <c r="A5" s="95" t="s">
        <v>2</v>
      </c>
      <c r="B5" s="86"/>
      <c r="C5" s="86"/>
      <c r="D5" s="86"/>
      <c r="E5" s="87"/>
      <c r="F5" s="96">
        <v>45882</v>
      </c>
      <c r="G5" s="97"/>
      <c r="H5" s="97"/>
      <c r="I5" s="97"/>
      <c r="J5" s="98"/>
    </row>
    <row r="6" spans="1:10" ht="16.5" customHeight="1" x14ac:dyDescent="0.3">
      <c r="A6" s="95" t="s">
        <v>3</v>
      </c>
      <c r="B6" s="86"/>
      <c r="C6" s="86"/>
      <c r="D6" s="86"/>
      <c r="E6" s="87"/>
      <c r="F6" s="88" t="s">
        <v>119</v>
      </c>
      <c r="G6" s="89"/>
      <c r="H6" s="89"/>
      <c r="I6" s="89"/>
      <c r="J6" s="90"/>
    </row>
    <row r="7" spans="1:10" ht="15" customHeight="1" x14ac:dyDescent="0.3">
      <c r="A7" s="95" t="s">
        <v>4</v>
      </c>
      <c r="B7" s="86"/>
      <c r="C7" s="86"/>
      <c r="D7" s="86"/>
      <c r="E7" s="87"/>
      <c r="F7" s="88" t="s">
        <v>118</v>
      </c>
      <c r="G7" s="89"/>
      <c r="H7" s="89"/>
      <c r="I7" s="89"/>
      <c r="J7" s="90"/>
    </row>
    <row r="8" spans="1:10" x14ac:dyDescent="0.3">
      <c r="A8" s="95" t="s">
        <v>5</v>
      </c>
      <c r="B8" s="86"/>
      <c r="C8" s="86"/>
      <c r="D8" s="86"/>
      <c r="E8" s="87"/>
      <c r="F8" s="105" t="s">
        <v>253</v>
      </c>
      <c r="G8" s="106"/>
      <c r="H8" s="106"/>
      <c r="I8" s="106"/>
      <c r="J8" s="107"/>
    </row>
    <row r="9" spans="1:10" x14ac:dyDescent="0.3">
      <c r="A9" s="85" t="s">
        <v>109</v>
      </c>
      <c r="B9" s="86"/>
      <c r="C9" s="86"/>
      <c r="D9" s="86"/>
      <c r="E9" s="87"/>
      <c r="F9" s="85" t="s">
        <v>120</v>
      </c>
      <c r="G9" s="99"/>
      <c r="H9" s="99"/>
      <c r="I9" s="99"/>
      <c r="J9" s="100"/>
    </row>
    <row r="10" spans="1:10" x14ac:dyDescent="0.3">
      <c r="A10" s="85" t="s">
        <v>110</v>
      </c>
      <c r="B10" s="99"/>
      <c r="C10" s="99"/>
      <c r="D10" s="99"/>
      <c r="E10" s="100"/>
      <c r="F10" s="85" t="s">
        <v>121</v>
      </c>
      <c r="G10" s="99"/>
      <c r="H10" s="99"/>
      <c r="I10" s="99"/>
      <c r="J10" s="100"/>
    </row>
    <row r="11" spans="1:10" x14ac:dyDescent="0.3">
      <c r="A11" s="95" t="s">
        <v>6</v>
      </c>
      <c r="B11" s="86"/>
      <c r="C11" s="86"/>
      <c r="D11" s="86"/>
      <c r="E11" s="87"/>
      <c r="F11" s="88" t="s">
        <v>122</v>
      </c>
      <c r="G11" s="89"/>
      <c r="H11" s="89"/>
      <c r="I11" s="89"/>
      <c r="J11" s="90"/>
    </row>
    <row r="12" spans="1:10" x14ac:dyDescent="0.3">
      <c r="A12" s="85" t="s">
        <v>208</v>
      </c>
      <c r="B12" s="86"/>
      <c r="C12" s="86"/>
      <c r="D12" s="86"/>
      <c r="E12" s="87"/>
      <c r="F12" s="88" t="s">
        <v>209</v>
      </c>
      <c r="G12" s="89"/>
      <c r="H12" s="89"/>
      <c r="I12" s="89"/>
      <c r="J12" s="90"/>
    </row>
    <row r="13" spans="1:10" ht="31.5" customHeight="1" x14ac:dyDescent="0.3">
      <c r="A13" s="101" t="s">
        <v>64</v>
      </c>
      <c r="B13" s="101"/>
      <c r="C13" s="88" t="s">
        <v>123</v>
      </c>
      <c r="D13" s="89"/>
      <c r="E13" s="89"/>
      <c r="F13" s="89"/>
      <c r="G13" s="89"/>
      <c r="H13" s="89"/>
      <c r="I13" s="89"/>
      <c r="J13" s="90"/>
    </row>
    <row r="14" spans="1:10" x14ac:dyDescent="0.3">
      <c r="A14" s="39" t="s">
        <v>111</v>
      </c>
      <c r="B14" s="85" t="s">
        <v>124</v>
      </c>
      <c r="C14" s="99"/>
      <c r="D14" s="100"/>
      <c r="E14" s="123" t="s">
        <v>207</v>
      </c>
      <c r="F14" s="124"/>
      <c r="G14" s="41" t="s">
        <v>125</v>
      </c>
      <c r="H14" s="3" t="s">
        <v>65</v>
      </c>
      <c r="I14" s="125" t="s">
        <v>126</v>
      </c>
      <c r="J14" s="126"/>
    </row>
    <row r="15" spans="1:10" x14ac:dyDescent="0.3">
      <c r="A15" s="1" t="s">
        <v>7</v>
      </c>
      <c r="B15" s="85" t="s">
        <v>127</v>
      </c>
      <c r="C15" s="99"/>
      <c r="D15" s="99"/>
      <c r="E15" s="100"/>
      <c r="F15" s="2" t="s">
        <v>66</v>
      </c>
      <c r="G15" s="85" t="s">
        <v>128</v>
      </c>
      <c r="H15" s="99"/>
      <c r="I15" s="99"/>
      <c r="J15" s="100"/>
    </row>
    <row r="16" spans="1:10" x14ac:dyDescent="0.3">
      <c r="A16" s="1" t="s">
        <v>8</v>
      </c>
      <c r="B16" s="85" t="s">
        <v>128</v>
      </c>
      <c r="C16" s="99"/>
      <c r="D16" s="99"/>
      <c r="E16" s="100"/>
      <c r="F16" s="2" t="s">
        <v>67</v>
      </c>
      <c r="G16" s="85" t="s">
        <v>130</v>
      </c>
      <c r="H16" s="99"/>
      <c r="I16" s="99"/>
      <c r="J16" s="100"/>
    </row>
    <row r="17" spans="1:10" ht="32.25" customHeight="1" x14ac:dyDescent="0.3">
      <c r="A17" s="101" t="s">
        <v>68</v>
      </c>
      <c r="B17" s="101"/>
      <c r="C17" s="101" t="s">
        <v>129</v>
      </c>
      <c r="D17" s="101"/>
      <c r="E17" s="101"/>
      <c r="F17" s="122" t="s">
        <v>53</v>
      </c>
      <c r="G17" s="122"/>
      <c r="H17" s="89" t="s">
        <v>157</v>
      </c>
      <c r="I17" s="89"/>
      <c r="J17" s="90"/>
    </row>
    <row r="18" spans="1:10" ht="15" customHeight="1" x14ac:dyDescent="0.3">
      <c r="A18" s="111" t="s">
        <v>112</v>
      </c>
      <c r="B18" s="117"/>
      <c r="C18" s="117"/>
      <c r="D18" s="117"/>
      <c r="E18" s="118"/>
      <c r="F18" s="131" t="s">
        <v>62</v>
      </c>
      <c r="G18" s="132"/>
      <c r="H18" s="132"/>
      <c r="I18" s="132"/>
      <c r="J18" s="133"/>
    </row>
    <row r="19" spans="1:10" ht="31.5" customHeight="1" x14ac:dyDescent="0.3">
      <c r="A19" s="119"/>
      <c r="B19" s="120"/>
      <c r="C19" s="120"/>
      <c r="D19" s="120"/>
      <c r="E19" s="121"/>
      <c r="F19" s="134"/>
      <c r="G19" s="135"/>
      <c r="H19" s="135"/>
      <c r="I19" s="135"/>
      <c r="J19" s="136"/>
    </row>
    <row r="20" spans="1:10" ht="15" customHeight="1" x14ac:dyDescent="0.3">
      <c r="A20" s="111" t="s">
        <v>113</v>
      </c>
      <c r="B20" s="112"/>
      <c r="C20" s="112"/>
      <c r="D20" s="112"/>
      <c r="E20" s="113"/>
      <c r="F20" s="111" t="s">
        <v>46</v>
      </c>
      <c r="G20" s="117"/>
      <c r="H20" s="117"/>
      <c r="I20" s="117"/>
      <c r="J20" s="118"/>
    </row>
    <row r="21" spans="1:10" x14ac:dyDescent="0.3">
      <c r="A21" s="114"/>
      <c r="B21" s="115"/>
      <c r="C21" s="115"/>
      <c r="D21" s="115"/>
      <c r="E21" s="116"/>
      <c r="F21" s="119"/>
      <c r="G21" s="120"/>
      <c r="H21" s="120"/>
      <c r="I21" s="120"/>
      <c r="J21" s="121"/>
    </row>
    <row r="22" spans="1:10" ht="18" customHeight="1" x14ac:dyDescent="0.3">
      <c r="A22" s="95" t="s">
        <v>9</v>
      </c>
      <c r="B22" s="86"/>
      <c r="C22" s="86"/>
      <c r="D22" s="86"/>
      <c r="E22" s="87"/>
      <c r="F22" s="168" t="s">
        <v>131</v>
      </c>
      <c r="G22" s="169"/>
      <c r="H22" s="169"/>
      <c r="I22" s="169"/>
      <c r="J22" s="170"/>
    </row>
    <row r="23" spans="1:10" x14ac:dyDescent="0.3">
      <c r="A23" s="95" t="s">
        <v>10</v>
      </c>
      <c r="B23" s="86"/>
      <c r="C23" s="86"/>
      <c r="D23" s="86"/>
      <c r="E23" s="87"/>
      <c r="F23" s="108" t="s">
        <v>54</v>
      </c>
      <c r="G23" s="127"/>
      <c r="H23" s="127"/>
      <c r="I23" s="127"/>
      <c r="J23" s="128"/>
    </row>
    <row r="24" spans="1:10" ht="21" customHeight="1" x14ac:dyDescent="0.3">
      <c r="A24" s="95" t="s">
        <v>11</v>
      </c>
      <c r="B24" s="86"/>
      <c r="C24" s="86"/>
      <c r="D24" s="86"/>
      <c r="E24" s="87"/>
      <c r="F24" s="168" t="s">
        <v>132</v>
      </c>
      <c r="G24" s="169"/>
      <c r="H24" s="169"/>
      <c r="I24" s="169"/>
      <c r="J24" s="170"/>
    </row>
    <row r="25" spans="1:10" x14ac:dyDescent="0.3">
      <c r="A25" s="95" t="s">
        <v>28</v>
      </c>
      <c r="B25" s="86"/>
      <c r="C25" s="86"/>
      <c r="D25" s="86"/>
      <c r="E25" s="87"/>
      <c r="F25" s="108" t="s">
        <v>69</v>
      </c>
      <c r="G25" s="109"/>
      <c r="H25" s="109"/>
      <c r="I25" s="109"/>
      <c r="J25" s="110"/>
    </row>
    <row r="26" spans="1:10" x14ac:dyDescent="0.3">
      <c r="A26" s="129" t="s">
        <v>12</v>
      </c>
      <c r="B26" s="130"/>
      <c r="C26" s="129" t="s">
        <v>13</v>
      </c>
      <c r="D26" s="130"/>
      <c r="E26" s="102" t="s">
        <v>14</v>
      </c>
      <c r="F26" s="130"/>
      <c r="G26" s="102" t="s">
        <v>52</v>
      </c>
      <c r="H26" s="103"/>
      <c r="I26" s="129" t="s">
        <v>15</v>
      </c>
      <c r="J26" s="130"/>
    </row>
    <row r="27" spans="1:10" x14ac:dyDescent="0.3">
      <c r="A27" s="102" t="s">
        <v>16</v>
      </c>
      <c r="B27" s="103"/>
      <c r="C27" s="102" t="s">
        <v>51</v>
      </c>
      <c r="D27" s="103"/>
      <c r="E27" s="102" t="s">
        <v>51</v>
      </c>
      <c r="F27" s="103"/>
      <c r="G27" s="102" t="s">
        <v>51</v>
      </c>
      <c r="H27" s="103"/>
      <c r="I27" s="102" t="s">
        <v>51</v>
      </c>
      <c r="J27" s="103"/>
    </row>
    <row r="28" spans="1:10" x14ac:dyDescent="0.3">
      <c r="A28" s="129" t="s">
        <v>17</v>
      </c>
      <c r="B28" s="130"/>
      <c r="C28" s="102" t="s">
        <v>133</v>
      </c>
      <c r="D28" s="103"/>
      <c r="E28" s="102" t="s">
        <v>7</v>
      </c>
      <c r="F28" s="103"/>
      <c r="G28" s="102" t="s">
        <v>133</v>
      </c>
      <c r="H28" s="103"/>
      <c r="I28" s="102" t="s">
        <v>133</v>
      </c>
      <c r="J28" s="103"/>
    </row>
    <row r="29" spans="1:10" x14ac:dyDescent="0.3">
      <c r="A29" s="85" t="s">
        <v>61</v>
      </c>
      <c r="B29" s="99"/>
      <c r="C29" s="99"/>
      <c r="D29" s="99"/>
      <c r="E29" s="99"/>
      <c r="F29" s="99"/>
      <c r="G29" s="99"/>
      <c r="H29" s="99"/>
      <c r="I29" s="99"/>
      <c r="J29" s="100"/>
    </row>
    <row r="30" spans="1:10" x14ac:dyDescent="0.3">
      <c r="A30" s="85" t="s">
        <v>134</v>
      </c>
      <c r="B30" s="99"/>
      <c r="C30" s="99"/>
      <c r="D30" s="99"/>
      <c r="E30" s="99"/>
      <c r="F30" s="99"/>
      <c r="G30" s="99"/>
      <c r="H30" s="99"/>
      <c r="I30" s="99"/>
      <c r="J30" s="100"/>
    </row>
    <row r="31" spans="1:10" x14ac:dyDescent="0.3">
      <c r="A31" s="85" t="s">
        <v>41</v>
      </c>
      <c r="B31" s="100"/>
      <c r="C31" s="85" t="s">
        <v>254</v>
      </c>
      <c r="D31" s="99"/>
      <c r="E31" s="99"/>
      <c r="F31" s="99"/>
      <c r="G31" s="99"/>
      <c r="H31" s="99"/>
      <c r="I31" s="99"/>
      <c r="J31" s="100"/>
    </row>
    <row r="32" spans="1:10" x14ac:dyDescent="0.3">
      <c r="A32" s="85" t="s">
        <v>250</v>
      </c>
      <c r="B32" s="100"/>
      <c r="C32" s="104" t="s">
        <v>251</v>
      </c>
      <c r="D32" s="99"/>
      <c r="E32" s="99"/>
      <c r="F32" s="99"/>
      <c r="G32" s="99"/>
      <c r="H32" s="99"/>
      <c r="I32" s="99"/>
      <c r="J32" s="100"/>
    </row>
    <row r="33" spans="1:10" x14ac:dyDescent="0.3">
      <c r="A33" s="105" t="s">
        <v>18</v>
      </c>
      <c r="B33" s="106"/>
      <c r="C33" s="106"/>
      <c r="D33" s="106"/>
      <c r="E33" s="106"/>
      <c r="F33" s="106"/>
      <c r="G33" s="106"/>
      <c r="H33" s="106"/>
      <c r="I33" s="106"/>
      <c r="J33" s="107"/>
    </row>
    <row r="34" spans="1:10" ht="15" customHeight="1" x14ac:dyDescent="0.3">
      <c r="A34" s="122" t="s">
        <v>137</v>
      </c>
      <c r="B34" s="122"/>
      <c r="C34" s="122"/>
      <c r="D34" s="122"/>
      <c r="E34" s="122"/>
      <c r="F34" s="122"/>
      <c r="G34" s="122"/>
      <c r="H34" s="122"/>
      <c r="I34" s="122"/>
      <c r="J34" s="122"/>
    </row>
    <row r="35" spans="1:10" x14ac:dyDescent="0.3">
      <c r="A35" s="122"/>
      <c r="B35" s="122"/>
      <c r="C35" s="122"/>
      <c r="D35" s="122"/>
      <c r="E35" s="122"/>
      <c r="F35" s="122"/>
      <c r="G35" s="122"/>
      <c r="H35" s="122"/>
      <c r="I35" s="122"/>
      <c r="J35" s="122"/>
    </row>
    <row r="36" spans="1:10" ht="16.5" customHeight="1" x14ac:dyDescent="0.3">
      <c r="A36" s="101" t="s">
        <v>70</v>
      </c>
      <c r="B36" s="55"/>
      <c r="C36" s="55"/>
      <c r="D36" s="55"/>
      <c r="E36" s="55"/>
      <c r="F36" s="122">
        <v>3499.25</v>
      </c>
      <c r="G36" s="122"/>
      <c r="H36" s="122"/>
      <c r="I36" s="122"/>
      <c r="J36" s="122"/>
    </row>
    <row r="37" spans="1:10" x14ac:dyDescent="0.3">
      <c r="A37" s="55" t="s">
        <v>19</v>
      </c>
      <c r="B37" s="55"/>
      <c r="C37" s="55"/>
      <c r="D37" s="55"/>
      <c r="E37" s="55"/>
      <c r="F37" s="101">
        <v>1</v>
      </c>
      <c r="G37" s="101"/>
      <c r="H37" s="101"/>
      <c r="I37" s="101"/>
      <c r="J37" s="101"/>
    </row>
    <row r="38" spans="1:10" x14ac:dyDescent="0.3">
      <c r="A38" s="55" t="s">
        <v>20</v>
      </c>
      <c r="B38" s="55"/>
      <c r="C38" s="55"/>
      <c r="D38" s="55"/>
      <c r="E38" s="55"/>
      <c r="F38" s="101">
        <v>0</v>
      </c>
      <c r="G38" s="101"/>
      <c r="H38" s="101"/>
      <c r="I38" s="101"/>
      <c r="J38" s="101"/>
    </row>
    <row r="39" spans="1:10" x14ac:dyDescent="0.3">
      <c r="A39" s="55" t="s">
        <v>21</v>
      </c>
      <c r="B39" s="55"/>
      <c r="C39" s="55"/>
      <c r="D39" s="55"/>
      <c r="E39" s="55"/>
      <c r="F39" s="101">
        <v>1</v>
      </c>
      <c r="G39" s="101"/>
      <c r="H39" s="101"/>
      <c r="I39" s="101"/>
      <c r="J39" s="101"/>
    </row>
    <row r="40" spans="1:10" x14ac:dyDescent="0.3">
      <c r="A40" s="101" t="s">
        <v>71</v>
      </c>
      <c r="B40" s="55"/>
      <c r="C40" s="55"/>
      <c r="D40" s="55"/>
      <c r="E40" s="55"/>
      <c r="F40" s="101">
        <v>3499.25</v>
      </c>
      <c r="G40" s="101"/>
      <c r="H40" s="101"/>
      <c r="I40" s="101"/>
      <c r="J40" s="101"/>
    </row>
    <row r="41" spans="1:10" x14ac:dyDescent="0.3">
      <c r="A41" s="55" t="s">
        <v>22</v>
      </c>
      <c r="B41" s="55"/>
      <c r="C41" s="55"/>
      <c r="D41" s="55"/>
      <c r="E41" s="55"/>
      <c r="F41" s="101" t="s">
        <v>201</v>
      </c>
      <c r="G41" s="101"/>
      <c r="H41" s="101"/>
      <c r="I41" s="101"/>
      <c r="J41" s="101"/>
    </row>
    <row r="42" spans="1:10" x14ac:dyDescent="0.3">
      <c r="A42" s="167" t="s">
        <v>73</v>
      </c>
      <c r="B42" s="167"/>
      <c r="C42" s="167"/>
      <c r="D42" s="167"/>
      <c r="E42" s="167"/>
      <c r="F42" s="167"/>
      <c r="G42" s="167"/>
      <c r="H42" s="167"/>
      <c r="I42" s="167"/>
      <c r="J42" s="167"/>
    </row>
    <row r="43" spans="1:10" ht="16.5" customHeight="1" x14ac:dyDescent="0.3">
      <c r="A43" s="122" t="s">
        <v>72</v>
      </c>
      <c r="B43" s="122"/>
      <c r="C43" s="101" t="s">
        <v>51</v>
      </c>
      <c r="D43" s="101"/>
      <c r="E43" s="101"/>
      <c r="F43" s="101"/>
      <c r="G43" s="2" t="s">
        <v>63</v>
      </c>
      <c r="H43" s="145" t="s">
        <v>51</v>
      </c>
      <c r="I43" s="145"/>
      <c r="J43" s="145"/>
    </row>
    <row r="44" spans="1:10" ht="31.5" customHeight="1" x14ac:dyDescent="0.3">
      <c r="A44" s="88" t="s">
        <v>74</v>
      </c>
      <c r="B44" s="90"/>
      <c r="C44" s="108" t="s">
        <v>135</v>
      </c>
      <c r="D44" s="127"/>
      <c r="E44" s="127"/>
      <c r="F44" s="128"/>
      <c r="G44" s="2" t="s">
        <v>63</v>
      </c>
      <c r="H44" s="102" t="s">
        <v>136</v>
      </c>
      <c r="I44" s="146" t="s">
        <v>47</v>
      </c>
      <c r="J44" s="103"/>
    </row>
    <row r="45" spans="1:10" ht="31.05" customHeight="1" x14ac:dyDescent="0.3">
      <c r="A45" s="88" t="s">
        <v>248</v>
      </c>
      <c r="B45" s="90"/>
      <c r="C45" s="88" t="s">
        <v>158</v>
      </c>
      <c r="D45" s="89"/>
      <c r="E45" s="89"/>
      <c r="F45" s="90"/>
      <c r="G45" s="2" t="s">
        <v>63</v>
      </c>
      <c r="H45" s="102" t="str">
        <f>H44</f>
        <v>14/12/2016.</v>
      </c>
      <c r="I45" s="146" t="s">
        <v>48</v>
      </c>
      <c r="J45" s="103"/>
    </row>
    <row r="46" spans="1:10" x14ac:dyDescent="0.3">
      <c r="A46" s="85" t="s">
        <v>107</v>
      </c>
      <c r="B46" s="99"/>
      <c r="C46" s="99"/>
      <c r="D46" s="99"/>
      <c r="E46" s="100"/>
      <c r="F46" s="85" t="s">
        <v>108</v>
      </c>
      <c r="G46" s="99"/>
      <c r="H46" s="100"/>
      <c r="I46" s="85" t="s">
        <v>55</v>
      </c>
      <c r="J46" s="100"/>
    </row>
    <row r="47" spans="1:10" x14ac:dyDescent="0.3">
      <c r="A47" s="101" t="s">
        <v>78</v>
      </c>
      <c r="B47" s="101"/>
      <c r="C47" s="101"/>
      <c r="D47" s="145" t="str">
        <f>H45</f>
        <v>14/12/2016.</v>
      </c>
      <c r="E47" s="145"/>
      <c r="F47" s="85" t="s">
        <v>75</v>
      </c>
      <c r="G47" s="144"/>
      <c r="H47" s="96" t="s">
        <v>255</v>
      </c>
      <c r="I47" s="99"/>
      <c r="J47" s="100"/>
    </row>
    <row r="48" spans="1:10" x14ac:dyDescent="0.3">
      <c r="A48" s="141" t="s">
        <v>23</v>
      </c>
      <c r="B48" s="142"/>
      <c r="C48" s="142"/>
      <c r="D48" s="142"/>
      <c r="E48" s="142"/>
      <c r="F48" s="142"/>
      <c r="G48" s="142"/>
      <c r="H48" s="142"/>
      <c r="I48" s="142"/>
      <c r="J48" s="143"/>
    </row>
    <row r="49" spans="1:12" x14ac:dyDescent="0.3">
      <c r="A49" s="85" t="s">
        <v>105</v>
      </c>
      <c r="B49" s="99"/>
      <c r="C49" s="100"/>
      <c r="D49" s="102">
        <f>F40</f>
        <v>3499.25</v>
      </c>
      <c r="E49" s="103"/>
      <c r="F49" s="193" t="s">
        <v>244</v>
      </c>
      <c r="G49" s="194"/>
      <c r="H49" s="160" t="s">
        <v>249</v>
      </c>
      <c r="I49" s="160"/>
      <c r="J49" s="161"/>
    </row>
    <row r="50" spans="1:12" ht="32.25" customHeight="1" x14ac:dyDescent="0.3">
      <c r="A50" s="145" t="s">
        <v>76</v>
      </c>
      <c r="B50" s="145"/>
      <c r="C50" s="89" t="s">
        <v>184</v>
      </c>
      <c r="D50" s="99"/>
      <c r="E50" s="100"/>
      <c r="F50" s="85" t="s">
        <v>58</v>
      </c>
      <c r="G50" s="99"/>
      <c r="H50" s="99"/>
      <c r="I50" s="99"/>
      <c r="J50" s="100"/>
    </row>
    <row r="51" spans="1:12" ht="49.5" customHeight="1" x14ac:dyDescent="0.3">
      <c r="A51" s="122" t="s">
        <v>183</v>
      </c>
      <c r="B51" s="122"/>
      <c r="C51" s="88" t="s">
        <v>257</v>
      </c>
      <c r="D51" s="89"/>
      <c r="E51" s="89"/>
      <c r="F51" s="89"/>
      <c r="G51" s="89"/>
      <c r="H51" s="89"/>
      <c r="I51" s="89"/>
      <c r="J51" s="90"/>
    </row>
    <row r="52" spans="1:12" ht="29.1" customHeight="1" x14ac:dyDescent="0.3">
      <c r="A52" s="85" t="s">
        <v>49</v>
      </c>
      <c r="B52" s="99"/>
      <c r="C52" s="99"/>
      <c r="D52" s="99"/>
      <c r="E52" s="100"/>
      <c r="F52" s="88" t="s">
        <v>56</v>
      </c>
      <c r="G52" s="89"/>
      <c r="H52" s="89"/>
      <c r="I52" s="89"/>
      <c r="J52" s="90"/>
    </row>
    <row r="53" spans="1:12" ht="15" thickBot="1" x14ac:dyDescent="0.35">
      <c r="A53" s="85" t="s">
        <v>57</v>
      </c>
      <c r="B53" s="99"/>
      <c r="C53" s="99"/>
      <c r="D53" s="99"/>
      <c r="E53" s="99"/>
      <c r="F53" s="99"/>
      <c r="G53" s="99"/>
      <c r="H53" s="99"/>
      <c r="I53" s="99"/>
      <c r="J53" s="100"/>
    </row>
    <row r="54" spans="1:12" s="42" customFormat="1" ht="15.6" x14ac:dyDescent="0.3">
      <c r="A54" s="179" t="s">
        <v>210</v>
      </c>
      <c r="B54" s="180"/>
      <c r="C54" s="181" t="s">
        <v>243</v>
      </c>
      <c r="D54" s="181"/>
      <c r="E54" s="181"/>
      <c r="F54" s="181"/>
      <c r="G54" s="181"/>
      <c r="H54" s="181"/>
      <c r="I54" s="181"/>
      <c r="J54" s="182"/>
      <c r="K54" s="35" t="str">
        <f ca="1">(IF(F58&gt;99%,"All work completed. Please provide OC.",IF(F58&gt;89.8%,"Plinth, RCC, Brick, Plaster, Flooring, Painting work Completed. Finishing work is in process.",IF(F58&lt;94%,(IF(C58=0,"Work not yet Started.",IF(D58=25%,"Piling work in process",IF(D58=50%,"Excavation work in process",IF(D58=100%,"Excavation work Completed. ","0")))&amp;(IF(C59=0%,"",IF(C59=L60,"Footing work is process",IF(C59=L61,"Footing work Completed",IF(C59=L62,"1st Basement Completed",IF(C59=L63,"1st &amp; 2nd Basement Completed",IF(C59=L64,"1st to 3rd Basement Completed",IF(C59=L65,"1st to 4th Basement Completed",IF(C59=L66,"Plinth work is process",IF(C59=L67,"Plinth work completed","0")))))))))))&amp;(IF(C60=(D55+G55+I55),", RCC Slab",IF(C60&gt;0,", RCC upto "&amp;C60&amp;" Slab",""))&amp;(IF(C61=I55,", Brickwork",IF(C61&gt;0,", Brickwork upto "&amp;C61&amp;" Floor",""))&amp;(IF(C62=I55,", Internal Plaster",IF(C62&gt;0,", Internal Plaster upto "&amp;C62&amp;" Floor",""))&amp;(IF(C63=I55,", External Plaster",IF(C63&gt;0,", External Plaster upto "&amp;C63&amp;" Floor",""))&amp;(IF(C64=I55,", Flooring",IF(C64&gt;0,", Flooring upto "&amp;C64&amp;" Floor",""))&amp;(IF(C65=I55,", Painting",IF(C65&gt;0,", Painting upto "&amp;C65&amp;" Floor",""))&amp;(IF(C66&gt;0,", Finishing upto "&amp;C66&amp;" Floor","")&amp;(IF(C60&gt;0.5," Completed",""))))))))))))))</f>
        <v>Excavation work Completed. Plinth work completed, RCC Slab, Brickwork, Internal Plaster, External Plaster, Flooring upto 2 Floor, Painting upto 2 Floor Completed</v>
      </c>
      <c r="L54" s="35"/>
    </row>
    <row r="55" spans="1:12" s="42" customFormat="1" ht="15.6" x14ac:dyDescent="0.3">
      <c r="A55" s="34" t="s">
        <v>211</v>
      </c>
      <c r="B55" s="36">
        <v>0</v>
      </c>
      <c r="C55" s="40" t="s">
        <v>212</v>
      </c>
      <c r="D55" s="40">
        <v>1</v>
      </c>
      <c r="E55" s="183" t="s">
        <v>213</v>
      </c>
      <c r="F55" s="183"/>
      <c r="G55" s="40">
        <v>0</v>
      </c>
      <c r="H55" s="40" t="s">
        <v>214</v>
      </c>
      <c r="I55" s="183">
        <f ca="1">--TRIM(RIGHT(SUBSTITUTE(LEFT(C54,_xlfn.AGGREGATE(16,6,FIND({0,1,2,3,4,5,6,7,8,9},C54,ROW(INDIRECT("1:"&amp;LEN(C54)))),1))," ",REPT(" ",LEN(C54))),LEN(C54)))</f>
        <v>4</v>
      </c>
      <c r="J55" s="184"/>
      <c r="K55" s="35"/>
      <c r="L55" s="35"/>
    </row>
    <row r="56" spans="1:12" s="42" customFormat="1" ht="49.95" customHeight="1" x14ac:dyDescent="0.3">
      <c r="A56" s="185" t="s">
        <v>215</v>
      </c>
      <c r="B56" s="186"/>
      <c r="C56" s="187" t="str">
        <f ca="1">K54</f>
        <v>Excavation work Completed. Plinth work completed, RCC Slab, Brickwork, Internal Plaster, External Plaster, Flooring upto 2 Floor, Painting upto 2 Floor Completed</v>
      </c>
      <c r="D56" s="187"/>
      <c r="E56" s="187"/>
      <c r="F56" s="187"/>
      <c r="G56" s="187"/>
      <c r="H56" s="187"/>
      <c r="I56" s="187"/>
      <c r="J56" s="188"/>
      <c r="K56" s="35" t="s">
        <v>216</v>
      </c>
      <c r="L56" s="35"/>
    </row>
    <row r="57" spans="1:12" s="42" customFormat="1" ht="15.6" x14ac:dyDescent="0.3">
      <c r="A57" s="189" t="s">
        <v>33</v>
      </c>
      <c r="B57" s="190"/>
      <c r="C57" s="43" t="s">
        <v>217</v>
      </c>
      <c r="D57" s="191" t="s">
        <v>218</v>
      </c>
      <c r="E57" s="191"/>
      <c r="F57" s="191" t="s">
        <v>219</v>
      </c>
      <c r="G57" s="191"/>
      <c r="H57" s="191" t="s">
        <v>220</v>
      </c>
      <c r="I57" s="191"/>
      <c r="J57" s="192"/>
      <c r="K57" s="37" t="s">
        <v>221</v>
      </c>
      <c r="L57" s="44">
        <f ca="1">I55*25%</f>
        <v>1</v>
      </c>
    </row>
    <row r="58" spans="1:12" s="42" customFormat="1" ht="15.6" x14ac:dyDescent="0.3">
      <c r="A58" s="172" t="s">
        <v>222</v>
      </c>
      <c r="B58" s="173"/>
      <c r="C58" s="45">
        <f ca="1">L59</f>
        <v>4</v>
      </c>
      <c r="D58" s="174">
        <f ca="1">((100/I55)*C58)/100</f>
        <v>1</v>
      </c>
      <c r="E58" s="174"/>
      <c r="F58" s="174">
        <f ca="1">(((C59/I55*10)+(40/(D55+G55+I55)*C60)+(7.5/(I55)*C61)+(7.5/(I55)*C62)+(10/I55*C63)+(10/I55*C64)+(5/I55*C65)+(5/I55*C66)+(5/I55*C67))/100)</f>
        <v>0.82499999999999996</v>
      </c>
      <c r="G58" s="174"/>
      <c r="H58" s="174">
        <f ca="1">((((C58/I55)*20)+((C59/I55)*25)+(30/(I55+G55+D55)*C60)+(5/I55*C61)+(5/I55*C62)+(5/I55*C63)+(5/I55*C64)+(0/I55*C65)+(0/I55*C66)+(5/I55*C67))/100)</f>
        <v>0.92500000000000004</v>
      </c>
      <c r="I58" s="174"/>
      <c r="J58" s="195"/>
      <c r="K58" s="37" t="s">
        <v>223</v>
      </c>
      <c r="L58" s="37">
        <f ca="1">I55*50%</f>
        <v>2</v>
      </c>
    </row>
    <row r="59" spans="1:12" s="42" customFormat="1" ht="15.6" x14ac:dyDescent="0.3">
      <c r="A59" s="172" t="s">
        <v>34</v>
      </c>
      <c r="B59" s="173"/>
      <c r="C59" s="46">
        <f ca="1">L67</f>
        <v>4</v>
      </c>
      <c r="D59" s="174">
        <f ca="1">((100/I55)*C59)/100</f>
        <v>1</v>
      </c>
      <c r="E59" s="174"/>
      <c r="F59" s="174"/>
      <c r="G59" s="174"/>
      <c r="H59" s="174"/>
      <c r="I59" s="174"/>
      <c r="J59" s="195"/>
      <c r="K59" s="37" t="s">
        <v>224</v>
      </c>
      <c r="L59" s="37">
        <f ca="1">I55</f>
        <v>4</v>
      </c>
    </row>
    <row r="60" spans="1:12" s="42" customFormat="1" ht="15.6" x14ac:dyDescent="0.3">
      <c r="A60" s="172" t="s">
        <v>225</v>
      </c>
      <c r="B60" s="173"/>
      <c r="C60" s="46">
        <f ca="1">D55+I55</f>
        <v>5</v>
      </c>
      <c r="D60" s="174">
        <f ca="1">((100/(D55+G55+I55))*C60)/100</f>
        <v>1</v>
      </c>
      <c r="E60" s="174"/>
      <c r="F60" s="174"/>
      <c r="G60" s="174"/>
      <c r="H60" s="174"/>
      <c r="I60" s="174"/>
      <c r="J60" s="195"/>
      <c r="K60" s="37" t="s">
        <v>226</v>
      </c>
      <c r="L60" s="47">
        <f ca="1">(IF(B55&gt;1,(I55/(B55+2)),I55/4))</f>
        <v>1</v>
      </c>
    </row>
    <row r="61" spans="1:12" s="42" customFormat="1" ht="15.6" x14ac:dyDescent="0.3">
      <c r="A61" s="172" t="s">
        <v>227</v>
      </c>
      <c r="B61" s="173" t="s">
        <v>228</v>
      </c>
      <c r="C61" s="45">
        <v>4</v>
      </c>
      <c r="D61" s="174">
        <f ca="1">((100/I55)*C61)/100</f>
        <v>1</v>
      </c>
      <c r="E61" s="174"/>
      <c r="F61" s="174"/>
      <c r="G61" s="174"/>
      <c r="H61" s="174"/>
      <c r="I61" s="174"/>
      <c r="J61" s="195"/>
      <c r="K61" s="37" t="s">
        <v>229</v>
      </c>
      <c r="L61" s="47">
        <f ca="1">(IF(B55&gt;1,(I55/(B55+2)+L60),I55/4+L60))</f>
        <v>2</v>
      </c>
    </row>
    <row r="62" spans="1:12" s="42" customFormat="1" ht="15.6" x14ac:dyDescent="0.3">
      <c r="A62" s="172" t="s">
        <v>230</v>
      </c>
      <c r="B62" s="173" t="s">
        <v>228</v>
      </c>
      <c r="C62" s="45">
        <v>4</v>
      </c>
      <c r="D62" s="174">
        <f ca="1">((100/I55)*C62)/100</f>
        <v>1</v>
      </c>
      <c r="E62" s="174"/>
      <c r="F62" s="174"/>
      <c r="G62" s="174"/>
      <c r="H62" s="174"/>
      <c r="I62" s="174"/>
      <c r="J62" s="195"/>
      <c r="K62" s="37" t="s">
        <v>231</v>
      </c>
      <c r="L62" s="47">
        <f>(IF(B55&gt;1,(I55/(B55+2)+L61),0))</f>
        <v>0</v>
      </c>
    </row>
    <row r="63" spans="1:12" s="42" customFormat="1" ht="15.6" x14ac:dyDescent="0.3">
      <c r="A63" s="202" t="s">
        <v>232</v>
      </c>
      <c r="B63" s="203" t="s">
        <v>233</v>
      </c>
      <c r="C63" s="45">
        <v>4</v>
      </c>
      <c r="D63" s="174">
        <f ca="1">((100/(I55))*C63)/100</f>
        <v>1</v>
      </c>
      <c r="E63" s="174"/>
      <c r="F63" s="174"/>
      <c r="G63" s="174"/>
      <c r="H63" s="174"/>
      <c r="I63" s="174"/>
      <c r="J63" s="195"/>
      <c r="K63" s="37" t="s">
        <v>234</v>
      </c>
      <c r="L63" s="47">
        <f>(IF(B55&gt;2,(I55/(B55+2)+L62),0))</f>
        <v>0</v>
      </c>
    </row>
    <row r="64" spans="1:12" s="42" customFormat="1" ht="15.6" x14ac:dyDescent="0.3">
      <c r="A64" s="172" t="s">
        <v>235</v>
      </c>
      <c r="B64" s="173" t="s">
        <v>235</v>
      </c>
      <c r="C64" s="45">
        <v>2</v>
      </c>
      <c r="D64" s="174">
        <f ca="1">((100/I55)*C64)/100</f>
        <v>0.5</v>
      </c>
      <c r="E64" s="174"/>
      <c r="F64" s="174"/>
      <c r="G64" s="174"/>
      <c r="H64" s="174"/>
      <c r="I64" s="174"/>
      <c r="J64" s="195"/>
      <c r="K64" s="37" t="s">
        <v>236</v>
      </c>
      <c r="L64" s="48">
        <f>(IF(B55&gt;3,(I55/(B55+2)+L63),0))</f>
        <v>0</v>
      </c>
    </row>
    <row r="65" spans="1:12" s="42" customFormat="1" ht="15.6" x14ac:dyDescent="0.3">
      <c r="A65" s="172" t="s">
        <v>237</v>
      </c>
      <c r="B65" s="173"/>
      <c r="C65" s="45">
        <v>2</v>
      </c>
      <c r="D65" s="174">
        <f ca="1">((100/I55)*C65)/100</f>
        <v>0.5</v>
      </c>
      <c r="E65" s="174"/>
      <c r="F65" s="174"/>
      <c r="G65" s="174"/>
      <c r="H65" s="174"/>
      <c r="I65" s="174"/>
      <c r="J65" s="195"/>
      <c r="K65" s="37" t="s">
        <v>238</v>
      </c>
      <c r="L65" s="47">
        <f>(IF(B55&gt;4,(I55/(B55+2)+L64),0))</f>
        <v>0</v>
      </c>
    </row>
    <row r="66" spans="1:12" s="42" customFormat="1" ht="15.6" x14ac:dyDescent="0.3">
      <c r="A66" s="172" t="s">
        <v>239</v>
      </c>
      <c r="B66" s="173" t="s">
        <v>239</v>
      </c>
      <c r="C66" s="45">
        <v>0</v>
      </c>
      <c r="D66" s="174">
        <f ca="1">((100/(I55))*C66)/100</f>
        <v>0</v>
      </c>
      <c r="E66" s="174"/>
      <c r="F66" s="174"/>
      <c r="G66" s="174"/>
      <c r="H66" s="174"/>
      <c r="I66" s="174"/>
      <c r="J66" s="195"/>
      <c r="K66" s="37" t="s">
        <v>240</v>
      </c>
      <c r="L66" s="47">
        <f ca="1">(IF(B55=1,(I55/(B55+3)+L61),IF(B55=0,(I55/4+L61),IF(B55&gt;1,0))))</f>
        <v>3</v>
      </c>
    </row>
    <row r="67" spans="1:12" s="42" customFormat="1" ht="16.2" thickBot="1" x14ac:dyDescent="0.35">
      <c r="A67" s="176" t="s">
        <v>241</v>
      </c>
      <c r="B67" s="177"/>
      <c r="C67" s="49">
        <v>0</v>
      </c>
      <c r="D67" s="178">
        <f ca="1">((100/(I55))*C67)/100</f>
        <v>0</v>
      </c>
      <c r="E67" s="178"/>
      <c r="F67" s="178"/>
      <c r="G67" s="178"/>
      <c r="H67" s="178"/>
      <c r="I67" s="178"/>
      <c r="J67" s="196"/>
      <c r="K67" s="37" t="s">
        <v>242</v>
      </c>
      <c r="L67" s="47">
        <f ca="1">(IF(B55&gt;1.5,(I55/(B55+2)+L61+MAX(0,L62-L61)+MAX(0,L63-L62)+MAX(0,L64-L63)+MAX(0,L65-L64)+MAX(0,L66-L65)),IF(B55=1,(I55/(B55+3)+L66),IF(B55=0,I55/4+L66))))</f>
        <v>4</v>
      </c>
    </row>
    <row r="68" spans="1:12" s="42" customFormat="1" ht="15.6" x14ac:dyDescent="0.3">
      <c r="A68" s="179" t="s">
        <v>210</v>
      </c>
      <c r="B68" s="180"/>
      <c r="C68" s="181" t="s">
        <v>258</v>
      </c>
      <c r="D68" s="181"/>
      <c r="E68" s="181"/>
      <c r="F68" s="181"/>
      <c r="G68" s="181"/>
      <c r="H68" s="181"/>
      <c r="I68" s="181"/>
      <c r="J68" s="182"/>
      <c r="K68" s="35" t="str">
        <f ca="1">(IF(F72&gt;99%,"All work completed. Please provide OC.",IF(F72&gt;89.8%,"Plinth, RCC, Brick, Plaster, Flooring, Painting work Completed. Finishing work is in process.",IF(F72&lt;94%,(IF(C72=0,"Work not yet Started.",IF(D72=25%,"Piling work in process",IF(D72=50%,"Excavation work in process",IF(D72=100%,"Excavation work Completed. ","0")))&amp;(IF(C73=0%,"",IF(C73=L74,"Footing work is process",IF(C73=L75,"Footing work Completed",IF(C73=L76,"1st Basement Completed",IF(C73=L77,"1st &amp; 2nd Basement Completed",IF(C73=L78,"1st to 3rd Basement Completed",IF(C73=L79,"1st to 4th Basement Completed",IF(C73=L80,"Plinth work is process",IF(C73=L81,"Plinth work completed","0")))))))))))&amp;(IF(C74=(D69+G69+I69),", RCC Slab",IF(C74&gt;0,", RCC upto "&amp;C74&amp;" Slab",""))&amp;(IF(C75=I69,", Brickwork",IF(C75&gt;0,", Brickwork upto "&amp;C75&amp;" Floor",""))&amp;(IF(C76=I69,", Internal Plaster",IF(C76&gt;0,", Internal Plaster upto "&amp;C76&amp;" Floor",""))&amp;(IF(C77=I69,", External Plaster",IF(C77&gt;0,", External Plaster upto "&amp;C77&amp;" Floor",""))&amp;(IF(C78=I69,", Flooring",IF(C78&gt;0,", Flooring upto "&amp;C78&amp;" Floor",""))&amp;(IF(C79=I69,", Painting",IF(C79&gt;0,", Painting upto "&amp;C79&amp;" Floor",""))&amp;(IF(C80&gt;0,", Finishing upto "&amp;C80&amp;" Floor","")&amp;(IF(C74&gt;0.5," Completed",""))))))))))))))</f>
        <v>Excavation work Completed. Plinth work completed, RCC upto 3 Slab, Brickwork upto 2 Floor, Internal Plaster upto 2 Floor, External Plaster upto 2 Floor, Flooring upto 2 Floor, Painting upto 1 Floor Completed</v>
      </c>
      <c r="L68" s="35"/>
    </row>
    <row r="69" spans="1:12" s="42" customFormat="1" ht="15.6" x14ac:dyDescent="0.3">
      <c r="A69" s="34" t="s">
        <v>211</v>
      </c>
      <c r="B69" s="36">
        <v>0</v>
      </c>
      <c r="C69" s="40" t="s">
        <v>212</v>
      </c>
      <c r="D69" s="40">
        <v>1</v>
      </c>
      <c r="E69" s="183" t="s">
        <v>213</v>
      </c>
      <c r="F69" s="183"/>
      <c r="G69" s="40">
        <v>0</v>
      </c>
      <c r="H69" s="40" t="s">
        <v>214</v>
      </c>
      <c r="I69" s="183">
        <f ca="1">--TRIM(RIGHT(SUBSTITUTE(LEFT(C68,_xlfn.AGGREGATE(16,6,FIND({0,1,2,3,4,5,6,7,8,9},C68,ROW(INDIRECT("1:"&amp;LEN(C68)))),1))," ",REPT(" ",LEN(C68))),LEN(C68)))</f>
        <v>4</v>
      </c>
      <c r="J69" s="184"/>
      <c r="K69" s="35"/>
      <c r="L69" s="35"/>
    </row>
    <row r="70" spans="1:12" s="42" customFormat="1" ht="48" customHeight="1" x14ac:dyDescent="0.3">
      <c r="A70" s="185" t="s">
        <v>215</v>
      </c>
      <c r="B70" s="186"/>
      <c r="C70" s="187" t="str">
        <f ca="1">K68</f>
        <v>Excavation work Completed. Plinth work completed, RCC upto 3 Slab, Brickwork upto 2 Floor, Internal Plaster upto 2 Floor, External Plaster upto 2 Floor, Flooring upto 2 Floor, Painting upto 1 Floor Completed</v>
      </c>
      <c r="D70" s="187"/>
      <c r="E70" s="187"/>
      <c r="F70" s="187"/>
      <c r="G70" s="187"/>
      <c r="H70" s="187"/>
      <c r="I70" s="187"/>
      <c r="J70" s="188"/>
      <c r="K70" s="35" t="s">
        <v>216</v>
      </c>
      <c r="L70" s="35"/>
    </row>
    <row r="71" spans="1:12" s="42" customFormat="1" ht="15.6" x14ac:dyDescent="0.3">
      <c r="A71" s="189" t="s">
        <v>33</v>
      </c>
      <c r="B71" s="190"/>
      <c r="C71" s="43" t="s">
        <v>217</v>
      </c>
      <c r="D71" s="191" t="s">
        <v>218</v>
      </c>
      <c r="E71" s="191"/>
      <c r="F71" s="191" t="s">
        <v>219</v>
      </c>
      <c r="G71" s="191"/>
      <c r="H71" s="191" t="s">
        <v>220</v>
      </c>
      <c r="I71" s="191"/>
      <c r="J71" s="192"/>
      <c r="K71" s="37" t="s">
        <v>221</v>
      </c>
      <c r="L71" s="44">
        <f ca="1">I69*25%</f>
        <v>1</v>
      </c>
    </row>
    <row r="72" spans="1:12" s="42" customFormat="1" ht="15.6" x14ac:dyDescent="0.3">
      <c r="A72" s="172" t="s">
        <v>222</v>
      </c>
      <c r="B72" s="173"/>
      <c r="C72" s="45">
        <f ca="1">L73</f>
        <v>4</v>
      </c>
      <c r="D72" s="174">
        <f ca="1">((100/I69)*C72)/100</f>
        <v>1</v>
      </c>
      <c r="E72" s="174"/>
      <c r="F72" s="174">
        <f ca="1">(((C73/I69*10)+(40/(D69+G69+I69)*C74)+(7.5/(I69)*C75)+(7.5/(I69)*C76)+(10/I69*C77)+(10/I69*C78)+(5/I69*C79)+(5/I69*C80)+(5/I69*C81))/100)</f>
        <v>0.52749999999999997</v>
      </c>
      <c r="G72" s="174"/>
      <c r="H72" s="174">
        <f ca="1">((((C72/I69)*20)+((C73/I69)*25)+(30/(I69+G69+D69)*C74)+(5/I69*C75)+(5/I69*C76)+(5/I69*C77)+(5/I69*C78)+(0/I69*C79)+(0/I69*C80)+(5/I69*C81))/100)</f>
        <v>0.73</v>
      </c>
      <c r="I72" s="174"/>
      <c r="J72" s="195"/>
      <c r="K72" s="37" t="s">
        <v>223</v>
      </c>
      <c r="L72" s="37">
        <f ca="1">I69*50%</f>
        <v>2</v>
      </c>
    </row>
    <row r="73" spans="1:12" s="42" customFormat="1" ht="15.6" x14ac:dyDescent="0.3">
      <c r="A73" s="172" t="s">
        <v>34</v>
      </c>
      <c r="B73" s="173"/>
      <c r="C73" s="46">
        <f ca="1">L81</f>
        <v>4</v>
      </c>
      <c r="D73" s="174">
        <f ca="1">((100/I69)*C73)/100</f>
        <v>1</v>
      </c>
      <c r="E73" s="174"/>
      <c r="F73" s="174"/>
      <c r="G73" s="174"/>
      <c r="H73" s="174"/>
      <c r="I73" s="174"/>
      <c r="J73" s="195"/>
      <c r="K73" s="37" t="s">
        <v>224</v>
      </c>
      <c r="L73" s="37">
        <f ca="1">I69</f>
        <v>4</v>
      </c>
    </row>
    <row r="74" spans="1:12" s="42" customFormat="1" ht="15.6" x14ac:dyDescent="0.3">
      <c r="A74" s="172" t="s">
        <v>225</v>
      </c>
      <c r="B74" s="173"/>
      <c r="C74" s="46">
        <v>3</v>
      </c>
      <c r="D74" s="174">
        <f ca="1">((100/(D69+G69+I69))*C74)/100</f>
        <v>0.6</v>
      </c>
      <c r="E74" s="174"/>
      <c r="F74" s="174"/>
      <c r="G74" s="174"/>
      <c r="H74" s="174"/>
      <c r="I74" s="174"/>
      <c r="J74" s="195"/>
      <c r="K74" s="37" t="s">
        <v>226</v>
      </c>
      <c r="L74" s="47">
        <f ca="1">(IF(B69&gt;1,(I69/(B69+2)),I69/4))</f>
        <v>1</v>
      </c>
    </row>
    <row r="75" spans="1:12" s="42" customFormat="1" ht="15.6" x14ac:dyDescent="0.3">
      <c r="A75" s="172" t="s">
        <v>227</v>
      </c>
      <c r="B75" s="173" t="s">
        <v>228</v>
      </c>
      <c r="C75" s="45">
        <v>2</v>
      </c>
      <c r="D75" s="174">
        <f ca="1">((100/I69)*C75)/100</f>
        <v>0.5</v>
      </c>
      <c r="E75" s="174"/>
      <c r="F75" s="174"/>
      <c r="G75" s="174"/>
      <c r="H75" s="174"/>
      <c r="I75" s="174"/>
      <c r="J75" s="195"/>
      <c r="K75" s="37" t="s">
        <v>229</v>
      </c>
      <c r="L75" s="47">
        <f ca="1">(IF(B69&gt;1,(I69/(B69+2)+L74),I69/4+L74))</f>
        <v>2</v>
      </c>
    </row>
    <row r="76" spans="1:12" s="42" customFormat="1" ht="15.6" x14ac:dyDescent="0.3">
      <c r="A76" s="172" t="s">
        <v>230</v>
      </c>
      <c r="B76" s="173" t="s">
        <v>228</v>
      </c>
      <c r="C76" s="45">
        <v>2</v>
      </c>
      <c r="D76" s="174">
        <f ca="1">((100/I69)*C76)/100</f>
        <v>0.5</v>
      </c>
      <c r="E76" s="174"/>
      <c r="F76" s="174"/>
      <c r="G76" s="174"/>
      <c r="H76" s="174"/>
      <c r="I76" s="174"/>
      <c r="J76" s="195"/>
      <c r="K76" s="37" t="s">
        <v>231</v>
      </c>
      <c r="L76" s="47">
        <f>(IF(B69&gt;1,(I69/(B69+2)+L75),0))</f>
        <v>0</v>
      </c>
    </row>
    <row r="77" spans="1:12" s="42" customFormat="1" ht="15.6" x14ac:dyDescent="0.3">
      <c r="A77" s="202" t="s">
        <v>232</v>
      </c>
      <c r="B77" s="203" t="s">
        <v>233</v>
      </c>
      <c r="C77" s="45">
        <v>2</v>
      </c>
      <c r="D77" s="174">
        <f ca="1">((100/(I69))*C77)/100</f>
        <v>0.5</v>
      </c>
      <c r="E77" s="174"/>
      <c r="F77" s="174"/>
      <c r="G77" s="174"/>
      <c r="H77" s="174"/>
      <c r="I77" s="174"/>
      <c r="J77" s="195"/>
      <c r="K77" s="37" t="s">
        <v>234</v>
      </c>
      <c r="L77" s="47">
        <f>(IF(B69&gt;2,(I69/(B69+2)+L76),0))</f>
        <v>0</v>
      </c>
    </row>
    <row r="78" spans="1:12" s="42" customFormat="1" ht="15.6" x14ac:dyDescent="0.3">
      <c r="A78" s="172" t="s">
        <v>235</v>
      </c>
      <c r="B78" s="173" t="s">
        <v>235</v>
      </c>
      <c r="C78" s="45">
        <v>2</v>
      </c>
      <c r="D78" s="174">
        <f ca="1">((100/I69)*C78)/100</f>
        <v>0.5</v>
      </c>
      <c r="E78" s="174"/>
      <c r="F78" s="174"/>
      <c r="G78" s="174"/>
      <c r="H78" s="174"/>
      <c r="I78" s="174"/>
      <c r="J78" s="195"/>
      <c r="K78" s="37" t="s">
        <v>236</v>
      </c>
      <c r="L78" s="48">
        <f>(IF(B69&gt;3,(I69/(B69+2)+L77),0))</f>
        <v>0</v>
      </c>
    </row>
    <row r="79" spans="1:12" s="42" customFormat="1" ht="15.6" x14ac:dyDescent="0.3">
      <c r="A79" s="172" t="s">
        <v>237</v>
      </c>
      <c r="B79" s="173"/>
      <c r="C79" s="45">
        <v>1</v>
      </c>
      <c r="D79" s="174">
        <f ca="1">((100/I69)*C79)/100</f>
        <v>0.25</v>
      </c>
      <c r="E79" s="174"/>
      <c r="F79" s="174"/>
      <c r="G79" s="174"/>
      <c r="H79" s="174"/>
      <c r="I79" s="174"/>
      <c r="J79" s="195"/>
      <c r="K79" s="37" t="s">
        <v>238</v>
      </c>
      <c r="L79" s="47">
        <f>(IF(B69&gt;4,(I69/(B69+2)+L78),0))</f>
        <v>0</v>
      </c>
    </row>
    <row r="80" spans="1:12" s="42" customFormat="1" ht="15.6" x14ac:dyDescent="0.3">
      <c r="A80" s="172" t="s">
        <v>239</v>
      </c>
      <c r="B80" s="173" t="s">
        <v>239</v>
      </c>
      <c r="C80" s="45">
        <v>0</v>
      </c>
      <c r="D80" s="174">
        <f ca="1">((100/(I69))*C80)/100</f>
        <v>0</v>
      </c>
      <c r="E80" s="174"/>
      <c r="F80" s="174"/>
      <c r="G80" s="174"/>
      <c r="H80" s="174"/>
      <c r="I80" s="174"/>
      <c r="J80" s="195"/>
      <c r="K80" s="37" t="s">
        <v>240</v>
      </c>
      <c r="L80" s="47">
        <f ca="1">(IF(B69=1,(I69/(B69+3)+L75),IF(B69=0,(I69/4+L75),IF(B69&gt;1,0))))</f>
        <v>3</v>
      </c>
    </row>
    <row r="81" spans="1:12" s="42" customFormat="1" ht="16.2" thickBot="1" x14ac:dyDescent="0.35">
      <c r="A81" s="176" t="s">
        <v>241</v>
      </c>
      <c r="B81" s="177"/>
      <c r="C81" s="49">
        <v>0</v>
      </c>
      <c r="D81" s="178">
        <f ca="1">((100/(I69))*C81)/100</f>
        <v>0</v>
      </c>
      <c r="E81" s="178"/>
      <c r="F81" s="178"/>
      <c r="G81" s="178"/>
      <c r="H81" s="178"/>
      <c r="I81" s="178"/>
      <c r="J81" s="196"/>
      <c r="K81" s="37" t="s">
        <v>242</v>
      </c>
      <c r="L81" s="47">
        <f ca="1">(IF(B69&gt;1.5,(I69/(B69+2)+L75+MAX(0,L76-L75)+MAX(0,L77-L76)+MAX(0,L78-L77)+MAX(0,L79-L78)+MAX(0,L80-L79)),IF(B69=1,(I69/(B69+3)+L80),IF(B69=0,I69/4+L80))))</f>
        <v>4</v>
      </c>
    </row>
    <row r="82" spans="1:12" s="42" customFormat="1" ht="15.6" x14ac:dyDescent="0.3">
      <c r="A82" s="179" t="s">
        <v>210</v>
      </c>
      <c r="B82" s="180"/>
      <c r="C82" s="181" t="s">
        <v>245</v>
      </c>
      <c r="D82" s="181"/>
      <c r="E82" s="181"/>
      <c r="F82" s="181"/>
      <c r="G82" s="181"/>
      <c r="H82" s="181"/>
      <c r="I82" s="181"/>
      <c r="J82" s="182"/>
      <c r="K82" s="35" t="str">
        <f ca="1">(IF(F86&gt;99%,"All work completed. Please provide OC.",IF(F86&gt;89.8%,"Plinth, RCC, Brick, Plaster, Flooring, Painting work Completed. Finishing work is in process.",IF(F86&lt;94%,(IF(C86=0,"Work not yet Started.",IF(D86=25%,"Piling work in process",IF(D86=50%,"Excavation work in process",IF(D86=100%,"Excavation work Completed. ","0")))&amp;(IF(C87=0%,"",IF(C87=L88,"Footing work is process",IF(C87=L89,"Footing work Completed",IF(C87=L90,"1st Basement Completed",IF(C87=L91,"1st &amp; 2nd Basement Completed",IF(C87=L92,"1st to 3rd Basement Completed",IF(C87=L93,"1st to 4th Basement Completed",IF(C87=L94,"Plinth work is process",IF(C87=L95,"Plinth work completed","0")))))))))))&amp;(IF(C88=(D83+G83+I83),", RCC Slab",IF(C88&gt;0,", RCC upto "&amp;C88&amp;" Slab",""))&amp;(IF(C89=I83,", Brickwork",IF(C89&gt;0,", Brickwork upto "&amp;C89&amp;" Floor",""))&amp;(IF(C90=I83,", Internal Plaster",IF(C90&gt;0,", Internal Plaster upto "&amp;C90&amp;" Floor",""))&amp;(IF(C91=I83,", External Plaster",IF(C91&gt;0,", External Plaster upto "&amp;C91&amp;" Floor",""))&amp;(IF(C92=I83,", Flooring",IF(C92&gt;0,", Flooring upto "&amp;C92&amp;" Floor",""))&amp;(IF(C93=I83,", Painting",IF(C93&gt;0,", Painting upto "&amp;C93&amp;" Floor",""))&amp;(IF(C94&gt;0,", Finishing upto "&amp;C94&amp;" Floor","")&amp;(IF(C88&gt;0.5," Completed",""))))))))))))))</f>
        <v>Excavation work Completed. Plinth work completed, RCC upto 1 Slab Completed</v>
      </c>
      <c r="L82" s="35"/>
    </row>
    <row r="83" spans="1:12" s="42" customFormat="1" ht="15.6" x14ac:dyDescent="0.3">
      <c r="A83" s="34" t="s">
        <v>211</v>
      </c>
      <c r="B83" s="36">
        <v>0</v>
      </c>
      <c r="C83" s="40" t="s">
        <v>212</v>
      </c>
      <c r="D83" s="40">
        <v>1</v>
      </c>
      <c r="E83" s="183" t="s">
        <v>213</v>
      </c>
      <c r="F83" s="183"/>
      <c r="G83" s="40">
        <v>0</v>
      </c>
      <c r="H83" s="40" t="s">
        <v>214</v>
      </c>
      <c r="I83" s="183">
        <f ca="1">--TRIM(RIGHT(SUBSTITUTE(LEFT(C82,_xlfn.AGGREGATE(16,6,FIND({0,1,2,3,4,5,6,7,8,9},C82,ROW(INDIRECT("1:"&amp;LEN(C82)))),1))," ",REPT(" ",LEN(C82))),LEN(C82)))</f>
        <v>2</v>
      </c>
      <c r="J83" s="184"/>
      <c r="K83" s="35"/>
      <c r="L83" s="35"/>
    </row>
    <row r="84" spans="1:12" s="42" customFormat="1" ht="31.05" customHeight="1" x14ac:dyDescent="0.3">
      <c r="A84" s="185" t="s">
        <v>215</v>
      </c>
      <c r="B84" s="186"/>
      <c r="C84" s="187" t="str">
        <f ca="1">K82</f>
        <v>Excavation work Completed. Plinth work completed, RCC upto 1 Slab Completed</v>
      </c>
      <c r="D84" s="187"/>
      <c r="E84" s="187"/>
      <c r="F84" s="187"/>
      <c r="G84" s="187"/>
      <c r="H84" s="187"/>
      <c r="I84" s="187"/>
      <c r="J84" s="188"/>
      <c r="K84" s="35" t="s">
        <v>216</v>
      </c>
      <c r="L84" s="35"/>
    </row>
    <row r="85" spans="1:12" s="42" customFormat="1" ht="15.6" x14ac:dyDescent="0.3">
      <c r="A85" s="189" t="s">
        <v>33</v>
      </c>
      <c r="B85" s="190"/>
      <c r="C85" s="43" t="s">
        <v>217</v>
      </c>
      <c r="D85" s="191" t="s">
        <v>218</v>
      </c>
      <c r="E85" s="191"/>
      <c r="F85" s="191" t="s">
        <v>219</v>
      </c>
      <c r="G85" s="191"/>
      <c r="H85" s="191" t="s">
        <v>220</v>
      </c>
      <c r="I85" s="191"/>
      <c r="J85" s="192"/>
      <c r="K85" s="37" t="s">
        <v>221</v>
      </c>
      <c r="L85" s="44">
        <f ca="1">I83*25%</f>
        <v>0.5</v>
      </c>
    </row>
    <row r="86" spans="1:12" s="42" customFormat="1" ht="15.6" x14ac:dyDescent="0.3">
      <c r="A86" s="172" t="s">
        <v>222</v>
      </c>
      <c r="B86" s="173"/>
      <c r="C86" s="45">
        <f ca="1">L87</f>
        <v>2</v>
      </c>
      <c r="D86" s="174">
        <f ca="1">((100/I83)*C86)/100</f>
        <v>1</v>
      </c>
      <c r="E86" s="174"/>
      <c r="F86" s="174">
        <f ca="1">(((C87/I83*10)+(40/(D83+G83+I83)*C88)+(7.5/(I83)*C89)+(7.5/(I83)*C90)+(10/I83*C91)+(10/I83*C92)+(5/I83*C93)+(5/I83*C94)+(5/I83*C95))/100)</f>
        <v>0.23333333333333336</v>
      </c>
      <c r="G86" s="174"/>
      <c r="H86" s="174">
        <f ca="1">((((C86/I83)*20)+((C87/I83)*25)+(30/(I83+G83+D83)*C88)+(5/I83*C89)+(5/I83*C90)+(5/I83*C91)+(5/I83*C92)+(0/I83*C93)+(0/I83*C94)+(5/I83*C95))/100)</f>
        <v>0.55000000000000004</v>
      </c>
      <c r="I86" s="174"/>
      <c r="J86" s="195"/>
      <c r="K86" s="37" t="s">
        <v>223</v>
      </c>
      <c r="L86" s="37">
        <f ca="1">I83*50%</f>
        <v>1</v>
      </c>
    </row>
    <row r="87" spans="1:12" s="42" customFormat="1" ht="15.6" x14ac:dyDescent="0.3">
      <c r="A87" s="172" t="s">
        <v>34</v>
      </c>
      <c r="B87" s="173"/>
      <c r="C87" s="46">
        <f ca="1">L95</f>
        <v>2</v>
      </c>
      <c r="D87" s="174">
        <f ca="1">((100/I83)*C87)/100</f>
        <v>1</v>
      </c>
      <c r="E87" s="174"/>
      <c r="F87" s="174"/>
      <c r="G87" s="174"/>
      <c r="H87" s="174"/>
      <c r="I87" s="174"/>
      <c r="J87" s="195"/>
      <c r="K87" s="37" t="s">
        <v>224</v>
      </c>
      <c r="L87" s="37">
        <f ca="1">I83</f>
        <v>2</v>
      </c>
    </row>
    <row r="88" spans="1:12" s="42" customFormat="1" ht="15.6" x14ac:dyDescent="0.3">
      <c r="A88" s="172" t="s">
        <v>225</v>
      </c>
      <c r="B88" s="173"/>
      <c r="C88" s="46">
        <v>1</v>
      </c>
      <c r="D88" s="174">
        <f ca="1">((100/(D83+G83+I83))*C88)/100</f>
        <v>0.33333333333333337</v>
      </c>
      <c r="E88" s="174"/>
      <c r="F88" s="174"/>
      <c r="G88" s="174"/>
      <c r="H88" s="174"/>
      <c r="I88" s="174"/>
      <c r="J88" s="195"/>
      <c r="K88" s="37" t="s">
        <v>226</v>
      </c>
      <c r="L88" s="47">
        <f ca="1">(IF(B83&gt;1,(I83/(B83+2)),I83/4))</f>
        <v>0.5</v>
      </c>
    </row>
    <row r="89" spans="1:12" s="42" customFormat="1" ht="15.6" x14ac:dyDescent="0.3">
      <c r="A89" s="172" t="s">
        <v>227</v>
      </c>
      <c r="B89" s="173" t="s">
        <v>228</v>
      </c>
      <c r="C89" s="45">
        <v>0</v>
      </c>
      <c r="D89" s="174">
        <f ca="1">((100/I83)*C89)/100</f>
        <v>0</v>
      </c>
      <c r="E89" s="174"/>
      <c r="F89" s="174"/>
      <c r="G89" s="174"/>
      <c r="H89" s="174"/>
      <c r="I89" s="174"/>
      <c r="J89" s="195"/>
      <c r="K89" s="37" t="s">
        <v>229</v>
      </c>
      <c r="L89" s="47">
        <f ca="1">(IF(B83&gt;1,(I83/(B83+2)+L88),I83/4+L88))</f>
        <v>1</v>
      </c>
    </row>
    <row r="90" spans="1:12" s="42" customFormat="1" ht="15.6" x14ac:dyDescent="0.3">
      <c r="A90" s="172" t="s">
        <v>230</v>
      </c>
      <c r="B90" s="173" t="s">
        <v>228</v>
      </c>
      <c r="C90" s="45">
        <v>0</v>
      </c>
      <c r="D90" s="174">
        <f ca="1">((100/I83)*C90)/100</f>
        <v>0</v>
      </c>
      <c r="E90" s="174"/>
      <c r="F90" s="174"/>
      <c r="G90" s="174"/>
      <c r="H90" s="174"/>
      <c r="I90" s="174"/>
      <c r="J90" s="195"/>
      <c r="K90" s="37" t="s">
        <v>231</v>
      </c>
      <c r="L90" s="47">
        <f>(IF(B83&gt;1,(I83/(B83+2)+L89),0))</f>
        <v>0</v>
      </c>
    </row>
    <row r="91" spans="1:12" s="42" customFormat="1" ht="15.6" x14ac:dyDescent="0.3">
      <c r="A91" s="172" t="s">
        <v>232</v>
      </c>
      <c r="B91" s="173" t="s">
        <v>233</v>
      </c>
      <c r="C91" s="45">
        <v>0</v>
      </c>
      <c r="D91" s="174">
        <f ca="1">((100/(I83))*C91)/100</f>
        <v>0</v>
      </c>
      <c r="E91" s="174"/>
      <c r="F91" s="174"/>
      <c r="G91" s="174"/>
      <c r="H91" s="174"/>
      <c r="I91" s="174"/>
      <c r="J91" s="195"/>
      <c r="K91" s="37" t="s">
        <v>234</v>
      </c>
      <c r="L91" s="47">
        <f>(IF(B83&gt;2,(I83/(B83+2)+L90),0))</f>
        <v>0</v>
      </c>
    </row>
    <row r="92" spans="1:12" s="42" customFormat="1" ht="15.6" x14ac:dyDescent="0.3">
      <c r="A92" s="172" t="s">
        <v>235</v>
      </c>
      <c r="B92" s="173" t="s">
        <v>235</v>
      </c>
      <c r="C92" s="45">
        <v>0</v>
      </c>
      <c r="D92" s="174">
        <f ca="1">((100/I83)*C92)/100</f>
        <v>0</v>
      </c>
      <c r="E92" s="174"/>
      <c r="F92" s="174"/>
      <c r="G92" s="174"/>
      <c r="H92" s="174"/>
      <c r="I92" s="174"/>
      <c r="J92" s="195"/>
      <c r="K92" s="37" t="s">
        <v>236</v>
      </c>
      <c r="L92" s="48">
        <f>(IF(B83&gt;3,(I83/(B83+2)+L91),0))</f>
        <v>0</v>
      </c>
    </row>
    <row r="93" spans="1:12" s="42" customFormat="1" ht="15.6" x14ac:dyDescent="0.3">
      <c r="A93" s="172" t="s">
        <v>237</v>
      </c>
      <c r="B93" s="173"/>
      <c r="C93" s="45">
        <v>0</v>
      </c>
      <c r="D93" s="174">
        <f ca="1">((100/I83)*C93)/100</f>
        <v>0</v>
      </c>
      <c r="E93" s="174"/>
      <c r="F93" s="174"/>
      <c r="G93" s="174"/>
      <c r="H93" s="174"/>
      <c r="I93" s="174"/>
      <c r="J93" s="195"/>
      <c r="K93" s="37" t="s">
        <v>238</v>
      </c>
      <c r="L93" s="47">
        <f>(IF(B83&gt;4,(I83/(B83+2)+L92),0))</f>
        <v>0</v>
      </c>
    </row>
    <row r="94" spans="1:12" s="42" customFormat="1" ht="15.6" x14ac:dyDescent="0.3">
      <c r="A94" s="172" t="s">
        <v>239</v>
      </c>
      <c r="B94" s="173" t="s">
        <v>239</v>
      </c>
      <c r="C94" s="45">
        <v>0</v>
      </c>
      <c r="D94" s="174">
        <f ca="1">((100/(I83))*C94)/100</f>
        <v>0</v>
      </c>
      <c r="E94" s="174"/>
      <c r="F94" s="174"/>
      <c r="G94" s="174"/>
      <c r="H94" s="174"/>
      <c r="I94" s="174"/>
      <c r="J94" s="195"/>
      <c r="K94" s="37" t="s">
        <v>240</v>
      </c>
      <c r="L94" s="47">
        <f ca="1">(IF(B83=1,(I83/(B83+3)+L89),IF(B83=0,(I83/4+L89),IF(B83&gt;1,0))))</f>
        <v>1.5</v>
      </c>
    </row>
    <row r="95" spans="1:12" s="42" customFormat="1" ht="16.2" thickBot="1" x14ac:dyDescent="0.35">
      <c r="A95" s="176" t="s">
        <v>241</v>
      </c>
      <c r="B95" s="177"/>
      <c r="C95" s="49">
        <v>0</v>
      </c>
      <c r="D95" s="178">
        <f ca="1">((100/(I83))*C95)/100</f>
        <v>0</v>
      </c>
      <c r="E95" s="178"/>
      <c r="F95" s="178"/>
      <c r="G95" s="178"/>
      <c r="H95" s="178"/>
      <c r="I95" s="178"/>
      <c r="J95" s="196"/>
      <c r="K95" s="37" t="s">
        <v>242</v>
      </c>
      <c r="L95" s="47">
        <f ca="1">(IF(B83&gt;1.5,(I83/(B83+2)+L89+MAX(0,L90-L89)+MAX(0,L91-L90)+MAX(0,L92-L91)+MAX(0,L93-L92)+MAX(0,L94-L93)),IF(B83=1,(I83/(B83+3)+L94),IF(B83=0,I83/4+L94))))</f>
        <v>2</v>
      </c>
    </row>
    <row r="96" spans="1:12" s="42" customFormat="1" ht="15.6" x14ac:dyDescent="0.3">
      <c r="A96" s="179" t="s">
        <v>210</v>
      </c>
      <c r="B96" s="180"/>
      <c r="C96" s="181" t="s">
        <v>246</v>
      </c>
      <c r="D96" s="181"/>
      <c r="E96" s="181"/>
      <c r="F96" s="181"/>
      <c r="G96" s="181"/>
      <c r="H96" s="181"/>
      <c r="I96" s="181"/>
      <c r="J96" s="182"/>
      <c r="K96" s="35" t="str">
        <f ca="1">(IF(F100&gt;99%,"All work completed. Please provide OC.",IF(F100&gt;89.8%,"Plinth, RCC, Brick, Plaster, Flooring, Painting work Completed. Finishing work is in process.",IF(F100&lt;94%,(IF(C100=0,"Work not yet Started.",IF(D100=25%,"Piling work in process",IF(D100=50%,"Excavation work in process",IF(D100=100%,"Excavation work Completed. ","0")))&amp;(IF(C101=0%,"",IF(C101=L102,"Footing work is process",IF(C101=L103,"Footing work Completed",IF(C101=L104,"1st Basement Completed",IF(C101=L105,"1st &amp; 2nd Basement Completed",IF(C101=L106,"1st to 3rd Basement Completed",IF(C101=L107,"1st to 4th Basement Completed",IF(C101=L108,"Plinth work is process",IF(C101=L109,"Plinth work completed","0")))))))))))&amp;(IF(C102=(D97+G97+I97),", RCC Slab",IF(C102&gt;0,", RCC upto "&amp;C102&amp;" Slab",""))&amp;(IF(C103=I97,", Brickwork",IF(C103&gt;0,", Brickwork upto "&amp;C103&amp;" Floor",""))&amp;(IF(C104=I97,", Internal Plaster",IF(C104&gt;0,", Internal Plaster upto "&amp;C104&amp;" Floor",""))&amp;(IF(C105=I97,", External Plaster",IF(C105&gt;0,", External Plaster upto "&amp;C105&amp;" Floor",""))&amp;(IF(C106=I97,", Flooring",IF(C106&gt;0,", Flooring upto "&amp;C106&amp;" Floor",""))&amp;(IF(C107=I97,", Painting",IF(C107&gt;0,", Painting upto "&amp;C107&amp;" Floor",""))&amp;(IF(C108&gt;0,", Finishing upto "&amp;C108&amp;" Floor","")&amp;(IF(C102&gt;0.5," Completed",""))))))))))))))</f>
        <v>Excavation work Completed. Plinth work completed</v>
      </c>
      <c r="L96" s="35"/>
    </row>
    <row r="97" spans="1:12" s="42" customFormat="1" ht="15.6" x14ac:dyDescent="0.3">
      <c r="A97" s="34" t="s">
        <v>211</v>
      </c>
      <c r="B97" s="36">
        <v>0</v>
      </c>
      <c r="C97" s="40" t="s">
        <v>212</v>
      </c>
      <c r="D97" s="40">
        <v>1</v>
      </c>
      <c r="E97" s="183" t="s">
        <v>213</v>
      </c>
      <c r="F97" s="183"/>
      <c r="G97" s="40">
        <v>0</v>
      </c>
      <c r="H97" s="40" t="s">
        <v>214</v>
      </c>
      <c r="I97" s="183">
        <f ca="1">--TRIM(RIGHT(SUBSTITUTE(LEFT(C96,_xlfn.AGGREGATE(16,6,FIND({0,1,2,3,4,5,6,7,8,9},C96,ROW(INDIRECT("1:"&amp;LEN(C96)))),1))," ",REPT(" ",LEN(C96))),LEN(C96)))</f>
        <v>3</v>
      </c>
      <c r="J97" s="184"/>
      <c r="K97" s="35"/>
      <c r="L97" s="35"/>
    </row>
    <row r="98" spans="1:12" s="42" customFormat="1" ht="15.6" x14ac:dyDescent="0.3">
      <c r="A98" s="185" t="s">
        <v>215</v>
      </c>
      <c r="B98" s="186"/>
      <c r="C98" s="187" t="str">
        <f ca="1">K96</f>
        <v>Excavation work Completed. Plinth work completed</v>
      </c>
      <c r="D98" s="187"/>
      <c r="E98" s="187"/>
      <c r="F98" s="187"/>
      <c r="G98" s="187"/>
      <c r="H98" s="187"/>
      <c r="I98" s="187"/>
      <c r="J98" s="188"/>
      <c r="K98" s="35" t="s">
        <v>216</v>
      </c>
      <c r="L98" s="35"/>
    </row>
    <row r="99" spans="1:12" s="42" customFormat="1" ht="15.6" x14ac:dyDescent="0.3">
      <c r="A99" s="189" t="s">
        <v>33</v>
      </c>
      <c r="B99" s="190"/>
      <c r="C99" s="43" t="s">
        <v>217</v>
      </c>
      <c r="D99" s="191" t="s">
        <v>218</v>
      </c>
      <c r="E99" s="191"/>
      <c r="F99" s="191" t="s">
        <v>219</v>
      </c>
      <c r="G99" s="191"/>
      <c r="H99" s="191" t="s">
        <v>220</v>
      </c>
      <c r="I99" s="191"/>
      <c r="J99" s="192"/>
      <c r="K99" s="37" t="s">
        <v>221</v>
      </c>
      <c r="L99" s="44">
        <f ca="1">I97*25%</f>
        <v>0.75</v>
      </c>
    </row>
    <row r="100" spans="1:12" s="42" customFormat="1" ht="15.6" x14ac:dyDescent="0.3">
      <c r="A100" s="191" t="s">
        <v>222</v>
      </c>
      <c r="B100" s="191"/>
      <c r="C100" s="45">
        <f ca="1">L101</f>
        <v>3</v>
      </c>
      <c r="D100" s="174">
        <f ca="1">((100/I97)*C100)/100</f>
        <v>1</v>
      </c>
      <c r="E100" s="174"/>
      <c r="F100" s="174">
        <f ca="1">(((C101/I97*10)+(40/(D97+G97+I97)*C102)+(7.5/(I97)*C103)+(7.5/(I97)*C104)+(10/I97*C105)+(10/I97*C106)+(5/I97*C107)+(5/I97*C108)+(5/I97*C109))/100)</f>
        <v>0.1</v>
      </c>
      <c r="G100" s="174"/>
      <c r="H100" s="174">
        <f ca="1">((((C100/I97)*20)+((C101/I97)*25)+(30/(I97+G97+D97)*C102)+(5/I97*C103)+(5/I97*C104)+(5/I97*C105)+(5/I97*C106)+(0/I97*C107)+(0/I97*C108)+(5/I97*C109))/100)</f>
        <v>0.45</v>
      </c>
      <c r="I100" s="174"/>
      <c r="J100" s="174"/>
      <c r="K100" s="37" t="s">
        <v>223</v>
      </c>
      <c r="L100" s="37">
        <f ca="1">I97*50%</f>
        <v>1.5</v>
      </c>
    </row>
    <row r="101" spans="1:12" s="42" customFormat="1" ht="15.6" x14ac:dyDescent="0.3">
      <c r="A101" s="191" t="s">
        <v>34</v>
      </c>
      <c r="B101" s="191"/>
      <c r="C101" s="46">
        <f ca="1">L109</f>
        <v>3</v>
      </c>
      <c r="D101" s="174">
        <f ca="1">((100/I97)*C101)/100</f>
        <v>1</v>
      </c>
      <c r="E101" s="174"/>
      <c r="F101" s="174"/>
      <c r="G101" s="174"/>
      <c r="H101" s="174"/>
      <c r="I101" s="174"/>
      <c r="J101" s="174"/>
      <c r="K101" s="37" t="s">
        <v>224</v>
      </c>
      <c r="L101" s="37">
        <f ca="1">I97</f>
        <v>3</v>
      </c>
    </row>
    <row r="102" spans="1:12" s="42" customFormat="1" ht="15.6" x14ac:dyDescent="0.3">
      <c r="A102" s="191" t="s">
        <v>225</v>
      </c>
      <c r="B102" s="191"/>
      <c r="C102" s="46">
        <v>0</v>
      </c>
      <c r="D102" s="174">
        <f ca="1">((100/(D97+G97+I97))*C102)/100</f>
        <v>0</v>
      </c>
      <c r="E102" s="174"/>
      <c r="F102" s="174"/>
      <c r="G102" s="174"/>
      <c r="H102" s="174"/>
      <c r="I102" s="174"/>
      <c r="J102" s="174"/>
      <c r="K102" s="37" t="s">
        <v>226</v>
      </c>
      <c r="L102" s="47">
        <f ca="1">(IF(B97&gt;1,(I97/(B97+2)),I97/4))</f>
        <v>0.75</v>
      </c>
    </row>
    <row r="103" spans="1:12" s="42" customFormat="1" ht="15.6" x14ac:dyDescent="0.3">
      <c r="A103" s="191" t="s">
        <v>227</v>
      </c>
      <c r="B103" s="191" t="s">
        <v>228</v>
      </c>
      <c r="C103" s="45">
        <v>0</v>
      </c>
      <c r="D103" s="174">
        <f ca="1">((100/I97)*C103)/100</f>
        <v>0</v>
      </c>
      <c r="E103" s="174"/>
      <c r="F103" s="174"/>
      <c r="G103" s="174"/>
      <c r="H103" s="174"/>
      <c r="I103" s="174"/>
      <c r="J103" s="174"/>
      <c r="K103" s="37" t="s">
        <v>229</v>
      </c>
      <c r="L103" s="47">
        <f ca="1">(IF(B97&gt;1,(I97/(B97+2)+L102),I97/4+L102))</f>
        <v>1.5</v>
      </c>
    </row>
    <row r="104" spans="1:12" s="42" customFormat="1" ht="15.6" x14ac:dyDescent="0.3">
      <c r="A104" s="191" t="s">
        <v>230</v>
      </c>
      <c r="B104" s="191" t="s">
        <v>228</v>
      </c>
      <c r="C104" s="45">
        <v>0</v>
      </c>
      <c r="D104" s="174">
        <f ca="1">((100/I97)*C104)/100</f>
        <v>0</v>
      </c>
      <c r="E104" s="174"/>
      <c r="F104" s="174"/>
      <c r="G104" s="174"/>
      <c r="H104" s="174"/>
      <c r="I104" s="174"/>
      <c r="J104" s="174"/>
      <c r="K104" s="37" t="s">
        <v>231</v>
      </c>
      <c r="L104" s="47">
        <f>(IF(B97&gt;1,(I97/(B97+2)+L103),0))</f>
        <v>0</v>
      </c>
    </row>
    <row r="105" spans="1:12" s="42" customFormat="1" ht="15.6" x14ac:dyDescent="0.3">
      <c r="A105" s="191" t="s">
        <v>232</v>
      </c>
      <c r="B105" s="191" t="s">
        <v>233</v>
      </c>
      <c r="C105" s="45">
        <v>0</v>
      </c>
      <c r="D105" s="174">
        <f ca="1">((100/(I97))*C105)/100</f>
        <v>0</v>
      </c>
      <c r="E105" s="174"/>
      <c r="F105" s="174"/>
      <c r="G105" s="174"/>
      <c r="H105" s="174"/>
      <c r="I105" s="174"/>
      <c r="J105" s="174"/>
      <c r="K105" s="37" t="s">
        <v>234</v>
      </c>
      <c r="L105" s="47">
        <f>(IF(B97&gt;2,(I97/(B97+2)+L104),0))</f>
        <v>0</v>
      </c>
    </row>
    <row r="106" spans="1:12" s="42" customFormat="1" ht="15.6" x14ac:dyDescent="0.3">
      <c r="A106" s="191" t="s">
        <v>235</v>
      </c>
      <c r="B106" s="191" t="s">
        <v>235</v>
      </c>
      <c r="C106" s="45">
        <v>0</v>
      </c>
      <c r="D106" s="174">
        <f ca="1">((100/I97)*C106)/100</f>
        <v>0</v>
      </c>
      <c r="E106" s="174"/>
      <c r="F106" s="174"/>
      <c r="G106" s="174"/>
      <c r="H106" s="174"/>
      <c r="I106" s="174"/>
      <c r="J106" s="174"/>
      <c r="K106" s="37" t="s">
        <v>236</v>
      </c>
      <c r="L106" s="48">
        <f>(IF(B97&gt;3,(I97/(B97+2)+L105),0))</f>
        <v>0</v>
      </c>
    </row>
    <row r="107" spans="1:12" s="42" customFormat="1" ht="15.6" x14ac:dyDescent="0.3">
      <c r="A107" s="191" t="s">
        <v>237</v>
      </c>
      <c r="B107" s="191"/>
      <c r="C107" s="45">
        <v>0</v>
      </c>
      <c r="D107" s="174">
        <f ca="1">((100/I97)*C107)/100</f>
        <v>0</v>
      </c>
      <c r="E107" s="174"/>
      <c r="F107" s="174"/>
      <c r="G107" s="174"/>
      <c r="H107" s="174"/>
      <c r="I107" s="174"/>
      <c r="J107" s="174"/>
      <c r="K107" s="37" t="s">
        <v>238</v>
      </c>
      <c r="L107" s="47">
        <f>(IF(B97&gt;4,(I97/(B97+2)+L106),0))</f>
        <v>0</v>
      </c>
    </row>
    <row r="108" spans="1:12" s="42" customFormat="1" ht="15.6" x14ac:dyDescent="0.3">
      <c r="A108" s="191" t="s">
        <v>239</v>
      </c>
      <c r="B108" s="191" t="s">
        <v>239</v>
      </c>
      <c r="C108" s="45">
        <v>0</v>
      </c>
      <c r="D108" s="174">
        <f ca="1">((100/(I97))*C108)/100</f>
        <v>0</v>
      </c>
      <c r="E108" s="174"/>
      <c r="F108" s="174"/>
      <c r="G108" s="174"/>
      <c r="H108" s="174"/>
      <c r="I108" s="174"/>
      <c r="J108" s="174"/>
      <c r="K108" s="37" t="s">
        <v>240</v>
      </c>
      <c r="L108" s="47">
        <f ca="1">(IF(B97=1,(I97/(B97+3)+L103),IF(B97=0,(I97/4+L103),IF(B97&gt;1,0))))</f>
        <v>2.25</v>
      </c>
    </row>
    <row r="109" spans="1:12" s="42" customFormat="1" ht="15.6" x14ac:dyDescent="0.3">
      <c r="A109" s="191" t="s">
        <v>241</v>
      </c>
      <c r="B109" s="191"/>
      <c r="C109" s="45">
        <v>0</v>
      </c>
      <c r="D109" s="174">
        <f ca="1">((100/(I97))*C109)/100</f>
        <v>0</v>
      </c>
      <c r="E109" s="174"/>
      <c r="F109" s="174"/>
      <c r="G109" s="174"/>
      <c r="H109" s="174"/>
      <c r="I109" s="174"/>
      <c r="J109" s="174"/>
      <c r="K109" s="37" t="s">
        <v>242</v>
      </c>
      <c r="L109" s="47">
        <f ca="1">(IF(B97&gt;1.5,(I97/(B97+2)+L103+MAX(0,L104-L103)+MAX(0,L105-L104)+MAX(0,L106-L105)+MAX(0,L107-L106)+MAX(0,L108-L107)),IF(B97=1,(I97/(B97+3)+L108),IF(B97=0,I97/4+L108))))</f>
        <v>3</v>
      </c>
    </row>
    <row r="110" spans="1:12" s="42" customFormat="1" ht="15.6" x14ac:dyDescent="0.3">
      <c r="A110" s="197" t="s">
        <v>210</v>
      </c>
      <c r="B110" s="197"/>
      <c r="C110" s="187" t="s">
        <v>247</v>
      </c>
      <c r="D110" s="187"/>
      <c r="E110" s="187"/>
      <c r="F110" s="187"/>
      <c r="G110" s="187"/>
      <c r="H110" s="187"/>
      <c r="I110" s="187"/>
      <c r="J110" s="187"/>
      <c r="K110" s="35" t="str">
        <f ca="1">(IF(F114&gt;99%,"All work completed. Please provide OC.",IF(F114&gt;89.8%,"Plinth, RCC, Brick, Plaster, Flooring, Painting work Completed. Finishing work is in process.",IF(F114&lt;94%,(IF(C114=0,"Work not yet Started.",IF(D114=25%,"Piling work in process",IF(D114=50%,"Excavation work in process",IF(D114=100%,"Excavation work Completed. ","0")))&amp;(IF(C115=0%,"",IF(C115=L116,"Footing work is process",IF(C115=L117,"Footing work Completed",IF(C115=L118,"1st Basement Completed",IF(C115=L119,"1st &amp; 2nd Basement Completed",IF(C115=L120,"1st to 3rd Basement Completed",IF(C115=L121,"1st to 4th Basement Completed",IF(C115=L122,"Plinth work is process",IF(C115=L123,"Plinth work completed","0")))))))))))&amp;(IF(C116=(D111+G111+I111),", RCC Slab",IF(C116&gt;0,", RCC upto "&amp;C116&amp;" Slab",""))&amp;(IF(C117=I111,", Brickwork",IF(C117&gt;0,", Brickwork upto "&amp;C117&amp;" Floor",""))&amp;(IF(C118=I111,", Internal Plaster",IF(C118&gt;0,", Internal Plaster upto "&amp;C118&amp;" Floor",""))&amp;(IF(C119=I111,", External Plaster",IF(C119&gt;0,", External Plaster upto "&amp;C119&amp;" Floor",""))&amp;(IF(C120=I111,", Flooring",IF(C120&gt;0,", Flooring upto "&amp;C120&amp;" Floor",""))&amp;(IF(C121=I111,", Painting",IF(C121&gt;0,", Painting upto "&amp;C121&amp;" Floor",""))&amp;(IF(C122&gt;0,", Finishing upto "&amp;C122&amp;" Floor","")&amp;(IF(C116&gt;0.5," Completed",""))))))))))))))</f>
        <v>Work not yet Started.</v>
      </c>
      <c r="L110" s="35"/>
    </row>
    <row r="111" spans="1:12" s="42" customFormat="1" ht="15.6" x14ac:dyDescent="0.3">
      <c r="A111" s="40" t="s">
        <v>211</v>
      </c>
      <c r="B111" s="40">
        <v>0</v>
      </c>
      <c r="C111" s="40" t="s">
        <v>212</v>
      </c>
      <c r="D111" s="40">
        <v>1</v>
      </c>
      <c r="E111" s="183" t="s">
        <v>213</v>
      </c>
      <c r="F111" s="183"/>
      <c r="G111" s="40">
        <v>0</v>
      </c>
      <c r="H111" s="40" t="s">
        <v>214</v>
      </c>
      <c r="I111" s="183">
        <f ca="1">--TRIM(RIGHT(SUBSTITUTE(LEFT(C110,_xlfn.AGGREGATE(16,6,FIND({0,1,2,3,4,5,6,7,8,9},C110,ROW(INDIRECT("1:"&amp;LEN(C110)))),1))," ",REPT(" ",LEN(C110))),LEN(C110)))</f>
        <v>4</v>
      </c>
      <c r="J111" s="183"/>
      <c r="K111" s="35"/>
      <c r="L111" s="35"/>
    </row>
    <row r="112" spans="1:12" s="42" customFormat="1" ht="15.6" x14ac:dyDescent="0.3">
      <c r="A112" s="198" t="s">
        <v>215</v>
      </c>
      <c r="B112" s="198"/>
      <c r="C112" s="187" t="str">
        <f ca="1">K110</f>
        <v>Work not yet Started.</v>
      </c>
      <c r="D112" s="187"/>
      <c r="E112" s="187"/>
      <c r="F112" s="187"/>
      <c r="G112" s="187"/>
      <c r="H112" s="187"/>
      <c r="I112" s="187"/>
      <c r="J112" s="187"/>
      <c r="K112" s="35" t="s">
        <v>216</v>
      </c>
      <c r="L112" s="35"/>
    </row>
    <row r="113" spans="1:12" s="42" customFormat="1" ht="15.6" x14ac:dyDescent="0.3">
      <c r="A113" s="191" t="s">
        <v>33</v>
      </c>
      <c r="B113" s="191"/>
      <c r="C113" s="43" t="s">
        <v>217</v>
      </c>
      <c r="D113" s="191" t="s">
        <v>218</v>
      </c>
      <c r="E113" s="191"/>
      <c r="F113" s="191" t="s">
        <v>219</v>
      </c>
      <c r="G113" s="191"/>
      <c r="H113" s="191" t="s">
        <v>220</v>
      </c>
      <c r="I113" s="191"/>
      <c r="J113" s="191"/>
      <c r="K113" s="37" t="s">
        <v>221</v>
      </c>
      <c r="L113" s="44">
        <f ca="1">I111*25%</f>
        <v>1</v>
      </c>
    </row>
    <row r="114" spans="1:12" s="42" customFormat="1" ht="15.6" x14ac:dyDescent="0.3">
      <c r="A114" s="191" t="s">
        <v>222</v>
      </c>
      <c r="B114" s="191"/>
      <c r="C114" s="45">
        <v>0</v>
      </c>
      <c r="D114" s="174">
        <f ca="1">((100/I111)*C114)/100</f>
        <v>0</v>
      </c>
      <c r="E114" s="174"/>
      <c r="F114" s="174">
        <f ca="1">(((C115/I111*10)+(40/(D111+G111+I111)*C116)+(7.5/(I111)*C117)+(7.5/(I111)*C118)+(10/I111*C119)+(10/I111*C120)+(5/I111*C121)+(5/I111*C122)+(5/I111*C123))/100)</f>
        <v>0</v>
      </c>
      <c r="G114" s="174"/>
      <c r="H114" s="174">
        <f ca="1">((((C114/I111)*20)+((C115/I111)*25)+(30/(I111+G111+D111)*C116)+(5/I111*C117)+(5/I111*C118)+(5/I111*C119)+(5/I111*C120)+(0/I111*C121)+(0/I111*C122)+(5/I111*C123))/100)</f>
        <v>0</v>
      </c>
      <c r="I114" s="174"/>
      <c r="J114" s="174"/>
      <c r="K114" s="37" t="s">
        <v>223</v>
      </c>
      <c r="L114" s="37">
        <f ca="1">I111*50%</f>
        <v>2</v>
      </c>
    </row>
    <row r="115" spans="1:12" s="42" customFormat="1" ht="15.6" x14ac:dyDescent="0.3">
      <c r="A115" s="191" t="s">
        <v>34</v>
      </c>
      <c r="B115" s="191"/>
      <c r="C115" s="46">
        <v>0</v>
      </c>
      <c r="D115" s="174">
        <f ca="1">((100/I111)*C115)/100</f>
        <v>0</v>
      </c>
      <c r="E115" s="174"/>
      <c r="F115" s="174"/>
      <c r="G115" s="174"/>
      <c r="H115" s="174"/>
      <c r="I115" s="174"/>
      <c r="J115" s="174"/>
      <c r="K115" s="37" t="s">
        <v>224</v>
      </c>
      <c r="L115" s="37">
        <f ca="1">I111</f>
        <v>4</v>
      </c>
    </row>
    <row r="116" spans="1:12" s="42" customFormat="1" ht="15.6" x14ac:dyDescent="0.3">
      <c r="A116" s="191" t="s">
        <v>225</v>
      </c>
      <c r="B116" s="191"/>
      <c r="C116" s="46">
        <v>0</v>
      </c>
      <c r="D116" s="174">
        <f ca="1">((100/(D111+G111+I111))*C116)/100</f>
        <v>0</v>
      </c>
      <c r="E116" s="174"/>
      <c r="F116" s="174"/>
      <c r="G116" s="174"/>
      <c r="H116" s="174"/>
      <c r="I116" s="174"/>
      <c r="J116" s="174"/>
      <c r="K116" s="37" t="s">
        <v>226</v>
      </c>
      <c r="L116" s="47">
        <f ca="1">(IF(B111&gt;1,(I111/(B111+2)),I111/4))</f>
        <v>1</v>
      </c>
    </row>
    <row r="117" spans="1:12" s="42" customFormat="1" ht="15.6" x14ac:dyDescent="0.3">
      <c r="A117" s="191" t="s">
        <v>227</v>
      </c>
      <c r="B117" s="191" t="s">
        <v>228</v>
      </c>
      <c r="C117" s="45">
        <v>0</v>
      </c>
      <c r="D117" s="174">
        <f ca="1">((100/I111)*C117)/100</f>
        <v>0</v>
      </c>
      <c r="E117" s="174"/>
      <c r="F117" s="174"/>
      <c r="G117" s="174"/>
      <c r="H117" s="174"/>
      <c r="I117" s="174"/>
      <c r="J117" s="174"/>
      <c r="K117" s="37" t="s">
        <v>229</v>
      </c>
      <c r="L117" s="47">
        <f ca="1">(IF(B111&gt;1,(I111/(B111+2)+L116),I111/4+L116))</f>
        <v>2</v>
      </c>
    </row>
    <row r="118" spans="1:12" s="42" customFormat="1" ht="15.6" x14ac:dyDescent="0.3">
      <c r="A118" s="191" t="s">
        <v>230</v>
      </c>
      <c r="B118" s="191" t="s">
        <v>228</v>
      </c>
      <c r="C118" s="45">
        <v>0</v>
      </c>
      <c r="D118" s="174">
        <f ca="1">((100/I111)*C118)/100</f>
        <v>0</v>
      </c>
      <c r="E118" s="174"/>
      <c r="F118" s="174"/>
      <c r="G118" s="174"/>
      <c r="H118" s="174"/>
      <c r="I118" s="174"/>
      <c r="J118" s="174"/>
      <c r="K118" s="37" t="s">
        <v>231</v>
      </c>
      <c r="L118" s="47">
        <f>(IF(B111&gt;1,(I111/(B111+2)+L117),0))</f>
        <v>0</v>
      </c>
    </row>
    <row r="119" spans="1:12" s="42" customFormat="1" ht="15.6" x14ac:dyDescent="0.3">
      <c r="A119" s="191" t="s">
        <v>232</v>
      </c>
      <c r="B119" s="191" t="s">
        <v>233</v>
      </c>
      <c r="C119" s="45">
        <v>0</v>
      </c>
      <c r="D119" s="174">
        <f ca="1">((100/(I111))*C119)/100</f>
        <v>0</v>
      </c>
      <c r="E119" s="174"/>
      <c r="F119" s="174"/>
      <c r="G119" s="174"/>
      <c r="H119" s="174"/>
      <c r="I119" s="174"/>
      <c r="J119" s="174"/>
      <c r="K119" s="37" t="s">
        <v>234</v>
      </c>
      <c r="L119" s="47">
        <f>(IF(B111&gt;2,(I111/(B111+2)+L118),0))</f>
        <v>0</v>
      </c>
    </row>
    <row r="120" spans="1:12" s="42" customFormat="1" ht="15.6" x14ac:dyDescent="0.3">
      <c r="A120" s="191" t="s">
        <v>235</v>
      </c>
      <c r="B120" s="191" t="s">
        <v>235</v>
      </c>
      <c r="C120" s="45">
        <v>0</v>
      </c>
      <c r="D120" s="174">
        <f ca="1">((100/I111)*C120)/100</f>
        <v>0</v>
      </c>
      <c r="E120" s="174"/>
      <c r="F120" s="174"/>
      <c r="G120" s="174"/>
      <c r="H120" s="174"/>
      <c r="I120" s="174"/>
      <c r="J120" s="174"/>
      <c r="K120" s="37" t="s">
        <v>236</v>
      </c>
      <c r="L120" s="48">
        <f>(IF(B111&gt;3,(I111/(B111+2)+L119),0))</f>
        <v>0</v>
      </c>
    </row>
    <row r="121" spans="1:12" s="42" customFormat="1" ht="15.6" x14ac:dyDescent="0.3">
      <c r="A121" s="191" t="s">
        <v>237</v>
      </c>
      <c r="B121" s="191"/>
      <c r="C121" s="45">
        <v>0</v>
      </c>
      <c r="D121" s="174">
        <f ca="1">((100/I111)*C121)/100</f>
        <v>0</v>
      </c>
      <c r="E121" s="174"/>
      <c r="F121" s="174"/>
      <c r="G121" s="174"/>
      <c r="H121" s="174"/>
      <c r="I121" s="174"/>
      <c r="J121" s="174"/>
      <c r="K121" s="37" t="s">
        <v>238</v>
      </c>
      <c r="L121" s="47">
        <f>(IF(B111&gt;4,(I111/(B111+2)+L120),0))</f>
        <v>0</v>
      </c>
    </row>
    <row r="122" spans="1:12" s="42" customFormat="1" ht="15.6" x14ac:dyDescent="0.3">
      <c r="A122" s="191" t="s">
        <v>239</v>
      </c>
      <c r="B122" s="191" t="s">
        <v>239</v>
      </c>
      <c r="C122" s="45">
        <v>0</v>
      </c>
      <c r="D122" s="174">
        <f ca="1">((100/(I111))*C122)/100</f>
        <v>0</v>
      </c>
      <c r="E122" s="174"/>
      <c r="F122" s="174"/>
      <c r="G122" s="174"/>
      <c r="H122" s="174"/>
      <c r="I122" s="174"/>
      <c r="J122" s="174"/>
      <c r="K122" s="37" t="s">
        <v>240</v>
      </c>
      <c r="L122" s="47">
        <f ca="1">(IF(B111=1,(I111/(B111+3)+L117),IF(B111=0,(I111/4+L117),IF(B111&gt;1,0))))</f>
        <v>3</v>
      </c>
    </row>
    <row r="123" spans="1:12" s="42" customFormat="1" ht="15.6" x14ac:dyDescent="0.3">
      <c r="A123" s="191" t="s">
        <v>241</v>
      </c>
      <c r="B123" s="191"/>
      <c r="C123" s="45">
        <v>0</v>
      </c>
      <c r="D123" s="174">
        <f ca="1">((100/(I111))*C123)/100</f>
        <v>0</v>
      </c>
      <c r="E123" s="174"/>
      <c r="F123" s="174"/>
      <c r="G123" s="174"/>
      <c r="H123" s="174"/>
      <c r="I123" s="174"/>
      <c r="J123" s="174"/>
      <c r="K123" s="37" t="s">
        <v>242</v>
      </c>
      <c r="L123" s="47">
        <f ca="1">(IF(B111&gt;1.5,(I111/(B111+2)+L117+MAX(0,L118-L117)+MAX(0,L119-L118)+MAX(0,L120-L119)+MAX(0,L121-L120)+MAX(0,L122-L121)),IF(B111=1,(I111/(B111+3)+L122),IF(B111=0,I111/4+L122))))</f>
        <v>4</v>
      </c>
    </row>
    <row r="124" spans="1:12" x14ac:dyDescent="0.3">
      <c r="A124" s="134" t="s">
        <v>59</v>
      </c>
      <c r="B124" s="135"/>
      <c r="C124" s="135"/>
      <c r="D124" s="135"/>
      <c r="E124" s="135"/>
      <c r="F124" s="135"/>
      <c r="G124" s="135"/>
      <c r="H124" s="135"/>
      <c r="I124" s="135"/>
      <c r="J124" s="136"/>
    </row>
    <row r="125" spans="1:12" x14ac:dyDescent="0.3">
      <c r="A125" s="85" t="s">
        <v>50</v>
      </c>
      <c r="B125" s="99"/>
      <c r="C125" s="99"/>
      <c r="D125" s="99"/>
      <c r="E125" s="99"/>
      <c r="F125" s="99"/>
      <c r="G125" s="99"/>
      <c r="H125" s="99"/>
      <c r="I125" s="99"/>
      <c r="J125" s="100"/>
    </row>
    <row r="126" spans="1:12" ht="15" hidden="1" customHeight="1" x14ac:dyDescent="0.3">
      <c r="A126" s="62" t="s">
        <v>77</v>
      </c>
      <c r="B126" s="63"/>
      <c r="C126" s="63"/>
      <c r="D126" s="63"/>
      <c r="E126" s="63"/>
      <c r="F126" s="63"/>
      <c r="G126" s="63"/>
      <c r="H126" s="63"/>
      <c r="I126" s="63"/>
      <c r="J126" s="64"/>
    </row>
    <row r="127" spans="1:12" hidden="1" x14ac:dyDescent="0.3">
      <c r="A127" s="65"/>
      <c r="B127" s="66"/>
      <c r="C127" s="66"/>
      <c r="D127" s="66"/>
      <c r="E127" s="66"/>
      <c r="F127" s="66"/>
      <c r="G127" s="66"/>
      <c r="H127" s="66"/>
      <c r="I127" s="66"/>
      <c r="J127" s="67"/>
    </row>
    <row r="128" spans="1:12" ht="2.25" hidden="1" customHeight="1" x14ac:dyDescent="0.3">
      <c r="A128" s="65"/>
      <c r="B128" s="66"/>
      <c r="C128" s="66"/>
      <c r="D128" s="66"/>
      <c r="E128" s="66"/>
      <c r="F128" s="66"/>
      <c r="G128" s="66"/>
      <c r="H128" s="66"/>
      <c r="I128" s="66"/>
      <c r="J128" s="67"/>
    </row>
    <row r="129" spans="1:10" ht="15" hidden="1" customHeight="1" x14ac:dyDescent="0.3">
      <c r="A129" s="65"/>
      <c r="B129" s="66"/>
      <c r="C129" s="66"/>
      <c r="D129" s="66"/>
      <c r="E129" s="66"/>
      <c r="F129" s="66"/>
      <c r="G129" s="66"/>
      <c r="H129" s="66"/>
      <c r="I129" s="66"/>
      <c r="J129" s="67"/>
    </row>
    <row r="130" spans="1:10" ht="15" hidden="1" customHeight="1" x14ac:dyDescent="0.3">
      <c r="A130" s="65"/>
      <c r="B130" s="66"/>
      <c r="C130" s="66"/>
      <c r="D130" s="66"/>
      <c r="E130" s="66"/>
      <c r="F130" s="66"/>
      <c r="G130" s="66"/>
      <c r="H130" s="66"/>
      <c r="I130" s="66"/>
      <c r="J130" s="67"/>
    </row>
    <row r="131" spans="1:10" ht="15" hidden="1" customHeight="1" x14ac:dyDescent="0.3">
      <c r="A131" s="65"/>
      <c r="B131" s="66"/>
      <c r="C131" s="66"/>
      <c r="D131" s="66"/>
      <c r="E131" s="66"/>
      <c r="F131" s="66"/>
      <c r="G131" s="66"/>
      <c r="H131" s="66"/>
      <c r="I131" s="66"/>
      <c r="J131" s="67"/>
    </row>
    <row r="132" spans="1:10" hidden="1" x14ac:dyDescent="0.3">
      <c r="A132" s="68"/>
      <c r="B132" s="69"/>
      <c r="C132" s="69"/>
      <c r="D132" s="69"/>
      <c r="E132" s="69"/>
      <c r="F132" s="69"/>
      <c r="G132" s="69"/>
      <c r="H132" s="69"/>
      <c r="I132" s="69"/>
      <c r="J132" s="70"/>
    </row>
    <row r="133" spans="1:10" x14ac:dyDescent="0.3">
      <c r="A133" s="71" t="s">
        <v>24</v>
      </c>
      <c r="B133" s="72"/>
      <c r="C133" s="72"/>
      <c r="D133" s="72"/>
      <c r="E133" s="72"/>
      <c r="F133" s="72"/>
      <c r="G133" s="72"/>
      <c r="H133" s="72"/>
      <c r="I133" s="72"/>
      <c r="J133" s="73"/>
    </row>
    <row r="134" spans="1:10" x14ac:dyDescent="0.3">
      <c r="A134" s="82" t="s">
        <v>106</v>
      </c>
      <c r="B134" s="83"/>
      <c r="C134" s="83"/>
      <c r="D134" s="83"/>
      <c r="E134" s="83"/>
      <c r="F134" s="84"/>
      <c r="G134" s="74">
        <v>3800</v>
      </c>
      <c r="H134" s="75"/>
      <c r="I134" s="75"/>
      <c r="J134" s="76"/>
    </row>
    <row r="135" spans="1:10" x14ac:dyDescent="0.3">
      <c r="A135" s="82" t="s">
        <v>203</v>
      </c>
      <c r="B135" s="83"/>
      <c r="C135" s="83"/>
      <c r="D135" s="83"/>
      <c r="E135" s="83"/>
      <c r="F135" s="84"/>
      <c r="G135" s="82">
        <v>5500</v>
      </c>
      <c r="H135" s="83"/>
      <c r="I135" s="83"/>
      <c r="J135" s="84"/>
    </row>
    <row r="136" spans="1:10" x14ac:dyDescent="0.3">
      <c r="A136" s="85" t="s">
        <v>101</v>
      </c>
      <c r="B136" s="86"/>
      <c r="C136" s="86"/>
      <c r="D136" s="86"/>
      <c r="E136" s="86"/>
      <c r="F136" s="87"/>
      <c r="G136" s="88" t="s">
        <v>204</v>
      </c>
      <c r="H136" s="89"/>
      <c r="I136" s="89"/>
      <c r="J136" s="90"/>
    </row>
    <row r="137" spans="1:10" s="50" customFormat="1" ht="14.55" customHeight="1" x14ac:dyDescent="0.3">
      <c r="A137" s="105" t="s">
        <v>114</v>
      </c>
      <c r="B137" s="72"/>
      <c r="C137" s="72"/>
      <c r="D137" s="72"/>
      <c r="E137" s="72"/>
      <c r="F137" s="73"/>
      <c r="G137" s="85">
        <f>G134*0.8</f>
        <v>3040</v>
      </c>
      <c r="H137" s="99"/>
      <c r="I137" s="99"/>
      <c r="J137" s="100"/>
    </row>
    <row r="138" spans="1:10" s="50" customFormat="1" ht="21" customHeight="1" x14ac:dyDescent="0.3">
      <c r="A138" s="156" t="s">
        <v>115</v>
      </c>
      <c r="B138" s="157"/>
      <c r="C138" s="157"/>
      <c r="D138" s="157"/>
      <c r="E138" s="157"/>
      <c r="F138" s="157"/>
      <c r="G138" s="157"/>
      <c r="H138" s="157"/>
      <c r="I138" s="157"/>
      <c r="J138" s="158"/>
    </row>
    <row r="139" spans="1:10" x14ac:dyDescent="0.3">
      <c r="A139" s="92" t="s">
        <v>45</v>
      </c>
      <c r="B139" s="93"/>
      <c r="C139" s="93"/>
      <c r="D139" s="93"/>
      <c r="E139" s="93"/>
      <c r="F139" s="93"/>
      <c r="G139" s="93"/>
      <c r="H139" s="93"/>
      <c r="I139" s="93"/>
      <c r="J139" s="94"/>
    </row>
    <row r="140" spans="1:10" ht="39.6" x14ac:dyDescent="0.3">
      <c r="A140" s="162" t="s">
        <v>139</v>
      </c>
      <c r="B140" s="163"/>
      <c r="C140" s="4" t="s">
        <v>29</v>
      </c>
      <c r="D140" s="80" t="s">
        <v>79</v>
      </c>
      <c r="E140" s="81"/>
      <c r="F140" s="10" t="s">
        <v>30</v>
      </c>
      <c r="G140" s="4" t="s">
        <v>205</v>
      </c>
      <c r="H140" s="4" t="s">
        <v>31</v>
      </c>
      <c r="I140" s="162" t="s">
        <v>116</v>
      </c>
      <c r="J140" s="163"/>
    </row>
    <row r="141" spans="1:10" ht="15.6" x14ac:dyDescent="0.3">
      <c r="A141" s="162" t="s">
        <v>138</v>
      </c>
      <c r="B141" s="171"/>
      <c r="C141" s="171"/>
      <c r="D141" s="171"/>
      <c r="E141" s="171"/>
      <c r="F141" s="171"/>
      <c r="G141" s="171"/>
      <c r="H141" s="171"/>
      <c r="I141" s="171"/>
      <c r="J141" s="163"/>
    </row>
    <row r="142" spans="1:10" ht="19.5" customHeight="1" x14ac:dyDescent="0.3">
      <c r="A142" s="56" t="s">
        <v>140</v>
      </c>
      <c r="B142" s="57"/>
      <c r="C142" s="57"/>
      <c r="D142" s="57"/>
      <c r="E142" s="57"/>
      <c r="F142" s="57"/>
      <c r="G142" s="57"/>
      <c r="H142" s="57"/>
      <c r="I142" s="57"/>
      <c r="J142" s="58"/>
    </row>
    <row r="143" spans="1:10" ht="15.6" x14ac:dyDescent="0.3">
      <c r="A143" s="59">
        <v>1</v>
      </c>
      <c r="B143" s="60"/>
      <c r="C143" s="38" t="s">
        <v>141</v>
      </c>
      <c r="D143" s="59">
        <f>(2.75*5.15)*10.764</f>
        <v>152.44515000000001</v>
      </c>
      <c r="E143" s="60"/>
      <c r="F143" s="38">
        <v>0</v>
      </c>
      <c r="G143" s="38">
        <f>D143*1.5+F143</f>
        <v>228.66772500000002</v>
      </c>
      <c r="H143" s="38" t="s">
        <v>51</v>
      </c>
      <c r="I143" s="61" t="s">
        <v>142</v>
      </c>
      <c r="J143" s="61"/>
    </row>
    <row r="144" spans="1:10" ht="15.6" x14ac:dyDescent="0.3">
      <c r="A144" s="59">
        <v>2</v>
      </c>
      <c r="B144" s="60"/>
      <c r="C144" s="38" t="s">
        <v>141</v>
      </c>
      <c r="D144" s="59">
        <f>(4.05*5.15)*10.764</f>
        <v>224.51013</v>
      </c>
      <c r="E144" s="60"/>
      <c r="F144" s="38">
        <v>0</v>
      </c>
      <c r="G144" s="38">
        <f t="shared" ref="G144:G155" si="0">D144*1.5+F144</f>
        <v>336.76519500000001</v>
      </c>
      <c r="H144" s="38" t="s">
        <v>51</v>
      </c>
      <c r="I144" s="61" t="s">
        <v>142</v>
      </c>
      <c r="J144" s="61"/>
    </row>
    <row r="145" spans="1:10" ht="15.6" x14ac:dyDescent="0.3">
      <c r="A145" s="59">
        <v>3</v>
      </c>
      <c r="B145" s="60"/>
      <c r="C145" s="38" t="s">
        <v>141</v>
      </c>
      <c r="D145" s="59">
        <f>(2.75*5.15)*10.764</f>
        <v>152.44515000000001</v>
      </c>
      <c r="E145" s="60"/>
      <c r="F145" s="38">
        <v>0</v>
      </c>
      <c r="G145" s="38">
        <f t="shared" si="0"/>
        <v>228.66772500000002</v>
      </c>
      <c r="H145" s="38" t="s">
        <v>51</v>
      </c>
      <c r="I145" s="61" t="s">
        <v>142</v>
      </c>
      <c r="J145" s="61"/>
    </row>
    <row r="146" spans="1:10" ht="15.6" x14ac:dyDescent="0.3">
      <c r="A146" s="59">
        <v>4</v>
      </c>
      <c r="B146" s="60"/>
      <c r="C146" s="38" t="s">
        <v>141</v>
      </c>
      <c r="D146" s="59">
        <f>(2.75*4)*10.764</f>
        <v>118.404</v>
      </c>
      <c r="E146" s="60"/>
      <c r="F146" s="38">
        <v>0</v>
      </c>
      <c r="G146" s="38">
        <f t="shared" si="0"/>
        <v>177.60599999999999</v>
      </c>
      <c r="H146" s="38" t="s">
        <v>51</v>
      </c>
      <c r="I146" s="61" t="s">
        <v>142</v>
      </c>
      <c r="J146" s="61"/>
    </row>
    <row r="147" spans="1:10" ht="15.6" x14ac:dyDescent="0.3">
      <c r="A147" s="59">
        <v>5</v>
      </c>
      <c r="B147" s="60"/>
      <c r="C147" s="38" t="s">
        <v>141</v>
      </c>
      <c r="D147" s="59">
        <f>(2.75*5.15)*10.764</f>
        <v>152.44515000000001</v>
      </c>
      <c r="E147" s="60"/>
      <c r="F147" s="38">
        <v>0</v>
      </c>
      <c r="G147" s="38">
        <f t="shared" si="0"/>
        <v>228.66772500000002</v>
      </c>
      <c r="H147" s="38" t="s">
        <v>51</v>
      </c>
      <c r="I147" s="61" t="s">
        <v>142</v>
      </c>
      <c r="J147" s="61"/>
    </row>
    <row r="148" spans="1:10" ht="15.6" x14ac:dyDescent="0.3">
      <c r="A148" s="59">
        <v>6</v>
      </c>
      <c r="B148" s="60"/>
      <c r="C148" s="38" t="s">
        <v>141</v>
      </c>
      <c r="D148" s="59">
        <f>(2.75*4)*10.764</f>
        <v>118.404</v>
      </c>
      <c r="E148" s="60"/>
      <c r="F148" s="38">
        <v>0</v>
      </c>
      <c r="G148" s="38">
        <f t="shared" si="0"/>
        <v>177.60599999999999</v>
      </c>
      <c r="H148" s="38" t="s">
        <v>51</v>
      </c>
      <c r="I148" s="61" t="s">
        <v>142</v>
      </c>
      <c r="J148" s="61"/>
    </row>
    <row r="149" spans="1:10" ht="15.6" x14ac:dyDescent="0.3">
      <c r="A149" s="59">
        <v>7</v>
      </c>
      <c r="B149" s="60"/>
      <c r="C149" s="38" t="s">
        <v>141</v>
      </c>
      <c r="D149" s="59">
        <f>(2.75*5.15)*10.764</f>
        <v>152.44515000000001</v>
      </c>
      <c r="E149" s="60"/>
      <c r="F149" s="38">
        <v>0</v>
      </c>
      <c r="G149" s="38">
        <f t="shared" si="0"/>
        <v>228.66772500000002</v>
      </c>
      <c r="H149" s="38" t="s">
        <v>51</v>
      </c>
      <c r="I149" s="61" t="s">
        <v>142</v>
      </c>
      <c r="J149" s="61"/>
    </row>
    <row r="150" spans="1:10" ht="15.6" x14ac:dyDescent="0.3">
      <c r="A150" s="59">
        <v>8</v>
      </c>
      <c r="B150" s="60"/>
      <c r="C150" s="38" t="s">
        <v>141</v>
      </c>
      <c r="D150" s="59">
        <f>(4.05*5.15)*10.764</f>
        <v>224.51013</v>
      </c>
      <c r="E150" s="60"/>
      <c r="F150" s="38">
        <v>0</v>
      </c>
      <c r="G150" s="38">
        <f t="shared" si="0"/>
        <v>336.76519500000001</v>
      </c>
      <c r="H150" s="38" t="s">
        <v>51</v>
      </c>
      <c r="I150" s="61" t="s">
        <v>142</v>
      </c>
      <c r="J150" s="61"/>
    </row>
    <row r="151" spans="1:10" ht="15.6" x14ac:dyDescent="0.3">
      <c r="A151" s="59">
        <v>9</v>
      </c>
      <c r="B151" s="60"/>
      <c r="C151" s="38" t="s">
        <v>141</v>
      </c>
      <c r="D151" s="59">
        <f>(2.75*5.15)*10.764</f>
        <v>152.44515000000001</v>
      </c>
      <c r="E151" s="60"/>
      <c r="F151" s="38">
        <v>0</v>
      </c>
      <c r="G151" s="38">
        <f t="shared" si="0"/>
        <v>228.66772500000002</v>
      </c>
      <c r="H151" s="38" t="s">
        <v>51</v>
      </c>
      <c r="I151" s="61" t="s">
        <v>142</v>
      </c>
      <c r="J151" s="61"/>
    </row>
    <row r="152" spans="1:10" ht="15.6" x14ac:dyDescent="0.3">
      <c r="A152" s="59">
        <v>10</v>
      </c>
      <c r="B152" s="60"/>
      <c r="C152" s="38" t="s">
        <v>141</v>
      </c>
      <c r="D152" s="59">
        <f>(4.85*2.75)*10.764</f>
        <v>143.56484999999998</v>
      </c>
      <c r="E152" s="60"/>
      <c r="F152" s="38">
        <v>0</v>
      </c>
      <c r="G152" s="38">
        <f t="shared" si="0"/>
        <v>215.34727499999997</v>
      </c>
      <c r="H152" s="38" t="s">
        <v>51</v>
      </c>
      <c r="I152" s="61" t="s">
        <v>142</v>
      </c>
      <c r="J152" s="61"/>
    </row>
    <row r="153" spans="1:10" ht="15.6" x14ac:dyDescent="0.3">
      <c r="A153" s="59">
        <v>11</v>
      </c>
      <c r="B153" s="60"/>
      <c r="C153" s="38" t="s">
        <v>141</v>
      </c>
      <c r="D153" s="59">
        <f>(4*2.9)*10.764</f>
        <v>124.86239999999999</v>
      </c>
      <c r="E153" s="60"/>
      <c r="F153" s="38">
        <v>0</v>
      </c>
      <c r="G153" s="38">
        <f t="shared" si="0"/>
        <v>187.2936</v>
      </c>
      <c r="H153" s="38" t="s">
        <v>51</v>
      </c>
      <c r="I153" s="61" t="s">
        <v>142</v>
      </c>
      <c r="J153" s="61"/>
    </row>
    <row r="154" spans="1:10" ht="15.6" x14ac:dyDescent="0.3">
      <c r="A154" s="59">
        <v>12</v>
      </c>
      <c r="B154" s="60"/>
      <c r="C154" s="38" t="s">
        <v>141</v>
      </c>
      <c r="D154" s="59">
        <f>(4.4*2.25+0.6*1.1)*10.764</f>
        <v>113.66784</v>
      </c>
      <c r="E154" s="60"/>
      <c r="F154" s="38">
        <v>0</v>
      </c>
      <c r="G154" s="38">
        <f t="shared" si="0"/>
        <v>170.50175999999999</v>
      </c>
      <c r="H154" s="38" t="s">
        <v>51</v>
      </c>
      <c r="I154" s="61" t="s">
        <v>142</v>
      </c>
      <c r="J154" s="61"/>
    </row>
    <row r="155" spans="1:10" ht="15.6" x14ac:dyDescent="0.3">
      <c r="A155" s="59">
        <v>13</v>
      </c>
      <c r="B155" s="60"/>
      <c r="C155" s="38" t="s">
        <v>141</v>
      </c>
      <c r="D155" s="59">
        <f>(4.85*2.75)*10.764</f>
        <v>143.56484999999998</v>
      </c>
      <c r="E155" s="60"/>
      <c r="F155" s="38">
        <v>0</v>
      </c>
      <c r="G155" s="38">
        <f t="shared" si="0"/>
        <v>215.34727499999997</v>
      </c>
      <c r="H155" s="38" t="s">
        <v>51</v>
      </c>
      <c r="I155" s="61" t="s">
        <v>142</v>
      </c>
      <c r="J155" s="61"/>
    </row>
    <row r="156" spans="1:10" ht="15.6" x14ac:dyDescent="0.3">
      <c r="A156" s="91" t="s">
        <v>143</v>
      </c>
      <c r="B156" s="91"/>
      <c r="C156" s="91"/>
      <c r="D156" s="91"/>
      <c r="E156" s="91"/>
      <c r="F156" s="91"/>
      <c r="G156" s="91"/>
      <c r="H156" s="91"/>
      <c r="I156" s="91"/>
      <c r="J156" s="91"/>
    </row>
    <row r="157" spans="1:10" ht="15.6" x14ac:dyDescent="0.3">
      <c r="A157" s="61">
        <v>2</v>
      </c>
      <c r="B157" s="61"/>
      <c r="C157" s="38" t="s">
        <v>144</v>
      </c>
      <c r="D157" s="61">
        <f>24.7*10.764</f>
        <v>265.87079999999997</v>
      </c>
      <c r="E157" s="61"/>
      <c r="F157" s="38">
        <v>0</v>
      </c>
      <c r="G157" s="38">
        <f>D157*1.45+F157</f>
        <v>385.51265999999993</v>
      </c>
      <c r="H157" s="38" t="s">
        <v>51</v>
      </c>
      <c r="I157" s="61" t="s">
        <v>142</v>
      </c>
      <c r="J157" s="61"/>
    </row>
    <row r="158" spans="1:10" ht="15.6" x14ac:dyDescent="0.3">
      <c r="A158" s="91" t="s">
        <v>145</v>
      </c>
      <c r="B158" s="91"/>
      <c r="C158" s="91"/>
      <c r="D158" s="91"/>
      <c r="E158" s="91"/>
      <c r="F158" s="91"/>
      <c r="G158" s="91"/>
      <c r="H158" s="91"/>
      <c r="I158" s="91"/>
      <c r="J158" s="91"/>
    </row>
    <row r="159" spans="1:10" ht="15.6" x14ac:dyDescent="0.3">
      <c r="A159" s="61">
        <v>3</v>
      </c>
      <c r="B159" s="61"/>
      <c r="C159" s="38" t="s">
        <v>144</v>
      </c>
      <c r="D159" s="61">
        <f>24.7*10.764</f>
        <v>265.87079999999997</v>
      </c>
      <c r="E159" s="61"/>
      <c r="F159" s="38">
        <v>0</v>
      </c>
      <c r="G159" s="38">
        <f>D159*1.45+F159</f>
        <v>385.51265999999993</v>
      </c>
      <c r="H159" s="38" t="s">
        <v>51</v>
      </c>
      <c r="I159" s="61" t="s">
        <v>142</v>
      </c>
      <c r="J159" s="61"/>
    </row>
    <row r="160" spans="1:10" ht="15.6" x14ac:dyDescent="0.3">
      <c r="A160" s="61">
        <v>4</v>
      </c>
      <c r="B160" s="61"/>
      <c r="C160" s="38" t="s">
        <v>144</v>
      </c>
      <c r="D160" s="61">
        <f>24.7*10.764</f>
        <v>265.87079999999997</v>
      </c>
      <c r="E160" s="61"/>
      <c r="F160" s="38">
        <v>0</v>
      </c>
      <c r="G160" s="38">
        <f>D160*1.45+F160</f>
        <v>385.51265999999993</v>
      </c>
      <c r="H160" s="38" t="s">
        <v>51</v>
      </c>
      <c r="I160" s="61" t="s">
        <v>142</v>
      </c>
      <c r="J160" s="61"/>
    </row>
    <row r="161" spans="1:10" ht="15.6" x14ac:dyDescent="0.3">
      <c r="A161" s="175" t="s">
        <v>156</v>
      </c>
      <c r="B161" s="175"/>
      <c r="C161" s="175"/>
      <c r="D161" s="175"/>
      <c r="E161" s="175"/>
      <c r="F161" s="175"/>
      <c r="G161" s="175"/>
      <c r="H161" s="175"/>
      <c r="I161" s="175"/>
      <c r="J161" s="175"/>
    </row>
    <row r="162" spans="1:10" ht="15.6" x14ac:dyDescent="0.3">
      <c r="A162" s="91" t="s">
        <v>140</v>
      </c>
      <c r="B162" s="91"/>
      <c r="C162" s="91"/>
      <c r="D162" s="91"/>
      <c r="E162" s="91"/>
      <c r="F162" s="91"/>
      <c r="G162" s="91"/>
      <c r="H162" s="91"/>
      <c r="I162" s="91"/>
      <c r="J162" s="91"/>
    </row>
    <row r="163" spans="1:10" ht="15.6" x14ac:dyDescent="0.3">
      <c r="A163" s="61">
        <v>1</v>
      </c>
      <c r="B163" s="61"/>
      <c r="C163" s="38" t="s">
        <v>141</v>
      </c>
      <c r="D163" s="61">
        <f>(2.75*5.15)*10.764</f>
        <v>152.44515000000001</v>
      </c>
      <c r="E163" s="61"/>
      <c r="F163" s="38">
        <v>0</v>
      </c>
      <c r="G163" s="38">
        <f>D163*1.5+F163</f>
        <v>228.66772500000002</v>
      </c>
      <c r="H163" s="38" t="s">
        <v>51</v>
      </c>
      <c r="I163" s="61" t="s">
        <v>142</v>
      </c>
      <c r="J163" s="61"/>
    </row>
    <row r="164" spans="1:10" ht="15.6" x14ac:dyDescent="0.3">
      <c r="A164" s="61">
        <v>2</v>
      </c>
      <c r="B164" s="61"/>
      <c r="C164" s="38" t="s">
        <v>141</v>
      </c>
      <c r="D164" s="61">
        <f>(4.05*5.15)*10.764</f>
        <v>224.51013</v>
      </c>
      <c r="E164" s="61"/>
      <c r="F164" s="38">
        <v>0</v>
      </c>
      <c r="G164" s="38">
        <f t="shared" ref="G164:G171" si="1">D164*1.5+F164</f>
        <v>336.76519500000001</v>
      </c>
      <c r="H164" s="38" t="s">
        <v>51</v>
      </c>
      <c r="I164" s="61" t="s">
        <v>142</v>
      </c>
      <c r="J164" s="61"/>
    </row>
    <row r="165" spans="1:10" ht="15.6" x14ac:dyDescent="0.3">
      <c r="A165" s="59">
        <v>3</v>
      </c>
      <c r="B165" s="60"/>
      <c r="C165" s="38" t="s">
        <v>141</v>
      </c>
      <c r="D165" s="59">
        <f>(2.75*5.15)*10.764</f>
        <v>152.44515000000001</v>
      </c>
      <c r="E165" s="60"/>
      <c r="F165" s="38">
        <v>0</v>
      </c>
      <c r="G165" s="38">
        <f t="shared" si="1"/>
        <v>228.66772500000002</v>
      </c>
      <c r="H165" s="38" t="s">
        <v>51</v>
      </c>
      <c r="I165" s="61" t="s">
        <v>142</v>
      </c>
      <c r="J165" s="61"/>
    </row>
    <row r="166" spans="1:10" ht="15.6" x14ac:dyDescent="0.3">
      <c r="A166" s="59">
        <v>4</v>
      </c>
      <c r="B166" s="60"/>
      <c r="C166" s="38" t="s">
        <v>141</v>
      </c>
      <c r="D166" s="59">
        <f>(2.75*4)*10.764</f>
        <v>118.404</v>
      </c>
      <c r="E166" s="60"/>
      <c r="F166" s="38">
        <v>0</v>
      </c>
      <c r="G166" s="38">
        <f t="shared" si="1"/>
        <v>177.60599999999999</v>
      </c>
      <c r="H166" s="38" t="s">
        <v>51</v>
      </c>
      <c r="I166" s="61" t="s">
        <v>142</v>
      </c>
      <c r="J166" s="61"/>
    </row>
    <row r="167" spans="1:10" ht="15.6" x14ac:dyDescent="0.3">
      <c r="A167" s="59">
        <v>5</v>
      </c>
      <c r="B167" s="60"/>
      <c r="C167" s="38" t="s">
        <v>141</v>
      </c>
      <c r="D167" s="59">
        <f>(2.75*5.15)*10.764</f>
        <v>152.44515000000001</v>
      </c>
      <c r="E167" s="60"/>
      <c r="F167" s="38">
        <v>0</v>
      </c>
      <c r="G167" s="38">
        <f t="shared" si="1"/>
        <v>228.66772500000002</v>
      </c>
      <c r="H167" s="38" t="s">
        <v>51</v>
      </c>
      <c r="I167" s="61" t="s">
        <v>142</v>
      </c>
      <c r="J167" s="61"/>
    </row>
    <row r="168" spans="1:10" ht="15.6" x14ac:dyDescent="0.3">
      <c r="A168" s="59">
        <v>6</v>
      </c>
      <c r="B168" s="60"/>
      <c r="C168" s="38" t="s">
        <v>141</v>
      </c>
      <c r="D168" s="59">
        <f>(2.75*4)*10.764</f>
        <v>118.404</v>
      </c>
      <c r="E168" s="60"/>
      <c r="F168" s="38">
        <v>0</v>
      </c>
      <c r="G168" s="38">
        <f t="shared" si="1"/>
        <v>177.60599999999999</v>
      </c>
      <c r="H168" s="38" t="s">
        <v>51</v>
      </c>
      <c r="I168" s="61" t="s">
        <v>142</v>
      </c>
      <c r="J168" s="61"/>
    </row>
    <row r="169" spans="1:10" ht="15.6" x14ac:dyDescent="0.3">
      <c r="A169" s="59">
        <v>7</v>
      </c>
      <c r="B169" s="60"/>
      <c r="C169" s="38" t="s">
        <v>141</v>
      </c>
      <c r="D169" s="59">
        <f>(2.75*5.15)*10.764</f>
        <v>152.44515000000001</v>
      </c>
      <c r="E169" s="60"/>
      <c r="F169" s="38">
        <v>0</v>
      </c>
      <c r="G169" s="38">
        <f t="shared" si="1"/>
        <v>228.66772500000002</v>
      </c>
      <c r="H169" s="38" t="s">
        <v>51</v>
      </c>
      <c r="I169" s="61" t="s">
        <v>142</v>
      </c>
      <c r="J169" s="61"/>
    </row>
    <row r="170" spans="1:10" ht="15.6" x14ac:dyDescent="0.3">
      <c r="A170" s="59">
        <v>8</v>
      </c>
      <c r="B170" s="60"/>
      <c r="C170" s="38" t="s">
        <v>141</v>
      </c>
      <c r="D170" s="59">
        <f>(4.05*5.15)*10.764</f>
        <v>224.51013</v>
      </c>
      <c r="E170" s="60"/>
      <c r="F170" s="38">
        <v>0</v>
      </c>
      <c r="G170" s="38">
        <f t="shared" si="1"/>
        <v>336.76519500000001</v>
      </c>
      <c r="H170" s="38" t="s">
        <v>51</v>
      </c>
      <c r="I170" s="61" t="s">
        <v>142</v>
      </c>
      <c r="J170" s="61"/>
    </row>
    <row r="171" spans="1:10" ht="15.6" x14ac:dyDescent="0.3">
      <c r="A171" s="59">
        <v>9</v>
      </c>
      <c r="B171" s="60"/>
      <c r="C171" s="38" t="s">
        <v>141</v>
      </c>
      <c r="D171" s="59">
        <f>(2.75*5.15)*10.764</f>
        <v>152.44515000000001</v>
      </c>
      <c r="E171" s="60"/>
      <c r="F171" s="38">
        <v>0</v>
      </c>
      <c r="G171" s="38">
        <f t="shared" si="1"/>
        <v>228.66772500000002</v>
      </c>
      <c r="H171" s="38" t="s">
        <v>51</v>
      </c>
      <c r="I171" s="61" t="s">
        <v>142</v>
      </c>
      <c r="J171" s="61"/>
    </row>
    <row r="172" spans="1:10" ht="15.6" x14ac:dyDescent="0.3">
      <c r="A172" s="77" t="s">
        <v>143</v>
      </c>
      <c r="B172" s="78"/>
      <c r="C172" s="78"/>
      <c r="D172" s="78"/>
      <c r="E172" s="78"/>
      <c r="F172" s="78"/>
      <c r="G172" s="78"/>
      <c r="H172" s="78"/>
      <c r="I172" s="78"/>
      <c r="J172" s="79"/>
    </row>
    <row r="173" spans="1:10" ht="15.6" x14ac:dyDescent="0.3">
      <c r="A173" s="59">
        <v>1</v>
      </c>
      <c r="B173" s="60"/>
      <c r="C173" s="38" t="s">
        <v>144</v>
      </c>
      <c r="D173" s="59">
        <f>24.7*10.764</f>
        <v>265.87079999999997</v>
      </c>
      <c r="E173" s="60"/>
      <c r="F173" s="38">
        <v>0</v>
      </c>
      <c r="G173" s="38">
        <f>D173*1.45+F173</f>
        <v>385.51265999999993</v>
      </c>
      <c r="H173" s="38" t="s">
        <v>51</v>
      </c>
      <c r="I173" s="61" t="s">
        <v>142</v>
      </c>
      <c r="J173" s="61"/>
    </row>
    <row r="174" spans="1:10" ht="15.6" x14ac:dyDescent="0.3">
      <c r="A174" s="59">
        <v>2</v>
      </c>
      <c r="B174" s="60"/>
      <c r="C174" s="38" t="s">
        <v>144</v>
      </c>
      <c r="D174" s="59">
        <f>24.7*10.764</f>
        <v>265.87079999999997</v>
      </c>
      <c r="E174" s="60"/>
      <c r="F174" s="38">
        <v>0</v>
      </c>
      <c r="G174" s="38">
        <f>D174*1.45+F174</f>
        <v>385.51265999999993</v>
      </c>
      <c r="H174" s="38" t="s">
        <v>51</v>
      </c>
      <c r="I174" s="61" t="s">
        <v>142</v>
      </c>
      <c r="J174" s="61"/>
    </row>
    <row r="175" spans="1:10" ht="15.6" x14ac:dyDescent="0.3">
      <c r="A175" s="77" t="s">
        <v>145</v>
      </c>
      <c r="B175" s="78"/>
      <c r="C175" s="78"/>
      <c r="D175" s="78"/>
      <c r="E175" s="78"/>
      <c r="F175" s="78"/>
      <c r="G175" s="78"/>
      <c r="H175" s="78"/>
      <c r="I175" s="78"/>
      <c r="J175" s="79"/>
    </row>
    <row r="176" spans="1:10" ht="15.6" x14ac:dyDescent="0.3">
      <c r="A176" s="59">
        <v>3</v>
      </c>
      <c r="B176" s="60"/>
      <c r="C176" s="38" t="s">
        <v>144</v>
      </c>
      <c r="D176" s="59">
        <f>24.7*10.764</f>
        <v>265.87079999999997</v>
      </c>
      <c r="E176" s="60"/>
      <c r="F176" s="38">
        <v>0</v>
      </c>
      <c r="G176" s="38">
        <f>D176*1.45+F176</f>
        <v>385.51265999999993</v>
      </c>
      <c r="H176" s="38" t="s">
        <v>51</v>
      </c>
      <c r="I176" s="61" t="s">
        <v>142</v>
      </c>
      <c r="J176" s="61"/>
    </row>
    <row r="177" spans="1:10" ht="15.6" x14ac:dyDescent="0.3">
      <c r="A177" s="59">
        <v>4</v>
      </c>
      <c r="B177" s="60"/>
      <c r="C177" s="38" t="s">
        <v>144</v>
      </c>
      <c r="D177" s="59">
        <f>24.7*10.764</f>
        <v>265.87079999999997</v>
      </c>
      <c r="E177" s="60"/>
      <c r="F177" s="38">
        <v>0</v>
      </c>
      <c r="G177" s="38">
        <f>D177*1.45+F177</f>
        <v>385.51265999999993</v>
      </c>
      <c r="H177" s="38" t="s">
        <v>51</v>
      </c>
      <c r="I177" s="61" t="s">
        <v>142</v>
      </c>
      <c r="J177" s="61"/>
    </row>
    <row r="178" spans="1:10" ht="15.6" x14ac:dyDescent="0.3">
      <c r="A178" s="77" t="s">
        <v>146</v>
      </c>
      <c r="B178" s="78"/>
      <c r="C178" s="78"/>
      <c r="D178" s="78"/>
      <c r="E178" s="78"/>
      <c r="F178" s="78"/>
      <c r="G178" s="78"/>
      <c r="H178" s="78"/>
      <c r="I178" s="78"/>
      <c r="J178" s="79"/>
    </row>
    <row r="179" spans="1:10" ht="15.6" x14ac:dyDescent="0.3">
      <c r="A179" s="77" t="s">
        <v>147</v>
      </c>
      <c r="B179" s="78"/>
      <c r="C179" s="78"/>
      <c r="D179" s="78"/>
      <c r="E179" s="78"/>
      <c r="F179" s="78"/>
      <c r="G179" s="78"/>
      <c r="H179" s="78"/>
      <c r="I179" s="78"/>
      <c r="J179" s="79"/>
    </row>
    <row r="180" spans="1:10" ht="15.6" x14ac:dyDescent="0.3">
      <c r="A180" s="77" t="s">
        <v>148</v>
      </c>
      <c r="B180" s="78"/>
      <c r="C180" s="78"/>
      <c r="D180" s="78"/>
      <c r="E180" s="78"/>
      <c r="F180" s="78"/>
      <c r="G180" s="78"/>
      <c r="H180" s="78"/>
      <c r="I180" s="78"/>
      <c r="J180" s="79"/>
    </row>
    <row r="181" spans="1:10" ht="15.6" x14ac:dyDescent="0.3">
      <c r="A181" s="59">
        <v>1</v>
      </c>
      <c r="B181" s="60"/>
      <c r="C181" s="38" t="s">
        <v>144</v>
      </c>
      <c r="D181" s="59">
        <f>(22.7+3.05*1+2*1+2.4*0.9+0.6*0.9)*10.764</f>
        <v>327.76379999999995</v>
      </c>
      <c r="E181" s="60"/>
      <c r="F181" s="38">
        <v>0</v>
      </c>
      <c r="G181" s="38">
        <f>D181*1.45+F181</f>
        <v>475.25750999999991</v>
      </c>
      <c r="H181" s="38" t="s">
        <v>51</v>
      </c>
      <c r="I181" s="61" t="s">
        <v>149</v>
      </c>
      <c r="J181" s="61"/>
    </row>
    <row r="182" spans="1:10" ht="15.6" x14ac:dyDescent="0.3">
      <c r="A182" s="59">
        <v>2</v>
      </c>
      <c r="B182" s="60"/>
      <c r="C182" s="38" t="s">
        <v>150</v>
      </c>
      <c r="D182" s="59">
        <f>(22.7+3.05*1+2*1+2.4*0.9+0.6*0.9+8.2)*10.764</f>
        <v>416.02859999999998</v>
      </c>
      <c r="E182" s="60"/>
      <c r="F182" s="38">
        <v>0</v>
      </c>
      <c r="G182" s="38">
        <f>D182*1.45+F182</f>
        <v>603.24146999999994</v>
      </c>
      <c r="H182" s="38" t="s">
        <v>51</v>
      </c>
      <c r="I182" s="61" t="s">
        <v>149</v>
      </c>
      <c r="J182" s="61"/>
    </row>
    <row r="183" spans="1:10" ht="15.6" x14ac:dyDescent="0.3">
      <c r="A183" s="59">
        <v>3</v>
      </c>
      <c r="B183" s="60"/>
      <c r="C183" s="38" t="s">
        <v>144</v>
      </c>
      <c r="D183" s="59">
        <f>(4.3*2.75+3.4*2.45+1.5*1.2+0.9*1.2+2.8*2.9)*10.764</f>
        <v>335.35242</v>
      </c>
      <c r="E183" s="60"/>
      <c r="F183" s="38">
        <v>0</v>
      </c>
      <c r="G183" s="38">
        <f>D183*1.45+F183</f>
        <v>486.261009</v>
      </c>
      <c r="H183" s="38" t="s">
        <v>51</v>
      </c>
      <c r="I183" s="61" t="s">
        <v>149</v>
      </c>
      <c r="J183" s="61"/>
    </row>
    <row r="184" spans="1:10" ht="15.6" x14ac:dyDescent="0.3">
      <c r="A184" s="59">
        <v>4</v>
      </c>
      <c r="B184" s="60"/>
      <c r="C184" s="38" t="s">
        <v>144</v>
      </c>
      <c r="D184" s="59">
        <f>(4.3*2.75+3.4*2.45+1.5*1.2+0.9*1.2+2.8*2.9)*10.764</f>
        <v>335.35242</v>
      </c>
      <c r="E184" s="60"/>
      <c r="F184" s="38">
        <v>0</v>
      </c>
      <c r="G184" s="38">
        <f>D184*1.45+F184</f>
        <v>486.261009</v>
      </c>
      <c r="H184" s="38" t="s">
        <v>51</v>
      </c>
      <c r="I184" s="61" t="s">
        <v>149</v>
      </c>
      <c r="J184" s="61"/>
    </row>
    <row r="185" spans="1:10" ht="15.6" x14ac:dyDescent="0.3">
      <c r="A185" s="77" t="s">
        <v>143</v>
      </c>
      <c r="B185" s="78"/>
      <c r="C185" s="78"/>
      <c r="D185" s="78"/>
      <c r="E185" s="78"/>
      <c r="F185" s="78"/>
      <c r="G185" s="78"/>
      <c r="H185" s="78"/>
      <c r="I185" s="78"/>
      <c r="J185" s="79"/>
    </row>
    <row r="186" spans="1:10" ht="15.6" x14ac:dyDescent="0.3">
      <c r="A186" s="59">
        <v>1</v>
      </c>
      <c r="B186" s="60"/>
      <c r="C186" s="38" t="s">
        <v>144</v>
      </c>
      <c r="D186" s="59">
        <f>(4.3*2.75+3.4*2.45+1.5*1.2+0.9*1.2+2.8*2.9)*10.764</f>
        <v>335.35242</v>
      </c>
      <c r="E186" s="60"/>
      <c r="F186" s="38">
        <v>0</v>
      </c>
      <c r="G186" s="38">
        <f>D186*1.45+F186</f>
        <v>486.261009</v>
      </c>
      <c r="H186" s="38" t="s">
        <v>51</v>
      </c>
      <c r="I186" s="61" t="s">
        <v>149</v>
      </c>
      <c r="J186" s="61"/>
    </row>
    <row r="187" spans="1:10" ht="15.6" x14ac:dyDescent="0.3">
      <c r="A187" s="59">
        <v>2</v>
      </c>
      <c r="B187" s="60"/>
      <c r="C187" s="38" t="s">
        <v>144</v>
      </c>
      <c r="D187" s="59">
        <f>(4.3*2.75+3.4*2.45+1.5*1.2+0.9*1.2+2.8*2.9)*10.764</f>
        <v>335.35242</v>
      </c>
      <c r="E187" s="60"/>
      <c r="F187" s="38">
        <v>0</v>
      </c>
      <c r="G187" s="38">
        <f>D187*1.45+F187</f>
        <v>486.261009</v>
      </c>
      <c r="H187" s="38" t="s">
        <v>51</v>
      </c>
      <c r="I187" s="61" t="s">
        <v>149</v>
      </c>
      <c r="J187" s="61"/>
    </row>
    <row r="188" spans="1:10" ht="15.6" x14ac:dyDescent="0.3">
      <c r="A188" s="59">
        <v>3</v>
      </c>
      <c r="B188" s="60"/>
      <c r="C188" s="38" t="s">
        <v>150</v>
      </c>
      <c r="D188" s="59">
        <f>(22.7+3.05*1+2*1+2.4*0.9+0.6*0.9+8.2)*10.764</f>
        <v>416.02859999999998</v>
      </c>
      <c r="E188" s="60"/>
      <c r="F188" s="38">
        <v>0</v>
      </c>
      <c r="G188" s="38">
        <f>D188*1.45+F188</f>
        <v>603.24146999999994</v>
      </c>
      <c r="H188" s="38" t="s">
        <v>51</v>
      </c>
      <c r="I188" s="61" t="s">
        <v>149</v>
      </c>
      <c r="J188" s="61"/>
    </row>
    <row r="189" spans="1:10" ht="15.6" x14ac:dyDescent="0.3">
      <c r="A189" s="59">
        <v>4</v>
      </c>
      <c r="B189" s="60"/>
      <c r="C189" s="38" t="s">
        <v>144</v>
      </c>
      <c r="D189" s="59">
        <f>(22.7+3.05*1+2*1+2.4*0.9+0.6*0.9)*10.764</f>
        <v>327.76379999999995</v>
      </c>
      <c r="E189" s="60"/>
      <c r="F189" s="38">
        <v>0</v>
      </c>
      <c r="G189" s="38">
        <f>D189*1.45+F189</f>
        <v>475.25750999999991</v>
      </c>
      <c r="H189" s="38" t="s">
        <v>51</v>
      </c>
      <c r="I189" s="61" t="s">
        <v>149</v>
      </c>
      <c r="J189" s="61"/>
    </row>
    <row r="190" spans="1:10" ht="15.6" x14ac:dyDescent="0.3">
      <c r="A190" s="77" t="s">
        <v>145</v>
      </c>
      <c r="B190" s="78"/>
      <c r="C190" s="78"/>
      <c r="D190" s="78"/>
      <c r="E190" s="78"/>
      <c r="F190" s="78"/>
      <c r="G190" s="78"/>
      <c r="H190" s="78"/>
      <c r="I190" s="78"/>
      <c r="J190" s="79"/>
    </row>
    <row r="191" spans="1:10" ht="15.6" x14ac:dyDescent="0.3">
      <c r="A191" s="59">
        <v>1</v>
      </c>
      <c r="B191" s="60"/>
      <c r="C191" s="38" t="s">
        <v>144</v>
      </c>
      <c r="D191" s="59">
        <f>(22.7+3.05*1+2*1+2.4*0.9+0.6*0.9)*10.764</f>
        <v>327.76379999999995</v>
      </c>
      <c r="E191" s="60"/>
      <c r="F191" s="38">
        <v>0</v>
      </c>
      <c r="G191" s="38">
        <f>D191*1.45+F191</f>
        <v>475.25750999999991</v>
      </c>
      <c r="H191" s="38" t="s">
        <v>51</v>
      </c>
      <c r="I191" s="61" t="s">
        <v>149</v>
      </c>
      <c r="J191" s="61"/>
    </row>
    <row r="192" spans="1:10" ht="15.6" x14ac:dyDescent="0.3">
      <c r="A192" s="59">
        <v>2</v>
      </c>
      <c r="B192" s="60"/>
      <c r="C192" s="38" t="s">
        <v>150</v>
      </c>
      <c r="D192" s="59">
        <f>(22.7+3.05*1+2*1+2.4*0.9+0.6*0.9+8.2)*10.764</f>
        <v>416.02859999999998</v>
      </c>
      <c r="E192" s="60"/>
      <c r="F192" s="38">
        <v>0</v>
      </c>
      <c r="G192" s="38">
        <f>D192*1.45+F192</f>
        <v>603.24146999999994</v>
      </c>
      <c r="H192" s="38" t="s">
        <v>51</v>
      </c>
      <c r="I192" s="61" t="s">
        <v>149</v>
      </c>
      <c r="J192" s="61"/>
    </row>
    <row r="193" spans="1:10" ht="15.6" x14ac:dyDescent="0.3">
      <c r="A193" s="59">
        <v>3</v>
      </c>
      <c r="B193" s="60"/>
      <c r="C193" s="38" t="s">
        <v>144</v>
      </c>
      <c r="D193" s="59">
        <f>(4.3*2.75+3.4*2.45+1.5*1.2+0.9*1.2+2.8*2.9)*10.764</f>
        <v>335.35242</v>
      </c>
      <c r="E193" s="60"/>
      <c r="F193" s="38">
        <v>0</v>
      </c>
      <c r="G193" s="38">
        <f>D193*1.45+F193</f>
        <v>486.261009</v>
      </c>
      <c r="H193" s="38" t="s">
        <v>51</v>
      </c>
      <c r="I193" s="61" t="s">
        <v>149</v>
      </c>
      <c r="J193" s="61"/>
    </row>
    <row r="194" spans="1:10" ht="15.6" x14ac:dyDescent="0.3">
      <c r="A194" s="59">
        <v>4</v>
      </c>
      <c r="B194" s="60"/>
      <c r="C194" s="38" t="s">
        <v>144</v>
      </c>
      <c r="D194" s="59">
        <f>(4.3*2.75+3.4*2.45+1.5*1.2+0.9*1.2+2.8*2.9)*10.764</f>
        <v>335.35242</v>
      </c>
      <c r="E194" s="60"/>
      <c r="F194" s="38">
        <v>0</v>
      </c>
      <c r="G194" s="38">
        <f>D194*1.45+F194</f>
        <v>486.261009</v>
      </c>
      <c r="H194" s="38" t="s">
        <v>51</v>
      </c>
      <c r="I194" s="61" t="s">
        <v>149</v>
      </c>
      <c r="J194" s="61"/>
    </row>
    <row r="195" spans="1:10" ht="15.6" x14ac:dyDescent="0.3">
      <c r="A195" s="77" t="s">
        <v>151</v>
      </c>
      <c r="B195" s="78"/>
      <c r="C195" s="78"/>
      <c r="D195" s="78"/>
      <c r="E195" s="78"/>
      <c r="F195" s="78"/>
      <c r="G195" s="78"/>
      <c r="H195" s="78"/>
      <c r="I195" s="78"/>
      <c r="J195" s="79"/>
    </row>
    <row r="196" spans="1:10" ht="15.6" x14ac:dyDescent="0.3">
      <c r="A196" s="59">
        <v>1</v>
      </c>
      <c r="B196" s="60"/>
      <c r="C196" s="38" t="s">
        <v>144</v>
      </c>
      <c r="D196" s="59">
        <f>(4.3*2.75+3.4*2.45+1.5*1.2+0.9*1.2+2.8*2.9)*10.764</f>
        <v>335.35242</v>
      </c>
      <c r="E196" s="60"/>
      <c r="F196" s="38">
        <v>0</v>
      </c>
      <c r="G196" s="38">
        <f>D196*1.45+F196</f>
        <v>486.261009</v>
      </c>
      <c r="H196" s="38" t="s">
        <v>51</v>
      </c>
      <c r="I196" s="61" t="s">
        <v>149</v>
      </c>
      <c r="J196" s="61"/>
    </row>
    <row r="197" spans="1:10" ht="15.6" x14ac:dyDescent="0.3">
      <c r="A197" s="59">
        <v>2</v>
      </c>
      <c r="B197" s="60"/>
      <c r="C197" s="38" t="s">
        <v>144</v>
      </c>
      <c r="D197" s="59">
        <f>(4.3*2.75+3.4*2.45+1.5*1.2+0.9*1.2+2.8*2.9)*10.764</f>
        <v>335.35242</v>
      </c>
      <c r="E197" s="60"/>
      <c r="F197" s="38">
        <v>0</v>
      </c>
      <c r="G197" s="38">
        <f>D197*1.45+F197</f>
        <v>486.261009</v>
      </c>
      <c r="H197" s="38" t="s">
        <v>51</v>
      </c>
      <c r="I197" s="61" t="s">
        <v>149</v>
      </c>
      <c r="J197" s="61"/>
    </row>
    <row r="198" spans="1:10" ht="15.6" x14ac:dyDescent="0.3">
      <c r="A198" s="59">
        <v>3</v>
      </c>
      <c r="B198" s="60"/>
      <c r="C198" s="38" t="s">
        <v>150</v>
      </c>
      <c r="D198" s="59">
        <f>(22.7+3.05*1+2*1+2.4*0.9+0.6*0.9+8.2)*10.764</f>
        <v>416.02859999999998</v>
      </c>
      <c r="E198" s="60"/>
      <c r="F198" s="38">
        <v>0</v>
      </c>
      <c r="G198" s="38">
        <f>D198*1.45+F198</f>
        <v>603.24146999999994</v>
      </c>
      <c r="H198" s="38" t="s">
        <v>51</v>
      </c>
      <c r="I198" s="61" t="s">
        <v>149</v>
      </c>
      <c r="J198" s="61"/>
    </row>
    <row r="199" spans="1:10" ht="15.6" x14ac:dyDescent="0.3">
      <c r="A199" s="59">
        <v>4</v>
      </c>
      <c r="B199" s="60"/>
      <c r="C199" s="38" t="s">
        <v>144</v>
      </c>
      <c r="D199" s="59">
        <f>(22.7+3.05*1+2*1+2.4*0.9+0.6*0.9)*10.764</f>
        <v>327.76379999999995</v>
      </c>
      <c r="E199" s="60"/>
      <c r="F199" s="38">
        <v>0</v>
      </c>
      <c r="G199" s="38">
        <f>D199*1.45+F199</f>
        <v>475.25750999999991</v>
      </c>
      <c r="H199" s="38" t="s">
        <v>51</v>
      </c>
      <c r="I199" s="61" t="s">
        <v>149</v>
      </c>
      <c r="J199" s="61"/>
    </row>
    <row r="200" spans="1:10" ht="15.6" x14ac:dyDescent="0.3">
      <c r="A200" s="91" t="s">
        <v>152</v>
      </c>
      <c r="B200" s="91"/>
      <c r="C200" s="91"/>
      <c r="D200" s="91"/>
      <c r="E200" s="91"/>
      <c r="F200" s="91"/>
      <c r="G200" s="91"/>
      <c r="H200" s="91"/>
      <c r="I200" s="91"/>
      <c r="J200" s="91"/>
    </row>
    <row r="201" spans="1:10" ht="15.6" x14ac:dyDescent="0.3">
      <c r="A201" s="91" t="s">
        <v>148</v>
      </c>
      <c r="B201" s="91"/>
      <c r="C201" s="91"/>
      <c r="D201" s="91"/>
      <c r="E201" s="91"/>
      <c r="F201" s="91"/>
      <c r="G201" s="91"/>
      <c r="H201" s="91"/>
      <c r="I201" s="91"/>
      <c r="J201" s="91"/>
    </row>
    <row r="202" spans="1:10" ht="15.6" x14ac:dyDescent="0.3">
      <c r="A202" s="61">
        <v>1</v>
      </c>
      <c r="B202" s="61"/>
      <c r="C202" s="38" t="s">
        <v>144</v>
      </c>
      <c r="D202" s="61">
        <f>(22.7+3.05*1+2*1+2.4*0.9+0.6*0.9)*10.764</f>
        <v>327.76379999999995</v>
      </c>
      <c r="E202" s="61"/>
      <c r="F202" s="38">
        <v>0</v>
      </c>
      <c r="G202" s="38">
        <f>D202*1.45+F202</f>
        <v>475.25750999999991</v>
      </c>
      <c r="H202" s="38" t="s">
        <v>51</v>
      </c>
      <c r="I202" s="61" t="s">
        <v>155</v>
      </c>
      <c r="J202" s="61"/>
    </row>
    <row r="203" spans="1:10" ht="15.6" x14ac:dyDescent="0.3">
      <c r="A203" s="61">
        <v>2</v>
      </c>
      <c r="B203" s="61"/>
      <c r="C203" s="38" t="s">
        <v>150</v>
      </c>
      <c r="D203" s="61">
        <f>(22.7+3.05*1+2*1+2.4*0.9+0.6*0.9+8.2)*10.764</f>
        <v>416.02859999999998</v>
      </c>
      <c r="E203" s="61"/>
      <c r="F203" s="38">
        <v>0</v>
      </c>
      <c r="G203" s="38">
        <f>D203*1.45+F203</f>
        <v>603.24146999999994</v>
      </c>
      <c r="H203" s="38" t="s">
        <v>51</v>
      </c>
      <c r="I203" s="61" t="s">
        <v>155</v>
      </c>
      <c r="J203" s="61"/>
    </row>
    <row r="204" spans="1:10" ht="15.6" x14ac:dyDescent="0.3">
      <c r="A204" s="61">
        <v>3</v>
      </c>
      <c r="B204" s="61"/>
      <c r="C204" s="38" t="s">
        <v>144</v>
      </c>
      <c r="D204" s="61">
        <f>(4.3*2.75+3.4*2.45+1.5*1.2+0.9*1.2+2.8*2.9)*10.764</f>
        <v>335.35242</v>
      </c>
      <c r="E204" s="61"/>
      <c r="F204" s="38">
        <v>0</v>
      </c>
      <c r="G204" s="38">
        <f>D204*1.45+F204</f>
        <v>486.261009</v>
      </c>
      <c r="H204" s="38" t="s">
        <v>51</v>
      </c>
      <c r="I204" s="61" t="s">
        <v>155</v>
      </c>
      <c r="J204" s="61"/>
    </row>
    <row r="205" spans="1:10" ht="15.6" x14ac:dyDescent="0.3">
      <c r="A205" s="61">
        <v>4</v>
      </c>
      <c r="B205" s="61"/>
      <c r="C205" s="38" t="s">
        <v>144</v>
      </c>
      <c r="D205" s="61">
        <f>(4.3*2.75+3.4*2.45+1.5*1.2+0.9*1.2+2.8*2.9)*10.764</f>
        <v>335.35242</v>
      </c>
      <c r="E205" s="61"/>
      <c r="F205" s="38">
        <v>0</v>
      </c>
      <c r="G205" s="38">
        <f>D205*1.45+F205</f>
        <v>486.261009</v>
      </c>
      <c r="H205" s="38" t="s">
        <v>51</v>
      </c>
      <c r="I205" s="61" t="s">
        <v>155</v>
      </c>
      <c r="J205" s="61"/>
    </row>
    <row r="206" spans="1:10" ht="15.6" x14ac:dyDescent="0.3">
      <c r="A206" s="91" t="s">
        <v>153</v>
      </c>
      <c r="B206" s="91"/>
      <c r="C206" s="91"/>
      <c r="D206" s="91"/>
      <c r="E206" s="91"/>
      <c r="F206" s="91"/>
      <c r="G206" s="91"/>
      <c r="H206" s="91"/>
      <c r="I206" s="91"/>
      <c r="J206" s="91"/>
    </row>
    <row r="207" spans="1:10" ht="15.6" x14ac:dyDescent="0.3">
      <c r="A207" s="91" t="s">
        <v>154</v>
      </c>
      <c r="B207" s="91"/>
      <c r="C207" s="91"/>
      <c r="D207" s="91"/>
      <c r="E207" s="91"/>
      <c r="F207" s="91"/>
      <c r="G207" s="91"/>
      <c r="H207" s="91"/>
      <c r="I207" s="91"/>
      <c r="J207" s="91"/>
    </row>
    <row r="208" spans="1:10" ht="15.6" x14ac:dyDescent="0.3">
      <c r="A208" s="77" t="s">
        <v>151</v>
      </c>
      <c r="B208" s="78"/>
      <c r="C208" s="78"/>
      <c r="D208" s="78"/>
      <c r="E208" s="78"/>
      <c r="F208" s="78"/>
      <c r="G208" s="78"/>
      <c r="H208" s="78"/>
      <c r="I208" s="78"/>
      <c r="J208" s="79"/>
    </row>
    <row r="209" spans="1:13" ht="15.6" x14ac:dyDescent="0.3">
      <c r="A209" s="59">
        <v>1</v>
      </c>
      <c r="B209" s="60"/>
      <c r="C209" s="38" t="s">
        <v>144</v>
      </c>
      <c r="D209" s="59">
        <f>(4.3*2.75+3.4*2.45+1.5*1.2+0.9*1.2+2.8*2.9)*10.764</f>
        <v>335.35242</v>
      </c>
      <c r="E209" s="60"/>
      <c r="F209" s="38">
        <v>0</v>
      </c>
      <c r="G209" s="38">
        <f>D209*1.45+F209</f>
        <v>486.261009</v>
      </c>
      <c r="H209" s="38" t="s">
        <v>51</v>
      </c>
      <c r="I209" s="61" t="s">
        <v>155</v>
      </c>
      <c r="J209" s="61"/>
    </row>
    <row r="210" spans="1:13" ht="15.6" x14ac:dyDescent="0.3">
      <c r="A210" s="59">
        <v>2</v>
      </c>
      <c r="B210" s="60"/>
      <c r="C210" s="38" t="s">
        <v>144</v>
      </c>
      <c r="D210" s="59">
        <f>(4.3*2.75+3.4*2.45+1.5*1.2+0.9*1.2+2.8*2.9)*10.764</f>
        <v>335.35242</v>
      </c>
      <c r="E210" s="60"/>
      <c r="F210" s="38">
        <v>0</v>
      </c>
      <c r="G210" s="38">
        <f>D210*1.45+F210</f>
        <v>486.261009</v>
      </c>
      <c r="H210" s="38" t="s">
        <v>51</v>
      </c>
      <c r="I210" s="61" t="s">
        <v>155</v>
      </c>
      <c r="J210" s="61"/>
    </row>
    <row r="211" spans="1:13" ht="15.6" x14ac:dyDescent="0.3">
      <c r="A211" s="59">
        <v>3</v>
      </c>
      <c r="B211" s="60"/>
      <c r="C211" s="38" t="s">
        <v>150</v>
      </c>
      <c r="D211" s="59">
        <f>(22.7+3.05*1+2*1+2.4*0.9+0.6*0.9+8.2)*10.764</f>
        <v>416.02859999999998</v>
      </c>
      <c r="E211" s="60"/>
      <c r="F211" s="38">
        <v>0</v>
      </c>
      <c r="G211" s="38">
        <f>D211*1.45+F211</f>
        <v>603.24146999999994</v>
      </c>
      <c r="H211" s="38" t="s">
        <v>51</v>
      </c>
      <c r="I211" s="61" t="s">
        <v>155</v>
      </c>
      <c r="J211" s="61"/>
    </row>
    <row r="212" spans="1:13" ht="15.6" x14ac:dyDescent="0.3">
      <c r="A212" s="59">
        <v>4</v>
      </c>
      <c r="B212" s="60"/>
      <c r="C212" s="38" t="s">
        <v>144</v>
      </c>
      <c r="D212" s="59">
        <f>(22.7+3.05*1+2*1+2.4*0.9+0.6*0.9)*10.764</f>
        <v>327.76379999999995</v>
      </c>
      <c r="E212" s="60"/>
      <c r="F212" s="38">
        <v>0</v>
      </c>
      <c r="G212" s="38">
        <f>D212*1.45+F212</f>
        <v>475.25750999999991</v>
      </c>
      <c r="H212" s="38" t="s">
        <v>51</v>
      </c>
      <c r="I212" s="61" t="s">
        <v>155</v>
      </c>
      <c r="J212" s="61"/>
    </row>
    <row r="213" spans="1:13" ht="285" customHeight="1" x14ac:dyDescent="0.3">
      <c r="A213" s="138" t="s">
        <v>259</v>
      </c>
      <c r="B213" s="139"/>
      <c r="C213" s="139"/>
      <c r="D213" s="139"/>
      <c r="E213" s="139"/>
      <c r="F213" s="139"/>
      <c r="G213" s="139"/>
      <c r="H213" s="139"/>
      <c r="I213" s="139"/>
      <c r="J213" s="140"/>
      <c r="M213" s="54" t="s">
        <v>256</v>
      </c>
    </row>
    <row r="214" spans="1:13" x14ac:dyDescent="0.3">
      <c r="A214" s="137" t="s">
        <v>25</v>
      </c>
      <c r="B214" s="109"/>
      <c r="C214" s="109"/>
      <c r="D214" s="109"/>
      <c r="E214" s="109"/>
      <c r="F214" s="109"/>
      <c r="G214" s="109"/>
      <c r="H214" s="109"/>
      <c r="I214" s="109"/>
      <c r="J214" s="110"/>
    </row>
    <row r="215" spans="1:13" x14ac:dyDescent="0.3">
      <c r="A215" s="95" t="s">
        <v>32</v>
      </c>
      <c r="B215" s="86"/>
      <c r="C215" s="86"/>
      <c r="D215" s="86"/>
      <c r="E215" s="86"/>
      <c r="F215" s="86"/>
      <c r="G215" s="86"/>
      <c r="H215" s="86"/>
      <c r="I215" s="86"/>
      <c r="J215" s="87"/>
    </row>
    <row r="216" spans="1:13" x14ac:dyDescent="0.3">
      <c r="A216" s="137" t="s">
        <v>27</v>
      </c>
      <c r="B216" s="109"/>
      <c r="C216" s="109"/>
      <c r="D216" s="109"/>
      <c r="E216" s="109"/>
      <c r="F216" s="109"/>
      <c r="G216" s="109"/>
      <c r="H216" s="109"/>
      <c r="I216" s="109"/>
      <c r="J216" s="110"/>
    </row>
    <row r="217" spans="1:13" x14ac:dyDescent="0.3">
      <c r="A217" s="85" t="s">
        <v>37</v>
      </c>
      <c r="B217" s="99"/>
      <c r="C217" s="99"/>
      <c r="D217" s="99"/>
      <c r="E217" s="99"/>
      <c r="F217" s="99"/>
      <c r="G217" s="99"/>
      <c r="H217" s="99"/>
      <c r="I217" s="99"/>
      <c r="J217" s="100"/>
    </row>
    <row r="218" spans="1:13" ht="16.5" customHeight="1" x14ac:dyDescent="0.3">
      <c r="A218" s="159" t="s">
        <v>60</v>
      </c>
      <c r="B218" s="160"/>
      <c r="C218" s="160"/>
      <c r="D218" s="160"/>
      <c r="E218" s="160"/>
      <c r="F218" s="160"/>
      <c r="G218" s="160"/>
      <c r="H218" s="160"/>
      <c r="I218" s="160"/>
      <c r="J218" s="161"/>
    </row>
    <row r="219" spans="1:13" x14ac:dyDescent="0.3">
      <c r="A219" s="85" t="s">
        <v>38</v>
      </c>
      <c r="B219" s="99"/>
      <c r="C219" s="99"/>
      <c r="D219" s="99"/>
      <c r="E219" s="99"/>
      <c r="F219" s="99"/>
      <c r="G219" s="99"/>
      <c r="H219" s="99"/>
      <c r="I219" s="99"/>
      <c r="J219" s="100"/>
    </row>
    <row r="220" spans="1:13" x14ac:dyDescent="0.3">
      <c r="A220" s="85" t="s">
        <v>39</v>
      </c>
      <c r="B220" s="99"/>
      <c r="C220" s="99"/>
      <c r="D220" s="99"/>
      <c r="E220" s="99"/>
      <c r="F220" s="99"/>
      <c r="G220" s="99"/>
      <c r="H220" s="99"/>
      <c r="I220" s="99"/>
      <c r="J220" s="100"/>
    </row>
    <row r="221" spans="1:13" ht="30.75" customHeight="1" x14ac:dyDescent="0.3">
      <c r="A221" s="88" t="s">
        <v>40</v>
      </c>
      <c r="B221" s="89"/>
      <c r="C221" s="89"/>
      <c r="D221" s="89"/>
      <c r="E221" s="89"/>
      <c r="F221" s="89"/>
      <c r="G221" s="89"/>
      <c r="H221" s="89"/>
      <c r="I221" s="89"/>
      <c r="J221" s="90"/>
    </row>
    <row r="222" spans="1:13" ht="15" customHeight="1" x14ac:dyDescent="0.3">
      <c r="A222" s="147" t="s">
        <v>26</v>
      </c>
      <c r="B222" s="148"/>
      <c r="C222" s="148"/>
      <c r="D222" s="148"/>
      <c r="E222" s="148"/>
      <c r="F222" s="148"/>
      <c r="G222" s="148"/>
      <c r="H222" s="148"/>
      <c r="I222" s="148"/>
      <c r="J222" s="149"/>
    </row>
    <row r="223" spans="1:13" x14ac:dyDescent="0.3">
      <c r="A223" s="150"/>
      <c r="B223" s="151"/>
      <c r="C223" s="151"/>
      <c r="D223" s="151"/>
      <c r="E223" s="151"/>
      <c r="F223" s="151"/>
      <c r="G223" s="151"/>
      <c r="H223" s="151"/>
      <c r="I223" s="151"/>
      <c r="J223" s="152"/>
    </row>
    <row r="224" spans="1:13" x14ac:dyDescent="0.3">
      <c r="A224" s="153"/>
      <c r="B224" s="154"/>
      <c r="C224" s="154"/>
      <c r="D224" s="154"/>
      <c r="E224" s="154"/>
      <c r="F224" s="154"/>
      <c r="G224" s="154"/>
      <c r="H224" s="154"/>
      <c r="I224" s="154"/>
      <c r="J224" s="155"/>
    </row>
    <row r="225" spans="1:4" x14ac:dyDescent="0.3">
      <c r="A225" s="51" t="s">
        <v>159</v>
      </c>
      <c r="B225" s="52"/>
      <c r="C225" s="52"/>
      <c r="D225" s="53" t="str">
        <f>F8</f>
        <v>Ascon Heights Phase I</v>
      </c>
    </row>
    <row r="270" spans="1:3" x14ac:dyDescent="0.3">
      <c r="A270" s="51" t="s">
        <v>160</v>
      </c>
      <c r="B270" s="52"/>
      <c r="C270" s="52"/>
    </row>
  </sheetData>
  <mergeCells count="477">
    <mergeCell ref="A123:B123"/>
    <mergeCell ref="D123:E123"/>
    <mergeCell ref="A113:B113"/>
    <mergeCell ref="D113:E113"/>
    <mergeCell ref="F113:G113"/>
    <mergeCell ref="H113:J113"/>
    <mergeCell ref="A114:B114"/>
    <mergeCell ref="D114:E114"/>
    <mergeCell ref="F114:G123"/>
    <mergeCell ref="H114:J123"/>
    <mergeCell ref="A115:B115"/>
    <mergeCell ref="D115:E115"/>
    <mergeCell ref="A116:B116"/>
    <mergeCell ref="D116:E116"/>
    <mergeCell ref="A117:B117"/>
    <mergeCell ref="D117:E117"/>
    <mergeCell ref="A118:B118"/>
    <mergeCell ref="D118:E118"/>
    <mergeCell ref="A119:B119"/>
    <mergeCell ref="D119:E119"/>
    <mergeCell ref="A120:B120"/>
    <mergeCell ref="D120:E120"/>
    <mergeCell ref="A121:B121"/>
    <mergeCell ref="D121:E121"/>
    <mergeCell ref="A122:B122"/>
    <mergeCell ref="D122:E122"/>
    <mergeCell ref="A108:B108"/>
    <mergeCell ref="D108:E108"/>
    <mergeCell ref="A109:B109"/>
    <mergeCell ref="D109:E109"/>
    <mergeCell ref="A110:B110"/>
    <mergeCell ref="C110:J110"/>
    <mergeCell ref="E111:F111"/>
    <mergeCell ref="I111:J111"/>
    <mergeCell ref="A112:B112"/>
    <mergeCell ref="C112:J112"/>
    <mergeCell ref="A100:B100"/>
    <mergeCell ref="D100:E100"/>
    <mergeCell ref="F100:G109"/>
    <mergeCell ref="H100:J109"/>
    <mergeCell ref="A101:B101"/>
    <mergeCell ref="D101:E101"/>
    <mergeCell ref="A102:B102"/>
    <mergeCell ref="D102:E102"/>
    <mergeCell ref="A103:B103"/>
    <mergeCell ref="D103:E103"/>
    <mergeCell ref="A104:B104"/>
    <mergeCell ref="D104:E104"/>
    <mergeCell ref="A105:B105"/>
    <mergeCell ref="D105:E105"/>
    <mergeCell ref="A106:B106"/>
    <mergeCell ref="D106:E106"/>
    <mergeCell ref="A107:B107"/>
    <mergeCell ref="D107:E107"/>
    <mergeCell ref="A95:B95"/>
    <mergeCell ref="D95:E95"/>
    <mergeCell ref="A96:B96"/>
    <mergeCell ref="C96:J96"/>
    <mergeCell ref="E97:F97"/>
    <mergeCell ref="I97:J97"/>
    <mergeCell ref="A98:B98"/>
    <mergeCell ref="C98:J98"/>
    <mergeCell ref="A99:B99"/>
    <mergeCell ref="D99:E99"/>
    <mergeCell ref="F99:G99"/>
    <mergeCell ref="H99:J99"/>
    <mergeCell ref="A85:B85"/>
    <mergeCell ref="D85:E85"/>
    <mergeCell ref="F85:G85"/>
    <mergeCell ref="H85:J85"/>
    <mergeCell ref="A86:B86"/>
    <mergeCell ref="D86:E86"/>
    <mergeCell ref="F86:G95"/>
    <mergeCell ref="H86:J95"/>
    <mergeCell ref="A87:B87"/>
    <mergeCell ref="D87:E87"/>
    <mergeCell ref="A88:B88"/>
    <mergeCell ref="D88:E88"/>
    <mergeCell ref="A89:B89"/>
    <mergeCell ref="D89:E89"/>
    <mergeCell ref="A90:B90"/>
    <mergeCell ref="D90:E90"/>
    <mergeCell ref="A91:B91"/>
    <mergeCell ref="D91:E91"/>
    <mergeCell ref="A92:B92"/>
    <mergeCell ref="D92:E92"/>
    <mergeCell ref="A93:B93"/>
    <mergeCell ref="D93:E93"/>
    <mergeCell ref="A94:B94"/>
    <mergeCell ref="D94:E94"/>
    <mergeCell ref="H49:J49"/>
    <mergeCell ref="A82:B82"/>
    <mergeCell ref="C82:J82"/>
    <mergeCell ref="E83:F83"/>
    <mergeCell ref="I83:J83"/>
    <mergeCell ref="A84:B84"/>
    <mergeCell ref="C84:J84"/>
    <mergeCell ref="A71:B71"/>
    <mergeCell ref="D71:E71"/>
    <mergeCell ref="F71:G71"/>
    <mergeCell ref="H71:J71"/>
    <mergeCell ref="A72:B72"/>
    <mergeCell ref="D72:E72"/>
    <mergeCell ref="F72:G81"/>
    <mergeCell ref="H72:J81"/>
    <mergeCell ref="A73:B73"/>
    <mergeCell ref="D73:E73"/>
    <mergeCell ref="A74:B74"/>
    <mergeCell ref="D74:E74"/>
    <mergeCell ref="A75:B75"/>
    <mergeCell ref="D75:E75"/>
    <mergeCell ref="A78:B78"/>
    <mergeCell ref="D78:E78"/>
    <mergeCell ref="A79:B79"/>
    <mergeCell ref="D79:E79"/>
    <mergeCell ref="A80:B80"/>
    <mergeCell ref="D80:E80"/>
    <mergeCell ref="A81:B81"/>
    <mergeCell ref="D81:E81"/>
    <mergeCell ref="F49:G49"/>
    <mergeCell ref="A68:B68"/>
    <mergeCell ref="C68:J68"/>
    <mergeCell ref="E69:F69"/>
    <mergeCell ref="I69:J69"/>
    <mergeCell ref="A70:B70"/>
    <mergeCell ref="C70:J70"/>
    <mergeCell ref="A76:B76"/>
    <mergeCell ref="D76:E76"/>
    <mergeCell ref="A77:B77"/>
    <mergeCell ref="D77:E77"/>
    <mergeCell ref="A58:B58"/>
    <mergeCell ref="D58:E58"/>
    <mergeCell ref="F58:G67"/>
    <mergeCell ref="H58:J67"/>
    <mergeCell ref="A59:B59"/>
    <mergeCell ref="D59:E59"/>
    <mergeCell ref="A60:B60"/>
    <mergeCell ref="D60:E60"/>
    <mergeCell ref="A64:B64"/>
    <mergeCell ref="D64:E64"/>
    <mergeCell ref="A65:B65"/>
    <mergeCell ref="D65:E65"/>
    <mergeCell ref="A11:E11"/>
    <mergeCell ref="F11:J11"/>
    <mergeCell ref="A54:B54"/>
    <mergeCell ref="C54:J54"/>
    <mergeCell ref="E55:F55"/>
    <mergeCell ref="I55:J55"/>
    <mergeCell ref="A56:B56"/>
    <mergeCell ref="C56:J56"/>
    <mergeCell ref="A57:B57"/>
    <mergeCell ref="D57:E57"/>
    <mergeCell ref="F57:G57"/>
    <mergeCell ref="H57:J57"/>
    <mergeCell ref="H45:J45"/>
    <mergeCell ref="A53:J53"/>
    <mergeCell ref="A49:C49"/>
    <mergeCell ref="D49:E49"/>
    <mergeCell ref="F24:J24"/>
    <mergeCell ref="G26:H26"/>
    <mergeCell ref="A31:B31"/>
    <mergeCell ref="C27:D27"/>
    <mergeCell ref="A206:J206"/>
    <mergeCell ref="I173:J173"/>
    <mergeCell ref="A184:B184"/>
    <mergeCell ref="D184:E184"/>
    <mergeCell ref="A205:B205"/>
    <mergeCell ref="D205:E205"/>
    <mergeCell ref="I205:J205"/>
    <mergeCell ref="A170:B170"/>
    <mergeCell ref="D170:E170"/>
    <mergeCell ref="I170:J170"/>
    <mergeCell ref="A171:B171"/>
    <mergeCell ref="D171:E171"/>
    <mergeCell ref="I171:J171"/>
    <mergeCell ref="A203:B203"/>
    <mergeCell ref="D203:E203"/>
    <mergeCell ref="I203:J203"/>
    <mergeCell ref="A204:B204"/>
    <mergeCell ref="D204:E204"/>
    <mergeCell ref="I204:J204"/>
    <mergeCell ref="D176:E176"/>
    <mergeCell ref="A174:B174"/>
    <mergeCell ref="I174:J174"/>
    <mergeCell ref="I176:J176"/>
    <mergeCell ref="A177:B177"/>
    <mergeCell ref="A212:B212"/>
    <mergeCell ref="D212:E212"/>
    <mergeCell ref="I212:J212"/>
    <mergeCell ref="A208:J208"/>
    <mergeCell ref="A209:B209"/>
    <mergeCell ref="D209:E209"/>
    <mergeCell ref="I209:J209"/>
    <mergeCell ref="A207:J207"/>
    <mergeCell ref="A210:B210"/>
    <mergeCell ref="D210:E210"/>
    <mergeCell ref="I210:J210"/>
    <mergeCell ref="A211:B211"/>
    <mergeCell ref="D211:E211"/>
    <mergeCell ref="I211:J211"/>
    <mergeCell ref="A173:B173"/>
    <mergeCell ref="D173:E173"/>
    <mergeCell ref="D186:E186"/>
    <mergeCell ref="A187:B187"/>
    <mergeCell ref="D187:E187"/>
    <mergeCell ref="I186:J186"/>
    <mergeCell ref="I187:J187"/>
    <mergeCell ref="I182:J182"/>
    <mergeCell ref="I183:J183"/>
    <mergeCell ref="A179:J179"/>
    <mergeCell ref="D183:E183"/>
    <mergeCell ref="I184:J184"/>
    <mergeCell ref="A176:B176"/>
    <mergeCell ref="F36:J36"/>
    <mergeCell ref="I148:J148"/>
    <mergeCell ref="I149:J149"/>
    <mergeCell ref="A172:J172"/>
    <mergeCell ref="I160:J160"/>
    <mergeCell ref="A161:J161"/>
    <mergeCell ref="A162:J162"/>
    <mergeCell ref="A163:B163"/>
    <mergeCell ref="D163:E163"/>
    <mergeCell ref="I163:J163"/>
    <mergeCell ref="A160:B160"/>
    <mergeCell ref="D160:E160"/>
    <mergeCell ref="A66:B66"/>
    <mergeCell ref="D66:E66"/>
    <mergeCell ref="A67:B67"/>
    <mergeCell ref="D67:E67"/>
    <mergeCell ref="A61:B61"/>
    <mergeCell ref="D61:E61"/>
    <mergeCell ref="A62:B62"/>
    <mergeCell ref="D143:E143"/>
    <mergeCell ref="D62:E62"/>
    <mergeCell ref="I147:J147"/>
    <mergeCell ref="I150:J150"/>
    <mergeCell ref="I151:J151"/>
    <mergeCell ref="I166:J166"/>
    <mergeCell ref="A167:B167"/>
    <mergeCell ref="A169:B169"/>
    <mergeCell ref="D169:E169"/>
    <mergeCell ref="I169:J169"/>
    <mergeCell ref="A50:B50"/>
    <mergeCell ref="C50:E50"/>
    <mergeCell ref="A140:B140"/>
    <mergeCell ref="D151:E151"/>
    <mergeCell ref="I164:J164"/>
    <mergeCell ref="A165:B165"/>
    <mergeCell ref="D165:E165"/>
    <mergeCell ref="I165:J165"/>
    <mergeCell ref="A166:B166"/>
    <mergeCell ref="D166:E166"/>
    <mergeCell ref="A164:B164"/>
    <mergeCell ref="D164:E164"/>
    <mergeCell ref="A168:B168"/>
    <mergeCell ref="D168:E168"/>
    <mergeCell ref="I168:J168"/>
    <mergeCell ref="I167:J167"/>
    <mergeCell ref="D167:E167"/>
    <mergeCell ref="A63:B63"/>
    <mergeCell ref="D63:E63"/>
    <mergeCell ref="A194:B194"/>
    <mergeCell ref="D174:E174"/>
    <mergeCell ref="A175:J175"/>
    <mergeCell ref="I181:J181"/>
    <mergeCell ref="A193:B193"/>
    <mergeCell ref="D193:E193"/>
    <mergeCell ref="D188:E188"/>
    <mergeCell ref="A185:J185"/>
    <mergeCell ref="A186:B186"/>
    <mergeCell ref="A178:J178"/>
    <mergeCell ref="A191:B191"/>
    <mergeCell ref="D191:E191"/>
    <mergeCell ref="I191:J191"/>
    <mergeCell ref="A189:B189"/>
    <mergeCell ref="D189:E189"/>
    <mergeCell ref="I189:J189"/>
    <mergeCell ref="I188:J188"/>
    <mergeCell ref="A135:F135"/>
    <mergeCell ref="G135:J135"/>
    <mergeCell ref="A146:B146"/>
    <mergeCell ref="D146:E146"/>
    <mergeCell ref="A141:J141"/>
    <mergeCell ref="A159:B159"/>
    <mergeCell ref="A152:B152"/>
    <mergeCell ref="A147:B147"/>
    <mergeCell ref="D147:E147"/>
    <mergeCell ref="A148:B148"/>
    <mergeCell ref="D148:E148"/>
    <mergeCell ref="A149:B149"/>
    <mergeCell ref="D149:E149"/>
    <mergeCell ref="A150:B150"/>
    <mergeCell ref="D150:E150"/>
    <mergeCell ref="A151:B151"/>
    <mergeCell ref="D154:E154"/>
    <mergeCell ref="D159:E159"/>
    <mergeCell ref="I153:J153"/>
    <mergeCell ref="A156:J156"/>
    <mergeCell ref="A158:J158"/>
    <mergeCell ref="D155:E155"/>
    <mergeCell ref="A157:B157"/>
    <mergeCell ref="D157:E157"/>
    <mergeCell ref="A1:J1"/>
    <mergeCell ref="A52:E52"/>
    <mergeCell ref="F52:J52"/>
    <mergeCell ref="A46:E46"/>
    <mergeCell ref="F46:H46"/>
    <mergeCell ref="I46:J46"/>
    <mergeCell ref="I28:J28"/>
    <mergeCell ref="A29:J29"/>
    <mergeCell ref="A30:J30"/>
    <mergeCell ref="F50:J50"/>
    <mergeCell ref="A42:J42"/>
    <mergeCell ref="D47:E47"/>
    <mergeCell ref="F39:J39"/>
    <mergeCell ref="A40:E40"/>
    <mergeCell ref="A33:J33"/>
    <mergeCell ref="A37:E37"/>
    <mergeCell ref="F37:J37"/>
    <mergeCell ref="F38:J38"/>
    <mergeCell ref="F40:J40"/>
    <mergeCell ref="A22:E22"/>
    <mergeCell ref="F22:J22"/>
    <mergeCell ref="A24:E24"/>
    <mergeCell ref="A25:E25"/>
    <mergeCell ref="A10:E10"/>
    <mergeCell ref="A222:J224"/>
    <mergeCell ref="A137:F137"/>
    <mergeCell ref="G137:J137"/>
    <mergeCell ref="A138:J138"/>
    <mergeCell ref="A139:J139"/>
    <mergeCell ref="A218:J218"/>
    <mergeCell ref="A219:J219"/>
    <mergeCell ref="A220:J220"/>
    <mergeCell ref="A221:J221"/>
    <mergeCell ref="I140:J140"/>
    <mergeCell ref="D144:E144"/>
    <mergeCell ref="A145:B145"/>
    <mergeCell ref="D145:E145"/>
    <mergeCell ref="A192:B192"/>
    <mergeCell ref="D192:E192"/>
    <mergeCell ref="I152:J152"/>
    <mergeCell ref="I193:J193"/>
    <mergeCell ref="I194:J194"/>
    <mergeCell ref="D152:E152"/>
    <mergeCell ref="A153:B153"/>
    <mergeCell ref="D153:E153"/>
    <mergeCell ref="A154:B154"/>
    <mergeCell ref="A195:J195"/>
    <mergeCell ref="I159:J159"/>
    <mergeCell ref="A215:J215"/>
    <mergeCell ref="A216:J216"/>
    <mergeCell ref="A213:J213"/>
    <mergeCell ref="A217:J217"/>
    <mergeCell ref="A214:J214"/>
    <mergeCell ref="A124:J124"/>
    <mergeCell ref="A125:J125"/>
    <mergeCell ref="A48:J48"/>
    <mergeCell ref="A41:E41"/>
    <mergeCell ref="F47:G47"/>
    <mergeCell ref="A47:C47"/>
    <mergeCell ref="C43:F43"/>
    <mergeCell ref="A45:B45"/>
    <mergeCell ref="H47:J47"/>
    <mergeCell ref="F41:J41"/>
    <mergeCell ref="H43:J43"/>
    <mergeCell ref="H44:J44"/>
    <mergeCell ref="C44:F44"/>
    <mergeCell ref="C45:F45"/>
    <mergeCell ref="A43:B43"/>
    <mergeCell ref="A44:B44"/>
    <mergeCell ref="A51:B51"/>
    <mergeCell ref="C51:J51"/>
    <mergeCell ref="A200:J200"/>
    <mergeCell ref="E14:F14"/>
    <mergeCell ref="I14:J14"/>
    <mergeCell ref="A13:B13"/>
    <mergeCell ref="C13:J13"/>
    <mergeCell ref="F23:J23"/>
    <mergeCell ref="G28:H28"/>
    <mergeCell ref="A18:E19"/>
    <mergeCell ref="H17:J17"/>
    <mergeCell ref="A23:E23"/>
    <mergeCell ref="B16:E16"/>
    <mergeCell ref="A17:B17"/>
    <mergeCell ref="I27:J27"/>
    <mergeCell ref="A26:B26"/>
    <mergeCell ref="C26:D26"/>
    <mergeCell ref="E26:F26"/>
    <mergeCell ref="G27:H27"/>
    <mergeCell ref="A28:B28"/>
    <mergeCell ref="C28:D28"/>
    <mergeCell ref="A27:B27"/>
    <mergeCell ref="I26:J26"/>
    <mergeCell ref="F18:J19"/>
    <mergeCell ref="E27:F27"/>
    <mergeCell ref="A7:E7"/>
    <mergeCell ref="F7:J7"/>
    <mergeCell ref="A36:E36"/>
    <mergeCell ref="B14:D14"/>
    <mergeCell ref="G16:J16"/>
    <mergeCell ref="F9:J9"/>
    <mergeCell ref="C17:E17"/>
    <mergeCell ref="E28:F28"/>
    <mergeCell ref="A12:E12"/>
    <mergeCell ref="C31:J31"/>
    <mergeCell ref="A32:B32"/>
    <mergeCell ref="A9:E9"/>
    <mergeCell ref="C32:J32"/>
    <mergeCell ref="F8:J8"/>
    <mergeCell ref="F12:J12"/>
    <mergeCell ref="B15:E15"/>
    <mergeCell ref="A8:E8"/>
    <mergeCell ref="F25:J25"/>
    <mergeCell ref="A20:E21"/>
    <mergeCell ref="F20:J21"/>
    <mergeCell ref="G15:J15"/>
    <mergeCell ref="F17:G17"/>
    <mergeCell ref="F10:J10"/>
    <mergeCell ref="A34:J35"/>
    <mergeCell ref="A2:J2"/>
    <mergeCell ref="A3:E3"/>
    <mergeCell ref="F3:J3"/>
    <mergeCell ref="A4:E4"/>
    <mergeCell ref="F4:J4"/>
    <mergeCell ref="A6:E6"/>
    <mergeCell ref="F6:J6"/>
    <mergeCell ref="A5:E5"/>
    <mergeCell ref="F5:J5"/>
    <mergeCell ref="A197:B197"/>
    <mergeCell ref="D197:E197"/>
    <mergeCell ref="I197:J197"/>
    <mergeCell ref="A136:F136"/>
    <mergeCell ref="G136:J136"/>
    <mergeCell ref="A201:J201"/>
    <mergeCell ref="A202:B202"/>
    <mergeCell ref="D202:E202"/>
    <mergeCell ref="I202:J202"/>
    <mergeCell ref="A198:B198"/>
    <mergeCell ref="D198:E198"/>
    <mergeCell ref="I198:J198"/>
    <mergeCell ref="A199:B199"/>
    <mergeCell ref="D199:E199"/>
    <mergeCell ref="I199:J199"/>
    <mergeCell ref="A188:B188"/>
    <mergeCell ref="A181:B181"/>
    <mergeCell ref="D181:E181"/>
    <mergeCell ref="A182:B182"/>
    <mergeCell ref="D182:E182"/>
    <mergeCell ref="A183:B183"/>
    <mergeCell ref="A180:J180"/>
    <mergeCell ref="A155:B155"/>
    <mergeCell ref="I154:J154"/>
    <mergeCell ref="A38:E38"/>
    <mergeCell ref="A142:J142"/>
    <mergeCell ref="A144:B144"/>
    <mergeCell ref="I155:J155"/>
    <mergeCell ref="I157:J157"/>
    <mergeCell ref="A196:B196"/>
    <mergeCell ref="D196:E196"/>
    <mergeCell ref="I196:J196"/>
    <mergeCell ref="D177:E177"/>
    <mergeCell ref="I177:J177"/>
    <mergeCell ref="D194:E194"/>
    <mergeCell ref="I146:J146"/>
    <mergeCell ref="A39:E39"/>
    <mergeCell ref="A126:J132"/>
    <mergeCell ref="A133:J133"/>
    <mergeCell ref="I143:J143"/>
    <mergeCell ref="I144:J144"/>
    <mergeCell ref="G134:J134"/>
    <mergeCell ref="I192:J192"/>
    <mergeCell ref="A190:J190"/>
    <mergeCell ref="D140:E140"/>
    <mergeCell ref="A134:F134"/>
    <mergeCell ref="I145:J145"/>
    <mergeCell ref="A143:B143"/>
  </mergeCells>
  <phoneticPr fontId="0" type="noConversion"/>
  <hyperlinks>
    <hyperlink ref="C32" r:id="rId1" xr:uid="{00000000-0004-0000-0000-000000000000}"/>
  </hyperlinks>
  <pageMargins left="0.55118110236220497" right="0.55118110236220497" top="0.78740157480314998" bottom="1.1811023622047201" header="0.196850393700787" footer="0.196850393700787"/>
  <pageSetup paperSize="9" fitToHeight="0" orientation="portrait" r:id="rId2"/>
  <headerFooter>
    <oddHeader>&amp;C&amp;"Times New Roman,Bold"&amp;20&amp;G</oddHeader>
    <oddFooter>&amp;L&amp;"Times New Roman,Bold"Ref No: &amp;F&amp;C&amp;G&amp;R&amp;P</oddFooter>
  </headerFooter>
  <rowBreaks count="3" manualBreakCount="3">
    <brk id="67" max="16383" man="1"/>
    <brk id="224" max="16383" man="1"/>
    <brk id="268" max="16383" man="1"/>
  </rowBreaks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3:N35"/>
  <sheetViews>
    <sheetView workbookViewId="0">
      <selection activeCell="H7" sqref="H7:H8"/>
    </sheetView>
  </sheetViews>
  <sheetFormatPr defaultRowHeight="14.4" x14ac:dyDescent="0.3"/>
  <sheetData>
    <row r="3" spans="3:14" x14ac:dyDescent="0.3">
      <c r="D3" s="8" t="s">
        <v>99</v>
      </c>
      <c r="E3" s="200"/>
      <c r="F3" s="200"/>
    </row>
    <row r="4" spans="3:14" x14ac:dyDescent="0.3">
      <c r="F4" s="7"/>
      <c r="G4" s="7"/>
      <c r="H4" s="7"/>
      <c r="I4" s="7"/>
      <c r="J4" s="7"/>
      <c r="K4" s="7"/>
    </row>
    <row r="5" spans="3:14" x14ac:dyDescent="0.3">
      <c r="C5" s="8" t="s">
        <v>100</v>
      </c>
      <c r="D5" s="6" t="s">
        <v>80</v>
      </c>
      <c r="E5" s="201" t="s">
        <v>81</v>
      </c>
      <c r="F5" s="201"/>
      <c r="G5" s="201"/>
      <c r="H5" s="9"/>
      <c r="I5" s="201" t="s">
        <v>82</v>
      </c>
      <c r="J5" s="201"/>
      <c r="K5" s="201"/>
      <c r="L5" s="201" t="s">
        <v>83</v>
      </c>
      <c r="M5" s="201"/>
      <c r="N5" s="201"/>
    </row>
    <row r="6" spans="3:14" x14ac:dyDescent="0.3">
      <c r="C6" s="8">
        <v>1</v>
      </c>
      <c r="D6" s="6"/>
      <c r="E6" s="6" t="s">
        <v>84</v>
      </c>
      <c r="F6" s="6" t="s">
        <v>85</v>
      </c>
      <c r="G6" s="6" t="s">
        <v>86</v>
      </c>
      <c r="H6" s="6"/>
      <c r="I6" s="6" t="s">
        <v>84</v>
      </c>
      <c r="J6" s="6" t="s">
        <v>85</v>
      </c>
      <c r="K6" s="6" t="s">
        <v>86</v>
      </c>
      <c r="L6" s="6" t="s">
        <v>84</v>
      </c>
      <c r="M6" s="6" t="s">
        <v>85</v>
      </c>
      <c r="N6" s="6" t="s">
        <v>86</v>
      </c>
    </row>
    <row r="7" spans="3:14" x14ac:dyDescent="0.3">
      <c r="D7" s="5" t="s">
        <v>87</v>
      </c>
      <c r="E7" s="5"/>
      <c r="F7" s="5"/>
      <c r="G7" s="5">
        <f>E7*F7</f>
        <v>0</v>
      </c>
      <c r="H7" s="5" t="s">
        <v>102</v>
      </c>
      <c r="I7" s="5"/>
      <c r="J7" s="5"/>
      <c r="K7" s="5">
        <f>I7*J7</f>
        <v>0</v>
      </c>
      <c r="L7" s="5"/>
      <c r="M7" s="5"/>
      <c r="N7" s="5">
        <f>L7*M7</f>
        <v>0</v>
      </c>
    </row>
    <row r="8" spans="3:14" x14ac:dyDescent="0.3">
      <c r="D8" s="5"/>
      <c r="E8" s="5"/>
      <c r="F8" s="5"/>
      <c r="G8" s="5">
        <f t="shared" ref="G8:G34" si="0">E8*F8</f>
        <v>0</v>
      </c>
      <c r="H8" s="5" t="s">
        <v>103</v>
      </c>
      <c r="I8" s="5"/>
      <c r="J8" s="5"/>
      <c r="K8" s="5">
        <f t="shared" ref="K8:K34" si="1">I8*J8</f>
        <v>0</v>
      </c>
      <c r="L8" s="5"/>
      <c r="M8" s="5"/>
      <c r="N8" s="5">
        <f t="shared" ref="N8:N34" si="2">L8*M8</f>
        <v>0</v>
      </c>
    </row>
    <row r="9" spans="3:14" x14ac:dyDescent="0.3">
      <c r="D9" s="5"/>
      <c r="E9" s="5"/>
      <c r="F9" s="5"/>
      <c r="G9" s="5">
        <f t="shared" si="0"/>
        <v>0</v>
      </c>
      <c r="H9" s="5"/>
      <c r="I9" s="5"/>
      <c r="J9" s="5"/>
      <c r="K9" s="5">
        <f t="shared" si="1"/>
        <v>0</v>
      </c>
      <c r="L9" s="5"/>
      <c r="M9" s="5"/>
      <c r="N9" s="5">
        <f t="shared" si="2"/>
        <v>0</v>
      </c>
    </row>
    <row r="10" spans="3:14" x14ac:dyDescent="0.3">
      <c r="D10" s="5" t="s">
        <v>90</v>
      </c>
      <c r="E10" s="5"/>
      <c r="F10" s="5"/>
      <c r="G10" s="5">
        <f t="shared" si="0"/>
        <v>0</v>
      </c>
      <c r="H10" s="5" t="s">
        <v>102</v>
      </c>
      <c r="I10" s="5"/>
      <c r="J10" s="5"/>
      <c r="K10" s="5">
        <f t="shared" si="1"/>
        <v>0</v>
      </c>
      <c r="L10" s="5"/>
      <c r="M10" s="5"/>
      <c r="N10" s="5">
        <f t="shared" si="2"/>
        <v>0</v>
      </c>
    </row>
    <row r="11" spans="3:14" x14ac:dyDescent="0.3">
      <c r="D11" s="5"/>
      <c r="E11" s="5"/>
      <c r="F11" s="5"/>
      <c r="G11" s="5">
        <f t="shared" si="0"/>
        <v>0</v>
      </c>
      <c r="H11" s="5" t="s">
        <v>103</v>
      </c>
      <c r="I11" s="5"/>
      <c r="J11" s="5"/>
      <c r="K11" s="5">
        <f t="shared" si="1"/>
        <v>0</v>
      </c>
      <c r="L11" s="5"/>
      <c r="M11" s="5"/>
      <c r="N11" s="5">
        <f t="shared" si="2"/>
        <v>0</v>
      </c>
    </row>
    <row r="12" spans="3:14" x14ac:dyDescent="0.3">
      <c r="D12" s="5"/>
      <c r="E12" s="5"/>
      <c r="F12" s="5"/>
      <c r="G12" s="5">
        <f t="shared" si="0"/>
        <v>0</v>
      </c>
      <c r="H12" s="5"/>
      <c r="I12" s="5"/>
      <c r="J12" s="5"/>
      <c r="K12" s="5">
        <f t="shared" si="1"/>
        <v>0</v>
      </c>
      <c r="L12" s="5"/>
      <c r="M12" s="5"/>
      <c r="N12" s="5">
        <f t="shared" si="2"/>
        <v>0</v>
      </c>
    </row>
    <row r="13" spans="3:14" x14ac:dyDescent="0.3">
      <c r="D13" s="5"/>
      <c r="E13" s="5"/>
      <c r="F13" s="5"/>
      <c r="G13" s="5">
        <f t="shared" si="0"/>
        <v>0</v>
      </c>
      <c r="H13" s="5"/>
      <c r="I13" s="5"/>
      <c r="J13" s="5"/>
      <c r="K13" s="5">
        <f t="shared" si="1"/>
        <v>0</v>
      </c>
      <c r="L13" s="5"/>
      <c r="M13" s="5"/>
      <c r="N13" s="5">
        <f t="shared" si="2"/>
        <v>0</v>
      </c>
    </row>
    <row r="14" spans="3:14" x14ac:dyDescent="0.3">
      <c r="D14" s="5" t="s">
        <v>88</v>
      </c>
      <c r="E14" s="5"/>
      <c r="F14" s="5"/>
      <c r="G14" s="5">
        <f t="shared" si="0"/>
        <v>0</v>
      </c>
      <c r="H14" s="5" t="s">
        <v>102</v>
      </c>
      <c r="I14" s="5"/>
      <c r="J14" s="5"/>
      <c r="K14" s="5">
        <f t="shared" si="1"/>
        <v>0</v>
      </c>
      <c r="L14" s="5"/>
      <c r="M14" s="5"/>
      <c r="N14" s="5">
        <f t="shared" si="2"/>
        <v>0</v>
      </c>
    </row>
    <row r="15" spans="3:14" x14ac:dyDescent="0.3">
      <c r="D15" s="5"/>
      <c r="E15" s="5"/>
      <c r="F15" s="5"/>
      <c r="G15" s="5">
        <f t="shared" si="0"/>
        <v>0</v>
      </c>
      <c r="H15" s="5" t="s">
        <v>103</v>
      </c>
      <c r="I15" s="5"/>
      <c r="J15" s="5"/>
      <c r="K15" s="5">
        <f t="shared" si="1"/>
        <v>0</v>
      </c>
      <c r="L15" s="5"/>
      <c r="M15" s="5"/>
      <c r="N15" s="5">
        <f t="shared" si="2"/>
        <v>0</v>
      </c>
    </row>
    <row r="16" spans="3:14" x14ac:dyDescent="0.3">
      <c r="D16" s="5"/>
      <c r="E16" s="5"/>
      <c r="F16" s="5"/>
      <c r="G16" s="5">
        <f t="shared" si="0"/>
        <v>0</v>
      </c>
      <c r="H16" s="5"/>
      <c r="I16" s="5"/>
      <c r="J16" s="5"/>
      <c r="K16" s="5">
        <f t="shared" si="1"/>
        <v>0</v>
      </c>
      <c r="L16" s="5"/>
      <c r="M16" s="5"/>
      <c r="N16" s="5">
        <f t="shared" si="2"/>
        <v>0</v>
      </c>
    </row>
    <row r="17" spans="4:14" x14ac:dyDescent="0.3">
      <c r="D17" s="5"/>
      <c r="E17" s="5"/>
      <c r="F17" s="5"/>
      <c r="G17" s="5">
        <f t="shared" si="0"/>
        <v>0</v>
      </c>
      <c r="H17" s="5"/>
      <c r="I17" s="5"/>
      <c r="J17" s="5"/>
      <c r="K17" s="5">
        <f t="shared" si="1"/>
        <v>0</v>
      </c>
      <c r="L17" s="5"/>
      <c r="M17" s="5"/>
      <c r="N17" s="5">
        <f t="shared" si="2"/>
        <v>0</v>
      </c>
    </row>
    <row r="18" spans="4:14" x14ac:dyDescent="0.3">
      <c r="D18" s="5" t="s">
        <v>89</v>
      </c>
      <c r="E18" s="5"/>
      <c r="F18" s="5"/>
      <c r="G18" s="5">
        <f t="shared" si="0"/>
        <v>0</v>
      </c>
      <c r="H18" s="5" t="s">
        <v>102</v>
      </c>
      <c r="I18" s="5"/>
      <c r="J18" s="5"/>
      <c r="K18" s="5">
        <f t="shared" si="1"/>
        <v>0</v>
      </c>
      <c r="L18" s="5"/>
      <c r="M18" s="5"/>
      <c r="N18" s="5">
        <f t="shared" si="2"/>
        <v>0</v>
      </c>
    </row>
    <row r="19" spans="4:14" x14ac:dyDescent="0.3">
      <c r="D19" s="5"/>
      <c r="E19" s="5"/>
      <c r="F19" s="5"/>
      <c r="G19" s="5">
        <f t="shared" si="0"/>
        <v>0</v>
      </c>
      <c r="H19" s="5" t="s">
        <v>103</v>
      </c>
      <c r="I19" s="5"/>
      <c r="J19" s="5"/>
      <c r="K19" s="5">
        <f t="shared" si="1"/>
        <v>0</v>
      </c>
      <c r="L19" s="5"/>
      <c r="M19" s="5"/>
      <c r="N19" s="5">
        <f t="shared" si="2"/>
        <v>0</v>
      </c>
    </row>
    <row r="20" spans="4:14" x14ac:dyDescent="0.3">
      <c r="D20" s="5"/>
      <c r="E20" s="5"/>
      <c r="F20" s="5"/>
      <c r="G20" s="5">
        <f t="shared" si="0"/>
        <v>0</v>
      </c>
      <c r="H20" s="5"/>
      <c r="I20" s="5"/>
      <c r="J20" s="5"/>
      <c r="K20" s="5">
        <f t="shared" si="1"/>
        <v>0</v>
      </c>
      <c r="L20" s="5"/>
      <c r="M20" s="5"/>
      <c r="N20" s="5">
        <f t="shared" si="2"/>
        <v>0</v>
      </c>
    </row>
    <row r="21" spans="4:14" x14ac:dyDescent="0.3">
      <c r="D21" s="5" t="s">
        <v>89</v>
      </c>
      <c r="E21" s="5"/>
      <c r="F21" s="5"/>
      <c r="G21" s="5">
        <f t="shared" si="0"/>
        <v>0</v>
      </c>
      <c r="H21" s="5" t="s">
        <v>102</v>
      </c>
      <c r="I21" s="5"/>
      <c r="J21" s="5"/>
      <c r="K21" s="5">
        <f t="shared" si="1"/>
        <v>0</v>
      </c>
      <c r="L21" s="5"/>
      <c r="M21" s="5"/>
      <c r="N21" s="5">
        <f t="shared" si="2"/>
        <v>0</v>
      </c>
    </row>
    <row r="22" spans="4:14" x14ac:dyDescent="0.3">
      <c r="D22" s="5"/>
      <c r="E22" s="5"/>
      <c r="F22" s="5"/>
      <c r="G22" s="5">
        <f t="shared" si="0"/>
        <v>0</v>
      </c>
      <c r="H22" s="5" t="s">
        <v>103</v>
      </c>
      <c r="I22" s="5"/>
      <c r="J22" s="5"/>
      <c r="K22" s="5">
        <f t="shared" si="1"/>
        <v>0</v>
      </c>
      <c r="L22" s="5"/>
      <c r="M22" s="5"/>
      <c r="N22" s="5">
        <f t="shared" si="2"/>
        <v>0</v>
      </c>
    </row>
    <row r="23" spans="4:14" x14ac:dyDescent="0.3">
      <c r="D23" s="5"/>
      <c r="E23" s="5"/>
      <c r="F23" s="5"/>
      <c r="G23" s="5">
        <f t="shared" si="0"/>
        <v>0</v>
      </c>
      <c r="H23" s="5"/>
      <c r="I23" s="5"/>
      <c r="J23" s="5"/>
      <c r="K23" s="5">
        <f t="shared" si="1"/>
        <v>0</v>
      </c>
      <c r="L23" s="5"/>
      <c r="M23" s="5"/>
      <c r="N23" s="5">
        <f t="shared" si="2"/>
        <v>0</v>
      </c>
    </row>
    <row r="24" spans="4:14" x14ac:dyDescent="0.3">
      <c r="D24" s="5" t="s">
        <v>95</v>
      </c>
      <c r="E24" s="5"/>
      <c r="F24" s="5"/>
      <c r="G24" s="5">
        <f t="shared" si="0"/>
        <v>0</v>
      </c>
      <c r="H24" s="5" t="s">
        <v>104</v>
      </c>
      <c r="I24" s="5"/>
      <c r="J24" s="5"/>
      <c r="K24" s="5">
        <f t="shared" si="1"/>
        <v>0</v>
      </c>
      <c r="L24" s="5"/>
      <c r="M24" s="5"/>
      <c r="N24" s="5">
        <f t="shared" si="2"/>
        <v>0</v>
      </c>
    </row>
    <row r="25" spans="4:14" x14ac:dyDescent="0.3">
      <c r="D25" s="5" t="s">
        <v>96</v>
      </c>
      <c r="E25" s="5"/>
      <c r="F25" s="5"/>
      <c r="G25" s="5">
        <f t="shared" si="0"/>
        <v>0</v>
      </c>
      <c r="H25" s="5" t="s">
        <v>104</v>
      </c>
      <c r="I25" s="5"/>
      <c r="J25" s="5"/>
      <c r="K25" s="5">
        <f t="shared" si="1"/>
        <v>0</v>
      </c>
      <c r="L25" s="5"/>
      <c r="M25" s="5"/>
      <c r="N25" s="5">
        <f t="shared" si="2"/>
        <v>0</v>
      </c>
    </row>
    <row r="26" spans="4:14" x14ac:dyDescent="0.3">
      <c r="D26" s="5" t="s">
        <v>97</v>
      </c>
      <c r="E26" s="5"/>
      <c r="F26" s="5"/>
      <c r="G26" s="5">
        <f t="shared" si="0"/>
        <v>0</v>
      </c>
      <c r="H26" s="5" t="s">
        <v>104</v>
      </c>
      <c r="I26" s="5"/>
      <c r="J26" s="5"/>
      <c r="K26" s="5">
        <f t="shared" si="1"/>
        <v>0</v>
      </c>
      <c r="L26" s="5"/>
      <c r="M26" s="5"/>
      <c r="N26" s="5">
        <f t="shared" si="2"/>
        <v>0</v>
      </c>
    </row>
    <row r="27" spans="4:14" x14ac:dyDescent="0.3">
      <c r="D27" s="5"/>
      <c r="E27" s="5"/>
      <c r="F27" s="5"/>
      <c r="G27" s="5">
        <f t="shared" si="0"/>
        <v>0</v>
      </c>
      <c r="H27" s="5"/>
      <c r="I27" s="5"/>
      <c r="J27" s="5"/>
      <c r="K27" s="5">
        <f t="shared" si="1"/>
        <v>0</v>
      </c>
      <c r="L27" s="5"/>
      <c r="M27" s="5"/>
      <c r="N27" s="5">
        <f t="shared" si="2"/>
        <v>0</v>
      </c>
    </row>
    <row r="28" spans="4:14" x14ac:dyDescent="0.3">
      <c r="D28" s="5" t="s">
        <v>91</v>
      </c>
      <c r="E28" s="5"/>
      <c r="F28" s="5"/>
      <c r="G28" s="5">
        <f t="shared" si="0"/>
        <v>0</v>
      </c>
      <c r="H28" s="5"/>
      <c r="I28" s="5"/>
      <c r="J28" s="5"/>
      <c r="K28" s="5">
        <f t="shared" si="1"/>
        <v>0</v>
      </c>
      <c r="L28" s="5"/>
      <c r="M28" s="5"/>
      <c r="N28" s="5">
        <f t="shared" si="2"/>
        <v>0</v>
      </c>
    </row>
    <row r="29" spans="4:14" x14ac:dyDescent="0.3">
      <c r="D29" s="5" t="s">
        <v>92</v>
      </c>
      <c r="E29" s="5"/>
      <c r="F29" s="5"/>
      <c r="G29" s="5">
        <f t="shared" si="0"/>
        <v>0</v>
      </c>
      <c r="H29" s="5"/>
      <c r="I29" s="5"/>
      <c r="J29" s="5"/>
      <c r="K29" s="5">
        <f t="shared" si="1"/>
        <v>0</v>
      </c>
      <c r="L29" s="5"/>
      <c r="M29" s="5"/>
      <c r="N29" s="5">
        <f t="shared" si="2"/>
        <v>0</v>
      </c>
    </row>
    <row r="30" spans="4:14" x14ac:dyDescent="0.3">
      <c r="D30" s="5" t="s">
        <v>93</v>
      </c>
      <c r="E30" s="5"/>
      <c r="F30" s="5"/>
      <c r="G30" s="5">
        <f t="shared" si="0"/>
        <v>0</v>
      </c>
      <c r="H30" s="5"/>
      <c r="I30" s="5"/>
      <c r="J30" s="5"/>
      <c r="K30" s="5">
        <f t="shared" si="1"/>
        <v>0</v>
      </c>
      <c r="L30" s="5"/>
      <c r="M30" s="5"/>
      <c r="N30" s="5">
        <f t="shared" si="2"/>
        <v>0</v>
      </c>
    </row>
    <row r="31" spans="4:14" x14ac:dyDescent="0.3">
      <c r="D31" s="5" t="s">
        <v>94</v>
      </c>
      <c r="E31" s="5"/>
      <c r="F31" s="5"/>
      <c r="G31" s="5">
        <f t="shared" si="0"/>
        <v>0</v>
      </c>
      <c r="H31" s="5"/>
      <c r="I31" s="5"/>
      <c r="J31" s="5"/>
      <c r="K31" s="5">
        <f t="shared" si="1"/>
        <v>0</v>
      </c>
      <c r="L31" s="5"/>
      <c r="M31" s="5"/>
      <c r="N31" s="5">
        <f t="shared" si="2"/>
        <v>0</v>
      </c>
    </row>
    <row r="32" spans="4:14" x14ac:dyDescent="0.3">
      <c r="D32" s="5"/>
      <c r="E32" s="5"/>
      <c r="F32" s="5"/>
      <c r="G32" s="5">
        <f t="shared" si="0"/>
        <v>0</v>
      </c>
      <c r="H32" s="5"/>
      <c r="I32" s="5"/>
      <c r="J32" s="5"/>
      <c r="K32" s="5">
        <f t="shared" si="1"/>
        <v>0</v>
      </c>
      <c r="L32" s="5"/>
      <c r="M32" s="5"/>
      <c r="N32" s="5">
        <f t="shared" si="2"/>
        <v>0</v>
      </c>
    </row>
    <row r="33" spans="4:14" x14ac:dyDescent="0.3">
      <c r="D33" s="5"/>
      <c r="E33" s="5"/>
      <c r="F33" s="5"/>
      <c r="G33" s="5">
        <f t="shared" si="0"/>
        <v>0</v>
      </c>
      <c r="H33" s="5"/>
      <c r="I33" s="5"/>
      <c r="J33" s="5"/>
      <c r="K33" s="5">
        <f t="shared" si="1"/>
        <v>0</v>
      </c>
      <c r="L33" s="5"/>
      <c r="M33" s="5"/>
      <c r="N33" s="5">
        <f t="shared" si="2"/>
        <v>0</v>
      </c>
    </row>
    <row r="34" spans="4:14" x14ac:dyDescent="0.3">
      <c r="D34" s="5"/>
      <c r="E34" s="5"/>
      <c r="F34" s="5"/>
      <c r="G34" s="5">
        <f t="shared" si="0"/>
        <v>0</v>
      </c>
      <c r="H34" s="5"/>
      <c r="I34" s="5"/>
      <c r="J34" s="5"/>
      <c r="K34" s="5">
        <f t="shared" si="1"/>
        <v>0</v>
      </c>
      <c r="L34" s="5"/>
      <c r="M34" s="5"/>
      <c r="N34" s="5">
        <f t="shared" si="2"/>
        <v>0</v>
      </c>
    </row>
    <row r="35" spans="4:14" x14ac:dyDescent="0.3">
      <c r="D35" s="5" t="s">
        <v>98</v>
      </c>
      <c r="E35" s="5"/>
      <c r="F35" s="5">
        <f>G35*10.764</f>
        <v>0</v>
      </c>
      <c r="G35" s="5">
        <f>SUM(G7:G34)</f>
        <v>0</v>
      </c>
      <c r="H35" s="5"/>
      <c r="I35" s="5"/>
      <c r="J35" s="5">
        <f>K35*10.764</f>
        <v>0</v>
      </c>
      <c r="K35" s="5">
        <f>SUM(K7:K34)</f>
        <v>0</v>
      </c>
      <c r="L35" s="5"/>
      <c r="M35" s="5">
        <f>N35*10.764</f>
        <v>0</v>
      </c>
      <c r="N35" s="5">
        <f>SUM(N7:N34)</f>
        <v>0</v>
      </c>
    </row>
  </sheetData>
  <mergeCells count="4">
    <mergeCell ref="E3:F3"/>
    <mergeCell ref="E5:G5"/>
    <mergeCell ref="I5:K5"/>
    <mergeCell ref="L5:N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"/>
  <sheetViews>
    <sheetView workbookViewId="0">
      <selection activeCell="L7" sqref="L7"/>
    </sheetView>
  </sheetViews>
  <sheetFormatPr defaultColWidth="8.77734375" defaultRowHeight="14.4" x14ac:dyDescent="0.3"/>
  <cols>
    <col min="1" max="1" width="8.77734375" style="18"/>
    <col min="2" max="2" width="22.21875" style="18" customWidth="1"/>
    <col min="3" max="3" width="37" style="18" customWidth="1"/>
    <col min="4" max="5" width="11.44140625" style="18" customWidth="1"/>
    <col min="6" max="6" width="14" style="18" customWidth="1"/>
    <col min="7" max="7" width="20" style="18" customWidth="1"/>
    <col min="8" max="8" width="16.44140625" style="18" customWidth="1"/>
    <col min="9" max="9" width="8.77734375" style="18"/>
    <col min="10" max="10" width="9.77734375" style="18" bestFit="1" customWidth="1"/>
    <col min="11" max="16384" width="8.77734375" style="18"/>
  </cols>
  <sheetData>
    <row r="1" spans="1:10" ht="15" customHeight="1" x14ac:dyDescent="0.3"/>
    <row r="2" spans="1:10" ht="15" customHeight="1" x14ac:dyDescent="0.3">
      <c r="A2" s="19"/>
      <c r="B2" s="19"/>
      <c r="C2" s="19"/>
      <c r="D2" s="19"/>
      <c r="E2" s="19"/>
      <c r="F2" s="19"/>
      <c r="G2" s="19"/>
      <c r="H2" s="19"/>
    </row>
    <row r="3" spans="1:10" ht="15.75" customHeight="1" x14ac:dyDescent="0.3">
      <c r="A3" s="19"/>
      <c r="B3" s="199" t="s">
        <v>189</v>
      </c>
      <c r="C3" s="199"/>
      <c r="D3" s="199"/>
      <c r="E3" s="199"/>
      <c r="F3" s="199"/>
      <c r="G3" s="199"/>
      <c r="H3" s="199"/>
    </row>
    <row r="4" spans="1:10" ht="14.25" customHeight="1" x14ac:dyDescent="0.3">
      <c r="A4" s="19"/>
      <c r="B4" s="20" t="s">
        <v>190</v>
      </c>
      <c r="C4" s="20" t="s">
        <v>191</v>
      </c>
      <c r="D4" s="20" t="s">
        <v>100</v>
      </c>
      <c r="E4" s="20" t="s">
        <v>192</v>
      </c>
      <c r="F4" s="20" t="s">
        <v>193</v>
      </c>
      <c r="G4" s="20" t="s">
        <v>194</v>
      </c>
      <c r="H4" s="20" t="s">
        <v>195</v>
      </c>
    </row>
    <row r="5" spans="1:10" x14ac:dyDescent="0.3">
      <c r="A5" s="19"/>
      <c r="B5" s="21" t="s">
        <v>196</v>
      </c>
      <c r="C5" s="32" t="s">
        <v>202</v>
      </c>
      <c r="D5" s="22" t="s">
        <v>144</v>
      </c>
      <c r="E5" s="22">
        <v>0</v>
      </c>
      <c r="F5" s="23">
        <v>530</v>
      </c>
      <c r="G5" s="23">
        <f>H5/F5</f>
        <v>2500</v>
      </c>
      <c r="H5" s="24">
        <v>1325000</v>
      </c>
      <c r="J5" s="25"/>
    </row>
    <row r="6" spans="1:10" x14ac:dyDescent="0.3">
      <c r="A6" s="19"/>
      <c r="B6" s="21" t="s">
        <v>196</v>
      </c>
      <c r="C6" s="32" t="s">
        <v>202</v>
      </c>
      <c r="D6" s="22" t="s">
        <v>150</v>
      </c>
      <c r="E6" s="22">
        <v>0</v>
      </c>
      <c r="F6" s="23">
        <v>680</v>
      </c>
      <c r="G6" s="23">
        <f>H6/F6</f>
        <v>2500</v>
      </c>
      <c r="H6" s="24">
        <v>1700000</v>
      </c>
      <c r="J6" s="25"/>
    </row>
    <row r="7" spans="1:10" x14ac:dyDescent="0.3">
      <c r="A7" s="19"/>
      <c r="B7" s="21" t="s">
        <v>197</v>
      </c>
      <c r="C7" s="32" t="s">
        <v>202</v>
      </c>
      <c r="D7" s="22" t="s">
        <v>144</v>
      </c>
      <c r="E7" s="22">
        <v>237</v>
      </c>
      <c r="F7" s="23">
        <f>E7*1.45</f>
        <v>343.65</v>
      </c>
      <c r="G7" s="23">
        <f>H7/F7</f>
        <v>3442.4559871962756</v>
      </c>
      <c r="H7" s="24">
        <v>1183000</v>
      </c>
      <c r="J7" s="25"/>
    </row>
    <row r="8" spans="1:10" x14ac:dyDescent="0.3">
      <c r="A8" s="19"/>
      <c r="B8" s="21" t="s">
        <v>198</v>
      </c>
      <c r="C8" s="32" t="s">
        <v>202</v>
      </c>
      <c r="D8" s="22" t="s">
        <v>144</v>
      </c>
      <c r="E8" s="22">
        <v>398</v>
      </c>
      <c r="F8" s="23">
        <f>E8*1.45</f>
        <v>577.1</v>
      </c>
      <c r="G8" s="23">
        <f>H8/F8</f>
        <v>1992.7222318488996</v>
      </c>
      <c r="H8" s="24">
        <v>1150000</v>
      </c>
      <c r="J8" s="25"/>
    </row>
    <row r="9" spans="1:10" ht="15" customHeight="1" x14ac:dyDescent="0.3">
      <c r="A9" s="19"/>
      <c r="B9" s="26" t="s">
        <v>199</v>
      </c>
      <c r="C9" s="22"/>
      <c r="D9" s="22"/>
      <c r="E9" s="22">
        <v>0</v>
      </c>
      <c r="F9" s="23">
        <f>E9*1.5</f>
        <v>0</v>
      </c>
      <c r="G9" s="27">
        <f>AVERAGE(G5:G8)</f>
        <v>2608.794554761294</v>
      </c>
      <c r="H9" s="22"/>
      <c r="J9" s="25"/>
    </row>
    <row r="10" spans="1:10" ht="15" customHeight="1" x14ac:dyDescent="0.3">
      <c r="B10" s="26" t="s">
        <v>200</v>
      </c>
      <c r="C10" s="22"/>
      <c r="D10" s="22"/>
      <c r="E10" s="22"/>
      <c r="F10" s="28"/>
      <c r="G10" s="26">
        <v>2600</v>
      </c>
      <c r="H10" s="26"/>
      <c r="I10" s="29"/>
      <c r="J10" s="25"/>
    </row>
    <row r="11" spans="1:10" ht="15" customHeight="1" x14ac:dyDescent="0.3">
      <c r="G11" s="30"/>
    </row>
    <row r="12" spans="1:10" x14ac:dyDescent="0.3">
      <c r="G12" s="30"/>
    </row>
    <row r="13" spans="1:10" x14ac:dyDescent="0.3">
      <c r="G13" s="30"/>
    </row>
    <row r="14" spans="1:10" x14ac:dyDescent="0.3">
      <c r="G14" s="30"/>
    </row>
    <row r="15" spans="1:10" x14ac:dyDescent="0.3">
      <c r="G15" s="30"/>
    </row>
    <row r="16" spans="1:10" x14ac:dyDescent="0.3">
      <c r="G16" s="30"/>
    </row>
    <row r="17" spans="2:7" x14ac:dyDescent="0.3">
      <c r="G17" s="30"/>
    </row>
    <row r="18" spans="2:7" x14ac:dyDescent="0.3">
      <c r="G18" s="30"/>
    </row>
    <row r="19" spans="2:7" x14ac:dyDescent="0.3">
      <c r="G19" s="30"/>
    </row>
    <row r="20" spans="2:7" x14ac:dyDescent="0.3">
      <c r="B20" s="31"/>
      <c r="G20" s="30"/>
    </row>
  </sheetData>
  <mergeCells count="1">
    <mergeCell ref="B3:H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5"/>
  <sheetViews>
    <sheetView workbookViewId="0">
      <selection activeCell="C5" sqref="C5"/>
    </sheetView>
  </sheetViews>
  <sheetFormatPr defaultRowHeight="14.4" x14ac:dyDescent="0.3"/>
  <cols>
    <col min="1" max="1" width="11.44140625" customWidth="1"/>
    <col min="2" max="2" width="12" customWidth="1"/>
  </cols>
  <sheetData>
    <row r="1" spans="1:3" x14ac:dyDescent="0.3">
      <c r="A1" t="s">
        <v>182</v>
      </c>
      <c r="B1" t="s">
        <v>185</v>
      </c>
      <c r="C1" t="s">
        <v>186</v>
      </c>
    </row>
    <row r="2" spans="1:3" x14ac:dyDescent="0.3">
      <c r="C2" t="s">
        <v>187</v>
      </c>
    </row>
    <row r="3" spans="1:3" x14ac:dyDescent="0.3">
      <c r="C3" t="s">
        <v>188</v>
      </c>
    </row>
    <row r="5" spans="1:3" x14ac:dyDescent="0.3">
      <c r="A5" s="33">
        <v>44212</v>
      </c>
      <c r="B5" t="s">
        <v>206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21"/>
  <sheetViews>
    <sheetView workbookViewId="0">
      <selection activeCell="C10" sqref="C10"/>
    </sheetView>
  </sheetViews>
  <sheetFormatPr defaultColWidth="9.21875" defaultRowHeight="14.4" x14ac:dyDescent="0.3"/>
  <cols>
    <col min="1" max="1" width="9.21875" style="11"/>
    <col min="2" max="2" width="11.77734375" style="11" customWidth="1"/>
    <col min="3" max="16384" width="9.21875" style="11"/>
  </cols>
  <sheetData>
    <row r="2" spans="1:15" x14ac:dyDescent="0.3">
      <c r="A2" s="11" t="s">
        <v>161</v>
      </c>
      <c r="B2" s="12" t="s">
        <v>162</v>
      </c>
      <c r="C2" s="12">
        <v>4</v>
      </c>
    </row>
    <row r="3" spans="1:15" x14ac:dyDescent="0.3">
      <c r="B3" s="11" t="s">
        <v>163</v>
      </c>
      <c r="C3" s="11" t="s">
        <v>164</v>
      </c>
    </row>
    <row r="4" spans="1:15" x14ac:dyDescent="0.3">
      <c r="A4" s="11" t="s">
        <v>165</v>
      </c>
      <c r="B4" s="13">
        <v>10</v>
      </c>
      <c r="C4" s="13">
        <v>10</v>
      </c>
      <c r="E4" s="11">
        <f>(100/B4)*C4</f>
        <v>100</v>
      </c>
    </row>
    <row r="5" spans="1:15" x14ac:dyDescent="0.3">
      <c r="A5" s="11" t="s">
        <v>166</v>
      </c>
      <c r="B5" s="11" t="s">
        <v>167</v>
      </c>
      <c r="C5" s="11" t="s">
        <v>168</v>
      </c>
      <c r="E5" s="11">
        <f>(100/B6)*C6</f>
        <v>100</v>
      </c>
      <c r="I5" s="13" t="s">
        <v>169</v>
      </c>
      <c r="J5" s="13" t="s">
        <v>170</v>
      </c>
      <c r="K5" s="13" t="s">
        <v>171</v>
      </c>
      <c r="L5" s="13" t="s">
        <v>36</v>
      </c>
      <c r="M5" s="13" t="s">
        <v>42</v>
      </c>
      <c r="N5" s="13" t="s">
        <v>172</v>
      </c>
      <c r="O5" s="13" t="s">
        <v>43</v>
      </c>
    </row>
    <row r="6" spans="1:15" x14ac:dyDescent="0.3">
      <c r="B6" s="13">
        <f>C2+1</f>
        <v>5</v>
      </c>
      <c r="C6" s="13">
        <v>5</v>
      </c>
      <c r="E6" s="11">
        <f>(100/B8)*C8</f>
        <v>75</v>
      </c>
      <c r="F6" s="14" t="s">
        <v>173</v>
      </c>
      <c r="I6" s="14">
        <f>C4</f>
        <v>10</v>
      </c>
      <c r="J6" s="14">
        <f>40/B6*C6</f>
        <v>40</v>
      </c>
      <c r="K6" s="14">
        <f>15/B8*C8</f>
        <v>11.25</v>
      </c>
      <c r="L6" s="14">
        <f>10/B10*C10</f>
        <v>1.25</v>
      </c>
      <c r="M6" s="14">
        <f>10/B12*C12</f>
        <v>0</v>
      </c>
      <c r="N6" s="14">
        <f>5/B14*C14</f>
        <v>0</v>
      </c>
      <c r="O6" s="14">
        <f>5/B16*C16</f>
        <v>0</v>
      </c>
    </row>
    <row r="7" spans="1:15" x14ac:dyDescent="0.3">
      <c r="A7" s="11" t="s">
        <v>174</v>
      </c>
      <c r="B7" s="11" t="s">
        <v>175</v>
      </c>
      <c r="C7" s="11" t="s">
        <v>176</v>
      </c>
      <c r="E7" s="11">
        <f>(100/B10)*C10</f>
        <v>12.5</v>
      </c>
      <c r="F7" s="13" t="s">
        <v>177</v>
      </c>
      <c r="G7" s="13"/>
      <c r="H7" s="13"/>
      <c r="I7" s="13">
        <f>I6+20</f>
        <v>30</v>
      </c>
      <c r="J7" s="13">
        <f>30/B6*C6</f>
        <v>30</v>
      </c>
      <c r="K7" s="13">
        <f>15/B8*C8</f>
        <v>11.25</v>
      </c>
      <c r="L7" s="13">
        <f>10/B10*C10</f>
        <v>1.25</v>
      </c>
      <c r="M7" s="13">
        <f>5/B12*C12</f>
        <v>0</v>
      </c>
      <c r="N7" s="13">
        <f>5/B14*C14</f>
        <v>0</v>
      </c>
      <c r="O7" s="13">
        <f>5/B16*C16</f>
        <v>0</v>
      </c>
    </row>
    <row r="8" spans="1:15" x14ac:dyDescent="0.3">
      <c r="B8" s="13">
        <f>C2</f>
        <v>4</v>
      </c>
      <c r="C8" s="13">
        <v>3</v>
      </c>
      <c r="E8" s="11">
        <f>(100/B12)*C12</f>
        <v>0</v>
      </c>
    </row>
    <row r="9" spans="1:15" x14ac:dyDescent="0.3">
      <c r="A9" s="11" t="s">
        <v>178</v>
      </c>
      <c r="B9" s="11" t="s">
        <v>175</v>
      </c>
      <c r="C9" s="11" t="s">
        <v>176</v>
      </c>
      <c r="E9" s="11">
        <f>(100/B14)*C14</f>
        <v>0</v>
      </c>
    </row>
    <row r="10" spans="1:15" x14ac:dyDescent="0.3">
      <c r="B10" s="13">
        <f>C2</f>
        <v>4</v>
      </c>
      <c r="C10" s="13">
        <v>0.5</v>
      </c>
      <c r="E10" s="11">
        <f>(100/B16)*C16</f>
        <v>0</v>
      </c>
    </row>
    <row r="11" spans="1:15" x14ac:dyDescent="0.3">
      <c r="A11" s="11" t="s">
        <v>42</v>
      </c>
      <c r="B11" s="11" t="s">
        <v>175</v>
      </c>
      <c r="C11" s="11" t="s">
        <v>176</v>
      </c>
    </row>
    <row r="12" spans="1:15" x14ac:dyDescent="0.3">
      <c r="B12" s="13">
        <f>C2</f>
        <v>4</v>
      </c>
      <c r="C12" s="13">
        <v>0</v>
      </c>
      <c r="F12" s="13"/>
      <c r="G12" s="13" t="s">
        <v>173</v>
      </c>
      <c r="H12" s="13" t="s">
        <v>179</v>
      </c>
      <c r="L12" s="11" t="s">
        <v>180</v>
      </c>
    </row>
    <row r="13" spans="1:15" ht="28.8" x14ac:dyDescent="0.3">
      <c r="A13" s="15" t="s">
        <v>172</v>
      </c>
      <c r="B13" s="11" t="s">
        <v>175</v>
      </c>
      <c r="C13" s="11" t="s">
        <v>176</v>
      </c>
      <c r="F13" s="13" t="s">
        <v>34</v>
      </c>
      <c r="G13" s="13">
        <f>I6</f>
        <v>10</v>
      </c>
      <c r="H13" s="13">
        <f>I7</f>
        <v>30</v>
      </c>
      <c r="L13" s="11" t="s">
        <v>180</v>
      </c>
    </row>
    <row r="14" spans="1:15" x14ac:dyDescent="0.3">
      <c r="B14" s="13">
        <f>C2</f>
        <v>4</v>
      </c>
      <c r="C14" s="13">
        <v>0</v>
      </c>
      <c r="F14" s="13" t="s">
        <v>35</v>
      </c>
      <c r="G14" s="13">
        <f>J6</f>
        <v>40</v>
      </c>
      <c r="H14" s="13">
        <f>J7</f>
        <v>30</v>
      </c>
    </row>
    <row r="15" spans="1:15" x14ac:dyDescent="0.3">
      <c r="A15" s="11" t="s">
        <v>43</v>
      </c>
      <c r="B15" s="11" t="s">
        <v>175</v>
      </c>
      <c r="C15" s="11" t="s">
        <v>176</v>
      </c>
      <c r="F15" s="13" t="s">
        <v>171</v>
      </c>
      <c r="G15" s="13">
        <f>K6</f>
        <v>11.25</v>
      </c>
      <c r="H15" s="13">
        <f>K7</f>
        <v>11.25</v>
      </c>
    </row>
    <row r="16" spans="1:15" x14ac:dyDescent="0.3">
      <c r="B16" s="13">
        <f>C2</f>
        <v>4</v>
      </c>
      <c r="C16" s="13">
        <v>0</v>
      </c>
      <c r="F16" s="13" t="s">
        <v>36</v>
      </c>
      <c r="G16" s="13">
        <f>L6</f>
        <v>1.25</v>
      </c>
      <c r="H16" s="13">
        <f>L7</f>
        <v>1.25</v>
      </c>
    </row>
    <row r="17" spans="5:8" x14ac:dyDescent="0.3">
      <c r="F17" s="13" t="s">
        <v>42</v>
      </c>
      <c r="G17" s="13">
        <f>M6</f>
        <v>0</v>
      </c>
      <c r="H17" s="13">
        <f>M7</f>
        <v>0</v>
      </c>
    </row>
    <row r="18" spans="5:8" ht="28.8" x14ac:dyDescent="0.3">
      <c r="F18" s="16" t="s">
        <v>172</v>
      </c>
      <c r="G18" s="13">
        <f>N6</f>
        <v>0</v>
      </c>
      <c r="H18" s="13">
        <f>N7</f>
        <v>0</v>
      </c>
    </row>
    <row r="19" spans="5:8" x14ac:dyDescent="0.3">
      <c r="F19" s="13" t="s">
        <v>43</v>
      </c>
      <c r="G19" s="13">
        <f>O6</f>
        <v>0</v>
      </c>
      <c r="H19" s="13">
        <f>O7</f>
        <v>0</v>
      </c>
    </row>
    <row r="20" spans="5:8" x14ac:dyDescent="0.3">
      <c r="F20" s="13" t="s">
        <v>181</v>
      </c>
      <c r="G20" s="13">
        <f>G13+G14+G15+G16+G17+G18+G19</f>
        <v>62.5</v>
      </c>
      <c r="H20" s="13">
        <f>H13+H14+H15+H16+H17+H18+H19</f>
        <v>72.5</v>
      </c>
    </row>
    <row r="21" spans="5:8" x14ac:dyDescent="0.3">
      <c r="E21" s="1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O21"/>
  <sheetViews>
    <sheetView topLeftCell="A16" workbookViewId="0">
      <selection activeCell="C11" sqref="C11"/>
    </sheetView>
  </sheetViews>
  <sheetFormatPr defaultColWidth="9.21875" defaultRowHeight="14.4" x14ac:dyDescent="0.3"/>
  <cols>
    <col min="1" max="1" width="9.21875" style="11"/>
    <col min="2" max="2" width="11.77734375" style="11" customWidth="1"/>
    <col min="3" max="16384" width="9.21875" style="11"/>
  </cols>
  <sheetData>
    <row r="2" spans="1:15" x14ac:dyDescent="0.3">
      <c r="A2" s="11" t="s">
        <v>161</v>
      </c>
      <c r="B2" s="12" t="s">
        <v>162</v>
      </c>
      <c r="C2" s="12">
        <v>2</v>
      </c>
    </row>
    <row r="3" spans="1:15" x14ac:dyDescent="0.3">
      <c r="B3" s="11" t="s">
        <v>163</v>
      </c>
      <c r="C3" s="11" t="s">
        <v>164</v>
      </c>
    </row>
    <row r="4" spans="1:15" x14ac:dyDescent="0.3">
      <c r="A4" s="11" t="s">
        <v>165</v>
      </c>
      <c r="B4" s="13">
        <v>10</v>
      </c>
      <c r="C4" s="13">
        <v>10</v>
      </c>
      <c r="E4" s="11">
        <f>(100/B4)*C4</f>
        <v>100</v>
      </c>
    </row>
    <row r="5" spans="1:15" x14ac:dyDescent="0.3">
      <c r="A5" s="11" t="s">
        <v>166</v>
      </c>
      <c r="B5" s="11" t="s">
        <v>167</v>
      </c>
      <c r="C5" s="11" t="s">
        <v>168</v>
      </c>
      <c r="E5" s="11">
        <f>(100/B6)*C6</f>
        <v>100</v>
      </c>
      <c r="I5" s="13" t="s">
        <v>169</v>
      </c>
      <c r="J5" s="13" t="s">
        <v>170</v>
      </c>
      <c r="K5" s="13" t="s">
        <v>171</v>
      </c>
      <c r="L5" s="13" t="s">
        <v>36</v>
      </c>
      <c r="M5" s="13" t="s">
        <v>42</v>
      </c>
      <c r="N5" s="13" t="s">
        <v>172</v>
      </c>
      <c r="O5" s="13" t="s">
        <v>43</v>
      </c>
    </row>
    <row r="6" spans="1:15" x14ac:dyDescent="0.3">
      <c r="B6" s="13">
        <f>C2+1</f>
        <v>3</v>
      </c>
      <c r="C6" s="13">
        <v>3</v>
      </c>
      <c r="E6" s="11">
        <f>(100/B8)*C8</f>
        <v>100</v>
      </c>
      <c r="F6" s="14" t="s">
        <v>173</v>
      </c>
      <c r="I6" s="14">
        <f>C4</f>
        <v>10</v>
      </c>
      <c r="J6" s="14">
        <f>40/B6*C6</f>
        <v>40</v>
      </c>
      <c r="K6" s="14">
        <f>15/B8*C8</f>
        <v>15</v>
      </c>
      <c r="L6" s="14">
        <f>10/B10*C10</f>
        <v>10</v>
      </c>
      <c r="M6" s="14">
        <f>10/B12*C12</f>
        <v>0</v>
      </c>
      <c r="N6" s="14">
        <f>5/B14*C14</f>
        <v>0</v>
      </c>
      <c r="O6" s="14">
        <f>5/B16*C16</f>
        <v>0</v>
      </c>
    </row>
    <row r="7" spans="1:15" x14ac:dyDescent="0.3">
      <c r="A7" s="11" t="s">
        <v>174</v>
      </c>
      <c r="B7" s="11" t="s">
        <v>175</v>
      </c>
      <c r="C7" s="11" t="s">
        <v>176</v>
      </c>
      <c r="E7" s="11">
        <f>(100/B10)*C10</f>
        <v>100</v>
      </c>
      <c r="F7" s="13" t="s">
        <v>177</v>
      </c>
      <c r="G7" s="13"/>
      <c r="H7" s="13"/>
      <c r="I7" s="13">
        <f>I6+20</f>
        <v>30</v>
      </c>
      <c r="J7" s="13">
        <f>30/B6*C6</f>
        <v>30</v>
      </c>
      <c r="K7" s="13">
        <f>15/B8*C8</f>
        <v>15</v>
      </c>
      <c r="L7" s="13">
        <f>10/B10*C10</f>
        <v>10</v>
      </c>
      <c r="M7" s="13">
        <f>5/B12*C12</f>
        <v>0</v>
      </c>
      <c r="N7" s="13">
        <f>5/B14*C14</f>
        <v>0</v>
      </c>
      <c r="O7" s="13">
        <f>5/B16*C16</f>
        <v>0</v>
      </c>
    </row>
    <row r="8" spans="1:15" x14ac:dyDescent="0.3">
      <c r="B8" s="13">
        <f>C2</f>
        <v>2</v>
      </c>
      <c r="C8" s="13">
        <v>2</v>
      </c>
      <c r="E8" s="11">
        <f>(100/B12)*C12</f>
        <v>0</v>
      </c>
    </row>
    <row r="9" spans="1:15" x14ac:dyDescent="0.3">
      <c r="A9" s="11" t="s">
        <v>178</v>
      </c>
      <c r="B9" s="11" t="s">
        <v>175</v>
      </c>
      <c r="C9" s="11" t="s">
        <v>176</v>
      </c>
      <c r="E9" s="11">
        <f>(100/B14)*C14</f>
        <v>0</v>
      </c>
    </row>
    <row r="10" spans="1:15" x14ac:dyDescent="0.3">
      <c r="B10" s="13">
        <f>C2</f>
        <v>2</v>
      </c>
      <c r="C10" s="13">
        <v>2</v>
      </c>
      <c r="E10" s="11">
        <f>(100/B16)*C16</f>
        <v>0</v>
      </c>
    </row>
    <row r="11" spans="1:15" x14ac:dyDescent="0.3">
      <c r="A11" s="11" t="s">
        <v>42</v>
      </c>
      <c r="B11" s="11" t="s">
        <v>175</v>
      </c>
      <c r="C11" s="11" t="s">
        <v>176</v>
      </c>
    </row>
    <row r="12" spans="1:15" x14ac:dyDescent="0.3">
      <c r="B12" s="13">
        <f>C2</f>
        <v>2</v>
      </c>
      <c r="C12" s="13">
        <v>0</v>
      </c>
      <c r="F12" s="13"/>
      <c r="G12" s="13" t="s">
        <v>173</v>
      </c>
      <c r="H12" s="13" t="s">
        <v>179</v>
      </c>
      <c r="L12" s="11" t="s">
        <v>180</v>
      </c>
    </row>
    <row r="13" spans="1:15" ht="28.8" x14ac:dyDescent="0.3">
      <c r="A13" s="15" t="s">
        <v>172</v>
      </c>
      <c r="B13" s="11" t="s">
        <v>175</v>
      </c>
      <c r="C13" s="11" t="s">
        <v>176</v>
      </c>
      <c r="F13" s="13" t="s">
        <v>34</v>
      </c>
      <c r="G13" s="13">
        <f>I6</f>
        <v>10</v>
      </c>
      <c r="H13" s="13">
        <f>I7</f>
        <v>30</v>
      </c>
      <c r="L13" s="11" t="s">
        <v>180</v>
      </c>
    </row>
    <row r="14" spans="1:15" x14ac:dyDescent="0.3">
      <c r="B14" s="13">
        <f>C2</f>
        <v>2</v>
      </c>
      <c r="C14" s="13">
        <v>0</v>
      </c>
      <c r="F14" s="13" t="s">
        <v>35</v>
      </c>
      <c r="G14" s="13">
        <f>J6</f>
        <v>40</v>
      </c>
      <c r="H14" s="13">
        <f>J7</f>
        <v>30</v>
      </c>
    </row>
    <row r="15" spans="1:15" x14ac:dyDescent="0.3">
      <c r="A15" s="11" t="s">
        <v>43</v>
      </c>
      <c r="B15" s="11" t="s">
        <v>175</v>
      </c>
      <c r="C15" s="11" t="s">
        <v>176</v>
      </c>
      <c r="F15" s="13" t="s">
        <v>171</v>
      </c>
      <c r="G15" s="13">
        <f>K6</f>
        <v>15</v>
      </c>
      <c r="H15" s="13">
        <f>K7</f>
        <v>15</v>
      </c>
    </row>
    <row r="16" spans="1:15" x14ac:dyDescent="0.3">
      <c r="B16" s="13">
        <f>C2</f>
        <v>2</v>
      </c>
      <c r="C16" s="13">
        <v>0</v>
      </c>
      <c r="F16" s="13" t="s">
        <v>36</v>
      </c>
      <c r="G16" s="13">
        <f>L6</f>
        <v>10</v>
      </c>
      <c r="H16" s="13">
        <f>L7</f>
        <v>10</v>
      </c>
    </row>
    <row r="17" spans="5:8" x14ac:dyDescent="0.3">
      <c r="F17" s="13" t="s">
        <v>42</v>
      </c>
      <c r="G17" s="13">
        <f>M6</f>
        <v>0</v>
      </c>
      <c r="H17" s="13">
        <f>M7</f>
        <v>0</v>
      </c>
    </row>
    <row r="18" spans="5:8" ht="28.8" x14ac:dyDescent="0.3">
      <c r="F18" s="16" t="s">
        <v>172</v>
      </c>
      <c r="G18" s="13">
        <f>N6</f>
        <v>0</v>
      </c>
      <c r="H18" s="13">
        <f>N7</f>
        <v>0</v>
      </c>
    </row>
    <row r="19" spans="5:8" x14ac:dyDescent="0.3">
      <c r="F19" s="13" t="s">
        <v>43</v>
      </c>
      <c r="G19" s="13">
        <f>O6</f>
        <v>0</v>
      </c>
      <c r="H19" s="13">
        <f>O7</f>
        <v>0</v>
      </c>
    </row>
    <row r="20" spans="5:8" x14ac:dyDescent="0.3">
      <c r="F20" s="13" t="s">
        <v>181</v>
      </c>
      <c r="G20" s="13">
        <f>G13+G14+G15+G16+G17+G18+G19</f>
        <v>75</v>
      </c>
      <c r="H20" s="13">
        <f>H13+H14+H15+H16+H17+H18+H19</f>
        <v>85</v>
      </c>
    </row>
    <row r="21" spans="5:8" x14ac:dyDescent="0.3">
      <c r="E21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21"/>
  <sheetViews>
    <sheetView workbookViewId="0">
      <selection activeCell="C2" sqref="C2"/>
    </sheetView>
  </sheetViews>
  <sheetFormatPr defaultColWidth="9.21875" defaultRowHeight="14.4" x14ac:dyDescent="0.3"/>
  <cols>
    <col min="1" max="1" width="9.21875" style="11"/>
    <col min="2" max="2" width="11.77734375" style="11" customWidth="1"/>
    <col min="3" max="16384" width="9.21875" style="11"/>
  </cols>
  <sheetData>
    <row r="2" spans="1:15" x14ac:dyDescent="0.3">
      <c r="A2" s="11" t="s">
        <v>161</v>
      </c>
      <c r="B2" s="12" t="s">
        <v>162</v>
      </c>
      <c r="C2" s="12">
        <v>2</v>
      </c>
    </row>
    <row r="3" spans="1:15" x14ac:dyDescent="0.3">
      <c r="B3" s="11" t="s">
        <v>163</v>
      </c>
      <c r="C3" s="11" t="s">
        <v>164</v>
      </c>
    </row>
    <row r="4" spans="1:15" x14ac:dyDescent="0.3">
      <c r="A4" s="11" t="s">
        <v>165</v>
      </c>
      <c r="B4" s="13">
        <v>10</v>
      </c>
      <c r="C4" s="13">
        <v>10</v>
      </c>
      <c r="E4" s="11">
        <f>(100/B4)*C4</f>
        <v>100</v>
      </c>
    </row>
    <row r="5" spans="1:15" x14ac:dyDescent="0.3">
      <c r="A5" s="11" t="s">
        <v>166</v>
      </c>
      <c r="B5" s="11" t="s">
        <v>167</v>
      </c>
      <c r="C5" s="11" t="s">
        <v>168</v>
      </c>
      <c r="E5" s="11">
        <f>(100/B6)*C6</f>
        <v>0</v>
      </c>
      <c r="I5" s="13" t="s">
        <v>169</v>
      </c>
      <c r="J5" s="13" t="s">
        <v>170</v>
      </c>
      <c r="K5" s="13" t="s">
        <v>171</v>
      </c>
      <c r="L5" s="13" t="s">
        <v>36</v>
      </c>
      <c r="M5" s="13" t="s">
        <v>42</v>
      </c>
      <c r="N5" s="13" t="s">
        <v>172</v>
      </c>
      <c r="O5" s="13" t="s">
        <v>43</v>
      </c>
    </row>
    <row r="6" spans="1:15" x14ac:dyDescent="0.3">
      <c r="B6" s="13">
        <f>C2+1</f>
        <v>3</v>
      </c>
      <c r="C6" s="13">
        <v>0</v>
      </c>
      <c r="E6" s="11">
        <f>(100/B8)*C8</f>
        <v>0</v>
      </c>
      <c r="F6" s="14" t="s">
        <v>173</v>
      </c>
      <c r="I6" s="14">
        <f>C4</f>
        <v>10</v>
      </c>
      <c r="J6" s="14">
        <f>40/B6*C6</f>
        <v>0</v>
      </c>
      <c r="K6" s="14">
        <f>15/B8*C8</f>
        <v>0</v>
      </c>
      <c r="L6" s="14">
        <f>10/B10*C10</f>
        <v>0</v>
      </c>
      <c r="M6" s="14">
        <f>10/B12*C12</f>
        <v>0</v>
      </c>
      <c r="N6" s="14">
        <f>5/B14*C14</f>
        <v>0</v>
      </c>
      <c r="O6" s="14">
        <f>5/B16*C16</f>
        <v>0</v>
      </c>
    </row>
    <row r="7" spans="1:15" x14ac:dyDescent="0.3">
      <c r="A7" s="11" t="s">
        <v>174</v>
      </c>
      <c r="B7" s="11" t="s">
        <v>175</v>
      </c>
      <c r="C7" s="11" t="s">
        <v>176</v>
      </c>
      <c r="E7" s="11">
        <f>(100/B10)*C10</f>
        <v>0</v>
      </c>
      <c r="F7" s="13" t="s">
        <v>177</v>
      </c>
      <c r="G7" s="13"/>
      <c r="H7" s="13"/>
      <c r="I7" s="13">
        <f>I6+20</f>
        <v>30</v>
      </c>
      <c r="J7" s="13">
        <f>30/B6*C6</f>
        <v>0</v>
      </c>
      <c r="K7" s="13">
        <f>15/B8*C8</f>
        <v>0</v>
      </c>
      <c r="L7" s="13">
        <f>10/B10*C10</f>
        <v>0</v>
      </c>
      <c r="M7" s="13">
        <f>5/B12*C12</f>
        <v>0</v>
      </c>
      <c r="N7" s="13">
        <f>5/B14*C14</f>
        <v>0</v>
      </c>
      <c r="O7" s="13">
        <f>5/B16*C16</f>
        <v>0</v>
      </c>
    </row>
    <row r="8" spans="1:15" x14ac:dyDescent="0.3">
      <c r="B8" s="13">
        <f>C2</f>
        <v>2</v>
      </c>
      <c r="C8" s="13">
        <v>0</v>
      </c>
      <c r="E8" s="11">
        <f>(100/B12)*C12</f>
        <v>0</v>
      </c>
    </row>
    <row r="9" spans="1:15" x14ac:dyDescent="0.3">
      <c r="A9" s="11" t="s">
        <v>178</v>
      </c>
      <c r="B9" s="11" t="s">
        <v>175</v>
      </c>
      <c r="C9" s="11" t="s">
        <v>176</v>
      </c>
      <c r="E9" s="11">
        <f>(100/B14)*C14</f>
        <v>0</v>
      </c>
    </row>
    <row r="10" spans="1:15" x14ac:dyDescent="0.3">
      <c r="B10" s="13">
        <f>C2</f>
        <v>2</v>
      </c>
      <c r="C10" s="13">
        <v>0</v>
      </c>
      <c r="E10" s="11">
        <f>(100/B16)*C16</f>
        <v>0</v>
      </c>
    </row>
    <row r="11" spans="1:15" x14ac:dyDescent="0.3">
      <c r="A11" s="11" t="s">
        <v>42</v>
      </c>
      <c r="B11" s="11" t="s">
        <v>175</v>
      </c>
      <c r="C11" s="11" t="s">
        <v>176</v>
      </c>
    </row>
    <row r="12" spans="1:15" x14ac:dyDescent="0.3">
      <c r="B12" s="13">
        <f>C2</f>
        <v>2</v>
      </c>
      <c r="C12" s="13">
        <v>0</v>
      </c>
      <c r="F12" s="13"/>
      <c r="G12" s="13" t="s">
        <v>173</v>
      </c>
      <c r="H12" s="13" t="s">
        <v>179</v>
      </c>
      <c r="L12" s="11" t="s">
        <v>180</v>
      </c>
    </row>
    <row r="13" spans="1:15" ht="28.8" x14ac:dyDescent="0.3">
      <c r="A13" s="15" t="s">
        <v>172</v>
      </c>
      <c r="B13" s="11" t="s">
        <v>175</v>
      </c>
      <c r="C13" s="11" t="s">
        <v>176</v>
      </c>
      <c r="F13" s="13" t="s">
        <v>34</v>
      </c>
      <c r="G13" s="13">
        <f>I6</f>
        <v>10</v>
      </c>
      <c r="H13" s="13">
        <f>I7</f>
        <v>30</v>
      </c>
      <c r="L13" s="11" t="s">
        <v>180</v>
      </c>
    </row>
    <row r="14" spans="1:15" x14ac:dyDescent="0.3">
      <c r="B14" s="13">
        <f>C2</f>
        <v>2</v>
      </c>
      <c r="C14" s="13">
        <v>0</v>
      </c>
      <c r="F14" s="13" t="s">
        <v>35</v>
      </c>
      <c r="G14" s="13">
        <f>J6</f>
        <v>0</v>
      </c>
      <c r="H14" s="13">
        <f>J7</f>
        <v>0</v>
      </c>
    </row>
    <row r="15" spans="1:15" x14ac:dyDescent="0.3">
      <c r="A15" s="11" t="s">
        <v>43</v>
      </c>
      <c r="B15" s="11" t="s">
        <v>175</v>
      </c>
      <c r="C15" s="11" t="s">
        <v>176</v>
      </c>
      <c r="F15" s="13" t="s">
        <v>171</v>
      </c>
      <c r="G15" s="13">
        <f>K6</f>
        <v>0</v>
      </c>
      <c r="H15" s="13">
        <f>K7</f>
        <v>0</v>
      </c>
    </row>
    <row r="16" spans="1:15" x14ac:dyDescent="0.3">
      <c r="B16" s="13">
        <f>C2</f>
        <v>2</v>
      </c>
      <c r="C16" s="13">
        <v>0</v>
      </c>
      <c r="F16" s="13" t="s">
        <v>36</v>
      </c>
      <c r="G16" s="13">
        <f>L6</f>
        <v>0</v>
      </c>
      <c r="H16" s="13">
        <f>L7</f>
        <v>0</v>
      </c>
    </row>
    <row r="17" spans="5:8" x14ac:dyDescent="0.3">
      <c r="F17" s="13" t="s">
        <v>42</v>
      </c>
      <c r="G17" s="13">
        <f>M6</f>
        <v>0</v>
      </c>
      <c r="H17" s="13">
        <f>M7</f>
        <v>0</v>
      </c>
    </row>
    <row r="18" spans="5:8" ht="28.8" x14ac:dyDescent="0.3">
      <c r="F18" s="16" t="s">
        <v>172</v>
      </c>
      <c r="G18" s="13">
        <f>N6</f>
        <v>0</v>
      </c>
      <c r="H18" s="13">
        <f>N7</f>
        <v>0</v>
      </c>
    </row>
    <row r="19" spans="5:8" x14ac:dyDescent="0.3">
      <c r="F19" s="13" t="s">
        <v>43</v>
      </c>
      <c r="G19" s="13">
        <f>O6</f>
        <v>0</v>
      </c>
      <c r="H19" s="13">
        <f>O7</f>
        <v>0</v>
      </c>
    </row>
    <row r="20" spans="5:8" x14ac:dyDescent="0.3">
      <c r="F20" s="13" t="s">
        <v>181</v>
      </c>
      <c r="G20" s="13">
        <f>G13+G14+G15+G16+G17+G18+G19</f>
        <v>10</v>
      </c>
      <c r="H20" s="13">
        <f>H13+H14+H15+H16+H17+H18+H19</f>
        <v>30</v>
      </c>
    </row>
    <row r="21" spans="5:8" x14ac:dyDescent="0.3">
      <c r="E21" s="1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O21"/>
  <sheetViews>
    <sheetView workbookViewId="0">
      <selection activeCell="C3" sqref="C3"/>
    </sheetView>
  </sheetViews>
  <sheetFormatPr defaultColWidth="9.21875" defaultRowHeight="14.4" x14ac:dyDescent="0.3"/>
  <cols>
    <col min="1" max="1" width="9.21875" style="11"/>
    <col min="2" max="2" width="11.77734375" style="11" customWidth="1"/>
    <col min="3" max="16384" width="9.21875" style="11"/>
  </cols>
  <sheetData>
    <row r="2" spans="1:15" x14ac:dyDescent="0.3">
      <c r="A2" s="11" t="s">
        <v>161</v>
      </c>
      <c r="B2" s="12" t="s">
        <v>162</v>
      </c>
      <c r="C2" s="12">
        <v>3</v>
      </c>
    </row>
    <row r="3" spans="1:15" x14ac:dyDescent="0.3">
      <c r="B3" s="11" t="s">
        <v>163</v>
      </c>
      <c r="C3" s="11" t="s">
        <v>164</v>
      </c>
    </row>
    <row r="4" spans="1:15" x14ac:dyDescent="0.3">
      <c r="A4" s="11" t="s">
        <v>165</v>
      </c>
      <c r="B4" s="13">
        <v>10</v>
      </c>
      <c r="C4" s="13">
        <v>10</v>
      </c>
      <c r="E4" s="11">
        <f>(100/B4)*C4</f>
        <v>100</v>
      </c>
    </row>
    <row r="5" spans="1:15" x14ac:dyDescent="0.3">
      <c r="A5" s="11" t="s">
        <v>166</v>
      </c>
      <c r="B5" s="11" t="s">
        <v>167</v>
      </c>
      <c r="C5" s="11" t="s">
        <v>168</v>
      </c>
      <c r="E5" s="11">
        <f>(100/B6)*C6</f>
        <v>0</v>
      </c>
      <c r="I5" s="13" t="s">
        <v>169</v>
      </c>
      <c r="J5" s="13" t="s">
        <v>170</v>
      </c>
      <c r="K5" s="13" t="s">
        <v>171</v>
      </c>
      <c r="L5" s="13" t="s">
        <v>36</v>
      </c>
      <c r="M5" s="13" t="s">
        <v>42</v>
      </c>
      <c r="N5" s="13" t="s">
        <v>172</v>
      </c>
      <c r="O5" s="13" t="s">
        <v>43</v>
      </c>
    </row>
    <row r="6" spans="1:15" x14ac:dyDescent="0.3">
      <c r="B6" s="13">
        <f>C2+1</f>
        <v>4</v>
      </c>
      <c r="C6" s="13">
        <v>0</v>
      </c>
      <c r="E6" s="11">
        <f>(100/B8)*C8</f>
        <v>0</v>
      </c>
      <c r="F6" s="14" t="s">
        <v>173</v>
      </c>
      <c r="I6" s="14">
        <f>C4</f>
        <v>10</v>
      </c>
      <c r="J6" s="14">
        <f>40/B6*C6</f>
        <v>0</v>
      </c>
      <c r="K6" s="14">
        <f>15/B8*C8</f>
        <v>0</v>
      </c>
      <c r="L6" s="14">
        <f>10/B10*C10</f>
        <v>0</v>
      </c>
      <c r="M6" s="14">
        <f>10/B12*C12</f>
        <v>0</v>
      </c>
      <c r="N6" s="14">
        <f>5/B14*C14</f>
        <v>0</v>
      </c>
      <c r="O6" s="14">
        <f>5/B16*C16</f>
        <v>0</v>
      </c>
    </row>
    <row r="7" spans="1:15" x14ac:dyDescent="0.3">
      <c r="A7" s="11" t="s">
        <v>174</v>
      </c>
      <c r="B7" s="11" t="s">
        <v>175</v>
      </c>
      <c r="C7" s="11" t="s">
        <v>176</v>
      </c>
      <c r="E7" s="11">
        <f>(100/B10)*C10</f>
        <v>0</v>
      </c>
      <c r="F7" s="13" t="s">
        <v>177</v>
      </c>
      <c r="G7" s="13"/>
      <c r="H7" s="13"/>
      <c r="I7" s="13">
        <f>I6+20</f>
        <v>30</v>
      </c>
      <c r="J7" s="13">
        <f>30/B6*C6</f>
        <v>0</v>
      </c>
      <c r="K7" s="13">
        <f>15/B8*C8</f>
        <v>0</v>
      </c>
      <c r="L7" s="13">
        <f>10/B10*C10</f>
        <v>0</v>
      </c>
      <c r="M7" s="13">
        <f>5/B12*C12</f>
        <v>0</v>
      </c>
      <c r="N7" s="13">
        <f>5/B14*C14</f>
        <v>0</v>
      </c>
      <c r="O7" s="13">
        <f>5/B16*C16</f>
        <v>0</v>
      </c>
    </row>
    <row r="8" spans="1:15" x14ac:dyDescent="0.3">
      <c r="B8" s="13">
        <f>C2</f>
        <v>3</v>
      </c>
      <c r="C8" s="13">
        <v>0</v>
      </c>
      <c r="E8" s="11">
        <f>(100/B12)*C12</f>
        <v>0</v>
      </c>
    </row>
    <row r="9" spans="1:15" x14ac:dyDescent="0.3">
      <c r="A9" s="11" t="s">
        <v>178</v>
      </c>
      <c r="B9" s="11" t="s">
        <v>175</v>
      </c>
      <c r="C9" s="11" t="s">
        <v>176</v>
      </c>
      <c r="E9" s="11">
        <f>(100/B14)*C14</f>
        <v>0</v>
      </c>
    </row>
    <row r="10" spans="1:15" x14ac:dyDescent="0.3">
      <c r="B10" s="13">
        <f>C2</f>
        <v>3</v>
      </c>
      <c r="C10" s="13">
        <v>0</v>
      </c>
      <c r="E10" s="11">
        <f>(100/B16)*C16</f>
        <v>0</v>
      </c>
    </row>
    <row r="11" spans="1:15" x14ac:dyDescent="0.3">
      <c r="A11" s="11" t="s">
        <v>42</v>
      </c>
      <c r="B11" s="11" t="s">
        <v>175</v>
      </c>
      <c r="C11" s="11" t="s">
        <v>176</v>
      </c>
    </row>
    <row r="12" spans="1:15" x14ac:dyDescent="0.3">
      <c r="B12" s="13">
        <f>C2</f>
        <v>3</v>
      </c>
      <c r="C12" s="13">
        <v>0</v>
      </c>
      <c r="F12" s="13"/>
      <c r="G12" s="13" t="s">
        <v>173</v>
      </c>
      <c r="H12" s="13" t="s">
        <v>179</v>
      </c>
      <c r="L12" s="11" t="s">
        <v>180</v>
      </c>
    </row>
    <row r="13" spans="1:15" ht="28.8" x14ac:dyDescent="0.3">
      <c r="A13" s="15" t="s">
        <v>172</v>
      </c>
      <c r="B13" s="11" t="s">
        <v>175</v>
      </c>
      <c r="C13" s="11" t="s">
        <v>176</v>
      </c>
      <c r="F13" s="13" t="s">
        <v>34</v>
      </c>
      <c r="G13" s="13">
        <f>I6</f>
        <v>10</v>
      </c>
      <c r="H13" s="13">
        <f>I7</f>
        <v>30</v>
      </c>
      <c r="L13" s="11" t="s">
        <v>180</v>
      </c>
    </row>
    <row r="14" spans="1:15" x14ac:dyDescent="0.3">
      <c r="B14" s="13">
        <f>C2</f>
        <v>3</v>
      </c>
      <c r="C14" s="13">
        <v>0</v>
      </c>
      <c r="F14" s="13" t="s">
        <v>35</v>
      </c>
      <c r="G14" s="13">
        <f>J6</f>
        <v>0</v>
      </c>
      <c r="H14" s="13">
        <f>J7</f>
        <v>0</v>
      </c>
    </row>
    <row r="15" spans="1:15" x14ac:dyDescent="0.3">
      <c r="A15" s="11" t="s">
        <v>43</v>
      </c>
      <c r="B15" s="11" t="s">
        <v>175</v>
      </c>
      <c r="C15" s="11" t="s">
        <v>176</v>
      </c>
      <c r="F15" s="13" t="s">
        <v>171</v>
      </c>
      <c r="G15" s="13">
        <f>K6</f>
        <v>0</v>
      </c>
      <c r="H15" s="13">
        <f>K7</f>
        <v>0</v>
      </c>
    </row>
    <row r="16" spans="1:15" x14ac:dyDescent="0.3">
      <c r="B16" s="13">
        <f>C2</f>
        <v>3</v>
      </c>
      <c r="C16" s="13">
        <v>0</v>
      </c>
      <c r="F16" s="13" t="s">
        <v>36</v>
      </c>
      <c r="G16" s="13">
        <f>L6</f>
        <v>0</v>
      </c>
      <c r="H16" s="13">
        <f>L7</f>
        <v>0</v>
      </c>
    </row>
    <row r="17" spans="5:8" x14ac:dyDescent="0.3">
      <c r="F17" s="13" t="s">
        <v>42</v>
      </c>
      <c r="G17" s="13">
        <f>M6</f>
        <v>0</v>
      </c>
      <c r="H17" s="13">
        <f>M7</f>
        <v>0</v>
      </c>
    </row>
    <row r="18" spans="5:8" ht="28.8" x14ac:dyDescent="0.3">
      <c r="F18" s="16" t="s">
        <v>172</v>
      </c>
      <c r="G18" s="13">
        <f>N6</f>
        <v>0</v>
      </c>
      <c r="H18" s="13">
        <f>N7</f>
        <v>0</v>
      </c>
    </row>
    <row r="19" spans="5:8" x14ac:dyDescent="0.3">
      <c r="F19" s="13" t="s">
        <v>43</v>
      </c>
      <c r="G19" s="13">
        <f>O6</f>
        <v>0</v>
      </c>
      <c r="H19" s="13">
        <f>O7</f>
        <v>0</v>
      </c>
    </row>
    <row r="20" spans="5:8" x14ac:dyDescent="0.3">
      <c r="F20" s="13" t="s">
        <v>181</v>
      </c>
      <c r="G20" s="13">
        <f>G13+G14+G15+G16+G17+G18+G19</f>
        <v>10</v>
      </c>
      <c r="H20" s="13">
        <f>H13+H14+H15+H16+H17+H18+H19</f>
        <v>30</v>
      </c>
    </row>
    <row r="21" spans="5:8" x14ac:dyDescent="0.3">
      <c r="E21" s="1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M34"/>
  <sheetViews>
    <sheetView workbookViewId="0">
      <selection activeCell="Q17" sqref="Q17"/>
    </sheetView>
  </sheetViews>
  <sheetFormatPr defaultRowHeight="14.4" x14ac:dyDescent="0.3"/>
  <sheetData>
    <row r="2" spans="2:13" x14ac:dyDescent="0.3">
      <c r="C2" s="8" t="s">
        <v>99</v>
      </c>
      <c r="D2" s="200"/>
      <c r="E2" s="200"/>
    </row>
    <row r="3" spans="2:13" x14ac:dyDescent="0.3">
      <c r="E3" s="7"/>
      <c r="F3" s="7"/>
      <c r="G3" s="7"/>
      <c r="H3" s="7"/>
      <c r="I3" s="7"/>
      <c r="J3" s="7"/>
    </row>
    <row r="4" spans="2:13" x14ac:dyDescent="0.3">
      <c r="B4" s="8" t="s">
        <v>100</v>
      </c>
      <c r="C4" s="6" t="s">
        <v>80</v>
      </c>
      <c r="D4" s="201" t="s">
        <v>81</v>
      </c>
      <c r="E4" s="201"/>
      <c r="F4" s="201"/>
      <c r="G4" s="9"/>
      <c r="H4" s="201" t="s">
        <v>82</v>
      </c>
      <c r="I4" s="201"/>
      <c r="J4" s="201"/>
      <c r="K4" s="201" t="s">
        <v>83</v>
      </c>
      <c r="L4" s="201"/>
      <c r="M4" s="201"/>
    </row>
    <row r="5" spans="2:13" x14ac:dyDescent="0.3">
      <c r="B5" s="8">
        <v>1</v>
      </c>
      <c r="C5" s="6"/>
      <c r="D5" s="6" t="s">
        <v>84</v>
      </c>
      <c r="E5" s="6" t="s">
        <v>85</v>
      </c>
      <c r="F5" s="6" t="s">
        <v>86</v>
      </c>
      <c r="G5" s="6"/>
      <c r="H5" s="6" t="s">
        <v>84</v>
      </c>
      <c r="I5" s="6" t="s">
        <v>85</v>
      </c>
      <c r="J5" s="6" t="s">
        <v>86</v>
      </c>
      <c r="K5" s="6" t="s">
        <v>84</v>
      </c>
      <c r="L5" s="6" t="s">
        <v>85</v>
      </c>
      <c r="M5" s="6" t="s">
        <v>86</v>
      </c>
    </row>
    <row r="6" spans="2:13" x14ac:dyDescent="0.3">
      <c r="C6" s="5" t="s">
        <v>87</v>
      </c>
      <c r="D6" s="5"/>
      <c r="E6" s="5"/>
      <c r="F6" s="5">
        <f>D6*E6</f>
        <v>0</v>
      </c>
      <c r="G6" s="5" t="s">
        <v>102</v>
      </c>
      <c r="H6" s="5"/>
      <c r="I6" s="5"/>
      <c r="J6" s="5">
        <f>H6*I6</f>
        <v>0</v>
      </c>
      <c r="K6" s="5"/>
      <c r="L6" s="5"/>
      <c r="M6" s="5">
        <f>K6*L6</f>
        <v>0</v>
      </c>
    </row>
    <row r="7" spans="2:13" x14ac:dyDescent="0.3">
      <c r="C7" s="5"/>
      <c r="D7" s="5"/>
      <c r="E7" s="5"/>
      <c r="F7" s="5">
        <f t="shared" ref="F7:F33" si="0">D7*E7</f>
        <v>0</v>
      </c>
      <c r="G7" s="5" t="s">
        <v>103</v>
      </c>
      <c r="H7" s="5"/>
      <c r="I7" s="5"/>
      <c r="J7" s="5">
        <f t="shared" ref="J7:J29" si="1">H7*I7</f>
        <v>0</v>
      </c>
      <c r="K7" s="5"/>
      <c r="L7" s="5"/>
      <c r="M7" s="5">
        <f t="shared" ref="M7:M29" si="2">K7*L7</f>
        <v>0</v>
      </c>
    </row>
    <row r="8" spans="2:13" x14ac:dyDescent="0.3">
      <c r="C8" s="5"/>
      <c r="D8" s="5"/>
      <c r="E8" s="5"/>
      <c r="F8" s="5">
        <f t="shared" si="0"/>
        <v>0</v>
      </c>
      <c r="G8" s="5"/>
      <c r="H8" s="5"/>
      <c r="I8" s="5"/>
      <c r="J8" s="5">
        <f t="shared" si="1"/>
        <v>0</v>
      </c>
      <c r="K8" s="5"/>
      <c r="L8" s="5"/>
      <c r="M8" s="5">
        <f t="shared" si="2"/>
        <v>0</v>
      </c>
    </row>
    <row r="9" spans="2:13" x14ac:dyDescent="0.3">
      <c r="C9" s="5" t="s">
        <v>90</v>
      </c>
      <c r="D9" s="5"/>
      <c r="E9" s="5"/>
      <c r="F9" s="5">
        <f t="shared" si="0"/>
        <v>0</v>
      </c>
      <c r="G9" s="5" t="s">
        <v>102</v>
      </c>
      <c r="H9" s="5"/>
      <c r="I9" s="5"/>
      <c r="J9" s="5">
        <f t="shared" si="1"/>
        <v>0</v>
      </c>
      <c r="K9" s="5"/>
      <c r="L9" s="5"/>
      <c r="M9" s="5">
        <f t="shared" si="2"/>
        <v>0</v>
      </c>
    </row>
    <row r="10" spans="2:13" x14ac:dyDescent="0.3">
      <c r="C10" s="5"/>
      <c r="D10" s="5"/>
      <c r="E10" s="5"/>
      <c r="F10" s="5">
        <f t="shared" si="0"/>
        <v>0</v>
      </c>
      <c r="G10" s="5" t="s">
        <v>103</v>
      </c>
      <c r="H10" s="5"/>
      <c r="I10" s="5"/>
      <c r="J10" s="5">
        <f t="shared" si="1"/>
        <v>0</v>
      </c>
      <c r="K10" s="5"/>
      <c r="L10" s="5"/>
      <c r="M10" s="5">
        <f t="shared" si="2"/>
        <v>0</v>
      </c>
    </row>
    <row r="11" spans="2:13" x14ac:dyDescent="0.3">
      <c r="C11" s="5"/>
      <c r="D11" s="5"/>
      <c r="E11" s="5"/>
      <c r="F11" s="5">
        <f t="shared" si="0"/>
        <v>0</v>
      </c>
      <c r="G11" s="5"/>
      <c r="H11" s="5"/>
      <c r="I11" s="5"/>
      <c r="J11" s="5">
        <f t="shared" si="1"/>
        <v>0</v>
      </c>
      <c r="K11" s="5"/>
      <c r="L11" s="5"/>
      <c r="M11" s="5">
        <f t="shared" si="2"/>
        <v>0</v>
      </c>
    </row>
    <row r="12" spans="2:13" x14ac:dyDescent="0.3">
      <c r="C12" s="5"/>
      <c r="D12" s="5"/>
      <c r="E12" s="5"/>
      <c r="F12" s="5">
        <f t="shared" si="0"/>
        <v>0</v>
      </c>
      <c r="G12" s="5"/>
      <c r="H12" s="5"/>
      <c r="I12" s="5"/>
      <c r="J12" s="5">
        <f t="shared" si="1"/>
        <v>0</v>
      </c>
      <c r="K12" s="5"/>
      <c r="L12" s="5"/>
      <c r="M12" s="5">
        <f t="shared" si="2"/>
        <v>0</v>
      </c>
    </row>
    <row r="13" spans="2:13" x14ac:dyDescent="0.3">
      <c r="C13" s="5" t="s">
        <v>88</v>
      </c>
      <c r="D13" s="5"/>
      <c r="E13" s="5"/>
      <c r="F13" s="5">
        <f t="shared" si="0"/>
        <v>0</v>
      </c>
      <c r="G13" s="5" t="s">
        <v>102</v>
      </c>
      <c r="H13" s="5"/>
      <c r="I13" s="5"/>
      <c r="J13" s="5">
        <f t="shared" si="1"/>
        <v>0</v>
      </c>
      <c r="K13" s="5"/>
      <c r="L13" s="5"/>
      <c r="M13" s="5">
        <f t="shared" si="2"/>
        <v>0</v>
      </c>
    </row>
    <row r="14" spans="2:13" x14ac:dyDescent="0.3">
      <c r="C14" s="5"/>
      <c r="D14" s="5"/>
      <c r="E14" s="5"/>
      <c r="F14" s="5">
        <f t="shared" si="0"/>
        <v>0</v>
      </c>
      <c r="G14" s="5" t="s">
        <v>103</v>
      </c>
      <c r="H14" s="5"/>
      <c r="I14" s="5"/>
      <c r="J14" s="5">
        <f t="shared" si="1"/>
        <v>0</v>
      </c>
      <c r="K14" s="5"/>
      <c r="L14" s="5"/>
      <c r="M14" s="5">
        <f t="shared" si="2"/>
        <v>0</v>
      </c>
    </row>
    <row r="15" spans="2:13" x14ac:dyDescent="0.3">
      <c r="C15" s="5"/>
      <c r="D15" s="5"/>
      <c r="E15" s="5"/>
      <c r="F15" s="5">
        <f t="shared" si="0"/>
        <v>0</v>
      </c>
      <c r="G15" s="5"/>
      <c r="H15" s="5"/>
      <c r="I15" s="5"/>
      <c r="J15" s="5">
        <f t="shared" si="1"/>
        <v>0</v>
      </c>
      <c r="K15" s="5"/>
      <c r="L15" s="5"/>
      <c r="M15" s="5">
        <f t="shared" si="2"/>
        <v>0</v>
      </c>
    </row>
    <row r="16" spans="2:13" x14ac:dyDescent="0.3">
      <c r="C16" s="5"/>
      <c r="D16" s="5"/>
      <c r="E16" s="5"/>
      <c r="F16" s="5">
        <f t="shared" si="0"/>
        <v>0</v>
      </c>
      <c r="G16" s="5"/>
      <c r="H16" s="5"/>
      <c r="I16" s="5"/>
      <c r="J16" s="5">
        <f t="shared" si="1"/>
        <v>0</v>
      </c>
      <c r="K16" s="5"/>
      <c r="L16" s="5"/>
      <c r="M16" s="5">
        <f t="shared" si="2"/>
        <v>0</v>
      </c>
    </row>
    <row r="17" spans="3:13" x14ac:dyDescent="0.3">
      <c r="C17" s="5" t="s">
        <v>89</v>
      </c>
      <c r="D17" s="5"/>
      <c r="E17" s="5"/>
      <c r="F17" s="5">
        <f t="shared" si="0"/>
        <v>0</v>
      </c>
      <c r="G17" s="5" t="s">
        <v>102</v>
      </c>
      <c r="H17" s="5"/>
      <c r="I17" s="5"/>
      <c r="J17" s="5">
        <f t="shared" si="1"/>
        <v>0</v>
      </c>
      <c r="K17" s="5"/>
      <c r="L17" s="5"/>
      <c r="M17" s="5">
        <f t="shared" si="2"/>
        <v>0</v>
      </c>
    </row>
    <row r="18" spans="3:13" x14ac:dyDescent="0.3">
      <c r="C18" s="5"/>
      <c r="D18" s="5"/>
      <c r="E18" s="5"/>
      <c r="F18" s="5">
        <f t="shared" si="0"/>
        <v>0</v>
      </c>
      <c r="G18" s="5" t="s">
        <v>103</v>
      </c>
      <c r="H18" s="5"/>
      <c r="I18" s="5"/>
      <c r="J18" s="5">
        <f t="shared" si="1"/>
        <v>0</v>
      </c>
      <c r="K18" s="5"/>
      <c r="L18" s="5"/>
      <c r="M18" s="5">
        <f t="shared" si="2"/>
        <v>0</v>
      </c>
    </row>
    <row r="19" spans="3:13" x14ac:dyDescent="0.3">
      <c r="C19" s="5"/>
      <c r="D19" s="5"/>
      <c r="E19" s="5"/>
      <c r="F19" s="5">
        <f t="shared" si="0"/>
        <v>0</v>
      </c>
      <c r="G19" s="5"/>
      <c r="H19" s="5"/>
      <c r="I19" s="5"/>
      <c r="J19" s="5">
        <f t="shared" si="1"/>
        <v>0</v>
      </c>
      <c r="K19" s="5"/>
      <c r="L19" s="5"/>
      <c r="M19" s="5">
        <f t="shared" si="2"/>
        <v>0</v>
      </c>
    </row>
    <row r="20" spans="3:13" x14ac:dyDescent="0.3">
      <c r="C20" s="5" t="s">
        <v>89</v>
      </c>
      <c r="D20" s="5"/>
      <c r="E20" s="5"/>
      <c r="F20" s="5">
        <f t="shared" si="0"/>
        <v>0</v>
      </c>
      <c r="G20" s="5" t="s">
        <v>102</v>
      </c>
      <c r="H20" s="5"/>
      <c r="I20" s="5"/>
      <c r="J20" s="5">
        <f t="shared" si="1"/>
        <v>0</v>
      </c>
      <c r="K20" s="5"/>
      <c r="L20" s="5"/>
      <c r="M20" s="5">
        <f t="shared" si="2"/>
        <v>0</v>
      </c>
    </row>
    <row r="21" spans="3:13" x14ac:dyDescent="0.3">
      <c r="C21" s="5"/>
      <c r="D21" s="5"/>
      <c r="E21" s="5"/>
      <c r="F21" s="5">
        <f t="shared" si="0"/>
        <v>0</v>
      </c>
      <c r="G21" s="5" t="s">
        <v>103</v>
      </c>
      <c r="H21" s="5"/>
      <c r="I21" s="5"/>
      <c r="J21" s="5">
        <f t="shared" si="1"/>
        <v>0</v>
      </c>
      <c r="K21" s="5"/>
      <c r="L21" s="5"/>
      <c r="M21" s="5">
        <f t="shared" si="2"/>
        <v>0</v>
      </c>
    </row>
    <row r="22" spans="3:13" x14ac:dyDescent="0.3">
      <c r="C22" s="5"/>
      <c r="D22" s="5"/>
      <c r="E22" s="5"/>
      <c r="F22" s="5">
        <f t="shared" si="0"/>
        <v>0</v>
      </c>
      <c r="G22" s="5"/>
      <c r="H22" s="5"/>
      <c r="I22" s="5"/>
      <c r="J22" s="5">
        <f t="shared" si="1"/>
        <v>0</v>
      </c>
      <c r="K22" s="5"/>
      <c r="L22" s="5"/>
      <c r="M22" s="5">
        <f t="shared" si="2"/>
        <v>0</v>
      </c>
    </row>
    <row r="23" spans="3:13" x14ac:dyDescent="0.3">
      <c r="C23" s="5" t="s">
        <v>95</v>
      </c>
      <c r="D23" s="5"/>
      <c r="E23" s="5"/>
      <c r="F23" s="5">
        <f t="shared" si="0"/>
        <v>0</v>
      </c>
      <c r="G23" s="5" t="s">
        <v>104</v>
      </c>
      <c r="H23" s="5"/>
      <c r="I23" s="5"/>
      <c r="J23" s="5">
        <f t="shared" si="1"/>
        <v>0</v>
      </c>
      <c r="K23" s="5"/>
      <c r="L23" s="5"/>
      <c r="M23" s="5">
        <f t="shared" si="2"/>
        <v>0</v>
      </c>
    </row>
    <row r="24" spans="3:13" x14ac:dyDescent="0.3">
      <c r="C24" s="5" t="s">
        <v>96</v>
      </c>
      <c r="D24" s="5"/>
      <c r="E24" s="5"/>
      <c r="F24" s="5">
        <f t="shared" si="0"/>
        <v>0</v>
      </c>
      <c r="G24" s="5" t="s">
        <v>104</v>
      </c>
      <c r="H24" s="5"/>
      <c r="I24" s="5"/>
      <c r="J24" s="5">
        <f t="shared" si="1"/>
        <v>0</v>
      </c>
      <c r="K24" s="5"/>
      <c r="L24" s="5"/>
      <c r="M24" s="5">
        <f t="shared" si="2"/>
        <v>0</v>
      </c>
    </row>
    <row r="25" spans="3:13" x14ac:dyDescent="0.3">
      <c r="C25" s="5" t="s">
        <v>97</v>
      </c>
      <c r="D25" s="5"/>
      <c r="E25" s="5"/>
      <c r="F25" s="5">
        <f t="shared" si="0"/>
        <v>0</v>
      </c>
      <c r="G25" s="5" t="s">
        <v>104</v>
      </c>
      <c r="H25" s="5"/>
      <c r="I25" s="5"/>
      <c r="J25" s="5">
        <f t="shared" si="1"/>
        <v>0</v>
      </c>
      <c r="K25" s="5"/>
      <c r="L25" s="5"/>
      <c r="M25" s="5">
        <f t="shared" si="2"/>
        <v>0</v>
      </c>
    </row>
    <row r="26" spans="3:13" x14ac:dyDescent="0.3">
      <c r="C26" s="5"/>
      <c r="D26" s="5"/>
      <c r="E26" s="5"/>
      <c r="F26" s="5">
        <f t="shared" si="0"/>
        <v>0</v>
      </c>
      <c r="G26" s="5"/>
      <c r="H26" s="5"/>
      <c r="I26" s="5"/>
      <c r="J26" s="5">
        <f t="shared" si="1"/>
        <v>0</v>
      </c>
      <c r="K26" s="5"/>
      <c r="L26" s="5"/>
      <c r="M26" s="5">
        <f t="shared" si="2"/>
        <v>0</v>
      </c>
    </row>
    <row r="27" spans="3:13" x14ac:dyDescent="0.3">
      <c r="C27" s="5" t="s">
        <v>91</v>
      </c>
      <c r="D27" s="5"/>
      <c r="E27" s="5"/>
      <c r="F27" s="5">
        <f t="shared" si="0"/>
        <v>0</v>
      </c>
      <c r="G27" s="5"/>
      <c r="H27" s="5"/>
      <c r="I27" s="5"/>
      <c r="J27" s="5">
        <f t="shared" si="1"/>
        <v>0</v>
      </c>
      <c r="K27" s="5"/>
      <c r="L27" s="5"/>
      <c r="M27" s="5">
        <f t="shared" si="2"/>
        <v>0</v>
      </c>
    </row>
    <row r="28" spans="3:13" x14ac:dyDescent="0.3">
      <c r="C28" s="5" t="s">
        <v>92</v>
      </c>
      <c r="D28" s="5"/>
      <c r="E28" s="5"/>
      <c r="F28" s="5">
        <f t="shared" si="0"/>
        <v>0</v>
      </c>
      <c r="G28" s="5"/>
      <c r="H28" s="5"/>
      <c r="I28" s="5"/>
      <c r="J28" s="5">
        <f t="shared" si="1"/>
        <v>0</v>
      </c>
      <c r="K28" s="5"/>
      <c r="L28" s="5"/>
      <c r="M28" s="5">
        <f t="shared" si="2"/>
        <v>0</v>
      </c>
    </row>
    <row r="29" spans="3:13" x14ac:dyDescent="0.3">
      <c r="C29" s="5" t="s">
        <v>93</v>
      </c>
      <c r="D29" s="5"/>
      <c r="E29" s="5"/>
      <c r="F29" s="5">
        <f t="shared" si="0"/>
        <v>0</v>
      </c>
      <c r="G29" s="5"/>
      <c r="H29" s="5"/>
      <c r="I29" s="5"/>
      <c r="J29" s="5">
        <f t="shared" si="1"/>
        <v>0</v>
      </c>
      <c r="K29" s="5"/>
      <c r="L29" s="5"/>
      <c r="M29" s="5">
        <f t="shared" si="2"/>
        <v>0</v>
      </c>
    </row>
    <row r="30" spans="3:13" x14ac:dyDescent="0.3">
      <c r="C30" s="5" t="s">
        <v>94</v>
      </c>
      <c r="D30" s="5"/>
      <c r="E30" s="5"/>
      <c r="F30" s="5">
        <f t="shared" si="0"/>
        <v>0</v>
      </c>
      <c r="G30" s="5"/>
      <c r="H30" s="5"/>
      <c r="I30" s="5"/>
      <c r="J30" s="5">
        <f>H30*I30</f>
        <v>0</v>
      </c>
      <c r="K30" s="5"/>
      <c r="L30" s="5"/>
      <c r="M30" s="5">
        <f>K30*L30</f>
        <v>0</v>
      </c>
    </row>
    <row r="31" spans="3:13" x14ac:dyDescent="0.3">
      <c r="C31" s="5"/>
      <c r="D31" s="5"/>
      <c r="E31" s="5"/>
      <c r="F31" s="5">
        <f t="shared" si="0"/>
        <v>0</v>
      </c>
      <c r="G31" s="5"/>
      <c r="H31" s="5"/>
      <c r="I31" s="5"/>
      <c r="J31" s="5">
        <f>H31*I31</f>
        <v>0</v>
      </c>
      <c r="K31" s="5"/>
      <c r="L31" s="5"/>
      <c r="M31" s="5">
        <f>K31*L31</f>
        <v>0</v>
      </c>
    </row>
    <row r="32" spans="3:13" x14ac:dyDescent="0.3">
      <c r="C32" s="5"/>
      <c r="D32" s="5"/>
      <c r="E32" s="5"/>
      <c r="F32" s="5">
        <f t="shared" si="0"/>
        <v>0</v>
      </c>
      <c r="G32" s="5"/>
      <c r="H32" s="5"/>
      <c r="I32" s="5"/>
      <c r="J32" s="5">
        <f>H32*I32</f>
        <v>0</v>
      </c>
      <c r="K32" s="5"/>
      <c r="L32" s="5"/>
      <c r="M32" s="5">
        <f>K32*L32</f>
        <v>0</v>
      </c>
    </row>
    <row r="33" spans="3:13" x14ac:dyDescent="0.3">
      <c r="C33" s="5"/>
      <c r="D33" s="5"/>
      <c r="E33" s="5"/>
      <c r="F33" s="5">
        <f t="shared" si="0"/>
        <v>0</v>
      </c>
      <c r="G33" s="5"/>
      <c r="H33" s="5"/>
      <c r="I33" s="5"/>
      <c r="J33" s="5">
        <f>H33*I33</f>
        <v>0</v>
      </c>
      <c r="K33" s="5"/>
      <c r="L33" s="5"/>
      <c r="M33" s="5">
        <f>K33*L33</f>
        <v>0</v>
      </c>
    </row>
    <row r="34" spans="3:13" x14ac:dyDescent="0.3">
      <c r="C34" s="5" t="s">
        <v>98</v>
      </c>
      <c r="D34" s="5"/>
      <c r="E34" s="5">
        <f>F34*10.764</f>
        <v>0</v>
      </c>
      <c r="F34" s="5">
        <f>SUM(F6:F33)</f>
        <v>0</v>
      </c>
      <c r="G34" s="5"/>
      <c r="H34" s="5"/>
      <c r="I34" s="5">
        <f>J34*10.764</f>
        <v>0</v>
      </c>
      <c r="J34" s="5">
        <f>SUM(J6:J33)</f>
        <v>0</v>
      </c>
      <c r="K34" s="5"/>
      <c r="L34" s="5">
        <f>M34*10.764</f>
        <v>0</v>
      </c>
      <c r="M34" s="5">
        <f>SUM(M6:M33)</f>
        <v>0</v>
      </c>
    </row>
  </sheetData>
  <mergeCells count="4">
    <mergeCell ref="D2:E2"/>
    <mergeCell ref="D4:F4"/>
    <mergeCell ref="H4:J4"/>
    <mergeCell ref="K4:M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M35"/>
  <sheetViews>
    <sheetView workbookViewId="0">
      <selection activeCell="G7" sqref="G7:G8"/>
    </sheetView>
  </sheetViews>
  <sheetFormatPr defaultRowHeight="14.4" x14ac:dyDescent="0.3"/>
  <sheetData>
    <row r="3" spans="2:13" x14ac:dyDescent="0.3">
      <c r="C3" s="8" t="s">
        <v>99</v>
      </c>
      <c r="D3" s="200"/>
      <c r="E3" s="200"/>
    </row>
    <row r="4" spans="2:13" x14ac:dyDescent="0.3">
      <c r="E4" s="7"/>
      <c r="F4" s="7"/>
      <c r="G4" s="7"/>
      <c r="H4" s="7"/>
      <c r="I4" s="7"/>
      <c r="J4" s="7"/>
    </row>
    <row r="5" spans="2:13" x14ac:dyDescent="0.3">
      <c r="B5" s="8" t="s">
        <v>100</v>
      </c>
      <c r="C5" s="6" t="s">
        <v>80</v>
      </c>
      <c r="D5" s="201" t="s">
        <v>81</v>
      </c>
      <c r="E5" s="201"/>
      <c r="F5" s="201"/>
      <c r="G5" s="9"/>
      <c r="H5" s="201" t="s">
        <v>82</v>
      </c>
      <c r="I5" s="201"/>
      <c r="J5" s="201"/>
      <c r="K5" s="201" t="s">
        <v>83</v>
      </c>
      <c r="L5" s="201"/>
      <c r="M5" s="201"/>
    </row>
    <row r="6" spans="2:13" x14ac:dyDescent="0.3">
      <c r="B6" s="8">
        <v>1</v>
      </c>
      <c r="C6" s="6"/>
      <c r="D6" s="6" t="s">
        <v>84</v>
      </c>
      <c r="E6" s="6" t="s">
        <v>85</v>
      </c>
      <c r="F6" s="6" t="s">
        <v>86</v>
      </c>
      <c r="G6" s="6"/>
      <c r="H6" s="6" t="s">
        <v>84</v>
      </c>
      <c r="I6" s="6" t="s">
        <v>85</v>
      </c>
      <c r="J6" s="6" t="s">
        <v>86</v>
      </c>
      <c r="K6" s="6" t="s">
        <v>84</v>
      </c>
      <c r="L6" s="6" t="s">
        <v>85</v>
      </c>
      <c r="M6" s="6" t="s">
        <v>86</v>
      </c>
    </row>
    <row r="7" spans="2:13" x14ac:dyDescent="0.3">
      <c r="C7" s="5" t="s">
        <v>87</v>
      </c>
      <c r="D7" s="5"/>
      <c r="E7" s="5"/>
      <c r="F7" s="5">
        <f>D7*E7</f>
        <v>0</v>
      </c>
      <c r="G7" s="5" t="s">
        <v>102</v>
      </c>
      <c r="H7" s="5"/>
      <c r="I7" s="5"/>
      <c r="J7" s="5">
        <f>H7*I7</f>
        <v>0</v>
      </c>
      <c r="K7" s="5"/>
      <c r="L7" s="5"/>
      <c r="M7" s="5">
        <f>K7*L7</f>
        <v>0</v>
      </c>
    </row>
    <row r="8" spans="2:13" x14ac:dyDescent="0.3">
      <c r="C8" s="5"/>
      <c r="D8" s="5"/>
      <c r="E8" s="5"/>
      <c r="F8" s="5">
        <f t="shared" ref="F8:F34" si="0">D8*E8</f>
        <v>0</v>
      </c>
      <c r="G8" s="5" t="s">
        <v>103</v>
      </c>
      <c r="H8" s="5"/>
      <c r="I8" s="5"/>
      <c r="J8" s="5">
        <f t="shared" ref="J8:J34" si="1">H8*I8</f>
        <v>0</v>
      </c>
      <c r="K8" s="5"/>
      <c r="L8" s="5"/>
      <c r="M8" s="5">
        <f t="shared" ref="M8:M34" si="2">K8*L8</f>
        <v>0</v>
      </c>
    </row>
    <row r="9" spans="2:13" x14ac:dyDescent="0.3">
      <c r="C9" s="5"/>
      <c r="D9" s="5"/>
      <c r="E9" s="5"/>
      <c r="F9" s="5">
        <f t="shared" si="0"/>
        <v>0</v>
      </c>
      <c r="G9" s="5"/>
      <c r="H9" s="5"/>
      <c r="I9" s="5"/>
      <c r="J9" s="5">
        <f t="shared" si="1"/>
        <v>0</v>
      </c>
      <c r="K9" s="5"/>
      <c r="L9" s="5"/>
      <c r="M9" s="5">
        <f t="shared" si="2"/>
        <v>0</v>
      </c>
    </row>
    <row r="10" spans="2:13" x14ac:dyDescent="0.3">
      <c r="C10" s="5" t="s">
        <v>90</v>
      </c>
      <c r="D10" s="5"/>
      <c r="E10" s="5"/>
      <c r="F10" s="5">
        <f t="shared" si="0"/>
        <v>0</v>
      </c>
      <c r="G10" s="5" t="s">
        <v>102</v>
      </c>
      <c r="H10" s="5"/>
      <c r="I10" s="5"/>
      <c r="J10" s="5">
        <f t="shared" si="1"/>
        <v>0</v>
      </c>
      <c r="K10" s="5"/>
      <c r="L10" s="5"/>
      <c r="M10" s="5">
        <f t="shared" si="2"/>
        <v>0</v>
      </c>
    </row>
    <row r="11" spans="2:13" x14ac:dyDescent="0.3">
      <c r="C11" s="5"/>
      <c r="D11" s="5"/>
      <c r="E11" s="5"/>
      <c r="F11" s="5">
        <f t="shared" si="0"/>
        <v>0</v>
      </c>
      <c r="G11" s="5" t="s">
        <v>103</v>
      </c>
      <c r="H11" s="5"/>
      <c r="I11" s="5"/>
      <c r="J11" s="5">
        <f t="shared" si="1"/>
        <v>0</v>
      </c>
      <c r="K11" s="5"/>
      <c r="L11" s="5"/>
      <c r="M11" s="5">
        <f t="shared" si="2"/>
        <v>0</v>
      </c>
    </row>
    <row r="12" spans="2:13" x14ac:dyDescent="0.3">
      <c r="C12" s="5"/>
      <c r="D12" s="5"/>
      <c r="E12" s="5"/>
      <c r="F12" s="5">
        <f t="shared" si="0"/>
        <v>0</v>
      </c>
      <c r="G12" s="5"/>
      <c r="H12" s="5"/>
      <c r="I12" s="5"/>
      <c r="J12" s="5">
        <f t="shared" si="1"/>
        <v>0</v>
      </c>
      <c r="K12" s="5"/>
      <c r="L12" s="5"/>
      <c r="M12" s="5">
        <f t="shared" si="2"/>
        <v>0</v>
      </c>
    </row>
    <row r="13" spans="2:13" x14ac:dyDescent="0.3">
      <c r="C13" s="5"/>
      <c r="D13" s="5"/>
      <c r="E13" s="5"/>
      <c r="F13" s="5">
        <f t="shared" si="0"/>
        <v>0</v>
      </c>
      <c r="G13" s="5"/>
      <c r="H13" s="5"/>
      <c r="I13" s="5"/>
      <c r="J13" s="5">
        <f t="shared" si="1"/>
        <v>0</v>
      </c>
      <c r="K13" s="5"/>
      <c r="L13" s="5"/>
      <c r="M13" s="5">
        <f t="shared" si="2"/>
        <v>0</v>
      </c>
    </row>
    <row r="14" spans="2:13" x14ac:dyDescent="0.3">
      <c r="C14" s="5" t="s">
        <v>88</v>
      </c>
      <c r="D14" s="5"/>
      <c r="E14" s="5"/>
      <c r="F14" s="5">
        <f t="shared" si="0"/>
        <v>0</v>
      </c>
      <c r="G14" s="5" t="s">
        <v>102</v>
      </c>
      <c r="H14" s="5"/>
      <c r="I14" s="5"/>
      <c r="J14" s="5">
        <f t="shared" si="1"/>
        <v>0</v>
      </c>
      <c r="K14" s="5"/>
      <c r="L14" s="5"/>
      <c r="M14" s="5">
        <f t="shared" si="2"/>
        <v>0</v>
      </c>
    </row>
    <row r="15" spans="2:13" x14ac:dyDescent="0.3">
      <c r="C15" s="5"/>
      <c r="D15" s="5"/>
      <c r="E15" s="5"/>
      <c r="F15" s="5">
        <f t="shared" si="0"/>
        <v>0</v>
      </c>
      <c r="G15" s="5" t="s">
        <v>103</v>
      </c>
      <c r="H15" s="5"/>
      <c r="I15" s="5"/>
      <c r="J15" s="5">
        <f t="shared" si="1"/>
        <v>0</v>
      </c>
      <c r="K15" s="5"/>
      <c r="L15" s="5"/>
      <c r="M15" s="5">
        <f t="shared" si="2"/>
        <v>0</v>
      </c>
    </row>
    <row r="16" spans="2:13" x14ac:dyDescent="0.3">
      <c r="C16" s="5"/>
      <c r="D16" s="5"/>
      <c r="E16" s="5"/>
      <c r="F16" s="5">
        <f t="shared" si="0"/>
        <v>0</v>
      </c>
      <c r="G16" s="5"/>
      <c r="H16" s="5"/>
      <c r="I16" s="5"/>
      <c r="J16" s="5">
        <f t="shared" si="1"/>
        <v>0</v>
      </c>
      <c r="K16" s="5"/>
      <c r="L16" s="5"/>
      <c r="M16" s="5">
        <f t="shared" si="2"/>
        <v>0</v>
      </c>
    </row>
    <row r="17" spans="3:13" x14ac:dyDescent="0.3">
      <c r="C17" s="5"/>
      <c r="D17" s="5"/>
      <c r="E17" s="5"/>
      <c r="F17" s="5">
        <f t="shared" si="0"/>
        <v>0</v>
      </c>
      <c r="G17" s="5"/>
      <c r="H17" s="5"/>
      <c r="I17" s="5"/>
      <c r="J17" s="5">
        <f t="shared" si="1"/>
        <v>0</v>
      </c>
      <c r="K17" s="5"/>
      <c r="L17" s="5"/>
      <c r="M17" s="5">
        <f t="shared" si="2"/>
        <v>0</v>
      </c>
    </row>
    <row r="18" spans="3:13" x14ac:dyDescent="0.3">
      <c r="C18" s="5" t="s">
        <v>89</v>
      </c>
      <c r="D18" s="5"/>
      <c r="E18" s="5"/>
      <c r="F18" s="5">
        <f t="shared" si="0"/>
        <v>0</v>
      </c>
      <c r="G18" s="5" t="s">
        <v>102</v>
      </c>
      <c r="H18" s="5"/>
      <c r="I18" s="5"/>
      <c r="J18" s="5">
        <f t="shared" si="1"/>
        <v>0</v>
      </c>
      <c r="K18" s="5"/>
      <c r="L18" s="5"/>
      <c r="M18" s="5">
        <f t="shared" si="2"/>
        <v>0</v>
      </c>
    </row>
    <row r="19" spans="3:13" x14ac:dyDescent="0.3">
      <c r="C19" s="5"/>
      <c r="D19" s="5"/>
      <c r="E19" s="5"/>
      <c r="F19" s="5">
        <f t="shared" si="0"/>
        <v>0</v>
      </c>
      <c r="G19" s="5" t="s">
        <v>103</v>
      </c>
      <c r="H19" s="5"/>
      <c r="I19" s="5"/>
      <c r="J19" s="5">
        <f t="shared" si="1"/>
        <v>0</v>
      </c>
      <c r="K19" s="5"/>
      <c r="L19" s="5"/>
      <c r="M19" s="5">
        <f t="shared" si="2"/>
        <v>0</v>
      </c>
    </row>
    <row r="20" spans="3:13" x14ac:dyDescent="0.3">
      <c r="C20" s="5"/>
      <c r="D20" s="5"/>
      <c r="E20" s="5"/>
      <c r="F20" s="5">
        <f t="shared" si="0"/>
        <v>0</v>
      </c>
      <c r="G20" s="5"/>
      <c r="H20" s="5"/>
      <c r="I20" s="5"/>
      <c r="J20" s="5">
        <f t="shared" si="1"/>
        <v>0</v>
      </c>
      <c r="K20" s="5"/>
      <c r="L20" s="5"/>
      <c r="M20" s="5">
        <f t="shared" si="2"/>
        <v>0</v>
      </c>
    </row>
    <row r="21" spans="3:13" x14ac:dyDescent="0.3">
      <c r="C21" s="5" t="s">
        <v>89</v>
      </c>
      <c r="D21" s="5"/>
      <c r="E21" s="5"/>
      <c r="F21" s="5">
        <f t="shared" si="0"/>
        <v>0</v>
      </c>
      <c r="G21" s="5" t="s">
        <v>102</v>
      </c>
      <c r="H21" s="5"/>
      <c r="I21" s="5"/>
      <c r="J21" s="5">
        <f t="shared" si="1"/>
        <v>0</v>
      </c>
      <c r="K21" s="5"/>
      <c r="L21" s="5"/>
      <c r="M21" s="5">
        <f t="shared" si="2"/>
        <v>0</v>
      </c>
    </row>
    <row r="22" spans="3:13" x14ac:dyDescent="0.3">
      <c r="C22" s="5"/>
      <c r="D22" s="5"/>
      <c r="E22" s="5"/>
      <c r="F22" s="5">
        <f t="shared" si="0"/>
        <v>0</v>
      </c>
      <c r="G22" s="5" t="s">
        <v>103</v>
      </c>
      <c r="H22" s="5"/>
      <c r="I22" s="5"/>
      <c r="J22" s="5">
        <f t="shared" si="1"/>
        <v>0</v>
      </c>
      <c r="K22" s="5"/>
      <c r="L22" s="5"/>
      <c r="M22" s="5">
        <f t="shared" si="2"/>
        <v>0</v>
      </c>
    </row>
    <row r="23" spans="3:13" x14ac:dyDescent="0.3">
      <c r="C23" s="5"/>
      <c r="D23" s="5"/>
      <c r="E23" s="5"/>
      <c r="F23" s="5">
        <f t="shared" si="0"/>
        <v>0</v>
      </c>
      <c r="G23" s="5"/>
      <c r="H23" s="5"/>
      <c r="I23" s="5"/>
      <c r="J23" s="5">
        <f t="shared" si="1"/>
        <v>0</v>
      </c>
      <c r="K23" s="5"/>
      <c r="L23" s="5"/>
      <c r="M23" s="5">
        <f t="shared" si="2"/>
        <v>0</v>
      </c>
    </row>
    <row r="24" spans="3:13" x14ac:dyDescent="0.3">
      <c r="C24" s="5" t="s">
        <v>95</v>
      </c>
      <c r="D24" s="5"/>
      <c r="E24" s="5"/>
      <c r="F24" s="5">
        <f t="shared" si="0"/>
        <v>0</v>
      </c>
      <c r="G24" s="5" t="s">
        <v>104</v>
      </c>
      <c r="H24" s="5"/>
      <c r="I24" s="5"/>
      <c r="J24" s="5">
        <f t="shared" si="1"/>
        <v>0</v>
      </c>
      <c r="K24" s="5"/>
      <c r="L24" s="5"/>
      <c r="M24" s="5">
        <f t="shared" si="2"/>
        <v>0</v>
      </c>
    </row>
    <row r="25" spans="3:13" x14ac:dyDescent="0.3">
      <c r="C25" s="5" t="s">
        <v>96</v>
      </c>
      <c r="D25" s="5"/>
      <c r="E25" s="5"/>
      <c r="F25" s="5">
        <f t="shared" si="0"/>
        <v>0</v>
      </c>
      <c r="G25" s="5" t="s">
        <v>104</v>
      </c>
      <c r="H25" s="5"/>
      <c r="I25" s="5"/>
      <c r="J25" s="5">
        <f t="shared" si="1"/>
        <v>0</v>
      </c>
      <c r="K25" s="5"/>
      <c r="L25" s="5"/>
      <c r="M25" s="5">
        <f t="shared" si="2"/>
        <v>0</v>
      </c>
    </row>
    <row r="26" spans="3:13" x14ac:dyDescent="0.3">
      <c r="C26" s="5" t="s">
        <v>97</v>
      </c>
      <c r="D26" s="5"/>
      <c r="E26" s="5"/>
      <c r="F26" s="5">
        <f t="shared" si="0"/>
        <v>0</v>
      </c>
      <c r="G26" s="5" t="s">
        <v>104</v>
      </c>
      <c r="H26" s="5"/>
      <c r="I26" s="5"/>
      <c r="J26" s="5">
        <f t="shared" si="1"/>
        <v>0</v>
      </c>
      <c r="K26" s="5"/>
      <c r="L26" s="5"/>
      <c r="M26" s="5">
        <f t="shared" si="2"/>
        <v>0</v>
      </c>
    </row>
    <row r="27" spans="3:13" x14ac:dyDescent="0.3">
      <c r="C27" s="5"/>
      <c r="D27" s="5"/>
      <c r="E27" s="5"/>
      <c r="F27" s="5">
        <f t="shared" si="0"/>
        <v>0</v>
      </c>
      <c r="G27" s="5"/>
      <c r="H27" s="5"/>
      <c r="I27" s="5"/>
      <c r="J27" s="5">
        <f t="shared" si="1"/>
        <v>0</v>
      </c>
      <c r="K27" s="5"/>
      <c r="L27" s="5"/>
      <c r="M27" s="5">
        <f t="shared" si="2"/>
        <v>0</v>
      </c>
    </row>
    <row r="28" spans="3:13" x14ac:dyDescent="0.3">
      <c r="C28" s="5" t="s">
        <v>91</v>
      </c>
      <c r="D28" s="5"/>
      <c r="E28" s="5"/>
      <c r="F28" s="5">
        <f t="shared" si="0"/>
        <v>0</v>
      </c>
      <c r="G28" s="5"/>
      <c r="H28" s="5"/>
      <c r="I28" s="5"/>
      <c r="J28" s="5">
        <f t="shared" si="1"/>
        <v>0</v>
      </c>
      <c r="K28" s="5"/>
      <c r="L28" s="5"/>
      <c r="M28" s="5">
        <f t="shared" si="2"/>
        <v>0</v>
      </c>
    </row>
    <row r="29" spans="3:13" x14ac:dyDescent="0.3">
      <c r="C29" s="5" t="s">
        <v>92</v>
      </c>
      <c r="D29" s="5"/>
      <c r="E29" s="5"/>
      <c r="F29" s="5">
        <f t="shared" si="0"/>
        <v>0</v>
      </c>
      <c r="G29" s="5"/>
      <c r="H29" s="5"/>
      <c r="I29" s="5"/>
      <c r="J29" s="5">
        <f t="shared" si="1"/>
        <v>0</v>
      </c>
      <c r="K29" s="5"/>
      <c r="L29" s="5"/>
      <c r="M29" s="5">
        <f t="shared" si="2"/>
        <v>0</v>
      </c>
    </row>
    <row r="30" spans="3:13" x14ac:dyDescent="0.3">
      <c r="C30" s="5" t="s">
        <v>93</v>
      </c>
      <c r="D30" s="5"/>
      <c r="E30" s="5"/>
      <c r="F30" s="5">
        <f t="shared" si="0"/>
        <v>0</v>
      </c>
      <c r="G30" s="5"/>
      <c r="H30" s="5"/>
      <c r="I30" s="5"/>
      <c r="J30" s="5">
        <f t="shared" si="1"/>
        <v>0</v>
      </c>
      <c r="K30" s="5"/>
      <c r="L30" s="5"/>
      <c r="M30" s="5">
        <f t="shared" si="2"/>
        <v>0</v>
      </c>
    </row>
    <row r="31" spans="3:13" x14ac:dyDescent="0.3">
      <c r="C31" s="5" t="s">
        <v>94</v>
      </c>
      <c r="D31" s="5"/>
      <c r="E31" s="5"/>
      <c r="F31" s="5">
        <f t="shared" si="0"/>
        <v>0</v>
      </c>
      <c r="G31" s="5"/>
      <c r="H31" s="5"/>
      <c r="I31" s="5"/>
      <c r="J31" s="5">
        <f t="shared" si="1"/>
        <v>0</v>
      </c>
      <c r="K31" s="5"/>
      <c r="L31" s="5"/>
      <c r="M31" s="5">
        <f t="shared" si="2"/>
        <v>0</v>
      </c>
    </row>
    <row r="32" spans="3:13" x14ac:dyDescent="0.3">
      <c r="C32" s="5"/>
      <c r="D32" s="5"/>
      <c r="E32" s="5"/>
      <c r="F32" s="5">
        <f t="shared" si="0"/>
        <v>0</v>
      </c>
      <c r="G32" s="5"/>
      <c r="H32" s="5"/>
      <c r="I32" s="5"/>
      <c r="J32" s="5">
        <f t="shared" si="1"/>
        <v>0</v>
      </c>
      <c r="K32" s="5"/>
      <c r="L32" s="5"/>
      <c r="M32" s="5">
        <f t="shared" si="2"/>
        <v>0</v>
      </c>
    </row>
    <row r="33" spans="3:13" x14ac:dyDescent="0.3">
      <c r="C33" s="5"/>
      <c r="D33" s="5"/>
      <c r="E33" s="5"/>
      <c r="F33" s="5">
        <f t="shared" si="0"/>
        <v>0</v>
      </c>
      <c r="G33" s="5"/>
      <c r="H33" s="5"/>
      <c r="I33" s="5"/>
      <c r="J33" s="5">
        <f t="shared" si="1"/>
        <v>0</v>
      </c>
      <c r="K33" s="5"/>
      <c r="L33" s="5"/>
      <c r="M33" s="5">
        <f t="shared" si="2"/>
        <v>0</v>
      </c>
    </row>
    <row r="34" spans="3:13" x14ac:dyDescent="0.3">
      <c r="C34" s="5"/>
      <c r="D34" s="5"/>
      <c r="E34" s="5"/>
      <c r="F34" s="5">
        <f t="shared" si="0"/>
        <v>0</v>
      </c>
      <c r="G34" s="5"/>
      <c r="H34" s="5"/>
      <c r="I34" s="5"/>
      <c r="J34" s="5">
        <f t="shared" si="1"/>
        <v>0</v>
      </c>
      <c r="K34" s="5"/>
      <c r="L34" s="5"/>
      <c r="M34" s="5">
        <f t="shared" si="2"/>
        <v>0</v>
      </c>
    </row>
    <row r="35" spans="3:13" x14ac:dyDescent="0.3">
      <c r="C35" s="5" t="s">
        <v>98</v>
      </c>
      <c r="D35" s="5"/>
      <c r="E35" s="5">
        <f>F35*10.764</f>
        <v>0</v>
      </c>
      <c r="F35" s="5">
        <f>SUM(F7:F34)</f>
        <v>0</v>
      </c>
      <c r="G35" s="5"/>
      <c r="H35" s="5"/>
      <c r="I35" s="5">
        <f>J35*10.764</f>
        <v>0</v>
      </c>
      <c r="J35" s="5">
        <f>SUM(J7:J34)</f>
        <v>0</v>
      </c>
      <c r="K35" s="5"/>
      <c r="L35" s="5">
        <f>M35*10.764</f>
        <v>0</v>
      </c>
      <c r="M35" s="5">
        <f>SUM(M7:M34)</f>
        <v>0</v>
      </c>
    </row>
  </sheetData>
  <mergeCells count="4">
    <mergeCell ref="D3:E3"/>
    <mergeCell ref="D5:F5"/>
    <mergeCell ref="H5:J5"/>
    <mergeCell ref="K5:M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Sheet1</vt:lpstr>
      <vt:lpstr>VALUATION</vt:lpstr>
      <vt:lpstr>NOTE</vt:lpstr>
      <vt:lpstr>A%</vt:lpstr>
      <vt:lpstr>B%</vt:lpstr>
      <vt:lpstr>C%</vt:lpstr>
      <vt:lpstr>D%</vt:lpstr>
      <vt:lpstr>Wing A</vt:lpstr>
      <vt:lpstr>Wing B</vt:lpstr>
      <vt:lpstr>Wing C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Kunal Kadam</cp:lastModifiedBy>
  <cp:lastPrinted>2025-08-18T12:00:29Z</cp:lastPrinted>
  <dcterms:created xsi:type="dcterms:W3CDTF">2013-11-23T05:32:33Z</dcterms:created>
  <dcterms:modified xsi:type="dcterms:W3CDTF">2025-08-18T12:12:35Z</dcterms:modified>
</cp:coreProperties>
</file>