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Aug 25\Axis\Dump\"/>
    </mc:Choice>
  </mc:AlternateContent>
  <xr:revisionPtr revIDLastSave="0" documentId="13_ncr:1_{0814D9A5-9AA3-4267-A667-D14887209F56}" xr6:coauthVersionLast="47" xr6:coauthVersionMax="47" xr10:uidLastSave="{00000000-0000-0000-0000-000000000000}"/>
  <bookViews>
    <workbookView xWindow="-108" yWindow="-108" windowWidth="23256" windowHeight="12456" xr2:uid="{00000000-000D-0000-FFFF-FFFF00000000}"/>
  </bookViews>
  <sheets>
    <sheet name="Sheet1" sheetId="1" r:id="rId1"/>
    <sheet name="VALUATION" sheetId="19" r:id="rId2"/>
    <sheet name="Sheet2" sheetId="16" r:id="rId3"/>
    <sheet name="A &amp; B% " sheetId="14" r:id="rId4"/>
    <sheet name="C" sheetId="15" r:id="rId5"/>
    <sheet name="Wing A" sheetId="11" r:id="rId6"/>
    <sheet name="B%" sheetId="18" r:id="rId7"/>
    <sheet name="Wing B" sheetId="12" r:id="rId8"/>
    <sheet name="Wing C" sheetId="13" r:id="rId9"/>
    <sheet name="Note" sheetId="17" r:id="rId10"/>
  </sheets>
  <definedNames>
    <definedName name="_xlnm.Print_Area" localSheetId="0">Sheet1!$A$1:$J$293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L84" i="1" l="1"/>
  <c r="L83" i="1"/>
  <c r="L82" i="1"/>
  <c r="L81" i="1"/>
  <c r="L70" i="1"/>
  <c r="L69" i="1"/>
  <c r="L68" i="1"/>
  <c r="L67" i="1"/>
  <c r="I60" i="1"/>
  <c r="I74" i="1"/>
  <c r="D86" i="1" l="1"/>
  <c r="D84" i="1"/>
  <c r="D82" i="1"/>
  <c r="D80" i="1"/>
  <c r="L79" i="1"/>
  <c r="L80" i="1" s="1"/>
  <c r="L85" i="1" s="1"/>
  <c r="L86" i="1" s="1"/>
  <c r="C78" i="1" s="1"/>
  <c r="D78" i="1" s="1"/>
  <c r="D85" i="1"/>
  <c r="D83" i="1"/>
  <c r="D81" i="1"/>
  <c r="D79" i="1"/>
  <c r="L77" i="1"/>
  <c r="L73" i="1"/>
  <c r="L75" i="1" s="1"/>
  <c r="L78" i="1"/>
  <c r="C77" i="1" s="1"/>
  <c r="L76" i="1"/>
  <c r="L65" i="1"/>
  <c r="L66" i="1" s="1"/>
  <c r="L71" i="1" s="1"/>
  <c r="L72" i="1" s="1"/>
  <c r="C64" i="1" s="1"/>
  <c r="D64" i="1" s="1"/>
  <c r="D71" i="1"/>
  <c r="D69" i="1"/>
  <c r="D67" i="1"/>
  <c r="D65" i="1"/>
  <c r="L63" i="1"/>
  <c r="L59" i="1"/>
  <c r="L61" i="1" s="1"/>
  <c r="L64" i="1"/>
  <c r="C63" i="1" s="1"/>
  <c r="L62" i="1"/>
  <c r="D72" i="1"/>
  <c r="D70" i="1"/>
  <c r="D68" i="1"/>
  <c r="D66" i="1"/>
  <c r="I170" i="1"/>
  <c r="I177" i="1"/>
  <c r="I147" i="1"/>
  <c r="H77" i="1" l="1"/>
  <c r="D77" i="1"/>
  <c r="K74" i="1" s="1"/>
  <c r="K75" i="1" s="1"/>
  <c r="H63" i="1"/>
  <c r="D63" i="1"/>
  <c r="K60" i="1" s="1"/>
  <c r="K61" i="1" s="1"/>
  <c r="L98" i="1"/>
  <c r="L97" i="1"/>
  <c r="L96" i="1"/>
  <c r="L95" i="1"/>
  <c r="L74" i="1" l="1"/>
  <c r="K73" i="1" s="1"/>
  <c r="C75" i="1" s="1"/>
  <c r="F77" i="1" s="1"/>
  <c r="L60" i="1"/>
  <c r="K59" i="1" s="1"/>
  <c r="C61" i="1" s="1"/>
  <c r="F63" i="1" s="1"/>
  <c r="D200" i="1"/>
  <c r="G200" i="1" s="1"/>
  <c r="D199" i="1"/>
  <c r="G199" i="1" s="1"/>
  <c r="D198" i="1"/>
  <c r="G198" i="1" s="1"/>
  <c r="D197" i="1"/>
  <c r="G197" i="1" s="1"/>
  <c r="D195" i="1"/>
  <c r="D194" i="1"/>
  <c r="D193" i="1"/>
  <c r="D192" i="1"/>
  <c r="D190" i="1"/>
  <c r="G190" i="1" s="1"/>
  <c r="D189" i="1"/>
  <c r="D188" i="1"/>
  <c r="D187" i="1"/>
  <c r="D186" i="1"/>
  <c r="D185" i="1"/>
  <c r="D182" i="1"/>
  <c r="G182" i="1" s="1"/>
  <c r="D181" i="1"/>
  <c r="G181" i="1" s="1"/>
  <c r="D180" i="1"/>
  <c r="D179" i="1"/>
  <c r="G179" i="1" s="1"/>
  <c r="D178" i="1"/>
  <c r="G178" i="1" s="1"/>
  <c r="D177" i="1"/>
  <c r="G177" i="1" s="1"/>
  <c r="D153" i="1"/>
  <c r="G153" i="1" s="1"/>
  <c r="D152" i="1"/>
  <c r="G152" i="1" s="1"/>
  <c r="D151" i="1"/>
  <c r="G151" i="1" s="1"/>
  <c r="D150" i="1"/>
  <c r="G150" i="1" s="1"/>
  <c r="D149" i="1"/>
  <c r="D148" i="1"/>
  <c r="G148" i="1" s="1"/>
  <c r="D147" i="1"/>
  <c r="G147" i="1"/>
  <c r="I197" i="1"/>
  <c r="G180" i="1"/>
  <c r="G149" i="1"/>
  <c r="H49" i="1"/>
  <c r="C49" i="1"/>
  <c r="C117" i="1" l="1"/>
  <c r="E117" i="1"/>
  <c r="C123" i="1"/>
  <c r="E123" i="1"/>
  <c r="L177" i="1"/>
  <c r="M177" i="1"/>
  <c r="I88" i="1"/>
  <c r="L91" i="1" l="1"/>
  <c r="L87" i="1"/>
  <c r="L89" i="1" s="1"/>
  <c r="L92" i="1"/>
  <c r="C91" i="1" s="1"/>
  <c r="L90" i="1"/>
  <c r="L93" i="1"/>
  <c r="L94" i="1" s="1"/>
  <c r="L99" i="1" s="1"/>
  <c r="L100" i="1" s="1"/>
  <c r="C92" i="1" s="1"/>
  <c r="D92" i="1" s="1"/>
  <c r="D93" i="1"/>
  <c r="D100" i="1"/>
  <c r="D98" i="1"/>
  <c r="D96" i="1"/>
  <c r="D94" i="1"/>
  <c r="D99" i="1"/>
  <c r="D97" i="1"/>
  <c r="D95" i="1"/>
  <c r="B8" i="14"/>
  <c r="K6" i="14" s="1"/>
  <c r="G15" i="14" s="1"/>
  <c r="B10" i="14"/>
  <c r="L7" i="14" s="1"/>
  <c r="H16" i="14" s="1"/>
  <c r="I185" i="1"/>
  <c r="I192" i="1"/>
  <c r="I156" i="1"/>
  <c r="E6" i="19"/>
  <c r="E7" i="19"/>
  <c r="E8" i="19"/>
  <c r="E9" i="19"/>
  <c r="E5" i="19"/>
  <c r="G9" i="19"/>
  <c r="G8" i="19"/>
  <c r="G7" i="19"/>
  <c r="G6" i="19"/>
  <c r="G5" i="19"/>
  <c r="B16" i="18"/>
  <c r="O6" i="18" s="1"/>
  <c r="G19" i="18" s="1"/>
  <c r="B14" i="18"/>
  <c r="N7" i="18" s="1"/>
  <c r="H18" i="18" s="1"/>
  <c r="B12" i="18"/>
  <c r="E8" i="18" s="1"/>
  <c r="B10" i="18"/>
  <c r="L7" i="18" s="1"/>
  <c r="H16" i="18" s="1"/>
  <c r="B8" i="18"/>
  <c r="K6" i="18" s="1"/>
  <c r="G15" i="18" s="1"/>
  <c r="I6" i="18"/>
  <c r="I7" i="18" s="1"/>
  <c r="H13" i="18" s="1"/>
  <c r="B6" i="18"/>
  <c r="J7" i="18" s="1"/>
  <c r="H14" i="18" s="1"/>
  <c r="E4" i="18"/>
  <c r="B16" i="14"/>
  <c r="O6" i="14" s="1"/>
  <c r="G19" i="14" s="1"/>
  <c r="B14" i="14"/>
  <c r="N6" i="14" s="1"/>
  <c r="G18" i="14" s="1"/>
  <c r="B12" i="14"/>
  <c r="E8" i="14" s="1"/>
  <c r="B16" i="15"/>
  <c r="E10" i="15" s="1"/>
  <c r="B14" i="15"/>
  <c r="E9" i="15" s="1"/>
  <c r="B12" i="15"/>
  <c r="M6" i="15" s="1"/>
  <c r="G17" i="15" s="1"/>
  <c r="B10" i="15"/>
  <c r="L6" i="15" s="1"/>
  <c r="G16" i="15" s="1"/>
  <c r="B8" i="15"/>
  <c r="K7" i="15" s="1"/>
  <c r="H15" i="15" s="1"/>
  <c r="I6" i="15"/>
  <c r="G13" i="15" s="1"/>
  <c r="B6" i="15"/>
  <c r="J7" i="15" s="1"/>
  <c r="H14" i="15" s="1"/>
  <c r="E4" i="15"/>
  <c r="O7" i="14"/>
  <c r="H19" i="14" s="1"/>
  <c r="I6" i="14"/>
  <c r="G13" i="14" s="1"/>
  <c r="B6" i="14"/>
  <c r="J7" i="14" s="1"/>
  <c r="H14" i="14" s="1"/>
  <c r="E4" i="14"/>
  <c r="G195" i="1"/>
  <c r="G194" i="1"/>
  <c r="G193" i="1"/>
  <c r="G192" i="1"/>
  <c r="G189" i="1"/>
  <c r="G188" i="1"/>
  <c r="G187" i="1"/>
  <c r="G186" i="1"/>
  <c r="G185" i="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C44" i="1"/>
  <c r="H44" i="1"/>
  <c r="D52" i="1"/>
  <c r="D54" i="1"/>
  <c r="G112" i="1"/>
  <c r="D131" i="1"/>
  <c r="D132" i="1"/>
  <c r="G132" i="1" s="1"/>
  <c r="D133" i="1"/>
  <c r="G133" i="1" s="1"/>
  <c r="D134" i="1"/>
  <c r="G134" i="1" s="1"/>
  <c r="D135" i="1"/>
  <c r="G135" i="1" s="1"/>
  <c r="D136" i="1"/>
  <c r="G136" i="1" s="1"/>
  <c r="D137" i="1"/>
  <c r="G137" i="1" s="1"/>
  <c r="D139" i="1"/>
  <c r="D140" i="1"/>
  <c r="G140" i="1" s="1"/>
  <c r="D141" i="1"/>
  <c r="G141" i="1" s="1"/>
  <c r="D142" i="1"/>
  <c r="G142" i="1" s="1"/>
  <c r="D143" i="1"/>
  <c r="G143" i="1" s="1"/>
  <c r="D144" i="1"/>
  <c r="G144" i="1" s="1"/>
  <c r="D145" i="1"/>
  <c r="G145" i="1" s="1"/>
  <c r="D156" i="1"/>
  <c r="D157" i="1"/>
  <c r="G157" i="1" s="1"/>
  <c r="D158" i="1"/>
  <c r="G158" i="1" s="1"/>
  <c r="D159" i="1"/>
  <c r="G159" i="1" s="1"/>
  <c r="D160" i="1"/>
  <c r="G160" i="1" s="1"/>
  <c r="D161" i="1"/>
  <c r="G161" i="1" s="1"/>
  <c r="D162" i="1"/>
  <c r="G162" i="1" s="1"/>
  <c r="D163" i="1"/>
  <c r="G163" i="1" s="1"/>
  <c r="D164" i="1"/>
  <c r="G164" i="1" s="1"/>
  <c r="D165" i="1"/>
  <c r="G165" i="1" s="1"/>
  <c r="D166" i="1"/>
  <c r="G166" i="1" s="1"/>
  <c r="D167" i="1"/>
  <c r="G167" i="1" s="1"/>
  <c r="D168" i="1"/>
  <c r="G168" i="1" s="1"/>
  <c r="D170" i="1"/>
  <c r="D171" i="1"/>
  <c r="G171" i="1" s="1"/>
  <c r="D172" i="1"/>
  <c r="G172" i="1" s="1"/>
  <c r="D173" i="1"/>
  <c r="G173" i="1" s="1"/>
  <c r="D174" i="1"/>
  <c r="G174" i="1" s="1"/>
  <c r="D175" i="1"/>
  <c r="G175" i="1" s="1"/>
  <c r="I7" i="14"/>
  <c r="H13" i="14" s="1"/>
  <c r="I7" i="15"/>
  <c r="H13" i="15" s="1"/>
  <c r="E6" i="18"/>
  <c r="L7" i="15"/>
  <c r="H16" i="15" s="1"/>
  <c r="N6" i="18" l="1"/>
  <c r="G18" i="18" s="1"/>
  <c r="E5" i="15"/>
  <c r="J6" i="15"/>
  <c r="G14" i="15" s="1"/>
  <c r="E7" i="15"/>
  <c r="E7" i="18"/>
  <c r="L6" i="18"/>
  <c r="G16" i="18" s="1"/>
  <c r="K7" i="14"/>
  <c r="H15" i="14" s="1"/>
  <c r="N6" i="15"/>
  <c r="G18" i="15" s="1"/>
  <c r="E6" i="14"/>
  <c r="E9" i="18"/>
  <c r="L6" i="14"/>
  <c r="G16" i="14" s="1"/>
  <c r="O6" i="15"/>
  <c r="G19" i="15" s="1"/>
  <c r="G170" i="1"/>
  <c r="L170" i="1" s="1"/>
  <c r="E122" i="1"/>
  <c r="C122" i="1"/>
  <c r="G131" i="1"/>
  <c r="G115" i="1" s="1"/>
  <c r="E115" i="1"/>
  <c r="C115" i="1"/>
  <c r="J6" i="18"/>
  <c r="G14" i="18" s="1"/>
  <c r="M7" i="14"/>
  <c r="H17" i="14" s="1"/>
  <c r="G139" i="1"/>
  <c r="G121" i="1" s="1"/>
  <c r="C121" i="1"/>
  <c r="E121" i="1"/>
  <c r="M6" i="18"/>
  <c r="G17" i="18" s="1"/>
  <c r="O7" i="18"/>
  <c r="H19" i="18" s="1"/>
  <c r="E5" i="18"/>
  <c r="E7" i="14"/>
  <c r="E8" i="15"/>
  <c r="O7" i="15"/>
  <c r="H19" i="15" s="1"/>
  <c r="G156" i="1"/>
  <c r="G116" i="1" s="1"/>
  <c r="C116" i="1"/>
  <c r="E116" i="1"/>
  <c r="G117" i="1"/>
  <c r="G123" i="1"/>
  <c r="M7" i="15"/>
  <c r="H17" i="15" s="1"/>
  <c r="M6" i="14"/>
  <c r="G17" i="14" s="1"/>
  <c r="K7" i="18"/>
  <c r="H15" i="18" s="1"/>
  <c r="E10" i="18"/>
  <c r="J6" i="14"/>
  <c r="G14" i="14" s="1"/>
  <c r="M34" i="11"/>
  <c r="L34" i="11" s="1"/>
  <c r="F34" i="11"/>
  <c r="E34" i="11" s="1"/>
  <c r="F35" i="12"/>
  <c r="E35" i="12" s="1"/>
  <c r="K35" i="13"/>
  <c r="J35" i="13" s="1"/>
  <c r="G10" i="19"/>
  <c r="E5" i="14"/>
  <c r="G35" i="13"/>
  <c r="F35" i="13" s="1"/>
  <c r="M35" i="12"/>
  <c r="L35" i="12" s="1"/>
  <c r="K6" i="15"/>
  <c r="G15" i="15" s="1"/>
  <c r="G20" i="15" s="1"/>
  <c r="J34" i="11"/>
  <c r="I34" i="11" s="1"/>
  <c r="J35" i="12"/>
  <c r="I35" i="12" s="1"/>
  <c r="N35" i="13"/>
  <c r="M35" i="13" s="1"/>
  <c r="G13" i="18"/>
  <c r="N7" i="14"/>
  <c r="H18" i="14" s="1"/>
  <c r="E10" i="14"/>
  <c r="M7" i="18"/>
  <c r="H17" i="18" s="1"/>
  <c r="N7" i="15"/>
  <c r="H18" i="15" s="1"/>
  <c r="E9" i="14"/>
  <c r="E6" i="15"/>
  <c r="G20" i="14" l="1"/>
  <c r="H20" i="14"/>
  <c r="H20" i="18"/>
  <c r="C124" i="1"/>
  <c r="C118" i="1"/>
  <c r="C125" i="1" s="1"/>
  <c r="G20" i="18"/>
  <c r="E124" i="1"/>
  <c r="E118" i="1"/>
  <c r="E125" i="1" s="1"/>
  <c r="M170" i="1"/>
  <c r="G122" i="1"/>
  <c r="G124" i="1" s="1"/>
  <c r="G118" i="1"/>
  <c r="H20" i="15"/>
  <c r="H91" i="1"/>
  <c r="D91" i="1"/>
  <c r="G125" i="1" l="1"/>
  <c r="K88" i="1"/>
  <c r="K89" i="1" s="1"/>
  <c r="L88" i="1"/>
  <c r="K87" i="1" l="1"/>
  <c r="C89" i="1" s="1"/>
  <c r="F91" i="1" s="1"/>
</calcChain>
</file>

<file path=xl/sharedStrings.xml><?xml version="1.0" encoding="utf-8"?>
<sst xmlns="http://schemas.openxmlformats.org/spreadsheetml/2006/main" count="722" uniqueCount="264">
  <si>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</si>
  <si>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</si>
  <si>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</si>
  <si>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</si>
  <si>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</si>
  <si>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</si>
  <si>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</si>
  <si>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</si>
  <si>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</si>
  <si>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</si>
  <si>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</si>
  <si>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</si>
  <si>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</si>
  <si>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</si>
  <si>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</si>
  <si>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</si>
  <si>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</si>
  <si>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</si>
  <si>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</si>
  <si>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</si>
  <si>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</si>
  <si>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</si>
  <si>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</si>
  <si>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</si>
  <si>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</si>
  <si>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</si>
  <si>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</si>
  <si>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</si>
  <si>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</si>
  <si>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</si>
  <si>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</si>
  <si>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</si>
  <si>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</si>
  <si>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</si>
  <si>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</si>
  <si>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</si>
  <si>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</si>
  <si>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</si>
  <si>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</si>
  <si>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</si>
  <si>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</si>
  <si>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</si>
  <si>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</si>
  <si>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</si>
  <si>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</si>
  <si>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</si>
  <si>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</si>
  <si>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</si>
  <si>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</si>
  <si>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</si>
  <si>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</si>
  <si>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</si>
  <si>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</si>
  <si>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</si>
  <si>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</si>
  <si>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</si>
  <si>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</si>
  <si>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</si>
  <si>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</si>
  <si>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Ground Floor For Parking &amp; Commercial</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</si>
  <si>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</si>
  <si>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</si>
  <si>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</si>
  <si>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</si>
  <si>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</si>
  <si>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</si>
  <si>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</si>
  <si>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</si>
  <si>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</si>
  <si>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</si>
  <si>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</si>
  <si>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</si>
  <si>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</si>
  <si>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</si>
  <si>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</si>
  <si>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</si>
  <si>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</si>
  <si>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</si>
  <si>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</si>
  <si>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</si>
  <si>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</si>
  <si>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</si>
  <si>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</si>
  <si>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</si>
  <si>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</si>
  <si>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</si>
  <si>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</si>
  <si>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</si>
  <si>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</si>
  <si>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</si>
  <si>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</si>
  <si>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</si>
  <si>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</si>
  <si>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</si>
  <si>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</si>
  <si>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</si>
  <si>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</si>
  <si>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</si>
  <si>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</si>
  <si>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</si>
  <si>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</si>
  <si>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</si>
  <si>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</si>
  <si>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 Saleable area</t>
  </si>
  <si>
    <t xml:space="preserve">O. Certificate No.: </t>
  </si>
  <si>
    <t xml:space="preserve">Date of approval: </t>
  </si>
  <si>
    <t>Contect Details ( Name &amp; Contect No.)</t>
  </si>
  <si>
    <t>Name / no of the Building</t>
  </si>
  <si>
    <t>Accessibility to the Project from the City:
(Proximity to civic amenities like school, hospital, market, etc.)</t>
  </si>
  <si>
    <t>Does property have Electricity / Water / Drainage Connection</t>
  </si>
  <si>
    <t>Date of Commencement of Construction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</si>
  <si>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</si>
  <si>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</si>
  <si>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</si>
  <si>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</si>
  <si>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</si>
  <si>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</si>
  <si>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</si>
  <si>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</si>
  <si>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</si>
  <si>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</si>
  <si>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</si>
  <si>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</si>
  <si>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</si>
  <si>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</si>
  <si>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</si>
  <si>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</si>
  <si>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</si>
  <si>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</si>
  <si>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</si>
  <si>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</si>
  <si>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</si>
  <si>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</si>
  <si>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</si>
  <si>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</si>
  <si>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Shop/Flat No.</t>
  </si>
  <si>
    <t>Shop</t>
  </si>
  <si>
    <t>N</t>
  </si>
  <si>
    <t>Ground</t>
  </si>
  <si>
    <t>1st to 4th Floor</t>
  </si>
  <si>
    <t>1BHK</t>
  </si>
  <si>
    <t>2BHK</t>
  </si>
  <si>
    <t>1st to 4th</t>
  </si>
  <si>
    <t>Bldg No.1(Type A2)</t>
  </si>
  <si>
    <t>Bldg No.1(Type A1)</t>
  </si>
  <si>
    <t>Bldg No.1(Type A3)</t>
  </si>
  <si>
    <t>1RK</t>
  </si>
  <si>
    <t>MHSL/U.1/M.1/BSP/SR/CR/241/17</t>
  </si>
  <si>
    <t>16/02/2018.</t>
  </si>
  <si>
    <t xml:space="preserve">03 Wings </t>
  </si>
  <si>
    <t>Developing</t>
  </si>
  <si>
    <t>Middle Class</t>
  </si>
  <si>
    <t>all available at  2 to 3 km.</t>
  </si>
  <si>
    <t>Bldg</t>
  </si>
  <si>
    <t>U/C Bldg</t>
  </si>
  <si>
    <t>Type of Structure : RCC</t>
  </si>
  <si>
    <t>Axis Goregaon</t>
  </si>
  <si>
    <t>M/s.Sambhav Enterprises</t>
  </si>
  <si>
    <t>Abhi Galaxy</t>
  </si>
  <si>
    <t>Zanzroli</t>
  </si>
  <si>
    <t>Palghar</t>
  </si>
  <si>
    <t>Village-Zanzroli Road</t>
  </si>
  <si>
    <t>401 404.</t>
  </si>
  <si>
    <t>About 8.1 Km from Umroli     Railway Station</t>
  </si>
  <si>
    <t>Approved no of units</t>
  </si>
  <si>
    <t>SS Park</t>
  </si>
  <si>
    <t>Approved Layout, Approved Building Plan, CC</t>
  </si>
  <si>
    <t xml:space="preserve">Approved usage of the Property: Commercial &amp; Residential
(Restrictive Covenants in regard to Land Use, if any)                                                                                                                                                </t>
  </si>
  <si>
    <t>Recommended rate of the flat Per Sq. Ft. ( on Saleable area)</t>
  </si>
  <si>
    <t>Recommended rate of the Shop Per Sq. Ft. ( on Saleable area)</t>
  </si>
  <si>
    <t>Google Map :</t>
  </si>
  <si>
    <t>Gut No.</t>
  </si>
  <si>
    <t>Amenities Charges</t>
  </si>
  <si>
    <t>Meter/Soc. Formentation and Misc Expenses</t>
  </si>
  <si>
    <t xml:space="preserve">Development charges </t>
  </si>
  <si>
    <t xml:space="preserve">PHOTOGRAPHS OF PROPERTY : Abhi Galaxy
</t>
  </si>
  <si>
    <t>Note</t>
  </si>
  <si>
    <t>6. Matched cost Sheet (21/11/2019).</t>
  </si>
  <si>
    <t>Market Research Data</t>
  </si>
  <si>
    <t>Source</t>
  </si>
  <si>
    <t>Distance from proposed property</t>
  </si>
  <si>
    <t>Net Carpet</t>
  </si>
  <si>
    <t>Saleable Area</t>
  </si>
  <si>
    <t>Rate on Saleable</t>
  </si>
  <si>
    <t>Market Value</t>
  </si>
  <si>
    <t>Average</t>
  </si>
  <si>
    <t xml:space="preserve">Valuation Adopted </t>
  </si>
  <si>
    <t>Common floor</t>
  </si>
  <si>
    <t>S S Dream City</t>
  </si>
  <si>
    <t>proptiger</t>
  </si>
  <si>
    <t>Quiker</t>
  </si>
  <si>
    <t>LivingandLiving</t>
  </si>
  <si>
    <t>Construction details:</t>
  </si>
  <si>
    <t>Basement</t>
  </si>
  <si>
    <t>Podium</t>
  </si>
  <si>
    <t>Floors</t>
  </si>
  <si>
    <t xml:space="preserve">Stage of construction: </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</si>
  <si>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</si>
  <si>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</si>
  <si>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</si>
  <si>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</si>
  <si>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</si>
  <si>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</si>
  <si>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</si>
  <si>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</si>
  <si>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</si>
  <si>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</si>
  <si>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</si>
  <si>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</si>
  <si>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</si>
  <si>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</si>
  <si>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</si>
  <si>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</si>
  <si>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</si>
  <si>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</si>
  <si>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</si>
  <si>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</si>
  <si>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</si>
  <si>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</si>
  <si>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</si>
  <si>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</si>
  <si>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</si>
  <si>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RCC(Including podiums)</t>
  </si>
  <si>
    <t>Rera No.</t>
  </si>
  <si>
    <t xml:space="preserve">Name of the builder </t>
  </si>
  <si>
    <t>Mr. Ramvilash Dhanush Dhari Singh</t>
  </si>
  <si>
    <t>P99000016806</t>
  </si>
  <si>
    <t>Type A1, A2 &amp; A3</t>
  </si>
  <si>
    <t>Mahasul/K-1/Mej1/B.S.P/S.R/C.R/201/2019</t>
  </si>
  <si>
    <t>Mahasul/Kaksh.1/T.1/NP/SR-201/2019
Valid Up to: Type A1, A2 &amp; A3 = Gr/St +1st to 5th Floor</t>
  </si>
  <si>
    <t>Gr.+ 1st to 5th Floor</t>
  </si>
  <si>
    <t>5th Floor</t>
  </si>
  <si>
    <t>Ground Floor For Parking, Commercial &amp; Residential</t>
  </si>
  <si>
    <t>101 to 401</t>
  </si>
  <si>
    <t>102 to 402</t>
  </si>
  <si>
    <t>103 to 403</t>
  </si>
  <si>
    <t>104 to 404</t>
  </si>
  <si>
    <t>Commercial Area Details :</t>
  </si>
  <si>
    <t>Building &amp; Wing</t>
  </si>
  <si>
    <t>No. of Units</t>
  </si>
  <si>
    <t>Total Carpet Area</t>
  </si>
  <si>
    <t>Total Saleable Area</t>
  </si>
  <si>
    <t>Residential Area Details :</t>
  </si>
  <si>
    <t>Type A3</t>
  </si>
  <si>
    <t>Type A1</t>
  </si>
  <si>
    <t>Type A2</t>
  </si>
  <si>
    <t>Resi. 87 -  Comm. - 24</t>
  </si>
  <si>
    <t>MHSL/U.1/T.1/NAP/SR/241/2017                                                                                                                   Valid Up to: Type A1, A2 = Gr/St +1st to 4th Floor</t>
  </si>
  <si>
    <t>Type A1, A2 = Gr/St +1st to 4th Floor</t>
  </si>
  <si>
    <t>Type A1, A2 = Only 5th Floor &amp; Type A3 = Gr/St +1st to 5th Floor</t>
  </si>
  <si>
    <t xml:space="preserve">Construction details:                                                                  </t>
  </si>
  <si>
    <t>105 to 405</t>
  </si>
  <si>
    <t>106 to 406</t>
  </si>
  <si>
    <t>107 to 407</t>
  </si>
  <si>
    <t>Type A3 = Gr + 1st to 5th Floor</t>
  </si>
  <si>
    <t>Type A2 = Gr + 1st to 5th Floor</t>
  </si>
  <si>
    <t>Grand Total</t>
  </si>
  <si>
    <t>Location Link</t>
  </si>
  <si>
    <t>https://goo.gl/maps/Q5PsPwc2o2SA2XRT8?coh=178572&amp;entry=tt</t>
  </si>
  <si>
    <t>19.62325955, 72.79688278</t>
  </si>
  <si>
    <t xml:space="preserve">Office No. 1031, Wing J, Akshar Business Park, Plot No. 03 Sector 25, Near APMC Market, 
Vashi, Navi Mumbai, Maharashtra 400703 TEL: 022-46090378/79/8
E mail : vsjcapf@gmail.com. Web site : www.vsjadon.com </t>
  </si>
  <si>
    <t>Type A1 = Gr + 1st to 5th Floor
Type A2 = Gr + 1st to 5th Floor
Type A3 = Gr + 1st to 5th Floor</t>
  </si>
  <si>
    <t>Abhi Galaxy, Gut No.144, SS Park, Village- Zanzroli, Kelve(E), Tal-Palghar, Palghar.</t>
  </si>
  <si>
    <r>
      <t xml:space="preserve">Remarks:  
1. A1, A2 &amp; A3 Wing =  Some tenants have occupied the flats, but Lift work &amp; Finishing Work is Pending. Work is same as last visit (07/02/2025).
2. We considered saleable area as per our calculation
3. We adopted carpet area as per approved plan.
4. Car parking is subjected to authentic documentation.
5. We have considered rate by verifying it from market inquire.
6. We have considered Other charges from cost sheet.
7. We have updated the floor plan of Building No.1 (Type A1) 5th Floor and (Type A2) 5th Floor.
&amp; (Type A3) 1st to 5th Floor (on 09/05/2022)
8. As per RERA Type A1, A2 &amp; A3 named as Wing A, B &amp; C.
9. </t>
    </r>
    <r>
      <rPr>
        <b/>
        <sz val="11"/>
        <color rgb="FFFF0000"/>
        <rFont val="Times New Roman"/>
        <family val="1"/>
      </rPr>
      <t>As per RERA, completion period of project is expired on 14/06/2025 but work still not yet completed.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</si>
</sst>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0_);_(* \(#,##0\);_(* &quot;-&quot;??_);_(@_)"/>
    <numFmt numFmtId="166" formatCode="_ * #,##0_ ;_ * \-#,##0_ ;_ * &quot;-&quot;??_ ;_ @_ "/>
  </numFmts>
  <fonts count="28"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b/>
      <sz val="12"/>
      <color theme="1"/>
      <name val="Times New Roman"/>
      <family val="1"/>
    </font>
    <font>
      <sz val="11"/>
      <name val="Calibri"/>
      <family val="2"/>
    </font>
    <font>
      <sz val="11"/>
      <color theme="0"/>
      <name val="Calibri"/>
      <family val="2"/>
    </font>
    <font>
      <sz val="11"/>
      <name val="Calibri"/>
      <family val="2"/>
      <scheme val="minor"/>
    </font>
    <font>
      <b/>
      <sz val="10"/>
      <name val="Times New Roman"/>
      <family val="1"/>
    </font>
    <font>
      <u/>
      <sz val="11"/>
      <color theme="10"/>
      <name val="Calibri"/>
      <family val="2"/>
      <scheme val="minor"/>
    </font>
    <font>
      <b/>
      <sz val="11"/>
      <color rgb="FFFF0000"/>
      <name val="Times New Roman"/>
      <family val="1"/>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2" fillId="0" borderId="0"/>
    <xf numFmtId="0" fontId="12" fillId="0" borderId="0"/>
    <xf numFmtId="43" fontId="12" fillId="0" borderId="0" applyFont="0" applyFill="0" applyBorder="0" applyAlignment="0" applyProtection="0"/>
    <xf numFmtId="0" fontId="26" fillId="0" borderId="0" applyNumberFormat="0" applyFill="0" applyBorder="0" applyAlignment="0" applyProtection="0"/>
  </cellStyleXfs>
  <cellXfs count="234">
    <xf numFmtId="0" fontId="0" fillId="0" borderId="0" xfId="0"/>
    <xf numFmtId="0" fontId="0" fillId="0" borderId="2" xfId="0" applyBorder="1"/>
    <xf numFmtId="0" fontId="13" fillId="0" borderId="2" xfId="0" applyFont="1" applyBorder="1"/>
    <xf numFmtId="0" fontId="0" fillId="0" borderId="3" xfId="0" applyBorder="1"/>
    <xf numFmtId="0" fontId="0" fillId="2" borderId="2" xfId="0" applyFill="1" applyBorder="1"/>
    <xf numFmtId="0" fontId="13" fillId="0" borderId="2" xfId="0" applyFont="1" applyBorder="1" applyAlignment="1">
      <alignment horizontal="center"/>
    </xf>
    <xf numFmtId="0" fontId="13"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1" fillId="0" borderId="0" xfId="3"/>
    <xf numFmtId="0" fontId="12" fillId="0" borderId="0" xfId="4"/>
    <xf numFmtId="0" fontId="13" fillId="0" borderId="2" xfId="4" applyFont="1" applyBorder="1" applyAlignment="1">
      <alignment horizontal="center" vertical="top" wrapText="1"/>
    </xf>
    <xf numFmtId="0" fontId="12" fillId="0" borderId="2" xfId="4" applyBorder="1" applyAlignment="1">
      <alignment horizontal="left" vertical="center"/>
    </xf>
    <xf numFmtId="0" fontId="12" fillId="0" borderId="2" xfId="4" applyBorder="1" applyAlignment="1">
      <alignment horizontal="center" vertical="center"/>
    </xf>
    <xf numFmtId="1" fontId="12" fillId="0" borderId="2" xfId="4" applyNumberFormat="1" applyBorder="1" applyAlignment="1">
      <alignment horizontal="center" vertical="center"/>
    </xf>
    <xf numFmtId="165" fontId="12" fillId="0" borderId="2" xfId="1" applyNumberFormat="1" applyFont="1" applyBorder="1" applyAlignment="1">
      <alignment horizontal="right" vertical="center"/>
    </xf>
    <xf numFmtId="0" fontId="13" fillId="0" borderId="2" xfId="4" applyFont="1" applyBorder="1" applyAlignment="1">
      <alignment horizontal="center" vertical="center"/>
    </xf>
    <xf numFmtId="1" fontId="14" fillId="0" borderId="2" xfId="4" applyNumberFormat="1" applyFont="1" applyBorder="1" applyAlignment="1">
      <alignment horizontal="center" vertical="center"/>
    </xf>
    <xf numFmtId="0" fontId="1" fillId="0" borderId="2" xfId="3" applyBorder="1" applyAlignment="1">
      <alignment horizontal="center" vertical="center"/>
    </xf>
    <xf numFmtId="0" fontId="16" fillId="0" borderId="0" xfId="3" applyFont="1"/>
    <xf numFmtId="0" fontId="20" fillId="0" borderId="0" xfId="0" applyFont="1" applyProtection="1">
      <protection hidden="1"/>
    </xf>
    <xf numFmtId="0" fontId="20" fillId="0" borderId="23" xfId="0" applyFont="1" applyBorder="1" applyProtection="1">
      <protection hidden="1"/>
    </xf>
    <xf numFmtId="0" fontId="18" fillId="0" borderId="2" xfId="5" applyFont="1" applyBorder="1" applyAlignment="1" applyProtection="1">
      <alignment horizontal="center" vertical="top"/>
      <protection locked="0"/>
    </xf>
    <xf numFmtId="0" fontId="18" fillId="0" borderId="17" xfId="5" applyFont="1" applyBorder="1" applyAlignment="1" applyProtection="1">
      <alignment horizontal="center" vertical="top"/>
      <protection locked="0"/>
    </xf>
    <xf numFmtId="0" fontId="18" fillId="0" borderId="2" xfId="5" applyFont="1" applyBorder="1" applyAlignment="1" applyProtection="1">
      <alignment horizontal="center" vertical="top" wrapText="1"/>
      <protection locked="0"/>
    </xf>
    <xf numFmtId="0" fontId="23" fillId="0" borderId="16" xfId="0" applyFont="1" applyBorder="1"/>
    <xf numFmtId="0" fontId="23" fillId="0" borderId="18" xfId="0" applyFont="1" applyBorder="1"/>
    <xf numFmtId="0" fontId="23" fillId="0" borderId="6" xfId="0" applyFont="1" applyBorder="1"/>
    <xf numFmtId="1" fontId="19" fillId="0" borderId="2" xfId="0" applyNumberFormat="1" applyFont="1" applyBorder="1" applyAlignment="1">
      <alignment horizontal="center" vertical="top" wrapText="1"/>
    </xf>
    <xf numFmtId="1" fontId="25" fillId="0" borderId="2" xfId="0" applyNumberFormat="1" applyFont="1" applyBorder="1" applyAlignment="1">
      <alignment horizontal="center" vertical="top" wrapText="1"/>
    </xf>
    <xf numFmtId="1" fontId="18" fillId="0" borderId="2" xfId="0" applyNumberFormat="1" applyFont="1" applyBorder="1" applyAlignment="1">
      <alignment horizontal="center" vertical="center" wrapText="1"/>
    </xf>
    <xf numFmtId="1" fontId="18" fillId="0" borderId="6" xfId="0" applyNumberFormat="1" applyFont="1" applyBorder="1" applyAlignment="1">
      <alignment horizontal="center" vertical="center" wrapText="1"/>
    </xf>
    <xf numFmtId="1" fontId="18" fillId="0" borderId="5" xfId="0" applyNumberFormat="1" applyFont="1" applyBorder="1" applyAlignment="1">
      <alignment horizontal="center" vertical="center" wrapText="1"/>
    </xf>
    <xf numFmtId="0" fontId="9" fillId="0" borderId="2" xfId="0" applyFont="1" applyBorder="1" applyAlignment="1">
      <alignment vertical="top"/>
    </xf>
    <xf numFmtId="0" fontId="22" fillId="0" borderId="25" xfId="0" applyFont="1" applyBorder="1"/>
    <xf numFmtId="0" fontId="17" fillId="0" borderId="19" xfId="5" applyFont="1" applyBorder="1"/>
    <xf numFmtId="0" fontId="18" fillId="0" borderId="2" xfId="5" applyFont="1" applyBorder="1" applyAlignment="1" applyProtection="1">
      <alignment horizontal="center" wrapText="1"/>
      <protection locked="0"/>
    </xf>
    <xf numFmtId="0" fontId="20" fillId="0" borderId="19" xfId="0" applyFont="1" applyBorder="1" applyProtection="1">
      <protection hidden="1"/>
    </xf>
    <xf numFmtId="1" fontId="18" fillId="0" borderId="2" xfId="5" applyNumberFormat="1" applyFont="1" applyBorder="1" applyAlignment="1" applyProtection="1">
      <alignment horizontal="center" wrapText="1"/>
      <protection locked="0"/>
    </xf>
    <xf numFmtId="1" fontId="0" fillId="0" borderId="19" xfId="0" applyNumberFormat="1" applyBorder="1"/>
    <xf numFmtId="1" fontId="0" fillId="0" borderId="19" xfId="0" applyNumberFormat="1" applyBorder="1" applyAlignment="1">
      <alignment horizontal="right"/>
    </xf>
    <xf numFmtId="0" fontId="18" fillId="0" borderId="21" xfId="5" applyFont="1" applyBorder="1" applyAlignment="1" applyProtection="1">
      <alignment horizontal="center" wrapText="1"/>
      <protection locked="0"/>
    </xf>
    <xf numFmtId="1" fontId="0" fillId="0" borderId="24" xfId="0" applyNumberFormat="1" applyBorder="1"/>
    <xf numFmtId="0" fontId="2" fillId="0" borderId="0" xfId="2"/>
    <xf numFmtId="0" fontId="17" fillId="0" borderId="0" xfId="0" applyFont="1" applyAlignment="1">
      <alignment horizontal="center" vertical="center"/>
    </xf>
    <xf numFmtId="0" fontId="15" fillId="0" borderId="0" xfId="0" applyFont="1"/>
    <xf numFmtId="0" fontId="13" fillId="0" borderId="0" xfId="0" applyFont="1"/>
    <xf numFmtId="0" fontId="18" fillId="0" borderId="2" xfId="5" applyFont="1" applyBorder="1" applyAlignment="1" applyProtection="1">
      <alignment horizontal="left" vertical="top"/>
      <protection locked="0"/>
    </xf>
    <xf numFmtId="1" fontId="6" fillId="0" borderId="26" xfId="0" applyNumberFormat="1" applyFont="1" applyBorder="1" applyAlignment="1" applyProtection="1">
      <alignment horizontal="center" vertical="center" wrapText="1"/>
      <protection locked="0"/>
    </xf>
    <xf numFmtId="1" fontId="6" fillId="0" borderId="27" xfId="0" applyNumberFormat="1" applyFont="1" applyBorder="1" applyAlignment="1" applyProtection="1">
      <alignment horizontal="center" vertical="center" wrapText="1"/>
      <protection locked="0"/>
    </xf>
    <xf numFmtId="1" fontId="21" fillId="0" borderId="28" xfId="0" applyNumberFormat="1"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1" fontId="21" fillId="0" borderId="28" xfId="0" applyNumberFormat="1" applyFont="1" applyBorder="1" applyAlignment="1" applyProtection="1">
      <alignment horizontal="center" vertical="top" wrapText="1"/>
      <protection locked="0"/>
    </xf>
    <xf numFmtId="0" fontId="21" fillId="0" borderId="27" xfId="0" applyFont="1" applyBorder="1" applyAlignment="1" applyProtection="1">
      <alignment horizontal="center" vertical="top" wrapText="1"/>
      <protection locked="0"/>
    </xf>
    <xf numFmtId="0" fontId="21" fillId="0" borderId="29" xfId="0" applyFont="1" applyBorder="1" applyAlignment="1" applyProtection="1">
      <alignment horizontal="center" vertical="top" wrapText="1"/>
      <protection locked="0"/>
    </xf>
    <xf numFmtId="0" fontId="21" fillId="0" borderId="30" xfId="0" applyFont="1" applyBorder="1" applyAlignment="1" applyProtection="1">
      <alignment horizontal="center" vertical="top" wrapText="1"/>
      <protection locked="0"/>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26" fillId="0" borderId="1" xfId="7" applyBorder="1" applyAlignment="1">
      <alignment horizontal="left" vertical="top"/>
    </xf>
    <xf numFmtId="0" fontId="18" fillId="0" borderId="17" xfId="5" applyFont="1" applyBorder="1" applyAlignment="1" applyProtection="1">
      <alignment horizontal="center" vertical="top"/>
      <protection locked="0"/>
    </xf>
    <xf numFmtId="0" fontId="18" fillId="0" borderId="2" xfId="5" applyFont="1" applyBorder="1" applyAlignment="1" applyProtection="1">
      <alignment horizontal="center" vertical="top"/>
      <protection locked="0"/>
    </xf>
    <xf numFmtId="9" fontId="18" fillId="0" borderId="2" xfId="5" applyNumberFormat="1" applyFont="1" applyBorder="1" applyAlignment="1" applyProtection="1">
      <alignment horizontal="center" vertical="center" wrapText="1"/>
      <protection hidden="1"/>
    </xf>
    <xf numFmtId="9" fontId="18" fillId="0" borderId="21" xfId="5" applyNumberFormat="1" applyFont="1" applyBorder="1" applyAlignment="1" applyProtection="1">
      <alignment horizontal="center" vertical="center" wrapText="1"/>
      <protection hidden="1"/>
    </xf>
    <xf numFmtId="9" fontId="18" fillId="0" borderId="18" xfId="5" applyNumberFormat="1" applyFont="1" applyBorder="1" applyAlignment="1" applyProtection="1">
      <alignment horizontal="center" vertical="center" wrapText="1"/>
      <protection hidden="1"/>
    </xf>
    <xf numFmtId="9" fontId="18" fillId="0" borderId="22" xfId="5" applyNumberFormat="1" applyFont="1" applyBorder="1" applyAlignment="1" applyProtection="1">
      <alignment horizontal="center" vertical="center" wrapText="1"/>
      <protection hidden="1"/>
    </xf>
    <xf numFmtId="0" fontId="18" fillId="0" borderId="17" xfId="5" applyFont="1" applyBorder="1" applyAlignment="1" applyProtection="1">
      <alignment horizontal="center" vertical="top" wrapText="1"/>
      <protection locked="0"/>
    </xf>
    <xf numFmtId="0" fontId="18" fillId="0" borderId="2" xfId="5" applyFont="1" applyBorder="1" applyAlignment="1" applyProtection="1">
      <alignment horizontal="center" vertical="top" wrapText="1"/>
      <protection locked="0"/>
    </xf>
    <xf numFmtId="0" fontId="18" fillId="0" borderId="20" xfId="5" applyFont="1" applyBorder="1" applyAlignment="1" applyProtection="1">
      <alignment horizontal="center" vertical="top"/>
      <protection locked="0"/>
    </xf>
    <xf numFmtId="0" fontId="18" fillId="0" borderId="21" xfId="5" applyFont="1" applyBorder="1" applyAlignment="1" applyProtection="1">
      <alignment horizontal="center" vertical="top"/>
      <protection locked="0"/>
    </xf>
    <xf numFmtId="0" fontId="19" fillId="0" borderId="14" xfId="5" applyFont="1" applyBorder="1" applyAlignment="1" applyProtection="1">
      <alignment horizontal="center" vertical="top" wrapText="1"/>
      <protection locked="0"/>
    </xf>
    <xf numFmtId="0" fontId="19" fillId="0" borderId="15" xfId="5" applyFont="1" applyBorder="1" applyAlignment="1" applyProtection="1">
      <alignment horizontal="center" vertical="top" wrapText="1"/>
      <protection locked="0"/>
    </xf>
    <xf numFmtId="0" fontId="19" fillId="0" borderId="15" xfId="5" applyFont="1" applyBorder="1" applyAlignment="1" applyProtection="1">
      <alignment horizontal="left" vertical="top" wrapText="1"/>
      <protection locked="0"/>
    </xf>
    <xf numFmtId="0" fontId="19" fillId="0" borderId="16" xfId="5" applyFont="1" applyBorder="1" applyAlignment="1" applyProtection="1">
      <alignment horizontal="left" vertical="top" wrapText="1"/>
      <protection locked="0"/>
    </xf>
    <xf numFmtId="0" fontId="18" fillId="0" borderId="18" xfId="5" applyFont="1" applyBorder="1" applyAlignment="1" applyProtection="1">
      <alignment horizontal="center" vertical="top"/>
      <protection locked="0"/>
    </xf>
    <xf numFmtId="0" fontId="19" fillId="0" borderId="17" xfId="5" applyFont="1" applyBorder="1" applyAlignment="1" applyProtection="1">
      <alignment horizontal="left" vertical="top"/>
      <protection locked="0"/>
    </xf>
    <xf numFmtId="0" fontId="19" fillId="0" borderId="2" xfId="5" applyFont="1" applyBorder="1" applyAlignment="1" applyProtection="1">
      <alignment horizontal="left" vertical="top"/>
      <protection locked="0"/>
    </xf>
    <xf numFmtId="0" fontId="19" fillId="0" borderId="2" xfId="5" applyFont="1" applyBorder="1" applyAlignment="1" applyProtection="1">
      <alignment horizontal="left" vertical="top" wrapText="1"/>
      <protection locked="0"/>
    </xf>
    <xf numFmtId="0" fontId="19" fillId="0" borderId="18" xfId="5" applyFont="1" applyBorder="1" applyAlignment="1" applyProtection="1">
      <alignment horizontal="left" vertical="top" wrapText="1"/>
      <protection locked="0"/>
    </xf>
    <xf numFmtId="0" fontId="18" fillId="0" borderId="18" xfId="5" applyFont="1" applyBorder="1" applyAlignment="1" applyProtection="1">
      <alignment horizontal="center" vertical="top" wrapText="1"/>
      <protection locked="0"/>
    </xf>
    <xf numFmtId="1" fontId="18" fillId="0" borderId="2"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1" fontId="18" fillId="0" borderId="6" xfId="0" applyNumberFormat="1" applyFont="1" applyBorder="1" applyAlignment="1">
      <alignment horizontal="center" vertical="center" wrapText="1"/>
    </xf>
    <xf numFmtId="0" fontId="5" fillId="0" borderId="5" xfId="0" applyFont="1" applyBorder="1" applyAlignment="1">
      <alignment horizontal="left" vertical="top"/>
    </xf>
    <xf numFmtId="0" fontId="5" fillId="0" borderId="6" xfId="0" applyFont="1" applyBorder="1" applyAlignment="1">
      <alignment horizontal="left" vertical="top"/>
    </xf>
    <xf numFmtId="166" fontId="4" fillId="0" borderId="1" xfId="6" applyNumberFormat="1" applyFont="1" applyFill="1" applyBorder="1" applyAlignment="1">
      <alignment horizontal="left" vertical="top"/>
    </xf>
    <xf numFmtId="166" fontId="4" fillId="0" borderId="5" xfId="6" applyNumberFormat="1" applyFont="1" applyFill="1" applyBorder="1" applyAlignment="1">
      <alignment horizontal="left" vertical="top"/>
    </xf>
    <xf numFmtId="166" fontId="4" fillId="0" borderId="6" xfId="6" applyNumberFormat="1" applyFont="1" applyFill="1" applyBorder="1" applyAlignment="1">
      <alignment horizontal="left" vertical="top"/>
    </xf>
    <xf numFmtId="1" fontId="19" fillId="0" borderId="2"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5" fillId="0" borderId="1" xfId="0" applyFont="1" applyBorder="1" applyAlignment="1">
      <alignment horizontal="left"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8" fillId="0" borderId="7" xfId="0" applyFont="1" applyBorder="1" applyAlignment="1">
      <alignment vertical="top" wrapText="1"/>
    </xf>
    <xf numFmtId="0" fontId="8" fillId="0" borderId="13"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9" fillId="0" borderId="7" xfId="0" applyFont="1" applyBorder="1" applyAlignment="1">
      <alignment horizontal="left" vertical="top" wrapText="1"/>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12" xfId="0" applyFont="1" applyBorder="1" applyAlignment="1">
      <alignment horizontal="left" vertical="top" wrapText="1"/>
    </xf>
    <xf numFmtId="0" fontId="5" fillId="0" borderId="1" xfId="0" applyFont="1" applyBorder="1" applyAlignment="1">
      <alignment horizontal="center" vertical="top"/>
    </xf>
    <xf numFmtId="0" fontId="5" fillId="0" borderId="6" xfId="0" applyFont="1" applyBorder="1" applyAlignment="1">
      <alignment horizontal="center" vertical="top"/>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2" xfId="0" applyFont="1" applyBorder="1" applyAlignment="1">
      <alignment horizontal="left" vertical="top"/>
    </xf>
    <xf numFmtId="0" fontId="9" fillId="0" borderId="1" xfId="0" applyFont="1" applyBorder="1" applyAlignment="1">
      <alignment horizontal="center" vertical="top" wrapText="1"/>
    </xf>
    <xf numFmtId="0" fontId="9" fillId="0" borderId="6" xfId="0" applyFont="1" applyBorder="1" applyAlignment="1">
      <alignment horizontal="center" vertical="top" wrapText="1"/>
    </xf>
    <xf numFmtId="14" fontId="9" fillId="0" borderId="1" xfId="0" applyNumberFormat="1" applyFont="1" applyBorder="1" applyAlignment="1">
      <alignment horizontal="left" vertical="top"/>
    </xf>
    <xf numFmtId="0" fontId="8" fillId="0" borderId="1"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3" fillId="0" borderId="5" xfId="0" applyFont="1" applyBorder="1" applyAlignment="1">
      <alignment horizontal="left" vertical="top"/>
    </xf>
    <xf numFmtId="0" fontId="9" fillId="0" borderId="2" xfId="0" applyFont="1" applyBorder="1" applyAlignment="1">
      <alignment horizontal="left" vertical="top" wrapText="1"/>
    </xf>
    <xf numFmtId="0" fontId="4" fillId="0" borderId="1" xfId="0" applyFont="1" applyBorder="1" applyAlignment="1">
      <alignment horizontal="center" vertical="top"/>
    </xf>
    <xf numFmtId="0" fontId="4" fillId="0" borderId="6" xfId="0" applyFont="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4" fontId="9" fillId="0" borderId="5" xfId="0" applyNumberFormat="1" applyFont="1" applyBorder="1" applyAlignment="1">
      <alignment horizontal="left" vertical="top"/>
    </xf>
    <xf numFmtId="14" fontId="9" fillId="0" borderId="6" xfId="0" applyNumberFormat="1" applyFont="1" applyBorder="1" applyAlignment="1">
      <alignment horizontal="left" vertical="top"/>
    </xf>
    <xf numFmtId="0" fontId="4"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4" fillId="0" borderId="7"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vertical="top"/>
    </xf>
    <xf numFmtId="0" fontId="4" fillId="0" borderId="6" xfId="0" applyFont="1" applyBorder="1" applyAlignment="1">
      <alignment vertical="top"/>
    </xf>
    <xf numFmtId="0" fontId="4" fillId="0" borderId="2" xfId="0" applyFont="1" applyBorder="1" applyAlignment="1">
      <alignment horizontal="left" vertical="top"/>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4" fillId="0" borderId="2"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3" fillId="0" borderId="2" xfId="0" applyFont="1" applyBorder="1" applyAlignment="1">
      <alignment horizontal="left" vertical="top"/>
    </xf>
    <xf numFmtId="0" fontId="7" fillId="0" borderId="2" xfId="0" applyFont="1" applyBorder="1" applyAlignment="1">
      <alignment horizontal="left" vertical="top"/>
    </xf>
    <xf numFmtId="0" fontId="11" fillId="0" borderId="11" xfId="0" applyFont="1" applyBorder="1" applyAlignment="1">
      <alignment horizontal="center" vertical="top"/>
    </xf>
    <xf numFmtId="0" fontId="11" fillId="0" borderId="3" xfId="0" applyFont="1" applyBorder="1" applyAlignment="1">
      <alignment horizontal="center" vertical="top"/>
    </xf>
    <xf numFmtId="0" fontId="11" fillId="0" borderId="12" xfId="0" applyFont="1" applyBorder="1" applyAlignment="1">
      <alignment horizontal="center" vertical="top"/>
    </xf>
    <xf numFmtId="1" fontId="19" fillId="0" borderId="1" xfId="0" applyNumberFormat="1" applyFont="1" applyBorder="1" applyAlignment="1">
      <alignment horizontal="center" vertical="top" wrapText="1"/>
    </xf>
    <xf numFmtId="1" fontId="19" fillId="0" borderId="6" xfId="0" applyNumberFormat="1" applyFont="1" applyBorder="1" applyAlignment="1">
      <alignment horizontal="center" vertical="top" wrapText="1"/>
    </xf>
    <xf numFmtId="0" fontId="5" fillId="0" borderId="1" xfId="0" applyFont="1" applyBorder="1" applyAlignment="1">
      <alignment vertical="top"/>
    </xf>
    <xf numFmtId="0" fontId="8" fillId="0" borderId="2" xfId="2" applyFont="1" applyBorder="1" applyAlignment="1">
      <alignment horizontal="left" vertical="top" wrapText="1"/>
    </xf>
    <xf numFmtId="1" fontId="8" fillId="0" borderId="1" xfId="0" applyNumberFormat="1" applyFont="1" applyBorder="1" applyAlignment="1">
      <alignment horizontal="center" vertical="top" wrapText="1"/>
    </xf>
    <xf numFmtId="1" fontId="8" fillId="0" borderId="6" xfId="0" applyNumberFormat="1" applyFont="1" applyBorder="1" applyAlignment="1">
      <alignment horizontal="center" vertical="top" wrapText="1"/>
    </xf>
    <xf numFmtId="1" fontId="19" fillId="0" borderId="5" xfId="0" applyNumberFormat="1" applyFont="1" applyBorder="1" applyAlignment="1">
      <alignment horizontal="center" vertical="top" wrapText="1"/>
    </xf>
    <xf numFmtId="1" fontId="18" fillId="0" borderId="7" xfId="0" applyNumberFormat="1" applyFont="1" applyBorder="1" applyAlignment="1">
      <alignment horizontal="center" vertical="center" wrapText="1"/>
    </xf>
    <xf numFmtId="1" fontId="18" fillId="0" borderId="8" xfId="0" applyNumberFormat="1" applyFont="1" applyBorder="1" applyAlignment="1">
      <alignment horizontal="center" vertical="center" wrapText="1"/>
    </xf>
    <xf numFmtId="1" fontId="18" fillId="0" borderId="9" xfId="0" applyNumberFormat="1" applyFont="1" applyBorder="1" applyAlignment="1">
      <alignment horizontal="center" vertical="center" wrapText="1"/>
    </xf>
    <xf numFmtId="1" fontId="18" fillId="0" borderId="10" xfId="0" applyNumberFormat="1" applyFont="1" applyBorder="1" applyAlignment="1">
      <alignment horizontal="center" vertical="center" wrapText="1"/>
    </xf>
    <xf numFmtId="1" fontId="18" fillId="0" borderId="11" xfId="0" applyNumberFormat="1" applyFont="1" applyBorder="1" applyAlignment="1">
      <alignment horizontal="center" vertical="center" wrapText="1"/>
    </xf>
    <xf numFmtId="1" fontId="18" fillId="0" borderId="12" xfId="0" applyNumberFormat="1"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2" xfId="0" applyFont="1" applyBorder="1" applyAlignment="1">
      <alignment horizontal="left" vertical="top"/>
    </xf>
    <xf numFmtId="0" fontId="24" fillId="0" borderId="6" xfId="0" applyFont="1" applyBorder="1" applyAlignment="1">
      <alignment horizontal="left"/>
    </xf>
    <xf numFmtId="0" fontId="9" fillId="0" borderId="2" xfId="0" applyFont="1" applyBorder="1" applyAlignment="1">
      <alignment horizontal="center" vertical="top"/>
    </xf>
    <xf numFmtId="0" fontId="9" fillId="0" borderId="1" xfId="0" applyFont="1" applyBorder="1" applyAlignment="1">
      <alignment horizontal="center" vertical="top"/>
    </xf>
    <xf numFmtId="0" fontId="9" fillId="0" borderId="6" xfId="0" applyFont="1" applyBorder="1" applyAlignment="1">
      <alignment horizontal="center" vertical="top"/>
    </xf>
    <xf numFmtId="1" fontId="17" fillId="0" borderId="1" xfId="0" applyNumberFormat="1" applyFont="1" applyBorder="1" applyAlignment="1" applyProtection="1">
      <alignment horizontal="center" vertical="top" wrapText="1"/>
      <protection locked="0"/>
    </xf>
    <xf numFmtId="1" fontId="17" fillId="0" borderId="6" xfId="0" applyNumberFormat="1" applyFont="1" applyBorder="1" applyAlignment="1" applyProtection="1">
      <alignment horizontal="center" vertical="top" wrapText="1"/>
      <protection locked="0"/>
    </xf>
    <xf numFmtId="1" fontId="6" fillId="0" borderId="7" xfId="0" applyNumberFormat="1" applyFont="1" applyBorder="1" applyAlignment="1" applyProtection="1">
      <alignment horizontal="center" vertical="center" wrapText="1"/>
      <protection locked="0"/>
    </xf>
    <xf numFmtId="1" fontId="6" fillId="0" borderId="8" xfId="0" applyNumberFormat="1" applyFont="1" applyBorder="1" applyAlignment="1" applyProtection="1">
      <alignment horizontal="center" vertical="center" wrapText="1"/>
      <protection locked="0"/>
    </xf>
    <xf numFmtId="0" fontId="21" fillId="0" borderId="7"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1" fontId="21" fillId="0" borderId="7" xfId="0" applyNumberFormat="1" applyFont="1" applyBorder="1" applyAlignment="1" applyProtection="1">
      <alignment horizontal="center" vertical="top" wrapText="1"/>
      <protection locked="0"/>
    </xf>
    <xf numFmtId="0" fontId="21" fillId="0" borderId="8" xfId="0" applyFont="1" applyBorder="1" applyAlignment="1" applyProtection="1">
      <alignment horizontal="center" vertical="top" wrapText="1"/>
      <protection locked="0"/>
    </xf>
    <xf numFmtId="0" fontId="21" fillId="0" borderId="13" xfId="0" applyFont="1" applyBorder="1" applyAlignment="1" applyProtection="1">
      <alignment horizontal="center" vertical="top" wrapText="1"/>
      <protection locked="0"/>
    </xf>
    <xf numFmtId="1" fontId="10" fillId="0" borderId="2"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1" fontId="17" fillId="0" borderId="5" xfId="0" applyNumberFormat="1" applyFont="1" applyBorder="1" applyAlignment="1" applyProtection="1">
      <alignment horizontal="center" vertical="top" wrapText="1"/>
      <protection locked="0"/>
    </xf>
    <xf numFmtId="1" fontId="19" fillId="0" borderId="2" xfId="0" applyNumberFormat="1"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top" wrapText="1"/>
      <protection locked="0"/>
    </xf>
    <xf numFmtId="1" fontId="17" fillId="0" borderId="2" xfId="0" applyNumberFormat="1" applyFont="1" applyBorder="1" applyAlignment="1" applyProtection="1">
      <alignment horizontal="center" vertical="top" wrapText="1"/>
      <protection locked="0"/>
    </xf>
    <xf numFmtId="0" fontId="17" fillId="0" borderId="2" xfId="0" applyFont="1" applyBorder="1" applyAlignment="1" applyProtection="1">
      <alignment horizontal="center" vertical="center"/>
      <protection locked="0"/>
    </xf>
    <xf numFmtId="0" fontId="21" fillId="0" borderId="2" xfId="0" applyFont="1" applyBorder="1" applyAlignment="1" applyProtection="1">
      <alignment horizontal="center" vertical="top" wrapText="1"/>
      <protection locked="0"/>
    </xf>
    <xf numFmtId="1" fontId="6" fillId="0" borderId="2" xfId="0" applyNumberFormat="1" applyFont="1" applyBorder="1" applyAlignment="1" applyProtection="1">
      <alignment horizontal="center" vertical="center" wrapText="1"/>
      <protection locked="0"/>
    </xf>
    <xf numFmtId="1" fontId="21" fillId="0" borderId="2" xfId="0" applyNumberFormat="1"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1" fontId="19" fillId="0" borderId="7" xfId="0" applyNumberFormat="1" applyFont="1" applyBorder="1" applyAlignment="1">
      <alignment horizontal="center" vertical="center" wrapText="1"/>
    </xf>
    <xf numFmtId="1" fontId="19" fillId="0" borderId="13" xfId="0" applyNumberFormat="1" applyFont="1" applyBorder="1" applyAlignment="1">
      <alignment horizontal="center" vertical="center" wrapText="1"/>
    </xf>
    <xf numFmtId="1" fontId="19" fillId="0" borderId="8"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 fontId="19" fillId="0" borderId="5" xfId="0" applyNumberFormat="1" applyFont="1" applyBorder="1" applyAlignment="1">
      <alignment horizontal="center" vertical="center" wrapText="1"/>
    </xf>
    <xf numFmtId="1" fontId="19" fillId="0" borderId="6" xfId="0" applyNumberFormat="1" applyFont="1" applyBorder="1" applyAlignment="1">
      <alignment horizontal="center" vertical="center" wrapText="1"/>
    </xf>
    <xf numFmtId="1" fontId="21" fillId="0" borderId="2" xfId="0" applyNumberFormat="1" applyFont="1" applyBorder="1" applyAlignment="1" applyProtection="1">
      <alignment horizontal="center" vertical="top" wrapText="1"/>
      <protection locked="0"/>
    </xf>
    <xf numFmtId="0" fontId="17" fillId="0" borderId="2" xfId="0" applyFont="1" applyBorder="1" applyAlignment="1" applyProtection="1">
      <alignment horizontal="center" vertical="top" wrapText="1"/>
      <protection locked="0"/>
    </xf>
    <xf numFmtId="1" fontId="19" fillId="0" borderId="2" xfId="0" applyNumberFormat="1" applyFont="1" applyBorder="1" applyAlignment="1">
      <alignment horizontal="center" vertical="top" wrapText="1"/>
    </xf>
    <xf numFmtId="1" fontId="17" fillId="0" borderId="2" xfId="0" applyNumberFormat="1" applyFont="1" applyBorder="1" applyAlignment="1" applyProtection="1">
      <alignment horizontal="center" vertical="center"/>
      <protection locked="0"/>
    </xf>
    <xf numFmtId="0" fontId="13" fillId="0" borderId="2" xfId="4" applyFont="1" applyBorder="1" applyAlignment="1">
      <alignment horizontal="left"/>
    </xf>
    <xf numFmtId="0" fontId="0" fillId="2" borderId="2" xfId="0" applyFill="1" applyBorder="1" applyAlignment="1">
      <alignment horizontal="center" wrapText="1"/>
    </xf>
    <xf numFmtId="0" fontId="13" fillId="0" borderId="2" xfId="0" applyFont="1" applyBorder="1" applyAlignment="1">
      <alignment horizontal="center"/>
    </xf>
  </cellXfs>
  <cellStyles count="8">
    <cellStyle name="Comma" xfId="6" builtinId="3"/>
    <cellStyle name="Comma 2" xfId="1" xr:uid="{00000000-0005-0000-0000-000001000000}"/>
    <cellStyle name="Excel Built-in Normal" xfId="2" xr:uid="{00000000-0005-0000-0000-000002000000}"/>
    <cellStyle name="Excel Built-in Normal 2" xfId="3" xr:uid="{00000000-0005-0000-0000-000003000000}"/>
    <cellStyle name="Hyperlink" xfId="7" builtinId="8"/>
    <cellStyle name="Normal" xfId="0" builtinId="0"/>
    <cellStyle name="Normal 3" xfId="5" xr:uid="{00000000-0005-0000-0000-000006000000}"/>
    <cellStyle name="Normal 4"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9.jpeg"/><Relationship Id="rId1" Type="http://schemas.openxmlformats.org/officeDocument/2006/relationships/image" Target="../media/image2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189754</xdr:colOff>
      <xdr:row>261</xdr:row>
      <xdr:rowOff>97865</xdr:rowOff>
    </xdr:from>
    <xdr:to>
      <xdr:col>8</xdr:col>
      <xdr:colOff>2478</xdr:colOff>
      <xdr:row>275</xdr:row>
      <xdr:rowOff>112059</xdr:rowOff>
    </xdr:to>
    <xdr:pic>
      <xdr:nvPicPr>
        <xdr:cNvPr id="5210" name="Picture 7">
          <a:extLst>
            <a:ext uri="{FF2B5EF4-FFF2-40B4-BE49-F238E27FC236}">
              <a16:creationId xmlns:a16="http://schemas.microsoft.com/office/drawing/2014/main" id="{00000000-0008-0000-0000-00005A14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40548" y="41313100"/>
          <a:ext cx="4531261" cy="268119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161229</xdr:colOff>
      <xdr:row>276</xdr:row>
      <xdr:rowOff>14432</xdr:rowOff>
    </xdr:from>
    <xdr:to>
      <xdr:col>7</xdr:col>
      <xdr:colOff>582661</xdr:colOff>
      <xdr:row>290</xdr:row>
      <xdr:rowOff>33109</xdr:rowOff>
    </xdr:to>
    <xdr:pic>
      <xdr:nvPicPr>
        <xdr:cNvPr id="5211" name="Picture 8">
          <a:extLst>
            <a:ext uri="{FF2B5EF4-FFF2-40B4-BE49-F238E27FC236}">
              <a16:creationId xmlns:a16="http://schemas.microsoft.com/office/drawing/2014/main" id="{00000000-0008-0000-0000-00005B14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62615" y="56852705"/>
          <a:ext cx="4240091" cy="2685677"/>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314325</xdr:colOff>
      <xdr:row>216</xdr:row>
      <xdr:rowOff>171450</xdr:rowOff>
    </xdr:from>
    <xdr:to>
      <xdr:col>13</xdr:col>
      <xdr:colOff>48895</xdr:colOff>
      <xdr:row>218</xdr:row>
      <xdr:rowOff>82550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086725" y="46824900"/>
          <a:ext cx="34417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A1</a:t>
          </a:r>
        </a:p>
      </xdr:txBody>
    </xdr:sp>
    <xdr:clientData/>
  </xdr:twoCellAnchor>
  <xdr:twoCellAnchor>
    <xdr:from>
      <xdr:col>15</xdr:col>
      <xdr:colOff>106973</xdr:colOff>
      <xdr:row>216</xdr:row>
      <xdr:rowOff>171450</xdr:rowOff>
    </xdr:from>
    <xdr:to>
      <xdr:col>15</xdr:col>
      <xdr:colOff>451143</xdr:colOff>
      <xdr:row>218</xdr:row>
      <xdr:rowOff>82550</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9708173" y="46824900"/>
          <a:ext cx="34417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A2</a:t>
          </a:r>
        </a:p>
      </xdr:txBody>
    </xdr:sp>
    <xdr:clientData/>
  </xdr:twoCellAnchor>
  <xdr:twoCellAnchor>
    <xdr:from>
      <xdr:col>12</xdr:col>
      <xdr:colOff>503262</xdr:colOff>
      <xdr:row>229</xdr:row>
      <xdr:rowOff>9569</xdr:rowOff>
    </xdr:from>
    <xdr:to>
      <xdr:col>13</xdr:col>
      <xdr:colOff>237832</xdr:colOff>
      <xdr:row>230</xdr:row>
      <xdr:rowOff>111169</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8275662" y="49139519"/>
          <a:ext cx="34417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A3</a:t>
          </a:r>
        </a:p>
      </xdr:txBody>
    </xdr:sp>
    <xdr:clientData/>
  </xdr:twoCellAnchor>
  <xdr:twoCellAnchor>
    <xdr:from>
      <xdr:col>11</xdr:col>
      <xdr:colOff>82550</xdr:colOff>
      <xdr:row>213</xdr:row>
      <xdr:rowOff>110490</xdr:rowOff>
    </xdr:from>
    <xdr:to>
      <xdr:col>21</xdr:col>
      <xdr:colOff>150421</xdr:colOff>
      <xdr:row>252</xdr:row>
      <xdr:rowOff>31396</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443470" y="39879270"/>
          <a:ext cx="6163871" cy="7053226"/>
          <a:chOff x="44450" y="39903400"/>
          <a:chExt cx="6274361" cy="7101486"/>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904119" y="45924886"/>
            <a:ext cx="2645038" cy="1080000"/>
          </a:xfrm>
          <a:prstGeom prst="rect">
            <a:avLst/>
          </a:prstGeom>
          <a:ln>
            <a:solidFill>
              <a:schemeClr val="tx1"/>
            </a:solidFill>
          </a:ln>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864510" y="39903400"/>
            <a:ext cx="1178831" cy="216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319919" y="42138512"/>
            <a:ext cx="1178831" cy="216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589040" y="42138512"/>
            <a:ext cx="1178831" cy="216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4451" y="39903400"/>
            <a:ext cx="1178831"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319920" y="39903400"/>
            <a:ext cx="1178831"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864510" y="42138512"/>
            <a:ext cx="1178831"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589040" y="39903400"/>
            <a:ext cx="1178831" cy="216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4450" y="42138512"/>
            <a:ext cx="1178831" cy="216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139980" y="39903400"/>
            <a:ext cx="1178831"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139980" y="42138512"/>
            <a:ext cx="1178831"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631069" y="44392674"/>
            <a:ext cx="3190472" cy="1440000"/>
          </a:xfrm>
          <a:prstGeom prst="rect">
            <a:avLst/>
          </a:prstGeom>
          <a:ln>
            <a:solidFill>
              <a:schemeClr val="tx1"/>
            </a:solidFill>
          </a:ln>
        </xdr:spPr>
      </xdr:pic>
    </xdr:grpSp>
    <xdr:clientData/>
  </xdr:twoCellAnchor>
  <xdr:twoCellAnchor>
    <xdr:from>
      <xdr:col>0</xdr:col>
      <xdr:colOff>137161</xdr:colOff>
      <xdr:row>216</xdr:row>
      <xdr:rowOff>30480</xdr:rowOff>
    </xdr:from>
    <xdr:to>
      <xdr:col>9</xdr:col>
      <xdr:colOff>60960</xdr:colOff>
      <xdr:row>258</xdr:row>
      <xdr:rowOff>144780</xdr:rowOff>
    </xdr:to>
    <xdr:grpSp>
      <xdr:nvGrpSpPr>
        <xdr:cNvPr id="3" name="Group 2">
          <a:extLst>
            <a:ext uri="{FF2B5EF4-FFF2-40B4-BE49-F238E27FC236}">
              <a16:creationId xmlns:a16="http://schemas.microsoft.com/office/drawing/2014/main" id="{50D91E5E-341D-7815-3E7D-B80A4931423D}"/>
            </a:ext>
          </a:extLst>
        </xdr:cNvPr>
        <xdr:cNvGrpSpPr/>
      </xdr:nvGrpSpPr>
      <xdr:grpSpPr>
        <a:xfrm>
          <a:off x="137161" y="40347900"/>
          <a:ext cx="5966459" cy="6880860"/>
          <a:chOff x="-24223" y="240174"/>
          <a:chExt cx="6882223" cy="7949106"/>
        </a:xfrm>
      </xdr:grpSpPr>
      <xdr:pic>
        <xdr:nvPicPr>
          <xdr:cNvPr id="4" name="Picture 3">
            <a:extLst>
              <a:ext uri="{FF2B5EF4-FFF2-40B4-BE49-F238E27FC236}">
                <a16:creationId xmlns:a16="http://schemas.microsoft.com/office/drawing/2014/main" id="{34223C64-FCFF-EC88-9702-1A92BF80E238}"/>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3500709" y="240174"/>
            <a:ext cx="3357291" cy="2520000"/>
          </a:xfrm>
          <a:prstGeom prst="rect">
            <a:avLst/>
          </a:prstGeom>
          <a:ln>
            <a:solidFill>
              <a:schemeClr val="tx1"/>
            </a:solidFill>
          </a:ln>
        </xdr:spPr>
      </xdr:pic>
      <xdr:pic>
        <xdr:nvPicPr>
          <xdr:cNvPr id="5" name="Picture 4">
            <a:extLst>
              <a:ext uri="{FF2B5EF4-FFF2-40B4-BE49-F238E27FC236}">
                <a16:creationId xmlns:a16="http://schemas.microsoft.com/office/drawing/2014/main" id="{D68547BC-BA83-3F79-A8DA-020BC1ACD4CA}"/>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596953" y="2954727"/>
            <a:ext cx="1888031" cy="2520000"/>
          </a:xfrm>
          <a:prstGeom prst="rect">
            <a:avLst/>
          </a:prstGeom>
          <a:ln>
            <a:solidFill>
              <a:schemeClr val="tx1"/>
            </a:solidFill>
          </a:ln>
        </xdr:spPr>
      </xdr:pic>
      <xdr:pic>
        <xdr:nvPicPr>
          <xdr:cNvPr id="6" name="Picture 5">
            <a:extLst>
              <a:ext uri="{FF2B5EF4-FFF2-40B4-BE49-F238E27FC236}">
                <a16:creationId xmlns:a16="http://schemas.microsoft.com/office/drawing/2014/main" id="{57A5F966-31EC-B7D5-537B-72129671147C}"/>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4223" y="240174"/>
            <a:ext cx="3357291" cy="2520000"/>
          </a:xfrm>
          <a:prstGeom prst="rect">
            <a:avLst/>
          </a:prstGeom>
          <a:ln>
            <a:solidFill>
              <a:schemeClr val="tx1"/>
            </a:solidFill>
          </a:ln>
        </xdr:spPr>
      </xdr:pic>
      <xdr:pic>
        <xdr:nvPicPr>
          <xdr:cNvPr id="7" name="Picture 6">
            <a:extLst>
              <a:ext uri="{FF2B5EF4-FFF2-40B4-BE49-F238E27FC236}">
                <a16:creationId xmlns:a16="http://schemas.microsoft.com/office/drawing/2014/main" id="{09ECFD94-DA96-8DDE-5AD7-9FB88F74D248}"/>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676850" y="2954727"/>
            <a:ext cx="1888031" cy="2520000"/>
          </a:xfrm>
          <a:prstGeom prst="rect">
            <a:avLst/>
          </a:prstGeom>
          <a:ln>
            <a:solidFill>
              <a:schemeClr val="tx1"/>
            </a:solidFill>
          </a:ln>
        </xdr:spPr>
      </xdr:pic>
      <xdr:pic>
        <xdr:nvPicPr>
          <xdr:cNvPr id="8" name="Picture 7">
            <a:extLst>
              <a:ext uri="{FF2B5EF4-FFF2-40B4-BE49-F238E27FC236}">
                <a16:creationId xmlns:a16="http://schemas.microsoft.com/office/drawing/2014/main" id="{B21BC4A6-7D12-73EB-8D34-4A291FAF7111}"/>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4756747" y="2954727"/>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3CB6A3BA-E6F9-BEF9-0C51-786C1B9227F6}"/>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2678198" y="5669280"/>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B05AEED5-B3E9-773B-DFAE-1595C34E913A}"/>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596952" y="5669280"/>
            <a:ext cx="1888031"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F4826FA0-5C88-BE0C-6E6A-2BB287C2229F}"/>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4756746" y="5669280"/>
            <a:ext cx="1888031" cy="25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520700</xdr:colOff>
      <xdr:row>13</xdr:row>
      <xdr:rowOff>44450</xdr:rowOff>
    </xdr:from>
    <xdr:to>
      <xdr:col>16</xdr:col>
      <xdr:colOff>101600</xdr:colOff>
      <xdr:row>32</xdr:row>
      <xdr:rowOff>25400</xdr:rowOff>
    </xdr:to>
    <xdr:pic>
      <xdr:nvPicPr>
        <xdr:cNvPr id="4196" name="Picture 1">
          <a:extLst>
            <a:ext uri="{FF2B5EF4-FFF2-40B4-BE49-F238E27FC236}">
              <a16:creationId xmlns:a16="http://schemas.microsoft.com/office/drawing/2014/main" id="{00000000-0008-0000-0100-0000641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842250" y="2508250"/>
          <a:ext cx="70040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33</xdr:row>
      <xdr:rowOff>82550</xdr:rowOff>
    </xdr:from>
    <xdr:to>
      <xdr:col>6</xdr:col>
      <xdr:colOff>387350</xdr:colOff>
      <xdr:row>52</xdr:row>
      <xdr:rowOff>63500</xdr:rowOff>
    </xdr:to>
    <xdr:pic>
      <xdr:nvPicPr>
        <xdr:cNvPr id="4197" name="Picture 2">
          <a:extLst>
            <a:ext uri="{FF2B5EF4-FFF2-40B4-BE49-F238E27FC236}">
              <a16:creationId xmlns:a16="http://schemas.microsoft.com/office/drawing/2014/main" id="{00000000-0008-0000-0100-0000651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28650" y="6229350"/>
          <a:ext cx="70802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82550</xdr:rowOff>
    </xdr:from>
    <xdr:to>
      <xdr:col>6</xdr:col>
      <xdr:colOff>368300</xdr:colOff>
      <xdr:row>32</xdr:row>
      <xdr:rowOff>63500</xdr:rowOff>
    </xdr:to>
    <xdr:pic>
      <xdr:nvPicPr>
        <xdr:cNvPr id="4198" name="Picture 3">
          <a:extLst>
            <a:ext uri="{FF2B5EF4-FFF2-40B4-BE49-F238E27FC236}">
              <a16:creationId xmlns:a16="http://schemas.microsoft.com/office/drawing/2014/main" id="{00000000-0008-0000-0100-0000661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609600" y="2546350"/>
          <a:ext cx="70802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11</xdr:col>
      <xdr:colOff>0</xdr:colOff>
      <xdr:row>20</xdr:row>
      <xdr:rowOff>57150</xdr:rowOff>
    </xdr:to>
    <xdr:pic>
      <xdr:nvPicPr>
        <xdr:cNvPr id="2119" name="Picture 1">
          <a:extLst>
            <a:ext uri="{FF2B5EF4-FFF2-40B4-BE49-F238E27FC236}">
              <a16:creationId xmlns:a16="http://schemas.microsoft.com/office/drawing/2014/main" id="{00000000-0008-0000-0300-0000470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762750" y="2025650"/>
          <a:ext cx="1670050" cy="2114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69850</xdr:colOff>
      <xdr:row>11</xdr:row>
      <xdr:rowOff>0</xdr:rowOff>
    </xdr:from>
    <xdr:to>
      <xdr:col>12</xdr:col>
      <xdr:colOff>1123950</xdr:colOff>
      <xdr:row>20</xdr:row>
      <xdr:rowOff>57150</xdr:rowOff>
    </xdr:to>
    <xdr:pic>
      <xdr:nvPicPr>
        <xdr:cNvPr id="2120" name="Picture 2">
          <a:extLst>
            <a:ext uri="{FF2B5EF4-FFF2-40B4-BE49-F238E27FC236}">
              <a16:creationId xmlns:a16="http://schemas.microsoft.com/office/drawing/2014/main" id="{00000000-0008-0000-0300-0000480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502650" y="2025650"/>
          <a:ext cx="1663700" cy="2114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10</xdr:col>
      <xdr:colOff>31587</xdr:colOff>
      <xdr:row>32</xdr:row>
      <xdr:rowOff>148500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0" y="952500"/>
          <a:ext cx="6127587" cy="5292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Q5PsPwc2o2SA2XRT8?coh=178572&amp;entry=tt"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1"/>
  <sheetViews>
    <sheetView tabSelected="1" view="pageBreakPreview" topLeftCell="A191" zoomScaleNormal="100" zoomScaleSheetLayoutView="100" workbookViewId="0">
      <selection activeCell="N197" sqref="M196:N197"/>
    </sheetView>
  </sheetViews>
  <sheetFormatPr defaultRowHeight="14.4" x14ac:dyDescent="0.3"/>
  <cols>
    <col min="1" max="1" width="10.5546875" customWidth="1"/>
    <col min="2" max="3" width="12.5546875" customWidth="1"/>
    <col min="4" max="4" width="7.44140625" customWidth="1"/>
    <col min="5" max="5" width="5.5546875" customWidth="1"/>
    <col min="6" max="6" width="9.44140625" customWidth="1"/>
    <col min="7" max="7" width="9.77734375" customWidth="1"/>
    <col min="8" max="8" width="9" customWidth="1"/>
    <col min="9" max="9" width="11.21875" customWidth="1"/>
    <col min="10" max="10" width="2.77734375" customWidth="1"/>
    <col min="11" max="11" width="16.44140625" customWidth="1"/>
  </cols>
  <sheetData>
    <row r="1" spans="1:10" ht="44.1" customHeight="1" x14ac:dyDescent="0.3">
      <c r="A1" s="189" t="s">
        <v>260</v>
      </c>
      <c r="B1" s="190"/>
      <c r="C1" s="190"/>
      <c r="D1" s="190"/>
      <c r="E1" s="190"/>
      <c r="F1" s="190"/>
      <c r="G1" s="190"/>
      <c r="H1" s="190"/>
      <c r="I1" s="190"/>
      <c r="J1" s="191"/>
    </row>
    <row r="2" spans="1:10" x14ac:dyDescent="0.3">
      <c r="A2" s="130" t="s">
        <v>43</v>
      </c>
      <c r="B2" s="131"/>
      <c r="C2" s="131"/>
      <c r="D2" s="131"/>
      <c r="E2" s="131"/>
      <c r="F2" s="131"/>
      <c r="G2" s="131"/>
      <c r="H2" s="131"/>
      <c r="I2" s="131"/>
      <c r="J2" s="132"/>
    </row>
    <row r="3" spans="1:10" x14ac:dyDescent="0.3">
      <c r="A3" s="95" t="s">
        <v>0</v>
      </c>
      <c r="B3" s="86"/>
      <c r="C3" s="86"/>
      <c r="D3" s="86"/>
      <c r="E3" s="87"/>
      <c r="F3" s="122" t="str">
        <f ca="1">TEXT(TODAY(),"DD/MM/YYYY")</f>
        <v>12/08/2025</v>
      </c>
      <c r="G3" s="133"/>
      <c r="H3" s="133"/>
      <c r="I3" s="133"/>
      <c r="J3" s="134"/>
    </row>
    <row r="4" spans="1:10" x14ac:dyDescent="0.3">
      <c r="A4" s="95" t="s">
        <v>1</v>
      </c>
      <c r="B4" s="86"/>
      <c r="C4" s="86"/>
      <c r="D4" s="86"/>
      <c r="E4" s="87"/>
      <c r="F4" s="116" t="s">
        <v>156</v>
      </c>
      <c r="G4" s="117"/>
      <c r="H4" s="117"/>
      <c r="I4" s="117"/>
      <c r="J4" s="118"/>
    </row>
    <row r="5" spans="1:10" x14ac:dyDescent="0.3">
      <c r="A5" s="95" t="s">
        <v>2</v>
      </c>
      <c r="B5" s="86"/>
      <c r="C5" s="86"/>
      <c r="D5" s="86"/>
      <c r="E5" s="87"/>
      <c r="F5" s="122">
        <v>45881</v>
      </c>
      <c r="G5" s="133"/>
      <c r="H5" s="133"/>
      <c r="I5" s="133"/>
      <c r="J5" s="134"/>
    </row>
    <row r="6" spans="1:10" ht="16.5" customHeight="1" x14ac:dyDescent="0.3">
      <c r="A6" s="57" t="s">
        <v>224</v>
      </c>
      <c r="B6" s="86"/>
      <c r="C6" s="86"/>
      <c r="D6" s="86"/>
      <c r="E6" s="87"/>
      <c r="F6" s="96" t="s">
        <v>225</v>
      </c>
      <c r="G6" s="97"/>
      <c r="H6" s="97"/>
      <c r="I6" s="97"/>
      <c r="J6" s="98"/>
    </row>
    <row r="7" spans="1:10" ht="15" customHeight="1" x14ac:dyDescent="0.3">
      <c r="A7" s="95" t="s">
        <v>3</v>
      </c>
      <c r="B7" s="86"/>
      <c r="C7" s="86"/>
      <c r="D7" s="86"/>
      <c r="E7" s="87"/>
      <c r="F7" s="96" t="s">
        <v>157</v>
      </c>
      <c r="G7" s="97"/>
      <c r="H7" s="97"/>
      <c r="I7" s="97"/>
      <c r="J7" s="98"/>
    </row>
    <row r="8" spans="1:10" x14ac:dyDescent="0.3">
      <c r="A8" s="95" t="s">
        <v>4</v>
      </c>
      <c r="B8" s="86"/>
      <c r="C8" s="86"/>
      <c r="D8" s="86"/>
      <c r="E8" s="87"/>
      <c r="F8" s="159" t="s">
        <v>158</v>
      </c>
      <c r="G8" s="160"/>
      <c r="H8" s="160"/>
      <c r="I8" s="160"/>
      <c r="J8" s="161"/>
    </row>
    <row r="9" spans="1:10" x14ac:dyDescent="0.3">
      <c r="A9" s="57" t="s">
        <v>106</v>
      </c>
      <c r="B9" s="86"/>
      <c r="C9" s="86"/>
      <c r="D9" s="86"/>
      <c r="E9" s="87"/>
      <c r="F9" s="116">
        <v>9869042008</v>
      </c>
      <c r="G9" s="117"/>
      <c r="H9" s="117"/>
      <c r="I9" s="117"/>
      <c r="J9" s="118"/>
    </row>
    <row r="10" spans="1:10" x14ac:dyDescent="0.3">
      <c r="A10" s="57" t="s">
        <v>107</v>
      </c>
      <c r="B10" s="58"/>
      <c r="C10" s="58"/>
      <c r="D10" s="58"/>
      <c r="E10" s="59"/>
      <c r="F10" s="116" t="s">
        <v>227</v>
      </c>
      <c r="G10" s="117"/>
      <c r="H10" s="117"/>
      <c r="I10" s="117"/>
      <c r="J10" s="118"/>
    </row>
    <row r="11" spans="1:10" x14ac:dyDescent="0.3">
      <c r="A11" s="95" t="s">
        <v>5</v>
      </c>
      <c r="B11" s="86"/>
      <c r="C11" s="86"/>
      <c r="D11" s="86"/>
      <c r="E11" s="87"/>
      <c r="F11" s="92" t="s">
        <v>166</v>
      </c>
      <c r="G11" s="93"/>
      <c r="H11" s="93"/>
      <c r="I11" s="93"/>
      <c r="J11" s="94"/>
    </row>
    <row r="12" spans="1:10" x14ac:dyDescent="0.3">
      <c r="A12" s="57" t="s">
        <v>223</v>
      </c>
      <c r="B12" s="86"/>
      <c r="C12" s="86"/>
      <c r="D12" s="86"/>
      <c r="E12" s="87"/>
      <c r="F12" s="92" t="s">
        <v>226</v>
      </c>
      <c r="G12" s="93"/>
      <c r="H12" s="93"/>
      <c r="I12" s="93"/>
      <c r="J12" s="94"/>
    </row>
    <row r="13" spans="1:10" ht="16.8" customHeight="1" x14ac:dyDescent="0.3">
      <c r="A13" s="145" t="s">
        <v>61</v>
      </c>
      <c r="B13" s="145"/>
      <c r="C13" s="92" t="s">
        <v>262</v>
      </c>
      <c r="D13" s="93"/>
      <c r="E13" s="93"/>
      <c r="F13" s="93"/>
      <c r="G13" s="93"/>
      <c r="H13" s="93"/>
      <c r="I13" s="93"/>
      <c r="J13" s="94"/>
    </row>
    <row r="14" spans="1:10" x14ac:dyDescent="0.3">
      <c r="A14" s="145" t="s">
        <v>171</v>
      </c>
      <c r="B14" s="145"/>
      <c r="C14" s="145">
        <v>144</v>
      </c>
      <c r="D14" s="145"/>
      <c r="E14" s="145"/>
      <c r="F14" s="155" t="s">
        <v>62</v>
      </c>
      <c r="G14" s="155"/>
      <c r="H14" s="93" t="s">
        <v>159</v>
      </c>
      <c r="I14" s="93"/>
      <c r="J14" s="94"/>
    </row>
    <row r="15" spans="1:10" x14ac:dyDescent="0.3">
      <c r="A15" s="145" t="s">
        <v>6</v>
      </c>
      <c r="B15" s="145"/>
      <c r="C15" s="145" t="s">
        <v>161</v>
      </c>
      <c r="D15" s="145"/>
      <c r="E15" s="145"/>
      <c r="F15" s="155" t="s">
        <v>63</v>
      </c>
      <c r="G15" s="155"/>
      <c r="H15" s="93" t="s">
        <v>160</v>
      </c>
      <c r="I15" s="93"/>
      <c r="J15" s="94"/>
    </row>
    <row r="16" spans="1:10" x14ac:dyDescent="0.3">
      <c r="A16" s="145" t="s">
        <v>7</v>
      </c>
      <c r="B16" s="145"/>
      <c r="C16" s="145" t="s">
        <v>160</v>
      </c>
      <c r="D16" s="145"/>
      <c r="E16" s="145"/>
      <c r="F16" s="155" t="s">
        <v>64</v>
      </c>
      <c r="G16" s="155"/>
      <c r="H16" s="93" t="s">
        <v>162</v>
      </c>
      <c r="I16" s="93"/>
      <c r="J16" s="94"/>
    </row>
    <row r="17" spans="1:10" ht="32.25" customHeight="1" x14ac:dyDescent="0.3">
      <c r="A17" s="145" t="s">
        <v>65</v>
      </c>
      <c r="B17" s="145"/>
      <c r="C17" s="145" t="s">
        <v>165</v>
      </c>
      <c r="D17" s="145"/>
      <c r="E17" s="145"/>
      <c r="F17" s="155" t="s">
        <v>50</v>
      </c>
      <c r="G17" s="155"/>
      <c r="H17" s="93" t="s">
        <v>163</v>
      </c>
      <c r="I17" s="93"/>
      <c r="J17" s="94"/>
    </row>
    <row r="18" spans="1:10" ht="15" customHeight="1" x14ac:dyDescent="0.3">
      <c r="A18" s="138" t="s">
        <v>108</v>
      </c>
      <c r="B18" s="141"/>
      <c r="C18" s="141"/>
      <c r="D18" s="141"/>
      <c r="E18" s="142"/>
      <c r="F18" s="149" t="s">
        <v>152</v>
      </c>
      <c r="G18" s="150"/>
      <c r="H18" s="150"/>
      <c r="I18" s="150"/>
      <c r="J18" s="151"/>
    </row>
    <row r="19" spans="1:10" ht="19.5" customHeight="1" x14ac:dyDescent="0.3">
      <c r="A19" s="156"/>
      <c r="B19" s="157"/>
      <c r="C19" s="157"/>
      <c r="D19" s="157"/>
      <c r="E19" s="158"/>
      <c r="F19" s="152"/>
      <c r="G19" s="153"/>
      <c r="H19" s="153"/>
      <c r="I19" s="153"/>
      <c r="J19" s="154"/>
    </row>
    <row r="20" spans="1:10" ht="15" customHeight="1" x14ac:dyDescent="0.3">
      <c r="A20" s="138" t="s">
        <v>109</v>
      </c>
      <c r="B20" s="139"/>
      <c r="C20" s="139"/>
      <c r="D20" s="139"/>
      <c r="E20" s="140"/>
      <c r="F20" s="138" t="s">
        <v>45</v>
      </c>
      <c r="G20" s="141"/>
      <c r="H20" s="141"/>
      <c r="I20" s="141"/>
      <c r="J20" s="142"/>
    </row>
    <row r="21" spans="1:10" x14ac:dyDescent="0.3">
      <c r="A21" s="95" t="s">
        <v>8</v>
      </c>
      <c r="B21" s="86"/>
      <c r="C21" s="86"/>
      <c r="D21" s="86"/>
      <c r="E21" s="87"/>
      <c r="F21" s="146" t="s">
        <v>151</v>
      </c>
      <c r="G21" s="147"/>
      <c r="H21" s="147"/>
      <c r="I21" s="147"/>
      <c r="J21" s="148"/>
    </row>
    <row r="22" spans="1:10" x14ac:dyDescent="0.3">
      <c r="A22" s="95" t="s">
        <v>9</v>
      </c>
      <c r="B22" s="86"/>
      <c r="C22" s="86"/>
      <c r="D22" s="86"/>
      <c r="E22" s="87"/>
      <c r="F22" s="135" t="s">
        <v>51</v>
      </c>
      <c r="G22" s="143"/>
      <c r="H22" s="143"/>
      <c r="I22" s="143"/>
      <c r="J22" s="144"/>
    </row>
    <row r="23" spans="1:10" x14ac:dyDescent="0.3">
      <c r="A23" s="95" t="s">
        <v>10</v>
      </c>
      <c r="B23" s="86"/>
      <c r="C23" s="86"/>
      <c r="D23" s="86"/>
      <c r="E23" s="87"/>
      <c r="F23" s="146" t="s">
        <v>150</v>
      </c>
      <c r="G23" s="147"/>
      <c r="H23" s="147"/>
      <c r="I23" s="147"/>
      <c r="J23" s="148"/>
    </row>
    <row r="24" spans="1:10" x14ac:dyDescent="0.3">
      <c r="A24" s="95" t="s">
        <v>27</v>
      </c>
      <c r="B24" s="86"/>
      <c r="C24" s="86"/>
      <c r="D24" s="86"/>
      <c r="E24" s="87"/>
      <c r="F24" s="135" t="s">
        <v>66</v>
      </c>
      <c r="G24" s="136"/>
      <c r="H24" s="136"/>
      <c r="I24" s="136"/>
      <c r="J24" s="137"/>
    </row>
    <row r="25" spans="1:10" x14ac:dyDescent="0.3">
      <c r="A25" s="114" t="s">
        <v>11</v>
      </c>
      <c r="B25" s="115"/>
      <c r="C25" s="114" t="s">
        <v>12</v>
      </c>
      <c r="D25" s="115"/>
      <c r="E25" s="128" t="s">
        <v>13</v>
      </c>
      <c r="F25" s="115"/>
      <c r="G25" s="128" t="s">
        <v>49</v>
      </c>
      <c r="H25" s="129"/>
      <c r="I25" s="114" t="s">
        <v>14</v>
      </c>
      <c r="J25" s="115"/>
    </row>
    <row r="26" spans="1:10" x14ac:dyDescent="0.3">
      <c r="A26" s="128" t="s">
        <v>15</v>
      </c>
      <c r="B26" s="129"/>
      <c r="C26" s="128" t="s">
        <v>48</v>
      </c>
      <c r="D26" s="129"/>
      <c r="E26" s="128" t="s">
        <v>48</v>
      </c>
      <c r="F26" s="129"/>
      <c r="G26" s="128" t="s">
        <v>48</v>
      </c>
      <c r="H26" s="129"/>
      <c r="I26" s="128" t="s">
        <v>48</v>
      </c>
      <c r="J26" s="129"/>
    </row>
    <row r="27" spans="1:10" x14ac:dyDescent="0.3">
      <c r="A27" s="114" t="s">
        <v>16</v>
      </c>
      <c r="B27" s="115"/>
      <c r="C27" s="128" t="s">
        <v>6</v>
      </c>
      <c r="D27" s="129"/>
      <c r="E27" s="128" t="s">
        <v>154</v>
      </c>
      <c r="F27" s="129"/>
      <c r="G27" s="128" t="s">
        <v>153</v>
      </c>
      <c r="H27" s="129"/>
      <c r="I27" s="128" t="s">
        <v>138</v>
      </c>
      <c r="J27" s="129"/>
    </row>
    <row r="28" spans="1:10" x14ac:dyDescent="0.3">
      <c r="A28" s="57" t="s">
        <v>58</v>
      </c>
      <c r="B28" s="58"/>
      <c r="C28" s="58"/>
      <c r="D28" s="58"/>
      <c r="E28" s="58"/>
      <c r="F28" s="58"/>
      <c r="G28" s="58"/>
      <c r="H28" s="58"/>
      <c r="I28" s="58"/>
      <c r="J28" s="59"/>
    </row>
    <row r="29" spans="1:10" x14ac:dyDescent="0.3">
      <c r="A29" s="57" t="s">
        <v>155</v>
      </c>
      <c r="B29" s="58"/>
      <c r="C29" s="58"/>
      <c r="D29" s="58"/>
      <c r="E29" s="58"/>
      <c r="F29" s="58"/>
      <c r="G29" s="58"/>
      <c r="H29" s="58"/>
      <c r="I29" s="58"/>
      <c r="J29" s="59"/>
    </row>
    <row r="30" spans="1:10" x14ac:dyDescent="0.3">
      <c r="A30" s="60" t="s">
        <v>40</v>
      </c>
      <c r="B30" s="61"/>
      <c r="C30" s="57" t="s">
        <v>259</v>
      </c>
      <c r="D30" s="58"/>
      <c r="E30" s="58"/>
      <c r="F30" s="58"/>
      <c r="G30" s="58"/>
      <c r="H30" s="58"/>
      <c r="I30" s="58"/>
      <c r="J30" s="59"/>
    </row>
    <row r="31" spans="1:10" x14ac:dyDescent="0.3">
      <c r="A31" s="60" t="s">
        <v>257</v>
      </c>
      <c r="B31" s="61"/>
      <c r="C31" s="62" t="s">
        <v>258</v>
      </c>
      <c r="D31" s="58"/>
      <c r="E31" s="58"/>
      <c r="F31" s="58"/>
      <c r="G31" s="58"/>
      <c r="H31" s="58"/>
      <c r="I31" s="58"/>
      <c r="J31" s="59"/>
    </row>
    <row r="32" spans="1:10" x14ac:dyDescent="0.3">
      <c r="A32" s="60" t="s">
        <v>17</v>
      </c>
      <c r="B32" s="126"/>
      <c r="C32" s="126"/>
      <c r="D32" s="126"/>
      <c r="E32" s="126"/>
      <c r="F32" s="126"/>
      <c r="G32" s="126"/>
      <c r="H32" s="126"/>
      <c r="I32" s="126"/>
      <c r="J32" s="61"/>
    </row>
    <row r="33" spans="1:10" ht="15" customHeight="1" x14ac:dyDescent="0.3">
      <c r="A33" s="108" t="s">
        <v>167</v>
      </c>
      <c r="B33" s="109"/>
      <c r="C33" s="109"/>
      <c r="D33" s="109"/>
      <c r="E33" s="109"/>
      <c r="F33" s="109"/>
      <c r="G33" s="109"/>
      <c r="H33" s="109"/>
      <c r="I33" s="109"/>
      <c r="J33" s="110"/>
    </row>
    <row r="34" spans="1:10" x14ac:dyDescent="0.3">
      <c r="A34" s="111"/>
      <c r="B34" s="112"/>
      <c r="C34" s="112"/>
      <c r="D34" s="112"/>
      <c r="E34" s="112"/>
      <c r="F34" s="112"/>
      <c r="G34" s="112"/>
      <c r="H34" s="112"/>
      <c r="I34" s="112"/>
      <c r="J34" s="113"/>
    </row>
    <row r="35" spans="1:10" ht="16.5" customHeight="1" x14ac:dyDescent="0.3">
      <c r="A35" s="116" t="s">
        <v>67</v>
      </c>
      <c r="B35" s="117"/>
      <c r="C35" s="117"/>
      <c r="D35" s="117"/>
      <c r="E35" s="118"/>
      <c r="F35" s="96">
        <v>9333.4599999999991</v>
      </c>
      <c r="G35" s="97"/>
      <c r="H35" s="97"/>
      <c r="I35" s="97"/>
      <c r="J35" s="98"/>
    </row>
    <row r="36" spans="1:10" x14ac:dyDescent="0.3">
      <c r="A36" s="116" t="s">
        <v>18</v>
      </c>
      <c r="B36" s="117"/>
      <c r="C36" s="117"/>
      <c r="D36" s="117"/>
      <c r="E36" s="118"/>
      <c r="F36" s="116">
        <v>1.1000000000000001</v>
      </c>
      <c r="G36" s="117"/>
      <c r="H36" s="117"/>
      <c r="I36" s="117"/>
      <c r="J36" s="118"/>
    </row>
    <row r="37" spans="1:10" x14ac:dyDescent="0.3">
      <c r="A37" s="116" t="s">
        <v>19</v>
      </c>
      <c r="B37" s="117"/>
      <c r="C37" s="117"/>
      <c r="D37" s="117"/>
      <c r="E37" s="118"/>
      <c r="F37" s="116">
        <v>0</v>
      </c>
      <c r="G37" s="117"/>
      <c r="H37" s="117"/>
      <c r="I37" s="117"/>
      <c r="J37" s="118"/>
    </row>
    <row r="38" spans="1:10" x14ac:dyDescent="0.3">
      <c r="A38" s="116" t="s">
        <v>20</v>
      </c>
      <c r="B38" s="117"/>
      <c r="C38" s="117"/>
      <c r="D38" s="117"/>
      <c r="E38" s="118"/>
      <c r="F38" s="116">
        <v>0.9</v>
      </c>
      <c r="G38" s="117"/>
      <c r="H38" s="117"/>
      <c r="I38" s="117"/>
      <c r="J38" s="118"/>
    </row>
    <row r="39" spans="1:10" x14ac:dyDescent="0.3">
      <c r="A39" s="116" t="s">
        <v>68</v>
      </c>
      <c r="B39" s="117"/>
      <c r="C39" s="117"/>
      <c r="D39" s="117"/>
      <c r="E39" s="118"/>
      <c r="F39" s="116">
        <v>13066.85</v>
      </c>
      <c r="G39" s="117"/>
      <c r="H39" s="117"/>
      <c r="I39" s="117"/>
      <c r="J39" s="118"/>
    </row>
    <row r="40" spans="1:10" x14ac:dyDescent="0.3">
      <c r="A40" s="116" t="s">
        <v>21</v>
      </c>
      <c r="B40" s="117"/>
      <c r="C40" s="117"/>
      <c r="D40" s="117"/>
      <c r="E40" s="118"/>
      <c r="F40" s="116" t="s">
        <v>149</v>
      </c>
      <c r="G40" s="117"/>
      <c r="H40" s="117"/>
      <c r="I40" s="117"/>
      <c r="J40" s="118"/>
    </row>
    <row r="41" spans="1:10" x14ac:dyDescent="0.3">
      <c r="A41" s="195" t="s">
        <v>70</v>
      </c>
      <c r="B41" s="195"/>
      <c r="C41" s="195"/>
      <c r="D41" s="195"/>
      <c r="E41" s="195"/>
      <c r="F41" s="195"/>
      <c r="G41" s="195"/>
      <c r="H41" s="195"/>
      <c r="I41" s="195"/>
      <c r="J41" s="195"/>
    </row>
    <row r="42" spans="1:10" x14ac:dyDescent="0.3">
      <c r="A42" s="195" t="s">
        <v>248</v>
      </c>
      <c r="B42" s="195"/>
      <c r="C42" s="195"/>
      <c r="D42" s="195"/>
      <c r="E42" s="195"/>
      <c r="F42" s="195"/>
      <c r="G42" s="195"/>
      <c r="H42" s="195"/>
      <c r="I42" s="195"/>
      <c r="J42" s="195"/>
    </row>
    <row r="43" spans="1:10" ht="16.5" customHeight="1" x14ac:dyDescent="0.3">
      <c r="A43" s="127" t="s">
        <v>69</v>
      </c>
      <c r="B43" s="127"/>
      <c r="C43" s="119" t="s">
        <v>147</v>
      </c>
      <c r="D43" s="119"/>
      <c r="E43" s="119"/>
      <c r="F43" s="119"/>
      <c r="G43" s="34" t="s">
        <v>60</v>
      </c>
      <c r="H43" s="119" t="s">
        <v>148</v>
      </c>
      <c r="I43" s="119"/>
      <c r="J43" s="119"/>
    </row>
    <row r="44" spans="1:10" x14ac:dyDescent="0.3">
      <c r="A44" s="127" t="s">
        <v>71</v>
      </c>
      <c r="B44" s="127"/>
      <c r="C44" s="119" t="str">
        <f>C43</f>
        <v>MHSL/U.1/M.1/BSP/SR/CR/241/17</v>
      </c>
      <c r="D44" s="119"/>
      <c r="E44" s="119"/>
      <c r="F44" s="119"/>
      <c r="G44" s="34" t="s">
        <v>60</v>
      </c>
      <c r="H44" s="119" t="str">
        <f>H43</f>
        <v>16/02/2018.</v>
      </c>
      <c r="I44" s="119"/>
      <c r="J44" s="119"/>
    </row>
    <row r="45" spans="1:10" ht="45.75" customHeight="1" x14ac:dyDescent="0.3">
      <c r="A45" s="127" t="s">
        <v>110</v>
      </c>
      <c r="B45" s="127"/>
      <c r="C45" s="127" t="s">
        <v>247</v>
      </c>
      <c r="D45" s="127"/>
      <c r="E45" s="127"/>
      <c r="F45" s="127"/>
      <c r="G45" s="34" t="s">
        <v>60</v>
      </c>
      <c r="H45" s="119" t="s">
        <v>148</v>
      </c>
      <c r="I45" s="119"/>
      <c r="J45" s="119"/>
    </row>
    <row r="46" spans="1:10" x14ac:dyDescent="0.3">
      <c r="A46" s="96" t="s">
        <v>104</v>
      </c>
      <c r="B46" s="98"/>
      <c r="C46" s="116" t="s">
        <v>48</v>
      </c>
      <c r="D46" s="117"/>
      <c r="E46" s="117"/>
      <c r="F46" s="118" t="s">
        <v>105</v>
      </c>
      <c r="G46" s="34" t="s">
        <v>60</v>
      </c>
      <c r="H46" s="116" t="s">
        <v>48</v>
      </c>
      <c r="I46" s="117" t="s">
        <v>52</v>
      </c>
      <c r="J46" s="118"/>
    </row>
    <row r="47" spans="1:10" x14ac:dyDescent="0.3">
      <c r="A47" s="159" t="s">
        <v>249</v>
      </c>
      <c r="B47" s="160"/>
      <c r="C47" s="160"/>
      <c r="D47" s="160"/>
      <c r="E47" s="160"/>
      <c r="F47" s="160"/>
      <c r="G47" s="160"/>
      <c r="H47" s="160"/>
      <c r="I47" s="160"/>
      <c r="J47" s="161"/>
    </row>
    <row r="48" spans="1:10" x14ac:dyDescent="0.3">
      <c r="A48" s="96" t="s">
        <v>69</v>
      </c>
      <c r="B48" s="98"/>
      <c r="C48" s="116" t="s">
        <v>228</v>
      </c>
      <c r="D48" s="117"/>
      <c r="E48" s="117"/>
      <c r="F48" s="118"/>
      <c r="G48" s="34" t="s">
        <v>60</v>
      </c>
      <c r="H48" s="122">
        <v>44581</v>
      </c>
      <c r="I48" s="117"/>
      <c r="J48" s="118"/>
    </row>
    <row r="49" spans="1:12" x14ac:dyDescent="0.3">
      <c r="A49" s="96" t="s">
        <v>71</v>
      </c>
      <c r="B49" s="98"/>
      <c r="C49" s="116" t="str">
        <f>C48</f>
        <v>Mahasul/K-1/Mej1/B.S.P/S.R/C.R/201/2019</v>
      </c>
      <c r="D49" s="117"/>
      <c r="E49" s="117"/>
      <c r="F49" s="118"/>
      <c r="G49" s="34" t="s">
        <v>60</v>
      </c>
      <c r="H49" s="122">
        <f>H48</f>
        <v>44581</v>
      </c>
      <c r="I49" s="117"/>
      <c r="J49" s="118"/>
    </row>
    <row r="50" spans="1:12" ht="44.25" customHeight="1" x14ac:dyDescent="0.3">
      <c r="A50" s="96" t="s">
        <v>110</v>
      </c>
      <c r="B50" s="98"/>
      <c r="C50" s="96" t="s">
        <v>229</v>
      </c>
      <c r="D50" s="97"/>
      <c r="E50" s="97"/>
      <c r="F50" s="98"/>
      <c r="G50" s="34" t="s">
        <v>60</v>
      </c>
      <c r="H50" s="122">
        <v>44581</v>
      </c>
      <c r="I50" s="117"/>
      <c r="J50" s="118"/>
    </row>
    <row r="51" spans="1:12" x14ac:dyDescent="0.3">
      <c r="A51" s="96" t="s">
        <v>104</v>
      </c>
      <c r="B51" s="98"/>
      <c r="C51" s="116" t="s">
        <v>48</v>
      </c>
      <c r="D51" s="117"/>
      <c r="E51" s="117"/>
      <c r="F51" s="118" t="s">
        <v>105</v>
      </c>
      <c r="G51" s="34" t="s">
        <v>60</v>
      </c>
      <c r="H51" s="116" t="s">
        <v>48</v>
      </c>
      <c r="I51" s="117" t="s">
        <v>52</v>
      </c>
      <c r="J51" s="118"/>
    </row>
    <row r="52" spans="1:12" x14ac:dyDescent="0.3">
      <c r="A52" s="119" t="s">
        <v>75</v>
      </c>
      <c r="B52" s="119"/>
      <c r="C52" s="119"/>
      <c r="D52" s="197" t="str">
        <f>H45</f>
        <v>16/02/2018.</v>
      </c>
      <c r="E52" s="197"/>
      <c r="F52" s="116" t="s">
        <v>72</v>
      </c>
      <c r="G52" s="196"/>
      <c r="H52" s="122">
        <v>45822</v>
      </c>
      <c r="I52" s="117"/>
      <c r="J52" s="118"/>
    </row>
    <row r="53" spans="1:12" x14ac:dyDescent="0.3">
      <c r="A53" s="123" t="s">
        <v>22</v>
      </c>
      <c r="B53" s="124"/>
      <c r="C53" s="124"/>
      <c r="D53" s="124"/>
      <c r="E53" s="124"/>
      <c r="F53" s="124"/>
      <c r="G53" s="124"/>
      <c r="H53" s="124"/>
      <c r="I53" s="124"/>
      <c r="J53" s="125"/>
    </row>
    <row r="54" spans="1:12" x14ac:dyDescent="0.3">
      <c r="A54" s="116" t="s">
        <v>102</v>
      </c>
      <c r="B54" s="117"/>
      <c r="C54" s="118"/>
      <c r="D54" s="198">
        <f>F39</f>
        <v>13066.85</v>
      </c>
      <c r="E54" s="199"/>
      <c r="F54" s="120" t="s">
        <v>164</v>
      </c>
      <c r="G54" s="121"/>
      <c r="H54" s="96" t="s">
        <v>246</v>
      </c>
      <c r="I54" s="97"/>
      <c r="J54" s="98"/>
    </row>
    <row r="55" spans="1:12" x14ac:dyDescent="0.3">
      <c r="A55" s="119" t="s">
        <v>73</v>
      </c>
      <c r="B55" s="119"/>
      <c r="C55" s="119" t="s">
        <v>230</v>
      </c>
      <c r="D55" s="119"/>
      <c r="E55" s="119"/>
      <c r="F55" s="116" t="s">
        <v>55</v>
      </c>
      <c r="G55" s="117"/>
      <c r="H55" s="117"/>
      <c r="I55" s="117"/>
      <c r="J55" s="118"/>
    </row>
    <row r="56" spans="1:12" x14ac:dyDescent="0.3">
      <c r="A56" s="119" t="s">
        <v>46</v>
      </c>
      <c r="B56" s="119"/>
      <c r="C56" s="119"/>
      <c r="D56" s="119"/>
      <c r="E56" s="127" t="s">
        <v>53</v>
      </c>
      <c r="F56" s="127"/>
      <c r="G56" s="127"/>
      <c r="H56" s="127"/>
      <c r="I56" s="127"/>
      <c r="J56" s="127"/>
    </row>
    <row r="57" spans="1:12" x14ac:dyDescent="0.3">
      <c r="A57" s="116" t="s">
        <v>54</v>
      </c>
      <c r="B57" s="117"/>
      <c r="C57" s="117"/>
      <c r="D57" s="117"/>
      <c r="E57" s="117"/>
      <c r="F57" s="117"/>
      <c r="G57" s="117"/>
      <c r="H57" s="117"/>
      <c r="I57" s="117"/>
      <c r="J57" s="118"/>
    </row>
    <row r="58" spans="1:12" ht="15" customHeight="1" thickBot="1" x14ac:dyDescent="0.35">
      <c r="A58" s="192" t="s">
        <v>250</v>
      </c>
      <c r="B58" s="193"/>
      <c r="C58" s="193"/>
      <c r="D58" s="193"/>
      <c r="E58" s="193"/>
      <c r="F58" s="193"/>
      <c r="G58" s="193"/>
      <c r="H58" s="193"/>
      <c r="I58" s="193"/>
      <c r="J58" s="194"/>
    </row>
    <row r="59" spans="1:12" ht="46.5" customHeight="1" x14ac:dyDescent="0.3">
      <c r="A59" s="73" t="s">
        <v>192</v>
      </c>
      <c r="B59" s="74"/>
      <c r="C59" s="75" t="s">
        <v>261</v>
      </c>
      <c r="D59" s="75"/>
      <c r="E59" s="75"/>
      <c r="F59" s="75"/>
      <c r="G59" s="75"/>
      <c r="H59" s="75"/>
      <c r="I59" s="75"/>
      <c r="J59" s="76"/>
      <c r="K59" s="35" t="str">
        <f ca="1">IF(D72=100%,"All work Completed. Possession granted to the Building.",IF(D71=100%,"All work Completed, Waiting for OC",K60&amp;""&amp;K61&amp;""&amp;L60&amp;""&amp;L59&amp;" "&amp;L61))</f>
        <v>Excavation, Plinth, RCC Slab, Brickwork, Internal Plaster, External Plaster, Flooring, Painting Completed, Finishing upto 2 Floor, Possession upto 1 Floor Completed</v>
      </c>
      <c r="L59" s="26" t="str">
        <f ca="1">(IF(C65=(D60+G60+I60),"",IF(C65&gt;0,", RCC upto "&amp;C65&amp;" Slab","")))&amp;(IF(C66=I60,"",IF(C66&gt;0,", Brickwork upto "&amp;C66&amp;" Floor","")))&amp;(IF(C67=I60,"",IF(C67&gt;0,", Internal Plaster upto "&amp;C67&amp;" Floor","")))&amp;(IF(C68=I60,"",IF(C68&gt;0,", External Plaster upto "&amp;C68&amp;" Floor","")))&amp;(IF(C69=I60,"",IF(C69&gt;0,", Flooring upto "&amp;C69&amp;" Floor","")))&amp;(IF(C70=I60,"",IF(C70&gt;0,", Painting upto "&amp;C70&amp;" Floor","")))&amp;(IF(C71=I60,"",IF(C71&gt;0,", Finishing upto "&amp;C71&amp;" Floor","")))&amp;(IF(C72=I60,"",IF(C72&gt;0,", Possession upto "&amp;C72&amp;" Floor","")))</f>
        <v>, Finishing upto 2 Floor, Possession upto 1 Floor</v>
      </c>
    </row>
    <row r="60" spans="1:12" ht="15.6" x14ac:dyDescent="0.3">
      <c r="A60" s="24" t="s">
        <v>193</v>
      </c>
      <c r="B60" s="23">
        <v>0</v>
      </c>
      <c r="C60" s="23" t="s">
        <v>138</v>
      </c>
      <c r="D60" s="23">
        <v>1</v>
      </c>
      <c r="E60" s="48" t="s">
        <v>194</v>
      </c>
      <c r="F60" s="64">
        <v>0</v>
      </c>
      <c r="G60" s="64"/>
      <c r="H60" s="23" t="s">
        <v>195</v>
      </c>
      <c r="I60" s="64">
        <f ca="1">--TRIM(RIGHT(SUBSTITUTE(LEFT(C59,_xlfn.AGGREGATE(16,6,FIND({0,1,2,3,4,5,6,7,8,9},C59,ROW(INDIRECT("1:"&amp;LEN(C59)))),1))," ",REPT(" ",LEN(C59))),LEN(C59)))</f>
        <v>5</v>
      </c>
      <c r="J60" s="77"/>
      <c r="K60" s="28" t="str">
        <f ca="1">IF(D63=100%,"Excavation","")&amp;IF(D64=100%,", Plinth","")&amp;IF(D65=100%,", RCC Slab","")&amp;IF(D66=100%,", Brickwork","")&amp;IF(D67=100%,", Internal Plaster","")&amp;IF(D68=100%,", External Plaster","")&amp;IF(D69=100%,", Flooring","")&amp;IF(D70=100%,", Painting","")&amp;IF(D71=100%,", Building common Amenities","")</f>
        <v>Excavation, Plinth, RCC Slab, Brickwork, Internal Plaster, External Plaster, Flooring, Painting</v>
      </c>
      <c r="L60" s="27" t="str">
        <f ca="1">(IF(C63=0,"Work not yet Started.",IF(D63=25%,"Piling work in process",IF(D63=50%,"Excavation work in process",IF(D63=100%,"","0")))))&amp;(IF(C64=0%,"",IF(C64=L65,", Footing work is process",IF(C64=L66,", Footing work Completed",IF(C64=L67,", 1st Basement Completed",IF(C64=L68,", 1st &amp; 2nd Basement Completed",IF(C64=L69,", 1st to 3rd Basement Completed",IF(C64=L70,", 1st to 4th Basement Completed",IF(C64=L71,", Plinth work is process",IF(C64=L72,"","0"))))))))))</f>
        <v/>
      </c>
    </row>
    <row r="61" spans="1:12" ht="46.5" customHeight="1" x14ac:dyDescent="0.3">
      <c r="A61" s="78" t="s">
        <v>196</v>
      </c>
      <c r="B61" s="79"/>
      <c r="C61" s="80" t="str">
        <f ca="1">K59</f>
        <v>Excavation, Plinth, RCC Slab, Brickwork, Internal Plaster, External Plaster, Flooring, Painting Completed, Finishing upto 2 Floor, Possession upto 1 Floor Completed</v>
      </c>
      <c r="D61" s="80"/>
      <c r="E61" s="80"/>
      <c r="F61" s="80"/>
      <c r="G61" s="80"/>
      <c r="H61" s="80"/>
      <c r="I61" s="80"/>
      <c r="J61" s="81"/>
      <c r="K61" s="28" t="str">
        <f ca="1">IF(K60&lt;&gt;""," Completed","")</f>
        <v xml:space="preserve"> Completed</v>
      </c>
      <c r="L61" s="27" t="str">
        <f ca="1">IF(L59&lt;&gt;"","Completed","")</f>
        <v>Completed</v>
      </c>
    </row>
    <row r="62" spans="1:12" ht="15.6" x14ac:dyDescent="0.3">
      <c r="A62" s="63" t="s">
        <v>32</v>
      </c>
      <c r="B62" s="64"/>
      <c r="C62" s="25" t="s">
        <v>197</v>
      </c>
      <c r="D62" s="70" t="s">
        <v>198</v>
      </c>
      <c r="E62" s="70"/>
      <c r="F62" s="70" t="s">
        <v>199</v>
      </c>
      <c r="G62" s="70"/>
      <c r="H62" s="70" t="s">
        <v>200</v>
      </c>
      <c r="I62" s="70"/>
      <c r="J62" s="82"/>
      <c r="K62" s="21" t="s">
        <v>201</v>
      </c>
      <c r="L62" s="36">
        <f ca="1">I60*25%</f>
        <v>1.25</v>
      </c>
    </row>
    <row r="63" spans="1:12" ht="15.6" x14ac:dyDescent="0.3">
      <c r="A63" s="63" t="s">
        <v>202</v>
      </c>
      <c r="B63" s="64"/>
      <c r="C63" s="37">
        <f ca="1">L64</f>
        <v>5</v>
      </c>
      <c r="D63" s="65">
        <f ca="1">((100/I60)*C63)/100</f>
        <v>1</v>
      </c>
      <c r="E63" s="65"/>
      <c r="F63" s="65">
        <f ca="1">(IF(C61=K60,"100%",IF(C61=K61,"100%",(((C64/I60*10)+(40/(D60+F60+I60)*C65)+(7.5/(I60)*C66)+(7.5/(I60)*C67)+(10/I60*C68)+(10/I60*C69)+(5/I60*C70)+(5/I60*C71)+(5/I60*C72))/100))))</f>
        <v>0.93</v>
      </c>
      <c r="G63" s="65"/>
      <c r="H63" s="65">
        <f ca="1">((((C63/I60)*20)+((C64/I60)*25)+(30/(I60+F60+D60)*C65)+(5/I60*C66)+(5/I60*C67)+(5/I60*C68)+(5/I60*C69)+(0/I60*C70)+(0/I60*C71)+(5/I60*C72))/100)</f>
        <v>0.96</v>
      </c>
      <c r="I63" s="65"/>
      <c r="J63" s="67"/>
      <c r="K63" s="21" t="s">
        <v>203</v>
      </c>
      <c r="L63" s="38">
        <f ca="1">I60*50%</f>
        <v>2.5</v>
      </c>
    </row>
    <row r="64" spans="1:12" ht="15.6" x14ac:dyDescent="0.3">
      <c r="A64" s="63" t="s">
        <v>33</v>
      </c>
      <c r="B64" s="64"/>
      <c r="C64" s="39">
        <f ca="1">L72</f>
        <v>5</v>
      </c>
      <c r="D64" s="65">
        <f ca="1">((100/I60)*C64)/100</f>
        <v>1</v>
      </c>
      <c r="E64" s="65"/>
      <c r="F64" s="65"/>
      <c r="G64" s="65"/>
      <c r="H64" s="65"/>
      <c r="I64" s="65"/>
      <c r="J64" s="67"/>
      <c r="K64" s="21" t="s">
        <v>204</v>
      </c>
      <c r="L64" s="38">
        <f ca="1">I60</f>
        <v>5</v>
      </c>
    </row>
    <row r="65" spans="1:12" ht="15.6" x14ac:dyDescent="0.3">
      <c r="A65" s="63" t="s">
        <v>222</v>
      </c>
      <c r="B65" s="64"/>
      <c r="C65" s="39">
        <v>6</v>
      </c>
      <c r="D65" s="65">
        <f ca="1">((100/(D60+F60+I60))*C65)/100</f>
        <v>1</v>
      </c>
      <c r="E65" s="65"/>
      <c r="F65" s="65"/>
      <c r="G65" s="65"/>
      <c r="H65" s="65"/>
      <c r="I65" s="65"/>
      <c r="J65" s="67"/>
      <c r="K65" s="21" t="s">
        <v>205</v>
      </c>
      <c r="L65" s="40">
        <f ca="1">(IF(B60&gt;1,(I60/(B60+2)),I60/4))</f>
        <v>1.25</v>
      </c>
    </row>
    <row r="66" spans="1:12" ht="15.6" x14ac:dyDescent="0.3">
      <c r="A66" s="63" t="s">
        <v>206</v>
      </c>
      <c r="B66" s="64" t="s">
        <v>207</v>
      </c>
      <c r="C66" s="37">
        <v>5</v>
      </c>
      <c r="D66" s="65">
        <f ca="1">((100/I60)*C66)/100</f>
        <v>1</v>
      </c>
      <c r="E66" s="65"/>
      <c r="F66" s="65"/>
      <c r="G66" s="65"/>
      <c r="H66" s="65"/>
      <c r="I66" s="65"/>
      <c r="J66" s="67"/>
      <c r="K66" s="21" t="s">
        <v>208</v>
      </c>
      <c r="L66" s="40">
        <f ca="1">(IF(B60&gt;1,(I60/(B60+2)+L65),I60/4+L65))</f>
        <v>2.5</v>
      </c>
    </row>
    <row r="67" spans="1:12" ht="15.6" x14ac:dyDescent="0.3">
      <c r="A67" s="63" t="s">
        <v>209</v>
      </c>
      <c r="B67" s="64" t="s">
        <v>207</v>
      </c>
      <c r="C67" s="37">
        <v>5</v>
      </c>
      <c r="D67" s="65">
        <f ca="1">((100/I60)*C67)/100</f>
        <v>1</v>
      </c>
      <c r="E67" s="65"/>
      <c r="F67" s="65"/>
      <c r="G67" s="65"/>
      <c r="H67" s="65"/>
      <c r="I67" s="65"/>
      <c r="J67" s="67"/>
      <c r="K67" s="21" t="s">
        <v>210</v>
      </c>
      <c r="L67" s="40">
        <f>(IF(B60&gt;1,(I60/(B60+2)+L66),0))</f>
        <v>0</v>
      </c>
    </row>
    <row r="68" spans="1:12" ht="15.6" x14ac:dyDescent="0.3">
      <c r="A68" s="63" t="s">
        <v>211</v>
      </c>
      <c r="B68" s="64" t="s">
        <v>212</v>
      </c>
      <c r="C68" s="37">
        <v>5</v>
      </c>
      <c r="D68" s="65">
        <f ca="1">((100/(I60))*C68)/100</f>
        <v>1</v>
      </c>
      <c r="E68" s="65"/>
      <c r="F68" s="65"/>
      <c r="G68" s="65"/>
      <c r="H68" s="65"/>
      <c r="I68" s="65"/>
      <c r="J68" s="67"/>
      <c r="K68" s="21" t="s">
        <v>213</v>
      </c>
      <c r="L68" s="40">
        <f>(IF(B60&gt;2,(I60/(B60+2)+L67),0))</f>
        <v>0</v>
      </c>
    </row>
    <row r="69" spans="1:12" ht="15.6" x14ac:dyDescent="0.3">
      <c r="A69" s="63" t="s">
        <v>214</v>
      </c>
      <c r="B69" s="64" t="s">
        <v>214</v>
      </c>
      <c r="C69" s="37">
        <v>5</v>
      </c>
      <c r="D69" s="65">
        <f ca="1">((100/I60)*C69)/100</f>
        <v>1</v>
      </c>
      <c r="E69" s="65"/>
      <c r="F69" s="65"/>
      <c r="G69" s="65"/>
      <c r="H69" s="65"/>
      <c r="I69" s="65"/>
      <c r="J69" s="67"/>
      <c r="K69" s="21" t="s">
        <v>215</v>
      </c>
      <c r="L69" s="41">
        <f>(IF(B60&gt;3,(I60/(B60+2)+L68),0))</f>
        <v>0</v>
      </c>
    </row>
    <row r="70" spans="1:12" ht="15.6" x14ac:dyDescent="0.3">
      <c r="A70" s="63" t="s">
        <v>216</v>
      </c>
      <c r="B70" s="64"/>
      <c r="C70" s="37">
        <v>5</v>
      </c>
      <c r="D70" s="65">
        <f ca="1">((100/I60)*C70)/100</f>
        <v>1</v>
      </c>
      <c r="E70" s="65"/>
      <c r="F70" s="65"/>
      <c r="G70" s="65"/>
      <c r="H70" s="65"/>
      <c r="I70" s="65"/>
      <c r="J70" s="67"/>
      <c r="K70" s="21" t="s">
        <v>217</v>
      </c>
      <c r="L70" s="40">
        <f>(IF(B60&gt;4,(I60/(B60+2)+L69),0))</f>
        <v>0</v>
      </c>
    </row>
    <row r="71" spans="1:12" ht="15.6" x14ac:dyDescent="0.3">
      <c r="A71" s="69" t="s">
        <v>218</v>
      </c>
      <c r="B71" s="70" t="s">
        <v>218</v>
      </c>
      <c r="C71" s="37">
        <v>2</v>
      </c>
      <c r="D71" s="65">
        <f ca="1">((100/(I60))*C71)/100</f>
        <v>0.4</v>
      </c>
      <c r="E71" s="65"/>
      <c r="F71" s="65"/>
      <c r="G71" s="65"/>
      <c r="H71" s="65"/>
      <c r="I71" s="65"/>
      <c r="J71" s="67"/>
      <c r="K71" s="21" t="s">
        <v>219</v>
      </c>
      <c r="L71" s="40">
        <f ca="1">(IF(B60=1,(I60/(B60+3)+L66),IF(B60=0,(I60/4+L66),IF(B60&gt;1,0))))</f>
        <v>3.75</v>
      </c>
    </row>
    <row r="72" spans="1:12" ht="16.2" thickBot="1" x14ac:dyDescent="0.35">
      <c r="A72" s="71" t="s">
        <v>220</v>
      </c>
      <c r="B72" s="72"/>
      <c r="C72" s="42">
        <v>1</v>
      </c>
      <c r="D72" s="66">
        <f ca="1">((100/(I60))*C72)/100</f>
        <v>0.2</v>
      </c>
      <c r="E72" s="66"/>
      <c r="F72" s="66"/>
      <c r="G72" s="66"/>
      <c r="H72" s="66"/>
      <c r="I72" s="66"/>
      <c r="J72" s="68"/>
      <c r="K72" s="22" t="s">
        <v>221</v>
      </c>
      <c r="L72" s="43">
        <f ca="1">(IF(B60&gt;1.5,(I60/(B60+2)+L66+MAX(0,L67-L66)+MAX(0,L68-L67)+MAX(0,L69-L68)+MAX(0,L70-L69)+MAX(0,L71-L70)),IF(B60=1,(I60/(B60+3)+L71),IF(B60=0,I60/4+L71))))</f>
        <v>5</v>
      </c>
    </row>
    <row r="73" spans="1:12" ht="15.75" hidden="1" customHeight="1" x14ac:dyDescent="0.3">
      <c r="A73" s="73" t="s">
        <v>192</v>
      </c>
      <c r="B73" s="74"/>
      <c r="C73" s="75" t="s">
        <v>255</v>
      </c>
      <c r="D73" s="75"/>
      <c r="E73" s="75"/>
      <c r="F73" s="75"/>
      <c r="G73" s="75"/>
      <c r="H73" s="75"/>
      <c r="I73" s="75"/>
      <c r="J73" s="76"/>
      <c r="K73" s="35" t="str">
        <f ca="1">IF(D86=100%,"All work Completed. Possession granted to the Building.",IF(D85=100%,"All work Completed, Waiting for OC",K74&amp;""&amp;K75&amp;""&amp;L74&amp;""&amp;L73&amp;" "&amp;L75))</f>
        <v>Excavation, Plinth, RCC Slab, Brickwork, Internal Plaster, External Plaster, Flooring, Painting Completed, Finishing upto 2 Floor, Possession upto 1 Floor Completed</v>
      </c>
      <c r="L73" s="26" t="str">
        <f ca="1">(IF(C79=(D74+G74+I74),"",IF(C79&gt;0,", RCC upto "&amp;C79&amp;" Slab","")))&amp;(IF(C80=I74,"",IF(C80&gt;0,", Brickwork upto "&amp;C80&amp;" Floor","")))&amp;(IF(C81=I74,"",IF(C81&gt;0,", Internal Plaster upto "&amp;C81&amp;" Floor","")))&amp;(IF(C82=I74,"",IF(C82&gt;0,", External Plaster upto "&amp;C82&amp;" Floor","")))&amp;(IF(C83=I74,"",IF(C83&gt;0,", Flooring upto "&amp;C83&amp;" Floor","")))&amp;(IF(C84=I74,"",IF(C84&gt;0,", Painting upto "&amp;C84&amp;" Floor","")))&amp;(IF(C85=I74,"",IF(C85&gt;0,", Finishing upto "&amp;C85&amp;" Floor","")))&amp;(IF(C86=I74,"",IF(C86&gt;0,", Possession upto "&amp;C86&amp;" Floor","")))</f>
        <v>, Finishing upto 2 Floor, Possession upto 1 Floor</v>
      </c>
    </row>
    <row r="74" spans="1:12" ht="15.6" hidden="1" x14ac:dyDescent="0.3">
      <c r="A74" s="24" t="s">
        <v>193</v>
      </c>
      <c r="B74" s="23">
        <v>0</v>
      </c>
      <c r="C74" s="23" t="s">
        <v>138</v>
      </c>
      <c r="D74" s="23">
        <v>1</v>
      </c>
      <c r="E74" s="48" t="s">
        <v>194</v>
      </c>
      <c r="F74" s="64">
        <v>0</v>
      </c>
      <c r="G74" s="64"/>
      <c r="H74" s="23" t="s">
        <v>195</v>
      </c>
      <c r="I74" s="64">
        <f ca="1">--TRIM(RIGHT(SUBSTITUTE(LEFT(C73,_xlfn.AGGREGATE(16,6,FIND({0,1,2,3,4,5,6,7,8,9},C73,ROW(INDIRECT("1:"&amp;LEN(C73)))),1))," ",REPT(" ",LEN(C73))),LEN(C73)))</f>
        <v>5</v>
      </c>
      <c r="J74" s="77"/>
      <c r="K74" s="28"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 Painting</v>
      </c>
      <c r="L74" s="27" t="str">
        <f ca="1">(IF(C77=0,"Work not yet Started.",IF(D77=25%,"Piling work in process",IF(D77=50%,"Excavation work in process",IF(D77=100%,"","0")))))&amp;(IF(C78=0%,"",IF(C78=L79,", Footing work is process",IF(C78=L80,", Footing work Completed",IF(C78=L81,", 1st Basement Completed",IF(C78=L82,", 1st &amp; 2nd Basement Completed",IF(C78=L83,", 1st to 3rd Basement Completed",IF(C78=L84,", 1st to 4th Basement Completed",IF(C78=L85,", Plinth work is process",IF(C78=L86,"","0"))))))))))</f>
        <v/>
      </c>
    </row>
    <row r="75" spans="1:12" ht="46.5" hidden="1" customHeight="1" x14ac:dyDescent="0.3">
      <c r="A75" s="78" t="s">
        <v>196</v>
      </c>
      <c r="B75" s="79"/>
      <c r="C75" s="80" t="str">
        <f ca="1">K73</f>
        <v>Excavation, Plinth, RCC Slab, Brickwork, Internal Plaster, External Plaster, Flooring, Painting Completed, Finishing upto 2 Floor, Possession upto 1 Floor Completed</v>
      </c>
      <c r="D75" s="80"/>
      <c r="E75" s="80"/>
      <c r="F75" s="80"/>
      <c r="G75" s="80"/>
      <c r="H75" s="80"/>
      <c r="I75" s="80"/>
      <c r="J75" s="81"/>
      <c r="K75" s="28" t="str">
        <f ca="1">IF(K74&lt;&gt;""," Completed","")</f>
        <v xml:space="preserve"> Completed</v>
      </c>
      <c r="L75" s="27" t="str">
        <f ca="1">IF(L73&lt;&gt;"","Completed","")</f>
        <v>Completed</v>
      </c>
    </row>
    <row r="76" spans="1:12" ht="15.6" hidden="1" x14ac:dyDescent="0.3">
      <c r="A76" s="63" t="s">
        <v>32</v>
      </c>
      <c r="B76" s="64"/>
      <c r="C76" s="25" t="s">
        <v>197</v>
      </c>
      <c r="D76" s="70" t="s">
        <v>198</v>
      </c>
      <c r="E76" s="70"/>
      <c r="F76" s="70" t="s">
        <v>199</v>
      </c>
      <c r="G76" s="70"/>
      <c r="H76" s="70" t="s">
        <v>200</v>
      </c>
      <c r="I76" s="70"/>
      <c r="J76" s="82"/>
      <c r="K76" s="21" t="s">
        <v>201</v>
      </c>
      <c r="L76" s="36">
        <f ca="1">I74*25%</f>
        <v>1.25</v>
      </c>
    </row>
    <row r="77" spans="1:12" ht="15.6" hidden="1" x14ac:dyDescent="0.3">
      <c r="A77" s="63" t="s">
        <v>202</v>
      </c>
      <c r="B77" s="64"/>
      <c r="C77" s="37">
        <f ca="1">L78</f>
        <v>5</v>
      </c>
      <c r="D77" s="65">
        <f ca="1">((100/I74)*C77)/100</f>
        <v>1</v>
      </c>
      <c r="E77" s="65"/>
      <c r="F77" s="65">
        <f ca="1">(IF(C75=K74,"100%",IF(C75=K75,"100%",(((C78/I74*10)+(40/(D74+F74+I74)*C79)+(7.5/(I74)*C80)+(7.5/(I74)*C81)+(10/I74*C82)+(10/I74*C83)+(5/I74*C84)+(5/I74*C85)+(5/I74*C86))/100))))</f>
        <v>0.93</v>
      </c>
      <c r="G77" s="65"/>
      <c r="H77" s="65">
        <f ca="1">((((C77/I74)*20)+((C78/I74)*25)+(30/(I74+F74+D74)*C79)+(5/I74*C80)+(5/I74*C81)+(5/I74*C82)+(5/I74*C83)+(0/I74*C84)+(0/I74*C85)+(5/I74*C86))/100)</f>
        <v>0.96</v>
      </c>
      <c r="I77" s="65"/>
      <c r="J77" s="67"/>
      <c r="K77" s="21" t="s">
        <v>203</v>
      </c>
      <c r="L77" s="38">
        <f ca="1">I74*50%</f>
        <v>2.5</v>
      </c>
    </row>
    <row r="78" spans="1:12" ht="15.6" hidden="1" x14ac:dyDescent="0.3">
      <c r="A78" s="63" t="s">
        <v>33</v>
      </c>
      <c r="B78" s="64"/>
      <c r="C78" s="39">
        <f ca="1">L86</f>
        <v>5</v>
      </c>
      <c r="D78" s="65">
        <f ca="1">((100/I74)*C78)/100</f>
        <v>1</v>
      </c>
      <c r="E78" s="65"/>
      <c r="F78" s="65"/>
      <c r="G78" s="65"/>
      <c r="H78" s="65"/>
      <c r="I78" s="65"/>
      <c r="J78" s="67"/>
      <c r="K78" s="21" t="s">
        <v>204</v>
      </c>
      <c r="L78" s="38">
        <f ca="1">I74</f>
        <v>5</v>
      </c>
    </row>
    <row r="79" spans="1:12" ht="15.6" hidden="1" x14ac:dyDescent="0.3">
      <c r="A79" s="63" t="s">
        <v>222</v>
      </c>
      <c r="B79" s="64"/>
      <c r="C79" s="39">
        <v>6</v>
      </c>
      <c r="D79" s="65">
        <f ca="1">((100/(D74+F74+I74))*C79)/100</f>
        <v>1</v>
      </c>
      <c r="E79" s="65"/>
      <c r="F79" s="65"/>
      <c r="G79" s="65"/>
      <c r="H79" s="65"/>
      <c r="I79" s="65"/>
      <c r="J79" s="67"/>
      <c r="K79" s="21" t="s">
        <v>205</v>
      </c>
      <c r="L79" s="40">
        <f ca="1">(IF(B74&gt;1,(I74/(B74+2)),I74/4))</f>
        <v>1.25</v>
      </c>
    </row>
    <row r="80" spans="1:12" ht="15.6" hidden="1" x14ac:dyDescent="0.3">
      <c r="A80" s="63" t="s">
        <v>206</v>
      </c>
      <c r="B80" s="64" t="s">
        <v>207</v>
      </c>
      <c r="C80" s="37">
        <v>5</v>
      </c>
      <c r="D80" s="65">
        <f ca="1">((100/I74)*C80)/100</f>
        <v>1</v>
      </c>
      <c r="E80" s="65"/>
      <c r="F80" s="65"/>
      <c r="G80" s="65"/>
      <c r="H80" s="65"/>
      <c r="I80" s="65"/>
      <c r="J80" s="67"/>
      <c r="K80" s="21" t="s">
        <v>208</v>
      </c>
      <c r="L80" s="40">
        <f ca="1">(IF(B74&gt;1,(I74/(B74+2)+L79),I74/4+L79))</f>
        <v>2.5</v>
      </c>
    </row>
    <row r="81" spans="1:12" ht="15.6" hidden="1" x14ac:dyDescent="0.3">
      <c r="A81" s="63" t="s">
        <v>209</v>
      </c>
      <c r="B81" s="64" t="s">
        <v>207</v>
      </c>
      <c r="C81" s="37">
        <v>5</v>
      </c>
      <c r="D81" s="65">
        <f ca="1">((100/I74)*C81)/100</f>
        <v>1</v>
      </c>
      <c r="E81" s="65"/>
      <c r="F81" s="65"/>
      <c r="G81" s="65"/>
      <c r="H81" s="65"/>
      <c r="I81" s="65"/>
      <c r="J81" s="67"/>
      <c r="K81" s="21" t="s">
        <v>210</v>
      </c>
      <c r="L81" s="40">
        <f>(IF(B74&gt;1,(I74/(B74+2)+L80),0))</f>
        <v>0</v>
      </c>
    </row>
    <row r="82" spans="1:12" ht="15.6" hidden="1" x14ac:dyDescent="0.3">
      <c r="A82" s="63" t="s">
        <v>211</v>
      </c>
      <c r="B82" s="64" t="s">
        <v>212</v>
      </c>
      <c r="C82" s="37">
        <v>5</v>
      </c>
      <c r="D82" s="65">
        <f ca="1">((100/(I74))*C82)/100</f>
        <v>1</v>
      </c>
      <c r="E82" s="65"/>
      <c r="F82" s="65"/>
      <c r="G82" s="65"/>
      <c r="H82" s="65"/>
      <c r="I82" s="65"/>
      <c r="J82" s="67"/>
      <c r="K82" s="21" t="s">
        <v>213</v>
      </c>
      <c r="L82" s="40">
        <f>(IF(B74&gt;2,(I74/(B74+2)+L81),0))</f>
        <v>0</v>
      </c>
    </row>
    <row r="83" spans="1:12" ht="15.6" hidden="1" x14ac:dyDescent="0.3">
      <c r="A83" s="63" t="s">
        <v>214</v>
      </c>
      <c r="B83" s="64" t="s">
        <v>214</v>
      </c>
      <c r="C83" s="37">
        <v>5</v>
      </c>
      <c r="D83" s="65">
        <f ca="1">((100/I74)*C83)/100</f>
        <v>1</v>
      </c>
      <c r="E83" s="65"/>
      <c r="F83" s="65"/>
      <c r="G83" s="65"/>
      <c r="H83" s="65"/>
      <c r="I83" s="65"/>
      <c r="J83" s="67"/>
      <c r="K83" s="21" t="s">
        <v>215</v>
      </c>
      <c r="L83" s="41">
        <f>(IF(B74&gt;3,(I74/(B74+2)+L82),0))</f>
        <v>0</v>
      </c>
    </row>
    <row r="84" spans="1:12" ht="15.6" hidden="1" x14ac:dyDescent="0.3">
      <c r="A84" s="63" t="s">
        <v>216</v>
      </c>
      <c r="B84" s="64"/>
      <c r="C84" s="37">
        <v>5</v>
      </c>
      <c r="D84" s="65">
        <f ca="1">((100/I74)*C84)/100</f>
        <v>1</v>
      </c>
      <c r="E84" s="65"/>
      <c r="F84" s="65"/>
      <c r="G84" s="65"/>
      <c r="H84" s="65"/>
      <c r="I84" s="65"/>
      <c r="J84" s="67"/>
      <c r="K84" s="21" t="s">
        <v>217</v>
      </c>
      <c r="L84" s="40">
        <f>(IF(B74&gt;4,(I74/(B74+2)+L83),0))</f>
        <v>0</v>
      </c>
    </row>
    <row r="85" spans="1:12" ht="15.6" hidden="1" x14ac:dyDescent="0.3">
      <c r="A85" s="69" t="s">
        <v>218</v>
      </c>
      <c r="B85" s="70" t="s">
        <v>218</v>
      </c>
      <c r="C85" s="37">
        <v>2</v>
      </c>
      <c r="D85" s="65">
        <f ca="1">((100/(I74))*C85)/100</f>
        <v>0.4</v>
      </c>
      <c r="E85" s="65"/>
      <c r="F85" s="65"/>
      <c r="G85" s="65"/>
      <c r="H85" s="65"/>
      <c r="I85" s="65"/>
      <c r="J85" s="67"/>
      <c r="K85" s="21" t="s">
        <v>219</v>
      </c>
      <c r="L85" s="40">
        <f ca="1">(IF(B74=1,(I74/(B74+3)+L80),IF(B74=0,(I74/4+L80),IF(B74&gt;1,0))))</f>
        <v>3.75</v>
      </c>
    </row>
    <row r="86" spans="1:12" ht="16.2" hidden="1" thickBot="1" x14ac:dyDescent="0.35">
      <c r="A86" s="71" t="s">
        <v>220</v>
      </c>
      <c r="B86" s="72"/>
      <c r="C86" s="42">
        <v>1</v>
      </c>
      <c r="D86" s="66">
        <f ca="1">((100/(I74))*C86)/100</f>
        <v>0.2</v>
      </c>
      <c r="E86" s="66"/>
      <c r="F86" s="66"/>
      <c r="G86" s="66"/>
      <c r="H86" s="66"/>
      <c r="I86" s="66"/>
      <c r="J86" s="68"/>
      <c r="K86" s="22" t="s">
        <v>221</v>
      </c>
      <c r="L86" s="43">
        <f ca="1">(IF(B74&gt;1.5,(I74/(B74+2)+L80+MAX(0,L81-L80)+MAX(0,L82-L81)+MAX(0,L83-L82)+MAX(0,L84-L83)+MAX(0,L85-L84)),IF(B74=1,(I74/(B74+3)+L85),IF(B74=0,I74/4+L85))))</f>
        <v>5</v>
      </c>
    </row>
    <row r="87" spans="1:12" ht="15.75" hidden="1" customHeight="1" x14ac:dyDescent="0.3">
      <c r="A87" s="73" t="s">
        <v>192</v>
      </c>
      <c r="B87" s="74"/>
      <c r="C87" s="75" t="s">
        <v>254</v>
      </c>
      <c r="D87" s="75"/>
      <c r="E87" s="75"/>
      <c r="F87" s="75"/>
      <c r="G87" s="75"/>
      <c r="H87" s="75"/>
      <c r="I87" s="75"/>
      <c r="J87" s="76"/>
      <c r="K87" s="35" t="str">
        <f ca="1">IF(D100=100%,"All work Completed. Possession granted to the Building.",IF(D99=100%,"All work Completed, Waiting for OC",K88&amp;""&amp;K89&amp;""&amp;L88&amp;""&amp;L87&amp;" "&amp;L89))</f>
        <v>Excavation, Plinth, RCC Slab, Brickwork, Internal Plaster, External Plaster, Flooring, Painting Completed, Finishing upto 2 Floor, Possession upto 1 Floor Completed</v>
      </c>
      <c r="L87" s="26" t="str">
        <f ca="1">(IF(C93=(D88+G88+I88),"",IF(C93&gt;0,", RCC upto "&amp;C93&amp;" Slab","")))&amp;(IF(C94=I88,"",IF(C94&gt;0,", Brickwork upto "&amp;C94&amp;" Floor","")))&amp;(IF(C95=I88,"",IF(C95&gt;0,", Internal Plaster upto "&amp;C95&amp;" Floor","")))&amp;(IF(C96=I88,"",IF(C96&gt;0,", External Plaster upto "&amp;C96&amp;" Floor","")))&amp;(IF(C97=I88,"",IF(C97&gt;0,", Flooring upto "&amp;C97&amp;" Floor","")))&amp;(IF(C98=I88,"",IF(C98&gt;0,", Painting upto "&amp;C98&amp;" Floor","")))&amp;(IF(C99=I88,"",IF(C99&gt;0,", Finishing upto "&amp;C99&amp;" Floor","")))&amp;(IF(C100=I88,"",IF(C100&gt;0,", Possession upto "&amp;C100&amp;" Floor","")))</f>
        <v>, Finishing upto 2 Floor, Possession upto 1 Floor</v>
      </c>
    </row>
    <row r="88" spans="1:12" ht="15.6" hidden="1" x14ac:dyDescent="0.3">
      <c r="A88" s="24" t="s">
        <v>193</v>
      </c>
      <c r="B88" s="23">
        <v>0</v>
      </c>
      <c r="C88" s="23" t="s">
        <v>138</v>
      </c>
      <c r="D88" s="23">
        <v>1</v>
      </c>
      <c r="E88" s="48" t="s">
        <v>194</v>
      </c>
      <c r="F88" s="64">
        <v>0</v>
      </c>
      <c r="G88" s="64"/>
      <c r="H88" s="23" t="s">
        <v>195</v>
      </c>
      <c r="I88" s="64">
        <f ca="1">--TRIM(RIGHT(SUBSTITUTE(LEFT(C87,_xlfn.AGGREGATE(16,6,FIND({0,1,2,3,4,5,6,7,8,9},C87,ROW(INDIRECT("1:"&amp;LEN(C87)))),1))," ",REPT(" ",LEN(C87))),LEN(C87)))</f>
        <v>5</v>
      </c>
      <c r="J88" s="77"/>
      <c r="K88" s="28" t="str">
        <f ca="1">IF(D91=100%,"Excavation","")&amp;IF(D92=100%,", Plinth","")&amp;IF(D93=100%,", RCC Slab","")&amp;IF(D94=100%,", Brickwork","")&amp;IF(D95=100%,", Internal Plaster","")&amp;IF(D96=100%,", External Plaster","")&amp;IF(D97=100%,", Flooring","")&amp;IF(D98=100%,", Painting","")&amp;IF(D99=100%,", Building common Amenities","")</f>
        <v>Excavation, Plinth, RCC Slab, Brickwork, Internal Plaster, External Plaster, Flooring, Painting</v>
      </c>
      <c r="L88" s="27" t="str">
        <f ca="1">(IF(C91=0,"Work not yet Started.",IF(D91=25%,"Piling work in process",IF(D91=50%,"Excavation work in process",IF(D91=100%,"","0")))))&amp;(IF(C92=0%,"",IF(C92=L93,", Footing work is process",IF(C92=L94,", Footing work Completed",IF(C92=L95,", 1st Basement Completed",IF(C92=L96,", 1st &amp; 2nd Basement Completed",IF(C92=L97,", 1st to 3rd Basement Completed",IF(C92=L98,", 1st to 4th Basement Completed",IF(C92=L99,", Plinth work is process",IF(C92=L100,"","0"))))))))))</f>
        <v/>
      </c>
    </row>
    <row r="89" spans="1:12" ht="46.5" hidden="1" customHeight="1" x14ac:dyDescent="0.3">
      <c r="A89" s="78" t="s">
        <v>196</v>
      </c>
      <c r="B89" s="79"/>
      <c r="C89" s="80" t="str">
        <f ca="1">K87</f>
        <v>Excavation, Plinth, RCC Slab, Brickwork, Internal Plaster, External Plaster, Flooring, Painting Completed, Finishing upto 2 Floor, Possession upto 1 Floor Completed</v>
      </c>
      <c r="D89" s="80"/>
      <c r="E89" s="80"/>
      <c r="F89" s="80"/>
      <c r="G89" s="80"/>
      <c r="H89" s="80"/>
      <c r="I89" s="80"/>
      <c r="J89" s="81"/>
      <c r="K89" s="28" t="str">
        <f ca="1">IF(K88&lt;&gt;""," Completed","")</f>
        <v xml:space="preserve"> Completed</v>
      </c>
      <c r="L89" s="27" t="str">
        <f ca="1">IF(L87&lt;&gt;"","Completed","")</f>
        <v>Completed</v>
      </c>
    </row>
    <row r="90" spans="1:12" ht="15.6" hidden="1" x14ac:dyDescent="0.3">
      <c r="A90" s="63" t="s">
        <v>32</v>
      </c>
      <c r="B90" s="64"/>
      <c r="C90" s="25" t="s">
        <v>197</v>
      </c>
      <c r="D90" s="70" t="s">
        <v>198</v>
      </c>
      <c r="E90" s="70"/>
      <c r="F90" s="70" t="s">
        <v>199</v>
      </c>
      <c r="G90" s="70"/>
      <c r="H90" s="70" t="s">
        <v>200</v>
      </c>
      <c r="I90" s="70"/>
      <c r="J90" s="82"/>
      <c r="K90" s="21" t="s">
        <v>201</v>
      </c>
      <c r="L90" s="36">
        <f ca="1">I88*25%</f>
        <v>1.25</v>
      </c>
    </row>
    <row r="91" spans="1:12" ht="15.6" hidden="1" x14ac:dyDescent="0.3">
      <c r="A91" s="63" t="s">
        <v>202</v>
      </c>
      <c r="B91" s="64"/>
      <c r="C91" s="37">
        <f ca="1">L92</f>
        <v>5</v>
      </c>
      <c r="D91" s="65">
        <f ca="1">((100/I88)*C91)/100</f>
        <v>1</v>
      </c>
      <c r="E91" s="65"/>
      <c r="F91" s="65">
        <f ca="1">(IF(C89=K88,"100%",IF(C89=K89,"100%",(((C92/I88*10)+(40/(D88+F88+I88)*C93)+(7.5/(I88)*C94)+(7.5/(I88)*C95)+(10/I88*C96)+(10/I88*C97)+(5/I88*C98)+(5/I88*C99)+(5/I88*C100))/100))))</f>
        <v>0.93</v>
      </c>
      <c r="G91" s="65"/>
      <c r="H91" s="65">
        <f ca="1">((((C91/I88)*20)+((C92/I88)*25)+(30/(I88+F88+D88)*C93)+(5/I88*C94)+(5/I88*C95)+(5/I88*C96)+(5/I88*C97)+(0/I88*C98)+(0/I88*C99)+(5/I88*C100))/100)</f>
        <v>0.96</v>
      </c>
      <c r="I91" s="65"/>
      <c r="J91" s="67"/>
      <c r="K91" s="21" t="s">
        <v>203</v>
      </c>
      <c r="L91" s="38">
        <f ca="1">I88*50%</f>
        <v>2.5</v>
      </c>
    </row>
    <row r="92" spans="1:12" ht="15.6" hidden="1" x14ac:dyDescent="0.3">
      <c r="A92" s="63" t="s">
        <v>33</v>
      </c>
      <c r="B92" s="64"/>
      <c r="C92" s="39">
        <f ca="1">L100</f>
        <v>5</v>
      </c>
      <c r="D92" s="65">
        <f ca="1">((100/I88)*C92)/100</f>
        <v>1</v>
      </c>
      <c r="E92" s="65"/>
      <c r="F92" s="65"/>
      <c r="G92" s="65"/>
      <c r="H92" s="65"/>
      <c r="I92" s="65"/>
      <c r="J92" s="67"/>
      <c r="K92" s="21" t="s">
        <v>204</v>
      </c>
      <c r="L92" s="38">
        <f ca="1">I88</f>
        <v>5</v>
      </c>
    </row>
    <row r="93" spans="1:12" ht="15.6" hidden="1" x14ac:dyDescent="0.3">
      <c r="A93" s="63" t="s">
        <v>222</v>
      </c>
      <c r="B93" s="64"/>
      <c r="C93" s="39">
        <v>6</v>
      </c>
      <c r="D93" s="65">
        <f ca="1">((100/(D88+F88+I88))*C93)/100</f>
        <v>1</v>
      </c>
      <c r="E93" s="65"/>
      <c r="F93" s="65"/>
      <c r="G93" s="65"/>
      <c r="H93" s="65"/>
      <c r="I93" s="65"/>
      <c r="J93" s="67"/>
      <c r="K93" s="21" t="s">
        <v>205</v>
      </c>
      <c r="L93" s="40">
        <f ca="1">(IF(B88&gt;1,(I88/(B88+2)),I88/4))</f>
        <v>1.25</v>
      </c>
    </row>
    <row r="94" spans="1:12" ht="15.6" hidden="1" x14ac:dyDescent="0.3">
      <c r="A94" s="63" t="s">
        <v>206</v>
      </c>
      <c r="B94" s="64" t="s">
        <v>207</v>
      </c>
      <c r="C94" s="37">
        <v>5</v>
      </c>
      <c r="D94" s="65">
        <f ca="1">((100/I88)*C94)/100</f>
        <v>1</v>
      </c>
      <c r="E94" s="65"/>
      <c r="F94" s="65"/>
      <c r="G94" s="65"/>
      <c r="H94" s="65"/>
      <c r="I94" s="65"/>
      <c r="J94" s="67"/>
      <c r="K94" s="21" t="s">
        <v>208</v>
      </c>
      <c r="L94" s="40">
        <f ca="1">(IF(B88&gt;1,(I88/(B88+2)+L93),I88/4+L93))</f>
        <v>2.5</v>
      </c>
    </row>
    <row r="95" spans="1:12" ht="15.6" hidden="1" x14ac:dyDescent="0.3">
      <c r="A95" s="63" t="s">
        <v>209</v>
      </c>
      <c r="B95" s="64" t="s">
        <v>207</v>
      </c>
      <c r="C95" s="37">
        <v>5</v>
      </c>
      <c r="D95" s="65">
        <f ca="1">((100/I88)*C95)/100</f>
        <v>1</v>
      </c>
      <c r="E95" s="65"/>
      <c r="F95" s="65"/>
      <c r="G95" s="65"/>
      <c r="H95" s="65"/>
      <c r="I95" s="65"/>
      <c r="J95" s="67"/>
      <c r="K95" s="21" t="s">
        <v>210</v>
      </c>
      <c r="L95" s="40">
        <f>(IF(B88&gt;1,(I88/(B88+2)+L94),0))</f>
        <v>0</v>
      </c>
    </row>
    <row r="96" spans="1:12" ht="15.6" hidden="1" x14ac:dyDescent="0.3">
      <c r="A96" s="63" t="s">
        <v>211</v>
      </c>
      <c r="B96" s="64" t="s">
        <v>212</v>
      </c>
      <c r="C96" s="37">
        <v>5</v>
      </c>
      <c r="D96" s="65">
        <f ca="1">((100/(I88))*C96)/100</f>
        <v>1</v>
      </c>
      <c r="E96" s="65"/>
      <c r="F96" s="65"/>
      <c r="G96" s="65"/>
      <c r="H96" s="65"/>
      <c r="I96" s="65"/>
      <c r="J96" s="67"/>
      <c r="K96" s="21" t="s">
        <v>213</v>
      </c>
      <c r="L96" s="40">
        <f>(IF(B88&gt;2,(I88/(B88+2)+L95),0))</f>
        <v>0</v>
      </c>
    </row>
    <row r="97" spans="1:12" ht="15.6" hidden="1" x14ac:dyDescent="0.3">
      <c r="A97" s="63" t="s">
        <v>214</v>
      </c>
      <c r="B97" s="64" t="s">
        <v>214</v>
      </c>
      <c r="C97" s="37">
        <v>5</v>
      </c>
      <c r="D97" s="65">
        <f ca="1">((100/I88)*C97)/100</f>
        <v>1</v>
      </c>
      <c r="E97" s="65"/>
      <c r="F97" s="65"/>
      <c r="G97" s="65"/>
      <c r="H97" s="65"/>
      <c r="I97" s="65"/>
      <c r="J97" s="67"/>
      <c r="K97" s="21" t="s">
        <v>215</v>
      </c>
      <c r="L97" s="41">
        <f>(IF(B88&gt;3,(I88/(B88+2)+L96),0))</f>
        <v>0</v>
      </c>
    </row>
    <row r="98" spans="1:12" ht="15.6" hidden="1" x14ac:dyDescent="0.3">
      <c r="A98" s="63" t="s">
        <v>216</v>
      </c>
      <c r="B98" s="64"/>
      <c r="C98" s="37">
        <v>5</v>
      </c>
      <c r="D98" s="65">
        <f ca="1">((100/I88)*C98)/100</f>
        <v>1</v>
      </c>
      <c r="E98" s="65"/>
      <c r="F98" s="65"/>
      <c r="G98" s="65"/>
      <c r="H98" s="65"/>
      <c r="I98" s="65"/>
      <c r="J98" s="67"/>
      <c r="K98" s="21" t="s">
        <v>217</v>
      </c>
      <c r="L98" s="40">
        <f>(IF(B88&gt;4,(I88/(B88+2)+L97),0))</f>
        <v>0</v>
      </c>
    </row>
    <row r="99" spans="1:12" ht="15.6" hidden="1" x14ac:dyDescent="0.3">
      <c r="A99" s="69" t="s">
        <v>218</v>
      </c>
      <c r="B99" s="70" t="s">
        <v>218</v>
      </c>
      <c r="C99" s="37">
        <v>2</v>
      </c>
      <c r="D99" s="65">
        <f ca="1">((100/(I88))*C99)/100</f>
        <v>0.4</v>
      </c>
      <c r="E99" s="65"/>
      <c r="F99" s="65"/>
      <c r="G99" s="65"/>
      <c r="H99" s="65"/>
      <c r="I99" s="65"/>
      <c r="J99" s="67"/>
      <c r="K99" s="21" t="s">
        <v>219</v>
      </c>
      <c r="L99" s="40">
        <f ca="1">(IF(B88=1,(I88/(B88+3)+L94),IF(B88=0,(I88/4+L94),IF(B88&gt;1,0))))</f>
        <v>3.75</v>
      </c>
    </row>
    <row r="100" spans="1:12" ht="16.2" hidden="1" thickBot="1" x14ac:dyDescent="0.35">
      <c r="A100" s="71" t="s">
        <v>220</v>
      </c>
      <c r="B100" s="72"/>
      <c r="C100" s="42">
        <v>1</v>
      </c>
      <c r="D100" s="66">
        <f ca="1">((100/(I88))*C100)/100</f>
        <v>0.2</v>
      </c>
      <c r="E100" s="66"/>
      <c r="F100" s="66"/>
      <c r="G100" s="66"/>
      <c r="H100" s="66"/>
      <c r="I100" s="66"/>
      <c r="J100" s="68"/>
      <c r="K100" s="22" t="s">
        <v>221</v>
      </c>
      <c r="L100" s="43">
        <f ca="1">(IF(B88&gt;1.5,(I88/(B88+2)+L94+MAX(0,L95-L94)+MAX(0,L96-L95)+MAX(0,L97-L96)+MAX(0,L98-L97)+MAX(0,L99-L98)),IF(B88=1,(I88/(B88+3)+L99),IF(B88=0,I88/4+L99))))</f>
        <v>5</v>
      </c>
    </row>
    <row r="101" spans="1:12" x14ac:dyDescent="0.3">
      <c r="A101" s="57" t="s">
        <v>56</v>
      </c>
      <c r="B101" s="58"/>
      <c r="C101" s="58"/>
      <c r="D101" s="58"/>
      <c r="E101" s="58"/>
      <c r="F101" s="58"/>
      <c r="G101" s="58"/>
      <c r="H101" s="58"/>
      <c r="I101" s="58"/>
      <c r="J101" s="59"/>
    </row>
    <row r="102" spans="1:12" x14ac:dyDescent="0.3">
      <c r="A102" s="57" t="s">
        <v>47</v>
      </c>
      <c r="B102" s="58"/>
      <c r="C102" s="58"/>
      <c r="D102" s="58"/>
      <c r="E102" s="58"/>
      <c r="F102" s="58"/>
      <c r="G102" s="58"/>
      <c r="H102" s="58"/>
      <c r="I102" s="58"/>
      <c r="J102" s="59"/>
    </row>
    <row r="103" spans="1:12" ht="15" hidden="1" customHeight="1" x14ac:dyDescent="0.3">
      <c r="A103" s="99" t="s">
        <v>74</v>
      </c>
      <c r="B103" s="100"/>
      <c r="C103" s="100"/>
      <c r="D103" s="100"/>
      <c r="E103" s="100"/>
      <c r="F103" s="100"/>
      <c r="G103" s="100"/>
      <c r="H103" s="100"/>
      <c r="I103" s="100"/>
      <c r="J103" s="101"/>
    </row>
    <row r="104" spans="1:12" hidden="1" x14ac:dyDescent="0.3">
      <c r="A104" s="102"/>
      <c r="B104" s="103"/>
      <c r="C104" s="103"/>
      <c r="D104" s="103"/>
      <c r="E104" s="103"/>
      <c r="F104" s="103"/>
      <c r="G104" s="103"/>
      <c r="H104" s="103"/>
      <c r="I104" s="103"/>
      <c r="J104" s="104"/>
    </row>
    <row r="105" spans="1:12" x14ac:dyDescent="0.3">
      <c r="A105" s="105" t="s">
        <v>23</v>
      </c>
      <c r="B105" s="106"/>
      <c r="C105" s="106"/>
      <c r="D105" s="106"/>
      <c r="E105" s="106"/>
      <c r="F105" s="106"/>
      <c r="G105" s="106"/>
      <c r="H105" s="106"/>
      <c r="I105" s="106"/>
      <c r="J105" s="107"/>
    </row>
    <row r="106" spans="1:12" x14ac:dyDescent="0.3">
      <c r="A106" s="57" t="s">
        <v>168</v>
      </c>
      <c r="B106" s="86"/>
      <c r="C106" s="86"/>
      <c r="D106" s="86"/>
      <c r="E106" s="86"/>
      <c r="F106" s="87"/>
      <c r="G106" s="88">
        <v>3600</v>
      </c>
      <c r="H106" s="89"/>
      <c r="I106" s="89"/>
      <c r="J106" s="90"/>
    </row>
    <row r="107" spans="1:12" x14ac:dyDescent="0.3">
      <c r="A107" s="57" t="s">
        <v>169</v>
      </c>
      <c r="B107" s="86"/>
      <c r="C107" s="86"/>
      <c r="D107" s="86"/>
      <c r="E107" s="86"/>
      <c r="F107" s="87"/>
      <c r="G107" s="88">
        <v>6000</v>
      </c>
      <c r="H107" s="89"/>
      <c r="I107" s="89"/>
      <c r="J107" s="90"/>
    </row>
    <row r="108" spans="1:12" x14ac:dyDescent="0.3">
      <c r="A108" s="92" t="s">
        <v>172</v>
      </c>
      <c r="B108" s="93"/>
      <c r="C108" s="93"/>
      <c r="D108" s="93"/>
      <c r="E108" s="93"/>
      <c r="F108" s="94"/>
      <c r="G108" s="88">
        <v>65000</v>
      </c>
      <c r="H108" s="89"/>
      <c r="I108" s="89"/>
      <c r="J108" s="90"/>
    </row>
    <row r="109" spans="1:12" x14ac:dyDescent="0.3">
      <c r="A109" s="57" t="s">
        <v>173</v>
      </c>
      <c r="B109" s="58"/>
      <c r="C109" s="58"/>
      <c r="D109" s="58"/>
      <c r="E109" s="58"/>
      <c r="F109" s="59"/>
      <c r="G109" s="88">
        <v>75000</v>
      </c>
      <c r="H109" s="89"/>
      <c r="I109" s="89"/>
      <c r="J109" s="90"/>
    </row>
    <row r="110" spans="1:12" x14ac:dyDescent="0.3">
      <c r="A110" s="57" t="s">
        <v>98</v>
      </c>
      <c r="B110" s="86"/>
      <c r="C110" s="86"/>
      <c r="D110" s="86"/>
      <c r="E110" s="86"/>
      <c r="F110" s="87"/>
      <c r="G110" s="88">
        <v>100000</v>
      </c>
      <c r="H110" s="89"/>
      <c r="I110" s="89"/>
      <c r="J110" s="90"/>
    </row>
    <row r="111" spans="1:12" x14ac:dyDescent="0.3">
      <c r="A111" s="57" t="s">
        <v>174</v>
      </c>
      <c r="B111" s="58"/>
      <c r="C111" s="58"/>
      <c r="D111" s="58"/>
      <c r="E111" s="58"/>
      <c r="F111" s="59"/>
      <c r="G111" s="88">
        <v>100000</v>
      </c>
      <c r="H111" s="89"/>
      <c r="I111" s="89"/>
      <c r="J111" s="90"/>
    </row>
    <row r="112" spans="1:12" s="44" customFormat="1" x14ac:dyDescent="0.3">
      <c r="A112" s="171" t="s">
        <v>111</v>
      </c>
      <c r="B112" s="172"/>
      <c r="C112" s="172"/>
      <c r="D112" s="172"/>
      <c r="E112" s="172"/>
      <c r="F112" s="172"/>
      <c r="G112" s="88">
        <f>G106*0.8</f>
        <v>2880</v>
      </c>
      <c r="H112" s="89"/>
      <c r="I112" s="89"/>
      <c r="J112" s="90"/>
    </row>
    <row r="113" spans="1:10" s="45" customFormat="1" ht="15.75" customHeight="1" x14ac:dyDescent="0.3">
      <c r="A113" s="213" t="s">
        <v>237</v>
      </c>
      <c r="B113" s="213"/>
      <c r="C113" s="213"/>
      <c r="D113" s="213"/>
      <c r="E113" s="213"/>
      <c r="F113" s="213"/>
      <c r="G113" s="213"/>
      <c r="H113" s="213"/>
      <c r="I113" s="213"/>
      <c r="J113" s="213"/>
    </row>
    <row r="114" spans="1:10" s="45" customFormat="1" ht="15.75" customHeight="1" x14ac:dyDescent="0.3">
      <c r="A114" s="214" t="s">
        <v>238</v>
      </c>
      <c r="B114" s="214"/>
      <c r="C114" s="220" t="s">
        <v>239</v>
      </c>
      <c r="D114" s="220"/>
      <c r="E114" s="217" t="s">
        <v>240</v>
      </c>
      <c r="F114" s="217"/>
      <c r="G114" s="214" t="s">
        <v>241</v>
      </c>
      <c r="H114" s="214"/>
      <c r="I114" s="214"/>
      <c r="J114" s="214"/>
    </row>
    <row r="115" spans="1:10" s="45" customFormat="1" ht="15.6" x14ac:dyDescent="0.3">
      <c r="A115" s="209" t="s">
        <v>244</v>
      </c>
      <c r="B115" s="209"/>
      <c r="C115" s="230">
        <f>COUNT(D131:E137)</f>
        <v>7</v>
      </c>
      <c r="D115" s="216"/>
      <c r="E115" s="215">
        <f>SUM(D131:E137)</f>
        <v>642.07259999999997</v>
      </c>
      <c r="F115" s="228"/>
      <c r="G115" s="215">
        <f>SUM(G131:G137)</f>
        <v>963.10890000000006</v>
      </c>
      <c r="H115" s="228"/>
      <c r="I115" s="228"/>
      <c r="J115" s="228"/>
    </row>
    <row r="116" spans="1:10" s="45" customFormat="1" ht="15.6" x14ac:dyDescent="0.3">
      <c r="A116" s="209" t="s">
        <v>245</v>
      </c>
      <c r="B116" s="209"/>
      <c r="C116" s="230">
        <f>COUNT(D156:E168)</f>
        <v>13</v>
      </c>
      <c r="D116" s="216"/>
      <c r="E116" s="215">
        <f>SUM(D156:E168)</f>
        <v>1215.0403199999998</v>
      </c>
      <c r="F116" s="228"/>
      <c r="G116" s="215">
        <f>SUM(G156:G168)</f>
        <v>1822.5604799999999</v>
      </c>
      <c r="H116" s="228"/>
      <c r="I116" s="228"/>
      <c r="J116" s="228"/>
    </row>
    <row r="117" spans="1:10" s="45" customFormat="1" ht="15.6" x14ac:dyDescent="0.3">
      <c r="A117" s="209" t="s">
        <v>243</v>
      </c>
      <c r="B117" s="209"/>
      <c r="C117" s="230">
        <f>COUNT(D185:E188)</f>
        <v>4</v>
      </c>
      <c r="D117" s="216"/>
      <c r="E117" s="215">
        <f>SUM(D185:E188)</f>
        <v>344.12508000000003</v>
      </c>
      <c r="F117" s="228"/>
      <c r="G117" s="215">
        <f>SUM(G185:G188)</f>
        <v>516.18762000000004</v>
      </c>
      <c r="H117" s="228"/>
      <c r="I117" s="228"/>
      <c r="J117" s="228"/>
    </row>
    <row r="118" spans="1:10" s="45" customFormat="1" ht="15.6" x14ac:dyDescent="0.3">
      <c r="A118" s="218" t="s">
        <v>95</v>
      </c>
      <c r="B118" s="218"/>
      <c r="C118" s="219">
        <f>SUM(C115:D117)</f>
        <v>24</v>
      </c>
      <c r="D118" s="220"/>
      <c r="E118" s="227">
        <f>SUM(E115:F117)</f>
        <v>2201.2379999999998</v>
      </c>
      <c r="F118" s="217"/>
      <c r="G118" s="227">
        <f>SUM(G115:J117)</f>
        <v>3301.857</v>
      </c>
      <c r="H118" s="217"/>
      <c r="I118" s="217"/>
      <c r="J118" s="217"/>
    </row>
    <row r="119" spans="1:10" s="45" customFormat="1" ht="15.75" customHeight="1" x14ac:dyDescent="0.3">
      <c r="A119" s="213" t="s">
        <v>242</v>
      </c>
      <c r="B119" s="213"/>
      <c r="C119" s="213"/>
      <c r="D119" s="213"/>
      <c r="E119" s="213"/>
      <c r="F119" s="213"/>
      <c r="G119" s="213"/>
      <c r="H119" s="213"/>
      <c r="I119" s="213"/>
      <c r="J119" s="213"/>
    </row>
    <row r="120" spans="1:10" s="45" customFormat="1" ht="15.75" customHeight="1" x14ac:dyDescent="0.3">
      <c r="A120" s="214" t="s">
        <v>238</v>
      </c>
      <c r="B120" s="214"/>
      <c r="C120" s="220" t="s">
        <v>239</v>
      </c>
      <c r="D120" s="220"/>
      <c r="E120" s="217" t="s">
        <v>240</v>
      </c>
      <c r="F120" s="217"/>
      <c r="G120" s="214" t="s">
        <v>241</v>
      </c>
      <c r="H120" s="214"/>
      <c r="I120" s="214"/>
      <c r="J120" s="214"/>
    </row>
    <row r="121" spans="1:10" s="45" customFormat="1" ht="15.6" x14ac:dyDescent="0.3">
      <c r="A121" s="209" t="s">
        <v>244</v>
      </c>
      <c r="B121" s="209"/>
      <c r="C121" s="216">
        <f>COUNT(D139:E145)*4+COUNT(D147:E153)</f>
        <v>35</v>
      </c>
      <c r="D121" s="216"/>
      <c r="E121" s="215">
        <f>SUM(D139:E145)*4+SUM(D147:E153)</f>
        <v>12031.568640000001</v>
      </c>
      <c r="F121" s="215"/>
      <c r="G121" s="215">
        <f>SUM(G139:G145)*4+SUM(G147:G153)</f>
        <v>17445.774527999998</v>
      </c>
      <c r="H121" s="215"/>
      <c r="I121" s="215"/>
      <c r="J121" s="215"/>
    </row>
    <row r="122" spans="1:10" s="45" customFormat="1" ht="15.6" x14ac:dyDescent="0.3">
      <c r="A122" s="209" t="s">
        <v>245</v>
      </c>
      <c r="B122" s="209"/>
      <c r="C122" s="210">
        <f>COUNT(D170:E175)*4+COUNT(D177:E182)</f>
        <v>30</v>
      </c>
      <c r="D122" s="211"/>
      <c r="E122" s="200">
        <f>SUM(D170:E175)*4+SUM(D177:E182)</f>
        <v>10240.439039999999</v>
      </c>
      <c r="F122" s="201"/>
      <c r="G122" s="200">
        <f>SUM(G170:G175)*4+SUM(G177:G182)</f>
        <v>14848.636607999997</v>
      </c>
      <c r="H122" s="212"/>
      <c r="I122" s="212"/>
      <c r="J122" s="201"/>
    </row>
    <row r="123" spans="1:10" s="45" customFormat="1" ht="15.6" x14ac:dyDescent="0.3">
      <c r="A123" s="209" t="s">
        <v>243</v>
      </c>
      <c r="B123" s="209"/>
      <c r="C123" s="210">
        <f>COUNT(D189:E190)+COUNT(D192:E195)*4+COUNT(D197:E200)</f>
        <v>22</v>
      </c>
      <c r="D123" s="211"/>
      <c r="E123" s="200">
        <f>SUM(D189:E190)+SUM(D192:E195)*4+SUM(D197:E200)</f>
        <v>7331.2527600000012</v>
      </c>
      <c r="F123" s="201"/>
      <c r="G123" s="200">
        <f>SUM(G189:G190)+SUM(G192:G195)*4+SUM(G197:G200)</f>
        <v>10660.138164</v>
      </c>
      <c r="H123" s="212"/>
      <c r="I123" s="212"/>
      <c r="J123" s="201"/>
    </row>
    <row r="124" spans="1:10" s="45" customFormat="1" ht="16.2" thickBot="1" x14ac:dyDescent="0.35">
      <c r="A124" s="202" t="s">
        <v>95</v>
      </c>
      <c r="B124" s="203"/>
      <c r="C124" s="204">
        <f>SUM(C121:D123)</f>
        <v>87</v>
      </c>
      <c r="D124" s="205"/>
      <c r="E124" s="206">
        <f>SUM(E121:F123)</f>
        <v>29603.260440000005</v>
      </c>
      <c r="F124" s="207"/>
      <c r="G124" s="206">
        <f>SUM(G121:J123)</f>
        <v>42954.549299999999</v>
      </c>
      <c r="H124" s="208"/>
      <c r="I124" s="208"/>
      <c r="J124" s="207"/>
    </row>
    <row r="125" spans="1:10" s="45" customFormat="1" ht="16.2" thickBot="1" x14ac:dyDescent="0.35">
      <c r="A125" s="49" t="s">
        <v>256</v>
      </c>
      <c r="B125" s="50"/>
      <c r="C125" s="51">
        <f>C118+C124</f>
        <v>111</v>
      </c>
      <c r="D125" s="52"/>
      <c r="E125" s="53">
        <f>E118+E124</f>
        <v>31804.498440000007</v>
      </c>
      <c r="F125" s="54"/>
      <c r="G125" s="53">
        <f>G118+G124</f>
        <v>46256.406300000002</v>
      </c>
      <c r="H125" s="55"/>
      <c r="I125" s="55"/>
      <c r="J125" s="56"/>
    </row>
    <row r="126" spans="1:10" s="44" customFormat="1" ht="17.399999999999999" x14ac:dyDescent="0.3">
      <c r="A126" s="173" t="s">
        <v>112</v>
      </c>
      <c r="B126" s="174"/>
      <c r="C126" s="174"/>
      <c r="D126" s="174"/>
      <c r="E126" s="174"/>
      <c r="F126" s="174"/>
      <c r="G126" s="174"/>
      <c r="H126" s="174"/>
      <c r="I126" s="174"/>
      <c r="J126" s="175"/>
    </row>
    <row r="127" spans="1:10" x14ac:dyDescent="0.3">
      <c r="A127" s="130" t="s">
        <v>44</v>
      </c>
      <c r="B127" s="131"/>
      <c r="C127" s="131"/>
      <c r="D127" s="131"/>
      <c r="E127" s="131"/>
      <c r="F127" s="131"/>
      <c r="G127" s="131"/>
      <c r="H127" s="131"/>
      <c r="I127" s="131"/>
      <c r="J127" s="132"/>
    </row>
    <row r="128" spans="1:10" ht="39.6" x14ac:dyDescent="0.3">
      <c r="A128" s="176" t="s">
        <v>135</v>
      </c>
      <c r="B128" s="177"/>
      <c r="C128" s="29" t="s">
        <v>28</v>
      </c>
      <c r="D128" s="180" t="s">
        <v>76</v>
      </c>
      <c r="E128" s="181"/>
      <c r="F128" s="30" t="s">
        <v>29</v>
      </c>
      <c r="G128" s="29" t="s">
        <v>103</v>
      </c>
      <c r="H128" s="29" t="s">
        <v>30</v>
      </c>
      <c r="I128" s="176" t="s">
        <v>113</v>
      </c>
      <c r="J128" s="177"/>
    </row>
    <row r="129" spans="1:10" ht="15.6" x14ac:dyDescent="0.3">
      <c r="A129" s="176" t="s">
        <v>144</v>
      </c>
      <c r="B129" s="182"/>
      <c r="C129" s="182"/>
      <c r="D129" s="182"/>
      <c r="E129" s="182"/>
      <c r="F129" s="182"/>
      <c r="G129" s="182"/>
      <c r="H129" s="182"/>
      <c r="I129" s="182"/>
      <c r="J129" s="177"/>
    </row>
    <row r="130" spans="1:10" ht="15.6" x14ac:dyDescent="0.3">
      <c r="A130" s="221" t="s">
        <v>59</v>
      </c>
      <c r="B130" s="222"/>
      <c r="C130" s="222"/>
      <c r="D130" s="222"/>
      <c r="E130" s="222"/>
      <c r="F130" s="222"/>
      <c r="G130" s="222"/>
      <c r="H130" s="222"/>
      <c r="I130" s="222"/>
      <c r="J130" s="223"/>
    </row>
    <row r="131" spans="1:10" ht="15.6" x14ac:dyDescent="0.3">
      <c r="A131" s="84">
        <v>1</v>
      </c>
      <c r="B131" s="85"/>
      <c r="C131" s="31" t="s">
        <v>136</v>
      </c>
      <c r="D131" s="84">
        <f>6.46*10.764</f>
        <v>69.535439999999994</v>
      </c>
      <c r="E131" s="85"/>
      <c r="F131" s="31">
        <v>0</v>
      </c>
      <c r="G131" s="31">
        <f>D131*1.5+F131</f>
        <v>104.30315999999999</v>
      </c>
      <c r="H131" s="31" t="s">
        <v>137</v>
      </c>
      <c r="I131" s="183" t="s">
        <v>138</v>
      </c>
      <c r="J131" s="184"/>
    </row>
    <row r="132" spans="1:10" ht="15.6" x14ac:dyDescent="0.3">
      <c r="A132" s="84">
        <v>2</v>
      </c>
      <c r="B132" s="85"/>
      <c r="C132" s="31" t="s">
        <v>136</v>
      </c>
      <c r="D132" s="84">
        <f>8.83*10.764</f>
        <v>95.046120000000002</v>
      </c>
      <c r="E132" s="85"/>
      <c r="F132" s="31">
        <v>0</v>
      </c>
      <c r="G132" s="31">
        <f t="shared" ref="G132:G137" si="0">D132*1.5+F132</f>
        <v>142.56918000000002</v>
      </c>
      <c r="H132" s="31" t="s">
        <v>137</v>
      </c>
      <c r="I132" s="185"/>
      <c r="J132" s="186"/>
    </row>
    <row r="133" spans="1:10" ht="15.6" x14ac:dyDescent="0.3">
      <c r="A133" s="84">
        <v>3</v>
      </c>
      <c r="B133" s="85"/>
      <c r="C133" s="31" t="s">
        <v>136</v>
      </c>
      <c r="D133" s="84">
        <f>9.53*10.764</f>
        <v>102.58091999999999</v>
      </c>
      <c r="E133" s="85"/>
      <c r="F133" s="31">
        <v>0</v>
      </c>
      <c r="G133" s="31">
        <f t="shared" si="0"/>
        <v>153.87137999999999</v>
      </c>
      <c r="H133" s="31" t="s">
        <v>137</v>
      </c>
      <c r="I133" s="185"/>
      <c r="J133" s="186"/>
    </row>
    <row r="134" spans="1:10" ht="15.6" x14ac:dyDescent="0.3">
      <c r="A134" s="84">
        <v>4</v>
      </c>
      <c r="B134" s="85"/>
      <c r="C134" s="31" t="s">
        <v>136</v>
      </c>
      <c r="D134" s="84">
        <f>9.21*10.764</f>
        <v>99.136440000000007</v>
      </c>
      <c r="E134" s="85"/>
      <c r="F134" s="31">
        <v>0</v>
      </c>
      <c r="G134" s="31">
        <f t="shared" si="0"/>
        <v>148.70466000000002</v>
      </c>
      <c r="H134" s="31" t="s">
        <v>137</v>
      </c>
      <c r="I134" s="185"/>
      <c r="J134" s="186"/>
    </row>
    <row r="135" spans="1:10" ht="15.6" x14ac:dyDescent="0.3">
      <c r="A135" s="84">
        <v>5</v>
      </c>
      <c r="B135" s="85"/>
      <c r="C135" s="31" t="s">
        <v>136</v>
      </c>
      <c r="D135" s="84">
        <f>9.21*10.764</f>
        <v>99.136440000000007</v>
      </c>
      <c r="E135" s="85"/>
      <c r="F135" s="31">
        <v>0</v>
      </c>
      <c r="G135" s="31">
        <f t="shared" si="0"/>
        <v>148.70466000000002</v>
      </c>
      <c r="H135" s="31" t="s">
        <v>137</v>
      </c>
      <c r="I135" s="185"/>
      <c r="J135" s="186"/>
    </row>
    <row r="136" spans="1:10" ht="15.6" x14ac:dyDescent="0.3">
      <c r="A136" s="84">
        <v>6</v>
      </c>
      <c r="B136" s="85"/>
      <c r="C136" s="31" t="s">
        <v>136</v>
      </c>
      <c r="D136" s="84">
        <f>7.2*10.764</f>
        <v>77.500799999999998</v>
      </c>
      <c r="E136" s="85"/>
      <c r="F136" s="31">
        <v>0</v>
      </c>
      <c r="G136" s="31">
        <f t="shared" si="0"/>
        <v>116.2512</v>
      </c>
      <c r="H136" s="31" t="s">
        <v>137</v>
      </c>
      <c r="I136" s="185"/>
      <c r="J136" s="186"/>
    </row>
    <row r="137" spans="1:10" ht="15.6" x14ac:dyDescent="0.3">
      <c r="A137" s="84">
        <v>7</v>
      </c>
      <c r="B137" s="85"/>
      <c r="C137" s="31" t="s">
        <v>136</v>
      </c>
      <c r="D137" s="84">
        <f>9.21*10.764</f>
        <v>99.136440000000007</v>
      </c>
      <c r="E137" s="85"/>
      <c r="F137" s="31">
        <v>0</v>
      </c>
      <c r="G137" s="31">
        <f t="shared" si="0"/>
        <v>148.70466000000002</v>
      </c>
      <c r="H137" s="31" t="s">
        <v>137</v>
      </c>
      <c r="I137" s="187"/>
      <c r="J137" s="188"/>
    </row>
    <row r="138" spans="1:10" ht="15.6" x14ac:dyDescent="0.3">
      <c r="A138" s="224" t="s">
        <v>139</v>
      </c>
      <c r="B138" s="225"/>
      <c r="C138" s="225"/>
      <c r="D138" s="225"/>
      <c r="E138" s="225"/>
      <c r="F138" s="225"/>
      <c r="G138" s="225"/>
      <c r="H138" s="225"/>
      <c r="I138" s="225"/>
      <c r="J138" s="226"/>
    </row>
    <row r="139" spans="1:10" ht="15.6" x14ac:dyDescent="0.3">
      <c r="A139" s="84" t="s">
        <v>233</v>
      </c>
      <c r="B139" s="85"/>
      <c r="C139" s="31" t="s">
        <v>140</v>
      </c>
      <c r="D139" s="84">
        <f>30.78*10.764</f>
        <v>331.31592000000001</v>
      </c>
      <c r="E139" s="85"/>
      <c r="F139" s="31">
        <v>0</v>
      </c>
      <c r="G139" s="31">
        <f>D139*1.45+F139</f>
        <v>480.40808399999997</v>
      </c>
      <c r="H139" s="31" t="s">
        <v>137</v>
      </c>
      <c r="I139" s="183" t="s">
        <v>142</v>
      </c>
      <c r="J139" s="184"/>
    </row>
    <row r="140" spans="1:10" ht="15.6" x14ac:dyDescent="0.3">
      <c r="A140" s="84" t="s">
        <v>234</v>
      </c>
      <c r="B140" s="85"/>
      <c r="C140" s="31" t="s">
        <v>140</v>
      </c>
      <c r="D140" s="84">
        <f>30.78*10.764</f>
        <v>331.31592000000001</v>
      </c>
      <c r="E140" s="85"/>
      <c r="F140" s="31">
        <v>0</v>
      </c>
      <c r="G140" s="31">
        <f t="shared" ref="G140:G145" si="1">D140*1.45+F140</f>
        <v>480.40808399999997</v>
      </c>
      <c r="H140" s="31" t="s">
        <v>137</v>
      </c>
      <c r="I140" s="185"/>
      <c r="J140" s="186"/>
    </row>
    <row r="141" spans="1:10" ht="15.6" x14ac:dyDescent="0.3">
      <c r="A141" s="84" t="s">
        <v>235</v>
      </c>
      <c r="B141" s="85"/>
      <c r="C141" s="31" t="s">
        <v>140</v>
      </c>
      <c r="D141" s="84">
        <f>30.86*10.764</f>
        <v>332.17703999999998</v>
      </c>
      <c r="E141" s="85"/>
      <c r="F141" s="31">
        <v>0</v>
      </c>
      <c r="G141" s="31">
        <f t="shared" si="1"/>
        <v>481.65670799999992</v>
      </c>
      <c r="H141" s="31" t="s">
        <v>137</v>
      </c>
      <c r="I141" s="185"/>
      <c r="J141" s="186"/>
    </row>
    <row r="142" spans="1:10" ht="15.6" x14ac:dyDescent="0.3">
      <c r="A142" s="84" t="s">
        <v>236</v>
      </c>
      <c r="B142" s="85"/>
      <c r="C142" s="31" t="s">
        <v>140</v>
      </c>
      <c r="D142" s="84">
        <f>29.31*10.764</f>
        <v>315.49283999999994</v>
      </c>
      <c r="E142" s="85"/>
      <c r="F142" s="31">
        <v>0</v>
      </c>
      <c r="G142" s="31">
        <f t="shared" si="1"/>
        <v>457.46461799999992</v>
      </c>
      <c r="H142" s="31" t="s">
        <v>137</v>
      </c>
      <c r="I142" s="185"/>
      <c r="J142" s="186"/>
    </row>
    <row r="143" spans="1:10" ht="15.6" x14ac:dyDescent="0.3">
      <c r="A143" s="84" t="s">
        <v>251</v>
      </c>
      <c r="B143" s="85"/>
      <c r="C143" s="31" t="s">
        <v>140</v>
      </c>
      <c r="D143" s="84">
        <f>28.29*10.764</f>
        <v>304.51355999999998</v>
      </c>
      <c r="E143" s="85"/>
      <c r="F143" s="31">
        <v>0</v>
      </c>
      <c r="G143" s="31">
        <f t="shared" si="1"/>
        <v>441.54466199999996</v>
      </c>
      <c r="H143" s="31" t="s">
        <v>137</v>
      </c>
      <c r="I143" s="185"/>
      <c r="J143" s="186"/>
    </row>
    <row r="144" spans="1:10" ht="15.6" x14ac:dyDescent="0.3">
      <c r="A144" s="84" t="s">
        <v>252</v>
      </c>
      <c r="B144" s="85"/>
      <c r="C144" s="31" t="s">
        <v>141</v>
      </c>
      <c r="D144" s="84">
        <f>43.7*10.764</f>
        <v>470.38679999999999</v>
      </c>
      <c r="E144" s="85"/>
      <c r="F144" s="31">
        <v>0</v>
      </c>
      <c r="G144" s="31">
        <f t="shared" si="1"/>
        <v>682.06085999999993</v>
      </c>
      <c r="H144" s="31" t="s">
        <v>137</v>
      </c>
      <c r="I144" s="185"/>
      <c r="J144" s="186"/>
    </row>
    <row r="145" spans="1:10" ht="15.6" x14ac:dyDescent="0.3">
      <c r="A145" s="84" t="s">
        <v>253</v>
      </c>
      <c r="B145" s="85"/>
      <c r="C145" s="31" t="s">
        <v>140</v>
      </c>
      <c r="D145" s="84">
        <f>27.36*10.764</f>
        <v>294.50304</v>
      </c>
      <c r="E145" s="85"/>
      <c r="F145" s="31">
        <v>0</v>
      </c>
      <c r="G145" s="31">
        <f t="shared" si="1"/>
        <v>427.02940799999999</v>
      </c>
      <c r="H145" s="31" t="s">
        <v>137</v>
      </c>
      <c r="I145" s="187"/>
      <c r="J145" s="188"/>
    </row>
    <row r="146" spans="1:10" ht="15.6" x14ac:dyDescent="0.3">
      <c r="A146" s="224" t="s">
        <v>231</v>
      </c>
      <c r="B146" s="225"/>
      <c r="C146" s="225"/>
      <c r="D146" s="225"/>
      <c r="E146" s="225"/>
      <c r="F146" s="225"/>
      <c r="G146" s="225"/>
      <c r="H146" s="225"/>
      <c r="I146" s="225"/>
      <c r="J146" s="226"/>
    </row>
    <row r="147" spans="1:10" ht="15.6" x14ac:dyDescent="0.3">
      <c r="A147" s="84">
        <v>501</v>
      </c>
      <c r="B147" s="85"/>
      <c r="C147" s="31" t="s">
        <v>140</v>
      </c>
      <c r="D147" s="84">
        <f>32.57*10.764</f>
        <v>350.58348000000001</v>
      </c>
      <c r="E147" s="85"/>
      <c r="F147" s="31">
        <v>0</v>
      </c>
      <c r="G147" s="31">
        <f>D147*1.45+F147</f>
        <v>508.346046</v>
      </c>
      <c r="H147" s="31" t="s">
        <v>137</v>
      </c>
      <c r="I147" s="183" t="str">
        <f>A146</f>
        <v>5th Floor</v>
      </c>
      <c r="J147" s="184"/>
    </row>
    <row r="148" spans="1:10" ht="15.6" x14ac:dyDescent="0.3">
      <c r="A148" s="84">
        <v>502</v>
      </c>
      <c r="B148" s="85"/>
      <c r="C148" s="31" t="s">
        <v>140</v>
      </c>
      <c r="D148" s="84">
        <f>32.57*10.764</f>
        <v>350.58348000000001</v>
      </c>
      <c r="E148" s="85"/>
      <c r="F148" s="31">
        <v>0</v>
      </c>
      <c r="G148" s="31">
        <f t="shared" ref="G148:G152" si="2">D148*1.45+F148</f>
        <v>508.346046</v>
      </c>
      <c r="H148" s="31" t="s">
        <v>137</v>
      </c>
      <c r="I148" s="185"/>
      <c r="J148" s="186"/>
    </row>
    <row r="149" spans="1:10" ht="15.6" x14ac:dyDescent="0.3">
      <c r="A149" s="84">
        <v>503</v>
      </c>
      <c r="B149" s="85"/>
      <c r="C149" s="31" t="s">
        <v>140</v>
      </c>
      <c r="D149" s="84">
        <f>32.62*10.764</f>
        <v>351.12167999999997</v>
      </c>
      <c r="E149" s="85"/>
      <c r="F149" s="31">
        <v>0</v>
      </c>
      <c r="G149" s="31">
        <f t="shared" si="2"/>
        <v>509.12643599999996</v>
      </c>
      <c r="H149" s="31" t="s">
        <v>137</v>
      </c>
      <c r="I149" s="185"/>
      <c r="J149" s="186"/>
    </row>
    <row r="150" spans="1:10" ht="15.6" x14ac:dyDescent="0.3">
      <c r="A150" s="84">
        <v>504</v>
      </c>
      <c r="B150" s="85"/>
      <c r="C150" s="31" t="s">
        <v>140</v>
      </c>
      <c r="D150" s="84">
        <f>30.99*10.764</f>
        <v>333.57635999999997</v>
      </c>
      <c r="E150" s="85"/>
      <c r="F150" s="31">
        <v>0</v>
      </c>
      <c r="G150" s="31">
        <f t="shared" si="2"/>
        <v>483.68572199999994</v>
      </c>
      <c r="H150" s="31" t="s">
        <v>137</v>
      </c>
      <c r="I150" s="185"/>
      <c r="J150" s="186"/>
    </row>
    <row r="151" spans="1:10" ht="15.6" x14ac:dyDescent="0.3">
      <c r="A151" s="84">
        <v>505</v>
      </c>
      <c r="B151" s="85"/>
      <c r="C151" s="31" t="s">
        <v>140</v>
      </c>
      <c r="D151" s="84">
        <f>29.86*10.764</f>
        <v>321.41303999999997</v>
      </c>
      <c r="E151" s="85"/>
      <c r="F151" s="31">
        <v>0</v>
      </c>
      <c r="G151" s="31">
        <f t="shared" si="2"/>
        <v>466.04890799999993</v>
      </c>
      <c r="H151" s="31" t="s">
        <v>137</v>
      </c>
      <c r="I151" s="185"/>
      <c r="J151" s="186"/>
    </row>
    <row r="152" spans="1:10" ht="15.6" x14ac:dyDescent="0.3">
      <c r="A152" s="84">
        <v>506</v>
      </c>
      <c r="B152" s="85"/>
      <c r="C152" s="31" t="s">
        <v>141</v>
      </c>
      <c r="D152" s="84">
        <f>45.95*10.764</f>
        <v>494.60579999999999</v>
      </c>
      <c r="E152" s="85"/>
      <c r="F152" s="31">
        <v>0</v>
      </c>
      <c r="G152" s="31">
        <f t="shared" si="2"/>
        <v>717.17840999999999</v>
      </c>
      <c r="H152" s="31" t="s">
        <v>137</v>
      </c>
      <c r="I152" s="185"/>
      <c r="J152" s="186"/>
    </row>
    <row r="153" spans="1:10" ht="15.6" x14ac:dyDescent="0.3">
      <c r="A153" s="84">
        <v>507</v>
      </c>
      <c r="B153" s="85"/>
      <c r="C153" s="31" t="s">
        <v>140</v>
      </c>
      <c r="D153" s="84">
        <f>28.88*10.764</f>
        <v>310.86431999999996</v>
      </c>
      <c r="E153" s="85"/>
      <c r="F153" s="31">
        <v>0</v>
      </c>
      <c r="G153" s="31">
        <f t="shared" ref="G153" si="3">D153*1.45+F153</f>
        <v>450.75326399999994</v>
      </c>
      <c r="H153" s="31" t="s">
        <v>137</v>
      </c>
      <c r="I153" s="187"/>
      <c r="J153" s="188"/>
    </row>
    <row r="154" spans="1:10" ht="15.6" x14ac:dyDescent="0.3">
      <c r="A154" s="229" t="s">
        <v>143</v>
      </c>
      <c r="B154" s="229"/>
      <c r="C154" s="229"/>
      <c r="D154" s="229"/>
      <c r="E154" s="229"/>
      <c r="F154" s="229"/>
      <c r="G154" s="229"/>
      <c r="H154" s="229"/>
      <c r="I154" s="229"/>
      <c r="J154" s="229"/>
    </row>
    <row r="155" spans="1:10" ht="15.6" x14ac:dyDescent="0.3">
      <c r="A155" s="91" t="s">
        <v>59</v>
      </c>
      <c r="B155" s="91"/>
      <c r="C155" s="91"/>
      <c r="D155" s="91"/>
      <c r="E155" s="91"/>
      <c r="F155" s="91"/>
      <c r="G155" s="91"/>
      <c r="H155" s="91"/>
      <c r="I155" s="91"/>
      <c r="J155" s="91"/>
    </row>
    <row r="156" spans="1:10" ht="15.6" x14ac:dyDescent="0.3">
      <c r="A156" s="83">
        <v>1</v>
      </c>
      <c r="B156" s="83"/>
      <c r="C156" s="31" t="s">
        <v>136</v>
      </c>
      <c r="D156" s="83">
        <f>9.21*10.764</f>
        <v>99.136440000000007</v>
      </c>
      <c r="E156" s="83"/>
      <c r="F156" s="31">
        <v>0</v>
      </c>
      <c r="G156" s="31">
        <f>D156*1.5+F156</f>
        <v>148.70466000000002</v>
      </c>
      <c r="H156" s="31" t="s">
        <v>137</v>
      </c>
      <c r="I156" s="83" t="str">
        <f>A155</f>
        <v>Ground Floor For Parking &amp; Commercial</v>
      </c>
      <c r="J156" s="83"/>
    </row>
    <row r="157" spans="1:10" ht="15.6" x14ac:dyDescent="0.3">
      <c r="A157" s="83">
        <v>2</v>
      </c>
      <c r="B157" s="83"/>
      <c r="C157" s="31" t="s">
        <v>136</v>
      </c>
      <c r="D157" s="83">
        <f>7.2*10.764</f>
        <v>77.500799999999998</v>
      </c>
      <c r="E157" s="83"/>
      <c r="F157" s="31">
        <v>0</v>
      </c>
      <c r="G157" s="31">
        <f t="shared" ref="G157:G162" si="4">D157*1.5+F157</f>
        <v>116.2512</v>
      </c>
      <c r="H157" s="31" t="s">
        <v>137</v>
      </c>
      <c r="I157" s="83"/>
      <c r="J157" s="83"/>
    </row>
    <row r="158" spans="1:10" ht="15.6" x14ac:dyDescent="0.3">
      <c r="A158" s="83">
        <v>3</v>
      </c>
      <c r="B158" s="83"/>
      <c r="C158" s="31" t="s">
        <v>136</v>
      </c>
      <c r="D158" s="83">
        <f>9.21*10.764</f>
        <v>99.136440000000007</v>
      </c>
      <c r="E158" s="83"/>
      <c r="F158" s="31">
        <v>0</v>
      </c>
      <c r="G158" s="31">
        <f t="shared" si="4"/>
        <v>148.70466000000002</v>
      </c>
      <c r="H158" s="31" t="s">
        <v>137</v>
      </c>
      <c r="I158" s="83"/>
      <c r="J158" s="83"/>
    </row>
    <row r="159" spans="1:10" ht="15.6" x14ac:dyDescent="0.3">
      <c r="A159" s="83">
        <v>4</v>
      </c>
      <c r="B159" s="83"/>
      <c r="C159" s="31" t="s">
        <v>136</v>
      </c>
      <c r="D159" s="83">
        <f>9.21*10.764</f>
        <v>99.136440000000007</v>
      </c>
      <c r="E159" s="83"/>
      <c r="F159" s="31">
        <v>0</v>
      </c>
      <c r="G159" s="31">
        <f t="shared" si="4"/>
        <v>148.70466000000002</v>
      </c>
      <c r="H159" s="31" t="s">
        <v>137</v>
      </c>
      <c r="I159" s="83"/>
      <c r="J159" s="83"/>
    </row>
    <row r="160" spans="1:10" ht="15.6" x14ac:dyDescent="0.3">
      <c r="A160" s="83">
        <v>5</v>
      </c>
      <c r="B160" s="83"/>
      <c r="C160" s="31" t="s">
        <v>136</v>
      </c>
      <c r="D160" s="83">
        <f>7.2*10.764</f>
        <v>77.500799999999998</v>
      </c>
      <c r="E160" s="83"/>
      <c r="F160" s="31">
        <v>0</v>
      </c>
      <c r="G160" s="31">
        <f t="shared" si="4"/>
        <v>116.2512</v>
      </c>
      <c r="H160" s="31" t="s">
        <v>137</v>
      </c>
      <c r="I160" s="83"/>
      <c r="J160" s="83"/>
    </row>
    <row r="161" spans="1:13" ht="15.6" x14ac:dyDescent="0.3">
      <c r="A161" s="83">
        <v>6</v>
      </c>
      <c r="B161" s="83"/>
      <c r="C161" s="31" t="s">
        <v>136</v>
      </c>
      <c r="D161" s="83">
        <f>11.71*10.764</f>
        <v>126.04644</v>
      </c>
      <c r="E161" s="83"/>
      <c r="F161" s="31">
        <v>0</v>
      </c>
      <c r="G161" s="31">
        <f t="shared" si="4"/>
        <v>189.06966</v>
      </c>
      <c r="H161" s="31" t="s">
        <v>137</v>
      </c>
      <c r="I161" s="83"/>
      <c r="J161" s="83"/>
    </row>
    <row r="162" spans="1:13" ht="15.6" x14ac:dyDescent="0.3">
      <c r="A162" s="83">
        <v>7</v>
      </c>
      <c r="B162" s="83"/>
      <c r="C162" s="31" t="s">
        <v>136</v>
      </c>
      <c r="D162" s="83">
        <f>5.91*10.764</f>
        <v>63.61524</v>
      </c>
      <c r="E162" s="83"/>
      <c r="F162" s="31">
        <v>0</v>
      </c>
      <c r="G162" s="31">
        <f t="shared" si="4"/>
        <v>95.42286</v>
      </c>
      <c r="H162" s="31" t="s">
        <v>137</v>
      </c>
      <c r="I162" s="83"/>
      <c r="J162" s="83"/>
    </row>
    <row r="163" spans="1:13" ht="15.6" x14ac:dyDescent="0.3">
      <c r="A163" s="83">
        <v>8</v>
      </c>
      <c r="B163" s="83"/>
      <c r="C163" s="31" t="s">
        <v>136</v>
      </c>
      <c r="D163" s="83">
        <f>9.05*10.764</f>
        <v>97.414200000000008</v>
      </c>
      <c r="E163" s="83"/>
      <c r="F163" s="31">
        <v>0</v>
      </c>
      <c r="G163" s="31">
        <f t="shared" ref="G163:G168" si="5">D163*1.5+F163</f>
        <v>146.12130000000002</v>
      </c>
      <c r="H163" s="31" t="s">
        <v>137</v>
      </c>
      <c r="I163" s="83"/>
      <c r="J163" s="83"/>
    </row>
    <row r="164" spans="1:13" ht="15.6" x14ac:dyDescent="0.3">
      <c r="A164" s="83">
        <v>9</v>
      </c>
      <c r="B164" s="83"/>
      <c r="C164" s="31" t="s">
        <v>136</v>
      </c>
      <c r="D164" s="83">
        <f>9.4*10.764</f>
        <v>101.1816</v>
      </c>
      <c r="E164" s="83"/>
      <c r="F164" s="31">
        <v>0</v>
      </c>
      <c r="G164" s="31">
        <f t="shared" si="5"/>
        <v>151.7724</v>
      </c>
      <c r="H164" s="31" t="s">
        <v>137</v>
      </c>
      <c r="I164" s="83"/>
      <c r="J164" s="83"/>
    </row>
    <row r="165" spans="1:13" ht="15.6" x14ac:dyDescent="0.3">
      <c r="A165" s="83">
        <v>10</v>
      </c>
      <c r="B165" s="83"/>
      <c r="C165" s="31" t="s">
        <v>136</v>
      </c>
      <c r="D165" s="83">
        <f>8.94*10.764</f>
        <v>96.230159999999984</v>
      </c>
      <c r="E165" s="83"/>
      <c r="F165" s="31">
        <v>0</v>
      </c>
      <c r="G165" s="31">
        <f t="shared" si="5"/>
        <v>144.34523999999999</v>
      </c>
      <c r="H165" s="31" t="s">
        <v>137</v>
      </c>
      <c r="I165" s="83"/>
      <c r="J165" s="83"/>
    </row>
    <row r="166" spans="1:13" ht="15.6" x14ac:dyDescent="0.3">
      <c r="A166" s="83">
        <v>11</v>
      </c>
      <c r="B166" s="83"/>
      <c r="C166" s="31" t="s">
        <v>136</v>
      </c>
      <c r="D166" s="83">
        <f>8.94*10.764</f>
        <v>96.230159999999984</v>
      </c>
      <c r="E166" s="83"/>
      <c r="F166" s="31">
        <v>0</v>
      </c>
      <c r="G166" s="31">
        <f t="shared" si="5"/>
        <v>144.34523999999999</v>
      </c>
      <c r="H166" s="31" t="s">
        <v>137</v>
      </c>
      <c r="I166" s="83"/>
      <c r="J166" s="83"/>
    </row>
    <row r="167" spans="1:13" ht="15.6" x14ac:dyDescent="0.3">
      <c r="A167" s="83">
        <v>12</v>
      </c>
      <c r="B167" s="83"/>
      <c r="C167" s="31" t="s">
        <v>136</v>
      </c>
      <c r="D167" s="83">
        <f>6.99*10.764</f>
        <v>75.240359999999995</v>
      </c>
      <c r="E167" s="83"/>
      <c r="F167" s="31">
        <v>0</v>
      </c>
      <c r="G167" s="31">
        <f t="shared" si="5"/>
        <v>112.86053999999999</v>
      </c>
      <c r="H167" s="31" t="s">
        <v>137</v>
      </c>
      <c r="I167" s="83"/>
      <c r="J167" s="83"/>
    </row>
    <row r="168" spans="1:13" ht="15.6" x14ac:dyDescent="0.3">
      <c r="A168" s="83">
        <v>13</v>
      </c>
      <c r="B168" s="83"/>
      <c r="C168" s="31" t="s">
        <v>136</v>
      </c>
      <c r="D168" s="83">
        <f>9.91*10.764</f>
        <v>106.67124</v>
      </c>
      <c r="E168" s="83"/>
      <c r="F168" s="31">
        <v>0</v>
      </c>
      <c r="G168" s="31">
        <f t="shared" si="5"/>
        <v>160.00685999999999</v>
      </c>
      <c r="H168" s="31" t="s">
        <v>137</v>
      </c>
      <c r="I168" s="83"/>
      <c r="J168" s="83"/>
    </row>
    <row r="169" spans="1:13" ht="15.6" x14ac:dyDescent="0.3">
      <c r="A169" s="224" t="s">
        <v>139</v>
      </c>
      <c r="B169" s="225"/>
      <c r="C169" s="225"/>
      <c r="D169" s="225"/>
      <c r="E169" s="225"/>
      <c r="F169" s="225"/>
      <c r="G169" s="225"/>
      <c r="H169" s="225"/>
      <c r="I169" s="225"/>
      <c r="J169" s="226"/>
    </row>
    <row r="170" spans="1:13" ht="15.6" x14ac:dyDescent="0.3">
      <c r="A170" s="84" t="s">
        <v>233</v>
      </c>
      <c r="B170" s="85"/>
      <c r="C170" s="31" t="s">
        <v>140</v>
      </c>
      <c r="D170" s="84">
        <f>32.47*10.764</f>
        <v>349.50707999999997</v>
      </c>
      <c r="E170" s="85"/>
      <c r="F170" s="31">
        <v>0</v>
      </c>
      <c r="G170" s="31">
        <f t="shared" ref="G170:G175" si="6">D170*1.45+F170</f>
        <v>506.78526599999992</v>
      </c>
      <c r="H170" s="31" t="s">
        <v>137</v>
      </c>
      <c r="I170" s="183" t="str">
        <f>A169</f>
        <v>1st to 4th Floor</v>
      </c>
      <c r="J170" s="184"/>
      <c r="L170">
        <f>1394000/G170</f>
        <v>2750.6719187057033</v>
      </c>
      <c r="M170">
        <f>1394000/G170</f>
        <v>2750.6719187057033</v>
      </c>
    </row>
    <row r="171" spans="1:13" ht="15.6" x14ac:dyDescent="0.3">
      <c r="A171" s="84" t="s">
        <v>234</v>
      </c>
      <c r="B171" s="85"/>
      <c r="C171" s="31" t="s">
        <v>140</v>
      </c>
      <c r="D171" s="84">
        <f>32.47*10.764</f>
        <v>349.50707999999997</v>
      </c>
      <c r="E171" s="85"/>
      <c r="F171" s="31">
        <v>0</v>
      </c>
      <c r="G171" s="31">
        <f t="shared" si="6"/>
        <v>506.78526599999992</v>
      </c>
      <c r="H171" s="31" t="s">
        <v>137</v>
      </c>
      <c r="I171" s="185"/>
      <c r="J171" s="186"/>
    </row>
    <row r="172" spans="1:13" ht="15.6" x14ac:dyDescent="0.3">
      <c r="A172" s="84" t="s">
        <v>235</v>
      </c>
      <c r="B172" s="85"/>
      <c r="C172" s="31" t="s">
        <v>140</v>
      </c>
      <c r="D172" s="84">
        <f>30.6*10.764</f>
        <v>329.3784</v>
      </c>
      <c r="E172" s="85"/>
      <c r="F172" s="31">
        <v>0</v>
      </c>
      <c r="G172" s="31">
        <f t="shared" si="6"/>
        <v>477.59868</v>
      </c>
      <c r="H172" s="31" t="s">
        <v>137</v>
      </c>
      <c r="I172" s="185"/>
      <c r="J172" s="186"/>
    </row>
    <row r="173" spans="1:13" ht="15.6" x14ac:dyDescent="0.3">
      <c r="A173" s="84" t="s">
        <v>236</v>
      </c>
      <c r="B173" s="85"/>
      <c r="C173" s="31" t="s">
        <v>140</v>
      </c>
      <c r="D173" s="84">
        <f>30.89*10.764</f>
        <v>332.49995999999999</v>
      </c>
      <c r="E173" s="85"/>
      <c r="F173" s="31">
        <v>0</v>
      </c>
      <c r="G173" s="31">
        <f t="shared" si="6"/>
        <v>482.12494199999998</v>
      </c>
      <c r="H173" s="31" t="s">
        <v>137</v>
      </c>
      <c r="I173" s="185"/>
      <c r="J173" s="186"/>
    </row>
    <row r="174" spans="1:13" ht="15.6" x14ac:dyDescent="0.3">
      <c r="A174" s="84" t="s">
        <v>251</v>
      </c>
      <c r="B174" s="85"/>
      <c r="C174" s="31" t="s">
        <v>140</v>
      </c>
      <c r="D174" s="84">
        <f>30.71*10.764</f>
        <v>330.56243999999998</v>
      </c>
      <c r="E174" s="85"/>
      <c r="F174" s="31">
        <v>0</v>
      </c>
      <c r="G174" s="31">
        <f t="shared" si="6"/>
        <v>479.31553799999995</v>
      </c>
      <c r="H174" s="31" t="s">
        <v>137</v>
      </c>
      <c r="I174" s="185"/>
      <c r="J174" s="186"/>
    </row>
    <row r="175" spans="1:13" ht="15.6" x14ac:dyDescent="0.3">
      <c r="A175" s="84" t="s">
        <v>252</v>
      </c>
      <c r="B175" s="85"/>
      <c r="C175" s="31" t="s">
        <v>141</v>
      </c>
      <c r="D175" s="84">
        <f>30.71*10.764</f>
        <v>330.56243999999998</v>
      </c>
      <c r="E175" s="85"/>
      <c r="F175" s="31">
        <v>0</v>
      </c>
      <c r="G175" s="31">
        <f t="shared" si="6"/>
        <v>479.31553799999995</v>
      </c>
      <c r="H175" s="31" t="s">
        <v>137</v>
      </c>
      <c r="I175" s="187"/>
      <c r="J175" s="188"/>
    </row>
    <row r="176" spans="1:13" ht="15.6" x14ac:dyDescent="0.3">
      <c r="A176" s="224" t="s">
        <v>231</v>
      </c>
      <c r="B176" s="225"/>
      <c r="C176" s="225"/>
      <c r="D176" s="225"/>
      <c r="E176" s="225"/>
      <c r="F176" s="225"/>
      <c r="G176" s="225"/>
      <c r="H176" s="225"/>
      <c r="I176" s="225"/>
      <c r="J176" s="226"/>
    </row>
    <row r="177" spans="1:13" ht="15.6" x14ac:dyDescent="0.3">
      <c r="A177" s="84">
        <v>501</v>
      </c>
      <c r="B177" s="85"/>
      <c r="C177" s="31" t="s">
        <v>140</v>
      </c>
      <c r="D177" s="84">
        <f>34.65*10.764</f>
        <v>372.97259999999994</v>
      </c>
      <c r="E177" s="85"/>
      <c r="F177" s="31">
        <v>0</v>
      </c>
      <c r="G177" s="31">
        <f t="shared" ref="G177:G182" si="7">D177*1.45+F177</f>
        <v>540.81026999999995</v>
      </c>
      <c r="H177" s="31" t="s">
        <v>137</v>
      </c>
      <c r="I177" s="183" t="str">
        <f>A176</f>
        <v>5th Floor</v>
      </c>
      <c r="J177" s="184"/>
      <c r="L177">
        <f>1394000/G177</f>
        <v>2577.6137720165707</v>
      </c>
      <c r="M177">
        <f>1394000/G177</f>
        <v>2577.6137720165707</v>
      </c>
    </row>
    <row r="178" spans="1:13" ht="15.6" x14ac:dyDescent="0.3">
      <c r="A178" s="84">
        <v>502</v>
      </c>
      <c r="B178" s="85"/>
      <c r="C178" s="31" t="s">
        <v>140</v>
      </c>
      <c r="D178" s="84">
        <f>34.65*10.764</f>
        <v>372.97259999999994</v>
      </c>
      <c r="E178" s="85"/>
      <c r="F178" s="31">
        <v>0</v>
      </c>
      <c r="G178" s="31">
        <f t="shared" si="7"/>
        <v>540.81026999999995</v>
      </c>
      <c r="H178" s="31" t="s">
        <v>137</v>
      </c>
      <c r="I178" s="185"/>
      <c r="J178" s="186"/>
    </row>
    <row r="179" spans="1:13" ht="15.6" x14ac:dyDescent="0.3">
      <c r="A179" s="84">
        <v>503</v>
      </c>
      <c r="B179" s="85"/>
      <c r="C179" s="31" t="s">
        <v>140</v>
      </c>
      <c r="D179" s="84">
        <f>32.26*10.764</f>
        <v>347.24663999999996</v>
      </c>
      <c r="E179" s="85"/>
      <c r="F179" s="31">
        <v>0</v>
      </c>
      <c r="G179" s="31">
        <f t="shared" si="7"/>
        <v>503.5076279999999</v>
      </c>
      <c r="H179" s="31" t="s">
        <v>137</v>
      </c>
      <c r="I179" s="185"/>
      <c r="J179" s="186"/>
    </row>
    <row r="180" spans="1:13" ht="15.6" x14ac:dyDescent="0.3">
      <c r="A180" s="84">
        <v>504</v>
      </c>
      <c r="B180" s="85"/>
      <c r="C180" s="31" t="s">
        <v>140</v>
      </c>
      <c r="D180" s="84">
        <f>32.64*10.764</f>
        <v>351.33695999999998</v>
      </c>
      <c r="E180" s="85"/>
      <c r="F180" s="31">
        <v>0</v>
      </c>
      <c r="G180" s="31">
        <f t="shared" si="7"/>
        <v>509.43859199999997</v>
      </c>
      <c r="H180" s="31" t="s">
        <v>137</v>
      </c>
      <c r="I180" s="185"/>
      <c r="J180" s="186"/>
    </row>
    <row r="181" spans="1:13" ht="15.6" x14ac:dyDescent="0.3">
      <c r="A181" s="84">
        <v>505</v>
      </c>
      <c r="B181" s="85"/>
      <c r="C181" s="31" t="s">
        <v>140</v>
      </c>
      <c r="D181" s="84">
        <f>32.88*10.764</f>
        <v>353.92032</v>
      </c>
      <c r="E181" s="85"/>
      <c r="F181" s="31">
        <v>0</v>
      </c>
      <c r="G181" s="31">
        <f t="shared" si="7"/>
        <v>513.18446399999993</v>
      </c>
      <c r="H181" s="31" t="s">
        <v>137</v>
      </c>
      <c r="I181" s="185"/>
      <c r="J181" s="186"/>
    </row>
    <row r="182" spans="1:13" ht="15.6" x14ac:dyDescent="0.3">
      <c r="A182" s="84">
        <v>506</v>
      </c>
      <c r="B182" s="85"/>
      <c r="C182" s="31" t="s">
        <v>140</v>
      </c>
      <c r="D182" s="84">
        <f>32.88*10.764</f>
        <v>353.92032</v>
      </c>
      <c r="E182" s="85"/>
      <c r="F182" s="31">
        <v>0</v>
      </c>
      <c r="G182" s="31">
        <f t="shared" si="7"/>
        <v>513.18446399999993</v>
      </c>
      <c r="H182" s="31" t="s">
        <v>137</v>
      </c>
      <c r="I182" s="187"/>
      <c r="J182" s="188"/>
    </row>
    <row r="183" spans="1:13" ht="15.6" x14ac:dyDescent="0.3">
      <c r="A183" s="176" t="s">
        <v>145</v>
      </c>
      <c r="B183" s="182"/>
      <c r="C183" s="182"/>
      <c r="D183" s="182"/>
      <c r="E183" s="182"/>
      <c r="F183" s="182"/>
      <c r="G183" s="182"/>
      <c r="H183" s="182"/>
      <c r="I183" s="182"/>
      <c r="J183" s="177"/>
    </row>
    <row r="184" spans="1:13" ht="15.6" x14ac:dyDescent="0.3">
      <c r="A184" s="221" t="s">
        <v>232</v>
      </c>
      <c r="B184" s="222"/>
      <c r="C184" s="222"/>
      <c r="D184" s="222"/>
      <c r="E184" s="222"/>
      <c r="F184" s="222"/>
      <c r="G184" s="222"/>
      <c r="H184" s="222"/>
      <c r="I184" s="222"/>
      <c r="J184" s="223"/>
    </row>
    <row r="185" spans="1:13" ht="15.75" customHeight="1" x14ac:dyDescent="0.3">
      <c r="A185" s="84">
        <v>21</v>
      </c>
      <c r="B185" s="85"/>
      <c r="C185" s="31" t="s">
        <v>136</v>
      </c>
      <c r="D185" s="84">
        <f>8.66*10.764</f>
        <v>93.216239999999999</v>
      </c>
      <c r="E185" s="85"/>
      <c r="F185" s="31">
        <v>0</v>
      </c>
      <c r="G185" s="31">
        <f t="shared" ref="G185:G190" si="8">D185*1.5+F185</f>
        <v>139.82436000000001</v>
      </c>
      <c r="H185" s="31" t="s">
        <v>137</v>
      </c>
      <c r="I185" s="183" t="str">
        <f>A184</f>
        <v>Ground Floor For Parking, Commercial &amp; Residential</v>
      </c>
      <c r="J185" s="184"/>
    </row>
    <row r="186" spans="1:13" ht="15.6" x14ac:dyDescent="0.3">
      <c r="A186" s="84">
        <v>22</v>
      </c>
      <c r="B186" s="85"/>
      <c r="C186" s="31" t="s">
        <v>136</v>
      </c>
      <c r="D186" s="84">
        <f>9.38*10.764</f>
        <v>100.96632</v>
      </c>
      <c r="E186" s="85"/>
      <c r="F186" s="31">
        <v>0</v>
      </c>
      <c r="G186" s="31">
        <f t="shared" si="8"/>
        <v>151.44947999999999</v>
      </c>
      <c r="H186" s="31" t="s">
        <v>137</v>
      </c>
      <c r="I186" s="185"/>
      <c r="J186" s="186"/>
    </row>
    <row r="187" spans="1:13" ht="15.6" x14ac:dyDescent="0.3">
      <c r="A187" s="84">
        <v>23</v>
      </c>
      <c r="B187" s="85"/>
      <c r="C187" s="31" t="s">
        <v>136</v>
      </c>
      <c r="D187" s="84">
        <f>8.02*10.764</f>
        <v>86.327279999999988</v>
      </c>
      <c r="E187" s="85"/>
      <c r="F187" s="31">
        <v>0</v>
      </c>
      <c r="G187" s="31">
        <f t="shared" si="8"/>
        <v>129.49091999999999</v>
      </c>
      <c r="H187" s="31" t="s">
        <v>137</v>
      </c>
      <c r="I187" s="185"/>
      <c r="J187" s="186"/>
    </row>
    <row r="188" spans="1:13" ht="15.6" x14ac:dyDescent="0.3">
      <c r="A188" s="84">
        <v>24</v>
      </c>
      <c r="B188" s="85"/>
      <c r="C188" s="32" t="s">
        <v>136</v>
      </c>
      <c r="D188" s="84">
        <f>5.91*10.764</f>
        <v>63.61524</v>
      </c>
      <c r="E188" s="85"/>
      <c r="F188" s="31">
        <v>0</v>
      </c>
      <c r="G188" s="31">
        <f t="shared" si="8"/>
        <v>95.42286</v>
      </c>
      <c r="H188" s="31" t="s">
        <v>137</v>
      </c>
      <c r="I188" s="185"/>
      <c r="J188" s="186"/>
    </row>
    <row r="189" spans="1:13" ht="15.6" x14ac:dyDescent="0.3">
      <c r="A189" s="84">
        <v>1</v>
      </c>
      <c r="B189" s="85"/>
      <c r="C189" s="33" t="s">
        <v>146</v>
      </c>
      <c r="D189" s="84">
        <f>22.53*10.764</f>
        <v>242.51292000000001</v>
      </c>
      <c r="E189" s="85"/>
      <c r="F189" s="31">
        <v>0</v>
      </c>
      <c r="G189" s="31">
        <f t="shared" si="8"/>
        <v>363.76938000000001</v>
      </c>
      <c r="H189" s="31" t="s">
        <v>137</v>
      </c>
      <c r="I189" s="185"/>
      <c r="J189" s="186"/>
    </row>
    <row r="190" spans="1:13" ht="15.6" x14ac:dyDescent="0.3">
      <c r="A190" s="84">
        <v>2</v>
      </c>
      <c r="B190" s="85"/>
      <c r="C190" s="33" t="s">
        <v>140</v>
      </c>
      <c r="D190" s="84">
        <f>32.88*10.764</f>
        <v>353.92032</v>
      </c>
      <c r="E190" s="85"/>
      <c r="F190" s="31">
        <v>0</v>
      </c>
      <c r="G190" s="31">
        <f t="shared" si="8"/>
        <v>530.88048000000003</v>
      </c>
      <c r="H190" s="31" t="s">
        <v>137</v>
      </c>
      <c r="I190" s="187"/>
      <c r="J190" s="188"/>
    </row>
    <row r="191" spans="1:13" ht="15.6" x14ac:dyDescent="0.3">
      <c r="A191" s="91" t="s">
        <v>139</v>
      </c>
      <c r="B191" s="91"/>
      <c r="C191" s="91"/>
      <c r="D191" s="91"/>
      <c r="E191" s="91"/>
      <c r="F191" s="91"/>
      <c r="G191" s="91"/>
      <c r="H191" s="91"/>
      <c r="I191" s="91"/>
      <c r="J191" s="91"/>
    </row>
    <row r="192" spans="1:13" ht="15.6" x14ac:dyDescent="0.3">
      <c r="A192" s="83" t="s">
        <v>233</v>
      </c>
      <c r="B192" s="83"/>
      <c r="C192" s="31" t="s">
        <v>140</v>
      </c>
      <c r="D192" s="83">
        <f>30.71*10.764</f>
        <v>330.56243999999998</v>
      </c>
      <c r="E192" s="83"/>
      <c r="F192" s="31">
        <v>0</v>
      </c>
      <c r="G192" s="31">
        <f>D192*1.45+F192</f>
        <v>479.31553799999995</v>
      </c>
      <c r="H192" s="31" t="s">
        <v>137</v>
      </c>
      <c r="I192" s="83" t="str">
        <f>A191</f>
        <v>1st to 4th Floor</v>
      </c>
      <c r="J192" s="83"/>
    </row>
    <row r="193" spans="1:10" ht="15.6" x14ac:dyDescent="0.3">
      <c r="A193" s="83" t="s">
        <v>234</v>
      </c>
      <c r="B193" s="83"/>
      <c r="C193" s="31" t="s">
        <v>140</v>
      </c>
      <c r="D193" s="83">
        <f>30.71*10.764</f>
        <v>330.56243999999998</v>
      </c>
      <c r="E193" s="83"/>
      <c r="F193" s="31">
        <v>0</v>
      </c>
      <c r="G193" s="31">
        <f>D193*1.45+F193</f>
        <v>479.31553799999995</v>
      </c>
      <c r="H193" s="31" t="s">
        <v>137</v>
      </c>
      <c r="I193" s="83"/>
      <c r="J193" s="83"/>
    </row>
    <row r="194" spans="1:10" ht="15.6" x14ac:dyDescent="0.3">
      <c r="A194" s="83" t="s">
        <v>235</v>
      </c>
      <c r="B194" s="83"/>
      <c r="C194" s="31" t="s">
        <v>140</v>
      </c>
      <c r="D194" s="83">
        <f>31.22*10.764</f>
        <v>336.05207999999999</v>
      </c>
      <c r="E194" s="83"/>
      <c r="F194" s="31">
        <v>0</v>
      </c>
      <c r="G194" s="31">
        <f>D194*1.45+F194</f>
        <v>487.27551599999998</v>
      </c>
      <c r="H194" s="31" t="s">
        <v>137</v>
      </c>
      <c r="I194" s="83"/>
      <c r="J194" s="83"/>
    </row>
    <row r="195" spans="1:10" ht="15.6" x14ac:dyDescent="0.3">
      <c r="A195" s="83" t="s">
        <v>236</v>
      </c>
      <c r="B195" s="83"/>
      <c r="C195" s="31" t="s">
        <v>140</v>
      </c>
      <c r="D195" s="83">
        <f>30.93*10.764</f>
        <v>332.93052</v>
      </c>
      <c r="E195" s="83"/>
      <c r="F195" s="31">
        <v>0</v>
      </c>
      <c r="G195" s="31">
        <f>D195*1.45+F195</f>
        <v>482.74925400000001</v>
      </c>
      <c r="H195" s="31" t="s">
        <v>137</v>
      </c>
      <c r="I195" s="83"/>
      <c r="J195" s="83"/>
    </row>
    <row r="196" spans="1:10" ht="15.6" x14ac:dyDescent="0.3">
      <c r="A196" s="91" t="s">
        <v>231</v>
      </c>
      <c r="B196" s="91"/>
      <c r="C196" s="91"/>
      <c r="D196" s="91"/>
      <c r="E196" s="91"/>
      <c r="F196" s="91"/>
      <c r="G196" s="91"/>
      <c r="H196" s="91"/>
      <c r="I196" s="91"/>
      <c r="J196" s="91"/>
    </row>
    <row r="197" spans="1:10" ht="15.6" x14ac:dyDescent="0.3">
      <c r="A197" s="83">
        <v>501</v>
      </c>
      <c r="B197" s="83"/>
      <c r="C197" s="31" t="s">
        <v>140</v>
      </c>
      <c r="D197" s="83">
        <f>32.88*10.764</f>
        <v>353.92032</v>
      </c>
      <c r="E197" s="83"/>
      <c r="F197" s="31">
        <v>0</v>
      </c>
      <c r="G197" s="31">
        <f>D197*1.45+F197</f>
        <v>513.18446399999993</v>
      </c>
      <c r="H197" s="31" t="s">
        <v>137</v>
      </c>
      <c r="I197" s="83" t="str">
        <f>A196</f>
        <v>5th Floor</v>
      </c>
      <c r="J197" s="83"/>
    </row>
    <row r="198" spans="1:10" ht="15.6" x14ac:dyDescent="0.3">
      <c r="A198" s="83">
        <v>502</v>
      </c>
      <c r="B198" s="83"/>
      <c r="C198" s="31" t="s">
        <v>140</v>
      </c>
      <c r="D198" s="83">
        <f>32.88*10.764</f>
        <v>353.92032</v>
      </c>
      <c r="E198" s="83"/>
      <c r="F198" s="31">
        <v>0</v>
      </c>
      <c r="G198" s="31">
        <f>D198*1.45+F198</f>
        <v>513.18446399999993</v>
      </c>
      <c r="H198" s="31" t="s">
        <v>137</v>
      </c>
      <c r="I198" s="83"/>
      <c r="J198" s="83"/>
    </row>
    <row r="199" spans="1:10" ht="15.6" x14ac:dyDescent="0.3">
      <c r="A199" s="83">
        <v>503</v>
      </c>
      <c r="B199" s="83"/>
      <c r="C199" s="31" t="s">
        <v>140</v>
      </c>
      <c r="D199" s="83">
        <f>33.01*10.764</f>
        <v>355.31963999999994</v>
      </c>
      <c r="E199" s="83"/>
      <c r="F199" s="31">
        <v>0</v>
      </c>
      <c r="G199" s="31">
        <f>D199*1.45+F199</f>
        <v>515.2134779999999</v>
      </c>
      <c r="H199" s="31" t="s">
        <v>137</v>
      </c>
      <c r="I199" s="83"/>
      <c r="J199" s="83"/>
    </row>
    <row r="200" spans="1:10" ht="15.6" x14ac:dyDescent="0.3">
      <c r="A200" s="83">
        <v>504</v>
      </c>
      <c r="B200" s="83"/>
      <c r="C200" s="31" t="s">
        <v>140</v>
      </c>
      <c r="D200" s="83">
        <f>32.63*10.764</f>
        <v>351.22932000000003</v>
      </c>
      <c r="E200" s="83"/>
      <c r="F200" s="31">
        <v>0</v>
      </c>
      <c r="G200" s="31">
        <f>D200*1.45+F200</f>
        <v>509.28251400000005</v>
      </c>
      <c r="H200" s="31" t="s">
        <v>137</v>
      </c>
      <c r="I200" s="83"/>
      <c r="J200" s="83"/>
    </row>
    <row r="201" spans="1:10" ht="30.6" customHeight="1" x14ac:dyDescent="0.3">
      <c r="A201" s="179" t="s">
        <v>263</v>
      </c>
      <c r="B201" s="179"/>
      <c r="C201" s="179"/>
      <c r="D201" s="179"/>
      <c r="E201" s="179"/>
      <c r="F201" s="179"/>
      <c r="G201" s="179"/>
      <c r="H201" s="179"/>
      <c r="I201" s="179"/>
      <c r="J201" s="179"/>
    </row>
    <row r="202" spans="1:10" ht="142.80000000000001" customHeight="1" x14ac:dyDescent="0.3">
      <c r="A202" s="179"/>
      <c r="B202" s="179"/>
      <c r="C202" s="179"/>
      <c r="D202" s="179"/>
      <c r="E202" s="179"/>
      <c r="F202" s="179"/>
      <c r="G202" s="179"/>
      <c r="H202" s="179"/>
      <c r="I202" s="179"/>
      <c r="J202" s="179"/>
    </row>
    <row r="203" spans="1:10" x14ac:dyDescent="0.3">
      <c r="A203" s="178" t="s">
        <v>24</v>
      </c>
      <c r="B203" s="136"/>
      <c r="C203" s="136"/>
      <c r="D203" s="136"/>
      <c r="E203" s="136"/>
      <c r="F203" s="136"/>
      <c r="G203" s="136"/>
      <c r="H203" s="136"/>
      <c r="I203" s="136"/>
      <c r="J203" s="137"/>
    </row>
    <row r="204" spans="1:10" x14ac:dyDescent="0.3">
      <c r="A204" s="95" t="s">
        <v>31</v>
      </c>
      <c r="B204" s="86"/>
      <c r="C204" s="86"/>
      <c r="D204" s="86"/>
      <c r="E204" s="86"/>
      <c r="F204" s="86"/>
      <c r="G204" s="86"/>
      <c r="H204" s="86"/>
      <c r="I204" s="86"/>
      <c r="J204" s="87"/>
    </row>
    <row r="205" spans="1:10" x14ac:dyDescent="0.3">
      <c r="A205" s="178" t="s">
        <v>26</v>
      </c>
      <c r="B205" s="136"/>
      <c r="C205" s="136"/>
      <c r="D205" s="136"/>
      <c r="E205" s="136"/>
      <c r="F205" s="136"/>
      <c r="G205" s="136"/>
      <c r="H205" s="136"/>
      <c r="I205" s="136"/>
      <c r="J205" s="137"/>
    </row>
    <row r="206" spans="1:10" x14ac:dyDescent="0.3">
      <c r="A206" s="57" t="s">
        <v>36</v>
      </c>
      <c r="B206" s="58"/>
      <c r="C206" s="58"/>
      <c r="D206" s="58"/>
      <c r="E206" s="58"/>
      <c r="F206" s="58"/>
      <c r="G206" s="58"/>
      <c r="H206" s="58"/>
      <c r="I206" s="58"/>
      <c r="J206" s="59"/>
    </row>
    <row r="207" spans="1:10" ht="16.5" customHeight="1" x14ac:dyDescent="0.3">
      <c r="A207" s="96" t="s">
        <v>57</v>
      </c>
      <c r="B207" s="97"/>
      <c r="C207" s="97"/>
      <c r="D207" s="97"/>
      <c r="E207" s="97"/>
      <c r="F207" s="97"/>
      <c r="G207" s="97"/>
      <c r="H207" s="97"/>
      <c r="I207" s="97"/>
      <c r="J207" s="98"/>
    </row>
    <row r="208" spans="1:10" x14ac:dyDescent="0.3">
      <c r="A208" s="57" t="s">
        <v>37</v>
      </c>
      <c r="B208" s="58"/>
      <c r="C208" s="58"/>
      <c r="D208" s="58"/>
      <c r="E208" s="58"/>
      <c r="F208" s="58"/>
      <c r="G208" s="58"/>
      <c r="H208" s="58"/>
      <c r="I208" s="58"/>
      <c r="J208" s="59"/>
    </row>
    <row r="209" spans="1:10" x14ac:dyDescent="0.3">
      <c r="A209" s="57" t="s">
        <v>38</v>
      </c>
      <c r="B209" s="58"/>
      <c r="C209" s="58"/>
      <c r="D209" s="58"/>
      <c r="E209" s="58"/>
      <c r="F209" s="58"/>
      <c r="G209" s="58"/>
      <c r="H209" s="58"/>
      <c r="I209" s="58"/>
      <c r="J209" s="59"/>
    </row>
    <row r="210" spans="1:10" ht="30.75" customHeight="1" x14ac:dyDescent="0.3">
      <c r="A210" s="92" t="s">
        <v>39</v>
      </c>
      <c r="B210" s="93"/>
      <c r="C210" s="93"/>
      <c r="D210" s="93"/>
      <c r="E210" s="93"/>
      <c r="F210" s="93"/>
      <c r="G210" s="93"/>
      <c r="H210" s="93"/>
      <c r="I210" s="93"/>
      <c r="J210" s="94"/>
    </row>
    <row r="211" spans="1:10" ht="15" customHeight="1" x14ac:dyDescent="0.3">
      <c r="A211" s="162" t="s">
        <v>25</v>
      </c>
      <c r="B211" s="163"/>
      <c r="C211" s="163"/>
      <c r="D211" s="163"/>
      <c r="E211" s="163"/>
      <c r="F211" s="163"/>
      <c r="G211" s="163"/>
      <c r="H211" s="163"/>
      <c r="I211" s="163"/>
      <c r="J211" s="164"/>
    </row>
    <row r="212" spans="1:10" x14ac:dyDescent="0.3">
      <c r="A212" s="165"/>
      <c r="B212" s="166"/>
      <c r="C212" s="166"/>
      <c r="D212" s="166"/>
      <c r="E212" s="166"/>
      <c r="F212" s="166"/>
      <c r="G212" s="166"/>
      <c r="H212" s="166"/>
      <c r="I212" s="166"/>
      <c r="J212" s="167"/>
    </row>
    <row r="213" spans="1:10" x14ac:dyDescent="0.3">
      <c r="A213" s="165"/>
      <c r="B213" s="166"/>
      <c r="C213" s="166"/>
      <c r="D213" s="166"/>
      <c r="E213" s="166"/>
      <c r="F213" s="166"/>
      <c r="G213" s="166"/>
      <c r="H213" s="166"/>
      <c r="I213" s="166"/>
      <c r="J213" s="167"/>
    </row>
    <row r="214" spans="1:10" x14ac:dyDescent="0.3">
      <c r="A214" s="168"/>
      <c r="B214" s="169"/>
      <c r="C214" s="169"/>
      <c r="D214" s="169"/>
      <c r="E214" s="169"/>
      <c r="F214" s="169"/>
      <c r="G214" s="169"/>
      <c r="H214" s="169"/>
      <c r="I214" s="169"/>
      <c r="J214" s="170"/>
    </row>
    <row r="215" spans="1:10" x14ac:dyDescent="0.3">
      <c r="A215" s="46" t="s">
        <v>175</v>
      </c>
    </row>
    <row r="254" hidden="1" x14ac:dyDescent="0.3"/>
    <row r="255" hidden="1" x14ac:dyDescent="0.3"/>
    <row r="256" hidden="1" x14ac:dyDescent="0.3"/>
    <row r="257" spans="1:2" hidden="1" x14ac:dyDescent="0.3"/>
    <row r="258" spans="1:2" hidden="1" x14ac:dyDescent="0.3"/>
    <row r="261" spans="1:2" x14ac:dyDescent="0.3">
      <c r="A261" s="47" t="s">
        <v>170</v>
      </c>
      <c r="B261" s="47"/>
    </row>
  </sheetData>
  <mergeCells count="446">
    <mergeCell ref="F15:G15"/>
    <mergeCell ref="H15:J15"/>
    <mergeCell ref="A16:B16"/>
    <mergeCell ref="C16:E16"/>
    <mergeCell ref="F16:G16"/>
    <mergeCell ref="H16:J16"/>
    <mergeCell ref="I185:J190"/>
    <mergeCell ref="G107:J107"/>
    <mergeCell ref="A190:B190"/>
    <mergeCell ref="D190:E190"/>
    <mergeCell ref="A114:B114"/>
    <mergeCell ref="C114:D114"/>
    <mergeCell ref="E114:F114"/>
    <mergeCell ref="A115:B115"/>
    <mergeCell ref="C115:D115"/>
    <mergeCell ref="E115:F115"/>
    <mergeCell ref="A116:B116"/>
    <mergeCell ref="C116:D116"/>
    <mergeCell ref="E116:F116"/>
    <mergeCell ref="A117:B117"/>
    <mergeCell ref="C117:D117"/>
    <mergeCell ref="E117:F117"/>
    <mergeCell ref="A120:B120"/>
    <mergeCell ref="C120:D120"/>
    <mergeCell ref="A176:J176"/>
    <mergeCell ref="A181:B181"/>
    <mergeCell ref="D181:E181"/>
    <mergeCell ref="A182:B182"/>
    <mergeCell ref="D182:E182"/>
    <mergeCell ref="A150:B150"/>
    <mergeCell ref="D150:E150"/>
    <mergeCell ref="A113:J113"/>
    <mergeCell ref="G114:J114"/>
    <mergeCell ref="G115:J115"/>
    <mergeCell ref="G116:J116"/>
    <mergeCell ref="G117:J117"/>
    <mergeCell ref="A177:B177"/>
    <mergeCell ref="D177:E177"/>
    <mergeCell ref="I177:J182"/>
    <mergeCell ref="A178:B178"/>
    <mergeCell ref="D178:E178"/>
    <mergeCell ref="A179:B179"/>
    <mergeCell ref="D179:E179"/>
    <mergeCell ref="A180:B180"/>
    <mergeCell ref="D180:E180"/>
    <mergeCell ref="A122:B122"/>
    <mergeCell ref="C122:D122"/>
    <mergeCell ref="G122:J122"/>
    <mergeCell ref="A154:J154"/>
    <mergeCell ref="D143:E143"/>
    <mergeCell ref="A144:B144"/>
    <mergeCell ref="A148:B148"/>
    <mergeCell ref="D148:E148"/>
    <mergeCell ref="I147:J153"/>
    <mergeCell ref="A196:J196"/>
    <mergeCell ref="A197:B197"/>
    <mergeCell ref="D197:E197"/>
    <mergeCell ref="I197:J200"/>
    <mergeCell ref="A198:B198"/>
    <mergeCell ref="D198:E198"/>
    <mergeCell ref="A199:B199"/>
    <mergeCell ref="D199:E199"/>
    <mergeCell ref="A200:B200"/>
    <mergeCell ref="D200:E200"/>
    <mergeCell ref="H48:J48"/>
    <mergeCell ref="A49:B49"/>
    <mergeCell ref="C49:F49"/>
    <mergeCell ref="H49:J49"/>
    <mergeCell ref="A50:B50"/>
    <mergeCell ref="C50:F50"/>
    <mergeCell ref="H50:J50"/>
    <mergeCell ref="A51:B51"/>
    <mergeCell ref="C51:F51"/>
    <mergeCell ref="H51:J51"/>
    <mergeCell ref="H91:J100"/>
    <mergeCell ref="A92:B92"/>
    <mergeCell ref="D92:E92"/>
    <mergeCell ref="A93:B93"/>
    <mergeCell ref="D93:E93"/>
    <mergeCell ref="A99:B99"/>
    <mergeCell ref="D99:E99"/>
    <mergeCell ref="E118:F118"/>
    <mergeCell ref="G118:J118"/>
    <mergeCell ref="D144:E144"/>
    <mergeCell ref="A153:B153"/>
    <mergeCell ref="D153:E153"/>
    <mergeCell ref="A134:B134"/>
    <mergeCell ref="D134:E134"/>
    <mergeCell ref="A135:B135"/>
    <mergeCell ref="A136:B136"/>
    <mergeCell ref="D136:E136"/>
    <mergeCell ref="A137:B137"/>
    <mergeCell ref="D140:E140"/>
    <mergeCell ref="D135:E135"/>
    <mergeCell ref="D139:E139"/>
    <mergeCell ref="A140:B140"/>
    <mergeCell ref="A138:J138"/>
    <mergeCell ref="I139:J145"/>
    <mergeCell ref="A151:B151"/>
    <mergeCell ref="D151:E151"/>
    <mergeCell ref="A152:B152"/>
    <mergeCell ref="D152:E152"/>
    <mergeCell ref="A149:B149"/>
    <mergeCell ref="D149:E149"/>
    <mergeCell ref="A146:J146"/>
    <mergeCell ref="A147:B147"/>
    <mergeCell ref="D147:E147"/>
    <mergeCell ref="A155:J155"/>
    <mergeCell ref="A87:B87"/>
    <mergeCell ref="C87:J87"/>
    <mergeCell ref="F88:G88"/>
    <mergeCell ref="I88:J88"/>
    <mergeCell ref="A89:B89"/>
    <mergeCell ref="C89:J89"/>
    <mergeCell ref="A90:B90"/>
    <mergeCell ref="D90:E90"/>
    <mergeCell ref="F90:G90"/>
    <mergeCell ref="H90:J90"/>
    <mergeCell ref="A91:B91"/>
    <mergeCell ref="D91:E91"/>
    <mergeCell ref="F91:G100"/>
    <mergeCell ref="A141:B141"/>
    <mergeCell ref="D141:E141"/>
    <mergeCell ref="A145:B145"/>
    <mergeCell ref="D145:E145"/>
    <mergeCell ref="A142:B142"/>
    <mergeCell ref="D142:E142"/>
    <mergeCell ref="A143:B143"/>
    <mergeCell ref="A130:J130"/>
    <mergeCell ref="A131:B131"/>
    <mergeCell ref="D131:E131"/>
    <mergeCell ref="I156:J168"/>
    <mergeCell ref="A166:B166"/>
    <mergeCell ref="A163:B163"/>
    <mergeCell ref="D163:E163"/>
    <mergeCell ref="A164:B164"/>
    <mergeCell ref="D164:E164"/>
    <mergeCell ref="A165:B165"/>
    <mergeCell ref="D165:E165"/>
    <mergeCell ref="D166:E166"/>
    <mergeCell ref="A160:B160"/>
    <mergeCell ref="D160:E160"/>
    <mergeCell ref="A159:B159"/>
    <mergeCell ref="D159:E159"/>
    <mergeCell ref="A158:B158"/>
    <mergeCell ref="D158:E158"/>
    <mergeCell ref="A156:B156"/>
    <mergeCell ref="D156:E156"/>
    <mergeCell ref="A157:B157"/>
    <mergeCell ref="D157:E157"/>
    <mergeCell ref="A183:J183"/>
    <mergeCell ref="A161:B161"/>
    <mergeCell ref="D161:E161"/>
    <mergeCell ref="A162:B162"/>
    <mergeCell ref="D162:E162"/>
    <mergeCell ref="A184:J184"/>
    <mergeCell ref="D170:E170"/>
    <mergeCell ref="A171:B171"/>
    <mergeCell ref="D171:E171"/>
    <mergeCell ref="A174:B174"/>
    <mergeCell ref="D174:E174"/>
    <mergeCell ref="A175:B175"/>
    <mergeCell ref="D175:E175"/>
    <mergeCell ref="A172:B172"/>
    <mergeCell ref="A170:B170"/>
    <mergeCell ref="A167:B167"/>
    <mergeCell ref="D167:E167"/>
    <mergeCell ref="A168:B168"/>
    <mergeCell ref="D168:E168"/>
    <mergeCell ref="D172:E172"/>
    <mergeCell ref="A173:B173"/>
    <mergeCell ref="D173:E173"/>
    <mergeCell ref="A169:J169"/>
    <mergeCell ref="I170:J175"/>
    <mergeCell ref="A132:B132"/>
    <mergeCell ref="D132:E132"/>
    <mergeCell ref="G109:J109"/>
    <mergeCell ref="G111:J111"/>
    <mergeCell ref="A133:B133"/>
    <mergeCell ref="D133:E133"/>
    <mergeCell ref="E122:F122"/>
    <mergeCell ref="A124:B124"/>
    <mergeCell ref="C124:D124"/>
    <mergeCell ref="E124:F124"/>
    <mergeCell ref="G124:J124"/>
    <mergeCell ref="A123:B123"/>
    <mergeCell ref="C123:D123"/>
    <mergeCell ref="E123:F123"/>
    <mergeCell ref="G123:J123"/>
    <mergeCell ref="A119:J119"/>
    <mergeCell ref="G120:J120"/>
    <mergeCell ref="G121:J121"/>
    <mergeCell ref="A121:B121"/>
    <mergeCell ref="C121:D121"/>
    <mergeCell ref="E121:F121"/>
    <mergeCell ref="E120:F120"/>
    <mergeCell ref="A118:B118"/>
    <mergeCell ref="C118:D118"/>
    <mergeCell ref="A28:J28"/>
    <mergeCell ref="A29:J29"/>
    <mergeCell ref="A36:E36"/>
    <mergeCell ref="F36:J36"/>
    <mergeCell ref="G106:J106"/>
    <mergeCell ref="A39:E39"/>
    <mergeCell ref="C43:F43"/>
    <mergeCell ref="A59:B59"/>
    <mergeCell ref="C59:J59"/>
    <mergeCell ref="F60:G60"/>
    <mergeCell ref="I60:J60"/>
    <mergeCell ref="A61:B61"/>
    <mergeCell ref="C61:J61"/>
    <mergeCell ref="A62:B62"/>
    <mergeCell ref="D62:E62"/>
    <mergeCell ref="F62:G62"/>
    <mergeCell ref="D52:E52"/>
    <mergeCell ref="C44:F44"/>
    <mergeCell ref="C45:F45"/>
    <mergeCell ref="A52:C52"/>
    <mergeCell ref="D54:E54"/>
    <mergeCell ref="A55:B55"/>
    <mergeCell ref="A44:B44"/>
    <mergeCell ref="C46:F46"/>
    <mergeCell ref="A35:E35"/>
    <mergeCell ref="A43:B43"/>
    <mergeCell ref="F40:J40"/>
    <mergeCell ref="F39:J39"/>
    <mergeCell ref="A106:F106"/>
    <mergeCell ref="F35:J35"/>
    <mergeCell ref="A57:J57"/>
    <mergeCell ref="F38:J38"/>
    <mergeCell ref="A48:B48"/>
    <mergeCell ref="C48:F48"/>
    <mergeCell ref="A100:B100"/>
    <mergeCell ref="D100:E100"/>
    <mergeCell ref="A94:B94"/>
    <mergeCell ref="D94:E94"/>
    <mergeCell ref="A95:B95"/>
    <mergeCell ref="D95:E95"/>
    <mergeCell ref="A96:B96"/>
    <mergeCell ref="D96:E96"/>
    <mergeCell ref="A97:B97"/>
    <mergeCell ref="D97:E97"/>
    <mergeCell ref="A98:B98"/>
    <mergeCell ref="D98:E98"/>
    <mergeCell ref="A42:J42"/>
    <mergeCell ref="A47:J47"/>
    <mergeCell ref="D187:E187"/>
    <mergeCell ref="A188:B188"/>
    <mergeCell ref="A128:B128"/>
    <mergeCell ref="D128:E128"/>
    <mergeCell ref="A129:J129"/>
    <mergeCell ref="I131:J137"/>
    <mergeCell ref="D137:E137"/>
    <mergeCell ref="A1:J1"/>
    <mergeCell ref="A58:J58"/>
    <mergeCell ref="A41:J41"/>
    <mergeCell ref="A54:C54"/>
    <mergeCell ref="F55:J55"/>
    <mergeCell ref="A10:E10"/>
    <mergeCell ref="F10:J10"/>
    <mergeCell ref="H43:J43"/>
    <mergeCell ref="H44:J44"/>
    <mergeCell ref="A46:B46"/>
    <mergeCell ref="F52:G52"/>
    <mergeCell ref="A45:B45"/>
    <mergeCell ref="A12:E12"/>
    <mergeCell ref="F12:J12"/>
    <mergeCell ref="H45:J45"/>
    <mergeCell ref="A30:B30"/>
    <mergeCell ref="A11:E11"/>
    <mergeCell ref="F9:J9"/>
    <mergeCell ref="F11:J11"/>
    <mergeCell ref="A8:E8"/>
    <mergeCell ref="A9:E9"/>
    <mergeCell ref="F8:J8"/>
    <mergeCell ref="A211:J214"/>
    <mergeCell ref="A112:F112"/>
    <mergeCell ref="G112:J112"/>
    <mergeCell ref="A126:J126"/>
    <mergeCell ref="A127:J127"/>
    <mergeCell ref="A207:J207"/>
    <mergeCell ref="A208:J208"/>
    <mergeCell ref="A209:J209"/>
    <mergeCell ref="A210:J210"/>
    <mergeCell ref="I128:J128"/>
    <mergeCell ref="A204:J204"/>
    <mergeCell ref="A205:J205"/>
    <mergeCell ref="A201:J202"/>
    <mergeCell ref="A206:J206"/>
    <mergeCell ref="A203:J203"/>
    <mergeCell ref="D186:E186"/>
    <mergeCell ref="A187:B187"/>
    <mergeCell ref="C17:E17"/>
    <mergeCell ref="F21:J21"/>
    <mergeCell ref="A23:E23"/>
    <mergeCell ref="A24:E24"/>
    <mergeCell ref="F23:J23"/>
    <mergeCell ref="A21:E21"/>
    <mergeCell ref="C13:J13"/>
    <mergeCell ref="A13:B13"/>
    <mergeCell ref="H17:J17"/>
    <mergeCell ref="A17:B17"/>
    <mergeCell ref="F18:J19"/>
    <mergeCell ref="F17:G17"/>
    <mergeCell ref="A18:E19"/>
    <mergeCell ref="A14:B14"/>
    <mergeCell ref="C14:E14"/>
    <mergeCell ref="F14:G14"/>
    <mergeCell ref="H14:J14"/>
    <mergeCell ref="A15:B15"/>
    <mergeCell ref="C15:E15"/>
    <mergeCell ref="E25:F25"/>
    <mergeCell ref="F24:J24"/>
    <mergeCell ref="A20:E20"/>
    <mergeCell ref="F20:J20"/>
    <mergeCell ref="E27:F27"/>
    <mergeCell ref="F22:J22"/>
    <mergeCell ref="G26:H26"/>
    <mergeCell ref="A26:B26"/>
    <mergeCell ref="A22:E22"/>
    <mergeCell ref="C26:D26"/>
    <mergeCell ref="E26:F26"/>
    <mergeCell ref="G27:H27"/>
    <mergeCell ref="I26:J26"/>
    <mergeCell ref="A27:B27"/>
    <mergeCell ref="C27:D27"/>
    <mergeCell ref="I27:J27"/>
    <mergeCell ref="A2:J2"/>
    <mergeCell ref="A3:E3"/>
    <mergeCell ref="F3:J3"/>
    <mergeCell ref="A4:E4"/>
    <mergeCell ref="F4:J4"/>
    <mergeCell ref="A6:E6"/>
    <mergeCell ref="F6:J6"/>
    <mergeCell ref="A5:E5"/>
    <mergeCell ref="F5:J5"/>
    <mergeCell ref="A7:E7"/>
    <mergeCell ref="F7:J7"/>
    <mergeCell ref="A102:J102"/>
    <mergeCell ref="A103:J104"/>
    <mergeCell ref="A105:J105"/>
    <mergeCell ref="A33:J34"/>
    <mergeCell ref="I25:J25"/>
    <mergeCell ref="A37:E37"/>
    <mergeCell ref="A101:J101"/>
    <mergeCell ref="C55:E55"/>
    <mergeCell ref="H54:J54"/>
    <mergeCell ref="F54:G54"/>
    <mergeCell ref="H46:J46"/>
    <mergeCell ref="F37:J37"/>
    <mergeCell ref="H52:J52"/>
    <mergeCell ref="A53:J53"/>
    <mergeCell ref="A40:E40"/>
    <mergeCell ref="A32:J32"/>
    <mergeCell ref="A38:E38"/>
    <mergeCell ref="E56:J56"/>
    <mergeCell ref="A56:D56"/>
    <mergeCell ref="G25:H25"/>
    <mergeCell ref="A25:B25"/>
    <mergeCell ref="C25:D25"/>
    <mergeCell ref="D192:E192"/>
    <mergeCell ref="I192:J195"/>
    <mergeCell ref="A193:B193"/>
    <mergeCell ref="D193:E193"/>
    <mergeCell ref="A189:B189"/>
    <mergeCell ref="A107:F107"/>
    <mergeCell ref="G108:J108"/>
    <mergeCell ref="A194:B194"/>
    <mergeCell ref="D194:E194"/>
    <mergeCell ref="D189:E189"/>
    <mergeCell ref="A185:B185"/>
    <mergeCell ref="D185:E185"/>
    <mergeCell ref="A186:B186"/>
    <mergeCell ref="D188:E188"/>
    <mergeCell ref="A195:B195"/>
    <mergeCell ref="D195:E195"/>
    <mergeCell ref="A191:J191"/>
    <mergeCell ref="A192:B192"/>
    <mergeCell ref="A139:B139"/>
    <mergeCell ref="A108:F108"/>
    <mergeCell ref="A109:F109"/>
    <mergeCell ref="A110:F110"/>
    <mergeCell ref="G110:J110"/>
    <mergeCell ref="A111:F111"/>
    <mergeCell ref="H62:J62"/>
    <mergeCell ref="A63:B63"/>
    <mergeCell ref="D63:E63"/>
    <mergeCell ref="F63:G72"/>
    <mergeCell ref="H63:J72"/>
    <mergeCell ref="A64:B64"/>
    <mergeCell ref="D64:E64"/>
    <mergeCell ref="A65:B65"/>
    <mergeCell ref="D65:E65"/>
    <mergeCell ref="A66:B66"/>
    <mergeCell ref="D66:E66"/>
    <mergeCell ref="A67:B67"/>
    <mergeCell ref="D67:E67"/>
    <mergeCell ref="A68:B68"/>
    <mergeCell ref="D68:E68"/>
    <mergeCell ref="A69:B69"/>
    <mergeCell ref="D69:E69"/>
    <mergeCell ref="A70:B70"/>
    <mergeCell ref="D70:E70"/>
    <mergeCell ref="A71:B71"/>
    <mergeCell ref="D71:E71"/>
    <mergeCell ref="A72:B72"/>
    <mergeCell ref="D72:E72"/>
    <mergeCell ref="D84:E84"/>
    <mergeCell ref="A85:B85"/>
    <mergeCell ref="D85:E85"/>
    <mergeCell ref="A86:B86"/>
    <mergeCell ref="D86:E86"/>
    <mergeCell ref="A73:B73"/>
    <mergeCell ref="C73:J73"/>
    <mergeCell ref="F74:G74"/>
    <mergeCell ref="I74:J74"/>
    <mergeCell ref="A75:B75"/>
    <mergeCell ref="C75:J75"/>
    <mergeCell ref="A76:B76"/>
    <mergeCell ref="D76:E76"/>
    <mergeCell ref="F76:G76"/>
    <mergeCell ref="H76:J76"/>
    <mergeCell ref="A125:B125"/>
    <mergeCell ref="C125:D125"/>
    <mergeCell ref="E125:F125"/>
    <mergeCell ref="G125:J125"/>
    <mergeCell ref="C30:J30"/>
    <mergeCell ref="A31:B31"/>
    <mergeCell ref="C31:J31"/>
    <mergeCell ref="A77:B77"/>
    <mergeCell ref="D77:E77"/>
    <mergeCell ref="F77:G86"/>
    <mergeCell ref="H77:J86"/>
    <mergeCell ref="A78:B78"/>
    <mergeCell ref="D78:E78"/>
    <mergeCell ref="A79:B79"/>
    <mergeCell ref="D79:E79"/>
    <mergeCell ref="A80:B80"/>
    <mergeCell ref="D80:E80"/>
    <mergeCell ref="A81:B81"/>
    <mergeCell ref="D81:E81"/>
    <mergeCell ref="A82:B82"/>
    <mergeCell ref="D82:E82"/>
    <mergeCell ref="A83:B83"/>
    <mergeCell ref="D83:E83"/>
    <mergeCell ref="A84:B84"/>
  </mergeCells>
  <phoneticPr fontId="0" type="noConversion"/>
  <hyperlinks>
    <hyperlink ref="C31" r:id="rId1" xr:uid="{00000000-0004-0000-0000-000000000000}"/>
  </hyperlinks>
  <printOptions horizontalCentered="1"/>
  <pageMargins left="0.55118110236220474" right="0.55118110236220474" top="0.78740157480314965" bottom="0.78740157480314965" header="0.19685039370078741" footer="0.19685039370078741"/>
  <pageSetup paperSize="9" fitToHeight="0" orientation="portrait" r:id="rId2"/>
  <headerFooter>
    <oddHeader>&amp;C&amp;"Times New Roman,Bold"&amp;20&amp;G</oddHeader>
    <oddFooter>&amp;L&amp;"Times New Roman,Bold"Ref No: &amp;F&amp;C&amp;G&amp;R&amp;P</oddFooter>
  </headerFooter>
  <rowBreaks count="2" manualBreakCount="2">
    <brk id="214" max="9" man="1"/>
    <brk id="260" max="9"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
  <sheetViews>
    <sheetView workbookViewId="0">
      <selection activeCell="N9" sqref="A1:XFD1048576"/>
    </sheetView>
  </sheetViews>
  <sheetFormatPr defaultRowHeight="14.4" x14ac:dyDescent="0.3"/>
  <sheetData>
    <row r="1" spans="1:2" x14ac:dyDescent="0.3">
      <c r="A1" t="s">
        <v>176</v>
      </c>
    </row>
    <row r="3" spans="1:2" x14ac:dyDescent="0.3">
      <c r="B3" t="s">
        <v>177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topLeftCell="A16" workbookViewId="0">
      <selection activeCell="H5" sqref="H5"/>
    </sheetView>
  </sheetViews>
  <sheetFormatPr defaultColWidth="8.5546875" defaultRowHeight="14.4" x14ac:dyDescent="0.3"/>
  <cols>
    <col min="1" max="1" width="8.5546875" style="10"/>
    <col min="2" max="2" width="22.21875" style="10" customWidth="1"/>
    <col min="3" max="3" width="37" style="10" customWidth="1"/>
    <col min="4" max="5" width="11.44140625" style="10" customWidth="1"/>
    <col min="6" max="6" width="14" style="10" customWidth="1"/>
    <col min="7" max="7" width="20" style="10" customWidth="1"/>
    <col min="8" max="8" width="16.44140625" style="10" customWidth="1"/>
    <col min="9" max="16384" width="8.5546875" style="10"/>
  </cols>
  <sheetData>
    <row r="1" spans="1:9" ht="15" customHeight="1" x14ac:dyDescent="0.3"/>
    <row r="2" spans="1:9" ht="15" customHeight="1" x14ac:dyDescent="0.3">
      <c r="A2" s="11"/>
      <c r="B2" s="11"/>
      <c r="C2" s="11"/>
      <c r="D2" s="11"/>
      <c r="E2" s="11"/>
      <c r="F2" s="11"/>
      <c r="G2" s="11"/>
      <c r="H2" s="11"/>
    </row>
    <row r="3" spans="1:9" ht="15.75" customHeight="1" x14ac:dyDescent="0.3">
      <c r="A3" s="11"/>
      <c r="B3" s="231" t="s">
        <v>178</v>
      </c>
      <c r="C3" s="231"/>
      <c r="D3" s="231"/>
      <c r="E3" s="231"/>
      <c r="F3" s="231"/>
      <c r="G3" s="231"/>
      <c r="H3" s="231"/>
    </row>
    <row r="4" spans="1:9" x14ac:dyDescent="0.3">
      <c r="A4" s="11"/>
      <c r="B4" s="12" t="s">
        <v>179</v>
      </c>
      <c r="C4" s="12" t="s">
        <v>180</v>
      </c>
      <c r="D4" s="12" t="s">
        <v>97</v>
      </c>
      <c r="E4" s="12" t="s">
        <v>181</v>
      </c>
      <c r="F4" s="12" t="s">
        <v>182</v>
      </c>
      <c r="G4" s="12" t="s">
        <v>183</v>
      </c>
      <c r="H4" s="12" t="s">
        <v>184</v>
      </c>
    </row>
    <row r="5" spans="1:9" ht="15" customHeight="1" x14ac:dyDescent="0.3">
      <c r="A5" s="11"/>
      <c r="B5" s="14" t="s">
        <v>187</v>
      </c>
      <c r="C5" s="13" t="s">
        <v>188</v>
      </c>
      <c r="D5" s="14" t="s">
        <v>140</v>
      </c>
      <c r="E5" s="15">
        <f>F5/1.45</f>
        <v>389.65517241379314</v>
      </c>
      <c r="F5" s="15">
        <v>565</v>
      </c>
      <c r="G5" s="15">
        <f>H5/F5</f>
        <v>2467.2566371681414</v>
      </c>
      <c r="H5" s="16">
        <v>1394000</v>
      </c>
    </row>
    <row r="6" spans="1:9" x14ac:dyDescent="0.3">
      <c r="A6" s="11"/>
      <c r="B6" s="14" t="s">
        <v>189</v>
      </c>
      <c r="C6" s="13" t="s">
        <v>188</v>
      </c>
      <c r="D6" s="14" t="s">
        <v>141</v>
      </c>
      <c r="E6" s="15">
        <f>F6/1.45</f>
        <v>593.10344827586209</v>
      </c>
      <c r="F6" s="15">
        <v>860</v>
      </c>
      <c r="G6" s="15">
        <f>H6/F6</f>
        <v>2556.9767441860463</v>
      </c>
      <c r="H6" s="16">
        <v>2199000</v>
      </c>
    </row>
    <row r="7" spans="1:9" ht="15" customHeight="1" x14ac:dyDescent="0.3">
      <c r="A7" s="11"/>
      <c r="B7" s="14" t="s">
        <v>190</v>
      </c>
      <c r="C7" s="13" t="s">
        <v>188</v>
      </c>
      <c r="D7" s="14" t="s">
        <v>140</v>
      </c>
      <c r="E7" s="15">
        <f>F7/1.45</f>
        <v>389.65517241379314</v>
      </c>
      <c r="F7" s="15">
        <v>565</v>
      </c>
      <c r="G7" s="15">
        <f>H7/F7</f>
        <v>2467.2566371681414</v>
      </c>
      <c r="H7" s="16">
        <v>1394000</v>
      </c>
    </row>
    <row r="8" spans="1:9" ht="15" customHeight="1" x14ac:dyDescent="0.3">
      <c r="A8" s="11"/>
      <c r="B8" s="14" t="s">
        <v>191</v>
      </c>
      <c r="C8" s="13" t="s">
        <v>188</v>
      </c>
      <c r="D8" s="14" t="s">
        <v>140</v>
      </c>
      <c r="E8" s="15">
        <f>F8/1.45</f>
        <v>389.65517241379314</v>
      </c>
      <c r="F8" s="15">
        <v>565</v>
      </c>
      <c r="G8" s="15">
        <f>H8/F8</f>
        <v>2477.8761061946902</v>
      </c>
      <c r="H8" s="16">
        <v>1400000</v>
      </c>
    </row>
    <row r="9" spans="1:9" ht="15" customHeight="1" x14ac:dyDescent="0.3">
      <c r="A9" s="11"/>
      <c r="B9" s="14" t="s">
        <v>191</v>
      </c>
      <c r="C9" s="13" t="s">
        <v>188</v>
      </c>
      <c r="D9" s="14" t="s">
        <v>141</v>
      </c>
      <c r="E9" s="15">
        <f>F9/1.45</f>
        <v>593.10344827586209</v>
      </c>
      <c r="F9" s="15">
        <v>860</v>
      </c>
      <c r="G9" s="15">
        <f>H9/F9</f>
        <v>2558.1395348837209</v>
      </c>
      <c r="H9" s="16">
        <v>2200000</v>
      </c>
    </row>
    <row r="10" spans="1:9" ht="15" customHeight="1" x14ac:dyDescent="0.3">
      <c r="A10" s="11"/>
      <c r="B10" s="17" t="s">
        <v>185</v>
      </c>
      <c r="C10" s="14"/>
      <c r="D10" s="14"/>
      <c r="E10" s="14"/>
      <c r="F10" s="14"/>
      <c r="G10" s="18">
        <f>AVERAGE(G5:G9)</f>
        <v>2505.5011319201485</v>
      </c>
      <c r="H10" s="14"/>
    </row>
    <row r="11" spans="1:9" ht="15" customHeight="1" x14ac:dyDescent="0.3">
      <c r="B11" s="17" t="s">
        <v>186</v>
      </c>
      <c r="C11" s="14"/>
      <c r="D11" s="14"/>
      <c r="E11" s="14"/>
      <c r="F11" s="19"/>
      <c r="G11" s="17">
        <v>2500</v>
      </c>
      <c r="H11" s="17"/>
      <c r="I11" s="20"/>
    </row>
    <row r="12" spans="1:9" ht="15" customHeight="1" x14ac:dyDescent="0.3"/>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workbookViewId="0">
      <selection activeCell="C10" sqref="C10"/>
    </sheetView>
  </sheetViews>
  <sheetFormatPr defaultRowHeight="14.4" x14ac:dyDescent="0.3"/>
  <cols>
    <col min="1" max="1" width="11.44140625" customWidth="1"/>
    <col min="2" max="2" width="12" customWidth="1"/>
    <col min="3" max="3" width="14.5546875" customWidth="1"/>
    <col min="4" max="4" width="4" customWidth="1"/>
    <col min="5" max="5" width="15.21875" customWidth="1"/>
    <col min="6" max="7" width="9.21875" customWidth="1"/>
    <col min="9" max="9" width="12.5546875" customWidth="1"/>
    <col min="10" max="10" width="15.21875" customWidth="1"/>
    <col min="13" max="13" width="16.5546875" customWidth="1"/>
  </cols>
  <sheetData>
    <row r="2" spans="1:15" x14ac:dyDescent="0.3">
      <c r="A2" t="s">
        <v>114</v>
      </c>
      <c r="B2" s="6" t="s">
        <v>134</v>
      </c>
      <c r="C2" s="6">
        <v>4</v>
      </c>
    </row>
    <row r="3" spans="1:15" x14ac:dyDescent="0.3">
      <c r="B3" t="s">
        <v>115</v>
      </c>
      <c r="C3" t="s">
        <v>116</v>
      </c>
    </row>
    <row r="4" spans="1:15" x14ac:dyDescent="0.3">
      <c r="A4" t="s">
        <v>117</v>
      </c>
      <c r="B4" s="1">
        <v>10</v>
      </c>
      <c r="C4" s="1">
        <v>10</v>
      </c>
      <c r="E4">
        <f>(100/B4)*C4</f>
        <v>100</v>
      </c>
    </row>
    <row r="5" spans="1:15" x14ac:dyDescent="0.3">
      <c r="A5" t="s">
        <v>118</v>
      </c>
      <c r="B5" t="s">
        <v>119</v>
      </c>
      <c r="C5" t="s">
        <v>120</v>
      </c>
      <c r="E5">
        <f>(100/B6)*C6</f>
        <v>100</v>
      </c>
      <c r="I5" s="1" t="s">
        <v>121</v>
      </c>
      <c r="J5" s="1" t="s">
        <v>122</v>
      </c>
      <c r="K5" s="1" t="s">
        <v>123</v>
      </c>
      <c r="L5" s="1" t="s">
        <v>35</v>
      </c>
      <c r="M5" s="1" t="s">
        <v>41</v>
      </c>
      <c r="N5" s="1" t="s">
        <v>124</v>
      </c>
      <c r="O5" s="1" t="s">
        <v>42</v>
      </c>
    </row>
    <row r="6" spans="1:15" x14ac:dyDescent="0.3">
      <c r="B6" s="1">
        <f>C2+1</f>
        <v>5</v>
      </c>
      <c r="C6" s="1">
        <v>5</v>
      </c>
      <c r="E6">
        <f>(100/B8)*C8</f>
        <v>100</v>
      </c>
      <c r="F6" s="7" t="s">
        <v>125</v>
      </c>
      <c r="I6" s="7">
        <f>C4</f>
        <v>10</v>
      </c>
      <c r="J6" s="7">
        <f>40/B6*C6</f>
        <v>40</v>
      </c>
      <c r="K6" s="7">
        <f>15/B8*C8</f>
        <v>15</v>
      </c>
      <c r="L6" s="7">
        <f>10/B10*C10</f>
        <v>8</v>
      </c>
      <c r="M6" s="7">
        <f>10/B12*C12</f>
        <v>0</v>
      </c>
      <c r="N6" s="7">
        <f>5/B14*C14</f>
        <v>0</v>
      </c>
      <c r="O6" s="7">
        <f>5/B16*C16</f>
        <v>0</v>
      </c>
    </row>
    <row r="7" spans="1:15" x14ac:dyDescent="0.3">
      <c r="A7" t="s">
        <v>126</v>
      </c>
      <c r="B7" t="s">
        <v>127</v>
      </c>
      <c r="C7" t="s">
        <v>128</v>
      </c>
      <c r="E7">
        <f>(100/B10)*C10</f>
        <v>80</v>
      </c>
      <c r="F7" s="1" t="s">
        <v>129</v>
      </c>
      <c r="G7" s="1"/>
      <c r="H7" s="1"/>
      <c r="I7" s="1">
        <f>I6+20</f>
        <v>30</v>
      </c>
      <c r="J7" s="1">
        <f>30/B6*C6</f>
        <v>30</v>
      </c>
      <c r="K7" s="1">
        <f>15/B8*C8</f>
        <v>15</v>
      </c>
      <c r="L7" s="1">
        <f>10/B10*C10</f>
        <v>8</v>
      </c>
      <c r="M7" s="1">
        <f>5/B12*C12</f>
        <v>0</v>
      </c>
      <c r="N7" s="1">
        <f>5/B14*C14</f>
        <v>0</v>
      </c>
      <c r="O7" s="1">
        <f>5/B16*C16</f>
        <v>0</v>
      </c>
    </row>
    <row r="8" spans="1:15" x14ac:dyDescent="0.3">
      <c r="B8" s="1">
        <f>C2+1</f>
        <v>5</v>
      </c>
      <c r="C8" s="1">
        <v>5</v>
      </c>
      <c r="E8">
        <f>(100/B12)*C12</f>
        <v>0</v>
      </c>
    </row>
    <row r="9" spans="1:15" x14ac:dyDescent="0.3">
      <c r="A9" t="s">
        <v>130</v>
      </c>
      <c r="B9" t="s">
        <v>127</v>
      </c>
      <c r="C9" t="s">
        <v>128</v>
      </c>
      <c r="E9">
        <f>(100/B14)*C14</f>
        <v>0</v>
      </c>
    </row>
    <row r="10" spans="1:15" x14ac:dyDescent="0.3">
      <c r="B10" s="1">
        <f>C2+1</f>
        <v>5</v>
      </c>
      <c r="C10" s="1">
        <v>4</v>
      </c>
      <c r="E10">
        <f>(100/B16)*C16</f>
        <v>0</v>
      </c>
    </row>
    <row r="11" spans="1:15" x14ac:dyDescent="0.3">
      <c r="A11" t="s">
        <v>41</v>
      </c>
      <c r="B11" t="s">
        <v>127</v>
      </c>
      <c r="C11" t="s">
        <v>128</v>
      </c>
    </row>
    <row r="12" spans="1:15" x14ac:dyDescent="0.3">
      <c r="B12" s="1">
        <f>C2+1</f>
        <v>5</v>
      </c>
      <c r="C12" s="1">
        <v>0</v>
      </c>
      <c r="F12" s="1"/>
      <c r="G12" s="1" t="s">
        <v>125</v>
      </c>
      <c r="H12" s="1" t="s">
        <v>131</v>
      </c>
      <c r="L12" t="s">
        <v>132</v>
      </c>
    </row>
    <row r="13" spans="1:15" ht="31.5" customHeight="1" x14ac:dyDescent="0.3">
      <c r="A13" s="8" t="s">
        <v>124</v>
      </c>
      <c r="B13" t="s">
        <v>127</v>
      </c>
      <c r="C13" t="s">
        <v>128</v>
      </c>
      <c r="F13" s="1" t="s">
        <v>33</v>
      </c>
      <c r="G13" s="1">
        <f>I6</f>
        <v>10</v>
      </c>
      <c r="H13" s="1">
        <f>I7</f>
        <v>30</v>
      </c>
      <c r="L13" t="s">
        <v>132</v>
      </c>
    </row>
    <row r="14" spans="1:15" x14ac:dyDescent="0.3">
      <c r="B14" s="1">
        <f>C2+1</f>
        <v>5</v>
      </c>
      <c r="C14" s="1">
        <v>0</v>
      </c>
      <c r="F14" s="1" t="s">
        <v>34</v>
      </c>
      <c r="G14" s="1">
        <f>J6</f>
        <v>40</v>
      </c>
      <c r="H14" s="1">
        <f>J7</f>
        <v>30</v>
      </c>
    </row>
    <row r="15" spans="1:15" x14ac:dyDescent="0.3">
      <c r="A15" t="s">
        <v>42</v>
      </c>
      <c r="B15" t="s">
        <v>127</v>
      </c>
      <c r="C15" t="s">
        <v>128</v>
      </c>
      <c r="F15" s="1" t="s">
        <v>123</v>
      </c>
      <c r="G15" s="1">
        <f>K6</f>
        <v>15</v>
      </c>
      <c r="H15" s="1">
        <f>K7</f>
        <v>15</v>
      </c>
    </row>
    <row r="16" spans="1:15" x14ac:dyDescent="0.3">
      <c r="B16" s="1">
        <f>C2+1</f>
        <v>5</v>
      </c>
      <c r="C16" s="1">
        <v>0</v>
      </c>
      <c r="F16" s="1" t="s">
        <v>35</v>
      </c>
      <c r="G16" s="1">
        <f>L6</f>
        <v>8</v>
      </c>
      <c r="H16" s="1">
        <f>L7</f>
        <v>8</v>
      </c>
    </row>
    <row r="17" spans="6:8" x14ac:dyDescent="0.3">
      <c r="F17" s="1" t="s">
        <v>41</v>
      </c>
      <c r="G17" s="1">
        <f>M6</f>
        <v>0</v>
      </c>
      <c r="H17" s="1">
        <f>M7</f>
        <v>0</v>
      </c>
    </row>
    <row r="18" spans="6:8" ht="29.25" customHeight="1" x14ac:dyDescent="0.3">
      <c r="F18" s="9" t="s">
        <v>124</v>
      </c>
      <c r="G18" s="1">
        <f>N6</f>
        <v>0</v>
      </c>
      <c r="H18" s="1">
        <f>N7</f>
        <v>0</v>
      </c>
    </row>
    <row r="19" spans="6:8" x14ac:dyDescent="0.3">
      <c r="F19" s="1" t="s">
        <v>42</v>
      </c>
      <c r="G19" s="1">
        <f>O6</f>
        <v>0</v>
      </c>
      <c r="H19" s="1">
        <f>O7</f>
        <v>0</v>
      </c>
    </row>
    <row r="20" spans="6:8" x14ac:dyDescent="0.3">
      <c r="F20" s="1" t="s">
        <v>133</v>
      </c>
      <c r="G20" s="1">
        <f>G13+G14+G15+G16+G17+G18+G19</f>
        <v>73</v>
      </c>
      <c r="H20" s="1">
        <f>H13+H14+H15+H16+H17+H18+H19</f>
        <v>83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0"/>
  <sheetViews>
    <sheetView topLeftCell="A4" workbookViewId="0">
      <selection activeCell="C15" sqref="C15"/>
    </sheetView>
  </sheetViews>
  <sheetFormatPr defaultRowHeight="14.4" x14ac:dyDescent="0.3"/>
  <cols>
    <col min="1" max="1" width="11.44140625" customWidth="1"/>
    <col min="2" max="2" width="12" customWidth="1"/>
    <col min="3" max="3" width="14.5546875" customWidth="1"/>
    <col min="4" max="4" width="4" customWidth="1"/>
    <col min="5" max="5" width="15.21875" customWidth="1"/>
    <col min="6" max="7" width="9.21875" customWidth="1"/>
    <col min="9" max="9" width="12.5546875" customWidth="1"/>
    <col min="10" max="10" width="15.21875" customWidth="1"/>
    <col min="13" max="13" width="16.5546875" customWidth="1"/>
  </cols>
  <sheetData>
    <row r="2" spans="1:15" x14ac:dyDescent="0.3">
      <c r="A2" t="s">
        <v>114</v>
      </c>
      <c r="B2" s="6" t="s">
        <v>134</v>
      </c>
      <c r="C2" s="6">
        <v>4</v>
      </c>
    </row>
    <row r="3" spans="1:15" x14ac:dyDescent="0.3">
      <c r="B3" t="s">
        <v>115</v>
      </c>
      <c r="C3" t="s">
        <v>116</v>
      </c>
    </row>
    <row r="4" spans="1:15" x14ac:dyDescent="0.3">
      <c r="A4" t="s">
        <v>117</v>
      </c>
      <c r="B4" s="1">
        <v>10</v>
      </c>
      <c r="C4" s="1">
        <v>10</v>
      </c>
      <c r="E4">
        <f>(100/B4)*C4</f>
        <v>100</v>
      </c>
    </row>
    <row r="5" spans="1:15" x14ac:dyDescent="0.3">
      <c r="A5" t="s">
        <v>118</v>
      </c>
      <c r="B5" t="s">
        <v>119</v>
      </c>
      <c r="C5" t="s">
        <v>120</v>
      </c>
      <c r="E5">
        <f>(100/B6)*C6</f>
        <v>100</v>
      </c>
      <c r="I5" s="1" t="s">
        <v>121</v>
      </c>
      <c r="J5" s="1" t="s">
        <v>122</v>
      </c>
      <c r="K5" s="1" t="s">
        <v>123</v>
      </c>
      <c r="L5" s="1" t="s">
        <v>35</v>
      </c>
      <c r="M5" s="1" t="s">
        <v>41</v>
      </c>
      <c r="N5" s="1" t="s">
        <v>124</v>
      </c>
      <c r="O5" s="1" t="s">
        <v>42</v>
      </c>
    </row>
    <row r="6" spans="1:15" x14ac:dyDescent="0.3">
      <c r="B6" s="1">
        <f>C2+1</f>
        <v>5</v>
      </c>
      <c r="C6" s="1">
        <v>5</v>
      </c>
      <c r="E6">
        <f>(100/B8)*C8</f>
        <v>100</v>
      </c>
      <c r="F6" s="7" t="s">
        <v>125</v>
      </c>
      <c r="I6" s="7">
        <f>C4</f>
        <v>10</v>
      </c>
      <c r="J6" s="7">
        <f>40/B6*C6</f>
        <v>40</v>
      </c>
      <c r="K6" s="7">
        <f>15/B8*C8</f>
        <v>15</v>
      </c>
      <c r="L6" s="7">
        <f>10/B10*C10</f>
        <v>8</v>
      </c>
      <c r="M6" s="7">
        <f>10/B12*C12</f>
        <v>0</v>
      </c>
      <c r="N6" s="7">
        <f>5/B14*C14</f>
        <v>0</v>
      </c>
      <c r="O6" s="7">
        <f>5/B16*C16</f>
        <v>0</v>
      </c>
    </row>
    <row r="7" spans="1:15" x14ac:dyDescent="0.3">
      <c r="A7" t="s">
        <v>126</v>
      </c>
      <c r="B7" t="s">
        <v>127</v>
      </c>
      <c r="C7" t="s">
        <v>128</v>
      </c>
      <c r="E7">
        <f>(100/B10)*C10</f>
        <v>80</v>
      </c>
      <c r="F7" s="1" t="s">
        <v>129</v>
      </c>
      <c r="G7" s="1"/>
      <c r="H7" s="1"/>
      <c r="I7" s="1">
        <f>I6+20</f>
        <v>30</v>
      </c>
      <c r="J7" s="1">
        <f>30/B6*C6</f>
        <v>30</v>
      </c>
      <c r="K7" s="1">
        <f>15/B8*C8</f>
        <v>15</v>
      </c>
      <c r="L7" s="1">
        <f>10/B10*C10</f>
        <v>8</v>
      </c>
      <c r="M7" s="1">
        <f>5/B12*C12</f>
        <v>0</v>
      </c>
      <c r="N7" s="1">
        <f>5/B14*C14</f>
        <v>0</v>
      </c>
      <c r="O7" s="1">
        <f>5/B16*C16</f>
        <v>0</v>
      </c>
    </row>
    <row r="8" spans="1:15" x14ac:dyDescent="0.3">
      <c r="B8" s="1">
        <f>C2+1</f>
        <v>5</v>
      </c>
      <c r="C8" s="1">
        <v>5</v>
      </c>
      <c r="E8">
        <f>(100/B12)*C12</f>
        <v>0</v>
      </c>
    </row>
    <row r="9" spans="1:15" x14ac:dyDescent="0.3">
      <c r="A9" t="s">
        <v>130</v>
      </c>
      <c r="B9" t="s">
        <v>127</v>
      </c>
      <c r="C9" t="s">
        <v>128</v>
      </c>
      <c r="E9">
        <f>(100/B14)*C14</f>
        <v>0</v>
      </c>
    </row>
    <row r="10" spans="1:15" x14ac:dyDescent="0.3">
      <c r="B10" s="1">
        <f>C2+1</f>
        <v>5</v>
      </c>
      <c r="C10" s="1">
        <v>4</v>
      </c>
      <c r="E10">
        <f>(100/B16)*C16</f>
        <v>0</v>
      </c>
    </row>
    <row r="11" spans="1:15" x14ac:dyDescent="0.3">
      <c r="A11" t="s">
        <v>41</v>
      </c>
      <c r="B11" t="s">
        <v>127</v>
      </c>
      <c r="C11" t="s">
        <v>128</v>
      </c>
    </row>
    <row r="12" spans="1:15" x14ac:dyDescent="0.3">
      <c r="B12" s="1">
        <f>C2+1</f>
        <v>5</v>
      </c>
      <c r="C12" s="1">
        <v>0</v>
      </c>
      <c r="F12" s="1"/>
      <c r="G12" s="1" t="s">
        <v>125</v>
      </c>
      <c r="H12" s="1" t="s">
        <v>131</v>
      </c>
      <c r="L12" t="s">
        <v>132</v>
      </c>
    </row>
    <row r="13" spans="1:15" ht="31.5" customHeight="1" x14ac:dyDescent="0.3">
      <c r="A13" s="8" t="s">
        <v>124</v>
      </c>
      <c r="B13" t="s">
        <v>127</v>
      </c>
      <c r="C13" t="s">
        <v>128</v>
      </c>
      <c r="F13" s="1" t="s">
        <v>33</v>
      </c>
      <c r="G13" s="1">
        <f>I6</f>
        <v>10</v>
      </c>
      <c r="H13" s="1">
        <f>I7</f>
        <v>30</v>
      </c>
      <c r="L13" t="s">
        <v>132</v>
      </c>
    </row>
    <row r="14" spans="1:15" x14ac:dyDescent="0.3">
      <c r="B14" s="1">
        <f>C2+1</f>
        <v>5</v>
      </c>
      <c r="C14" s="1">
        <v>0</v>
      </c>
      <c r="F14" s="1" t="s">
        <v>34</v>
      </c>
      <c r="G14" s="1">
        <f>J6</f>
        <v>40</v>
      </c>
      <c r="H14" s="1">
        <f>J7</f>
        <v>30</v>
      </c>
    </row>
    <row r="15" spans="1:15" x14ac:dyDescent="0.3">
      <c r="A15" t="s">
        <v>42</v>
      </c>
      <c r="B15" t="s">
        <v>127</v>
      </c>
      <c r="C15" t="s">
        <v>128</v>
      </c>
      <c r="F15" s="1" t="s">
        <v>123</v>
      </c>
      <c r="G15" s="1">
        <f>K6</f>
        <v>15</v>
      </c>
      <c r="H15" s="1">
        <f>K7</f>
        <v>15</v>
      </c>
    </row>
    <row r="16" spans="1:15" x14ac:dyDescent="0.3">
      <c r="B16" s="1">
        <f>C2+1</f>
        <v>5</v>
      </c>
      <c r="C16" s="1">
        <v>0</v>
      </c>
      <c r="F16" s="1" t="s">
        <v>35</v>
      </c>
      <c r="G16" s="1">
        <f>L6</f>
        <v>8</v>
      </c>
      <c r="H16" s="1">
        <f>L7</f>
        <v>8</v>
      </c>
    </row>
    <row r="17" spans="6:8" x14ac:dyDescent="0.3">
      <c r="F17" s="1" t="s">
        <v>41</v>
      </c>
      <c r="G17" s="1">
        <f>M6</f>
        <v>0</v>
      </c>
      <c r="H17" s="1">
        <f>M7</f>
        <v>0</v>
      </c>
    </row>
    <row r="18" spans="6:8" ht="29.25" customHeight="1" x14ac:dyDescent="0.3">
      <c r="F18" s="9" t="s">
        <v>124</v>
      </c>
      <c r="G18" s="1">
        <f>N6</f>
        <v>0</v>
      </c>
      <c r="H18" s="1">
        <f>N7</f>
        <v>0</v>
      </c>
    </row>
    <row r="19" spans="6:8" x14ac:dyDescent="0.3">
      <c r="F19" s="1" t="s">
        <v>42</v>
      </c>
      <c r="G19" s="1">
        <f>O6</f>
        <v>0</v>
      </c>
      <c r="H19" s="1">
        <f>O7</f>
        <v>0</v>
      </c>
    </row>
    <row r="20" spans="6:8" x14ac:dyDescent="0.3">
      <c r="F20" s="1" t="s">
        <v>133</v>
      </c>
      <c r="G20" s="1">
        <f>G13+G14+G15+G16+G17+G18+G19</f>
        <v>73</v>
      </c>
      <c r="H20" s="1">
        <f>H13+H14+H15+H16+H17+H18+H19</f>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34"/>
  <sheetViews>
    <sheetView workbookViewId="0">
      <selection activeCell="Q17" sqref="Q17"/>
    </sheetView>
  </sheetViews>
  <sheetFormatPr defaultRowHeight="14.4" x14ac:dyDescent="0.3"/>
  <sheetData>
    <row r="2" spans="2:13" x14ac:dyDescent="0.3">
      <c r="C2" s="4" t="s">
        <v>96</v>
      </c>
      <c r="D2" s="232"/>
      <c r="E2" s="232"/>
    </row>
    <row r="3" spans="2:13" x14ac:dyDescent="0.3">
      <c r="E3" s="3"/>
      <c r="F3" s="3"/>
      <c r="G3" s="3"/>
      <c r="H3" s="3"/>
      <c r="I3" s="3"/>
      <c r="J3" s="3"/>
    </row>
    <row r="4" spans="2:13" x14ac:dyDescent="0.3">
      <c r="B4" s="4" t="s">
        <v>97</v>
      </c>
      <c r="C4" s="2" t="s">
        <v>77</v>
      </c>
      <c r="D4" s="233" t="s">
        <v>78</v>
      </c>
      <c r="E4" s="233"/>
      <c r="F4" s="233"/>
      <c r="G4" s="5"/>
      <c r="H4" s="233" t="s">
        <v>79</v>
      </c>
      <c r="I4" s="233"/>
      <c r="J4" s="233"/>
      <c r="K4" s="233" t="s">
        <v>80</v>
      </c>
      <c r="L4" s="233"/>
      <c r="M4" s="233"/>
    </row>
    <row r="5" spans="2:13" x14ac:dyDescent="0.3">
      <c r="B5" s="4">
        <v>1</v>
      </c>
      <c r="C5" s="2"/>
      <c r="D5" s="2" t="s">
        <v>81</v>
      </c>
      <c r="E5" s="2" t="s">
        <v>82</v>
      </c>
      <c r="F5" s="2" t="s">
        <v>83</v>
      </c>
      <c r="G5" s="2"/>
      <c r="H5" s="2" t="s">
        <v>81</v>
      </c>
      <c r="I5" s="2" t="s">
        <v>82</v>
      </c>
      <c r="J5" s="2" t="s">
        <v>83</v>
      </c>
      <c r="K5" s="2" t="s">
        <v>81</v>
      </c>
      <c r="L5" s="2" t="s">
        <v>82</v>
      </c>
      <c r="M5" s="2" t="s">
        <v>83</v>
      </c>
    </row>
    <row r="6" spans="2:13" x14ac:dyDescent="0.3">
      <c r="C6" s="1" t="s">
        <v>84</v>
      </c>
      <c r="D6" s="1"/>
      <c r="E6" s="1"/>
      <c r="F6" s="1">
        <f>D6*E6</f>
        <v>0</v>
      </c>
      <c r="G6" s="1" t="s">
        <v>99</v>
      </c>
      <c r="H6" s="1"/>
      <c r="I6" s="1"/>
      <c r="J6" s="1">
        <f>H6*I6</f>
        <v>0</v>
      </c>
      <c r="K6" s="1"/>
      <c r="L6" s="1"/>
      <c r="M6" s="1">
        <f>K6*L6</f>
        <v>0</v>
      </c>
    </row>
    <row r="7" spans="2:13" x14ac:dyDescent="0.3">
      <c r="C7" s="1"/>
      <c r="D7" s="1"/>
      <c r="E7" s="1"/>
      <c r="F7" s="1">
        <f t="shared" ref="F7:F33" si="0">D7*E7</f>
        <v>0</v>
      </c>
      <c r="G7" s="1" t="s">
        <v>100</v>
      </c>
      <c r="H7" s="1"/>
      <c r="I7" s="1"/>
      <c r="J7" s="1">
        <f t="shared" ref="J7:J29" si="1">H7*I7</f>
        <v>0</v>
      </c>
      <c r="K7" s="1"/>
      <c r="L7" s="1"/>
      <c r="M7" s="1">
        <f t="shared" ref="M7:M29" si="2">K7*L7</f>
        <v>0</v>
      </c>
    </row>
    <row r="8" spans="2:13" x14ac:dyDescent="0.3">
      <c r="C8" s="1"/>
      <c r="D8" s="1"/>
      <c r="E8" s="1"/>
      <c r="F8" s="1">
        <f t="shared" si="0"/>
        <v>0</v>
      </c>
      <c r="G8" s="1"/>
      <c r="H8" s="1"/>
      <c r="I8" s="1"/>
      <c r="J8" s="1">
        <f t="shared" si="1"/>
        <v>0</v>
      </c>
      <c r="K8" s="1"/>
      <c r="L8" s="1"/>
      <c r="M8" s="1">
        <f t="shared" si="2"/>
        <v>0</v>
      </c>
    </row>
    <row r="9" spans="2:13" x14ac:dyDescent="0.3">
      <c r="C9" s="1" t="s">
        <v>87</v>
      </c>
      <c r="D9" s="1"/>
      <c r="E9" s="1"/>
      <c r="F9" s="1">
        <f t="shared" si="0"/>
        <v>0</v>
      </c>
      <c r="G9" s="1" t="s">
        <v>99</v>
      </c>
      <c r="H9" s="1"/>
      <c r="I9" s="1"/>
      <c r="J9" s="1">
        <f t="shared" si="1"/>
        <v>0</v>
      </c>
      <c r="K9" s="1"/>
      <c r="L9" s="1"/>
      <c r="M9" s="1">
        <f t="shared" si="2"/>
        <v>0</v>
      </c>
    </row>
    <row r="10" spans="2:13" x14ac:dyDescent="0.3">
      <c r="C10" s="1"/>
      <c r="D10" s="1"/>
      <c r="E10" s="1"/>
      <c r="F10" s="1">
        <f t="shared" si="0"/>
        <v>0</v>
      </c>
      <c r="G10" s="1" t="s">
        <v>100</v>
      </c>
      <c r="H10" s="1"/>
      <c r="I10" s="1"/>
      <c r="J10" s="1">
        <f t="shared" si="1"/>
        <v>0</v>
      </c>
      <c r="K10" s="1"/>
      <c r="L10" s="1"/>
      <c r="M10" s="1">
        <f t="shared" si="2"/>
        <v>0</v>
      </c>
    </row>
    <row r="11" spans="2:13" x14ac:dyDescent="0.3">
      <c r="C11" s="1"/>
      <c r="D11" s="1"/>
      <c r="E11" s="1"/>
      <c r="F11" s="1">
        <f t="shared" si="0"/>
        <v>0</v>
      </c>
      <c r="G11" s="1"/>
      <c r="H11" s="1"/>
      <c r="I11" s="1"/>
      <c r="J11" s="1">
        <f t="shared" si="1"/>
        <v>0</v>
      </c>
      <c r="K11" s="1"/>
      <c r="L11" s="1"/>
      <c r="M11" s="1">
        <f t="shared" si="2"/>
        <v>0</v>
      </c>
    </row>
    <row r="12" spans="2:13" x14ac:dyDescent="0.3">
      <c r="C12" s="1"/>
      <c r="D12" s="1"/>
      <c r="E12" s="1"/>
      <c r="F12" s="1">
        <f t="shared" si="0"/>
        <v>0</v>
      </c>
      <c r="G12" s="1"/>
      <c r="H12" s="1"/>
      <c r="I12" s="1"/>
      <c r="J12" s="1">
        <f t="shared" si="1"/>
        <v>0</v>
      </c>
      <c r="K12" s="1"/>
      <c r="L12" s="1"/>
      <c r="M12" s="1">
        <f t="shared" si="2"/>
        <v>0</v>
      </c>
    </row>
    <row r="13" spans="2:13" x14ac:dyDescent="0.3">
      <c r="C13" s="1" t="s">
        <v>85</v>
      </c>
      <c r="D13" s="1"/>
      <c r="E13" s="1"/>
      <c r="F13" s="1">
        <f t="shared" si="0"/>
        <v>0</v>
      </c>
      <c r="G13" s="1" t="s">
        <v>99</v>
      </c>
      <c r="H13" s="1"/>
      <c r="I13" s="1"/>
      <c r="J13" s="1">
        <f t="shared" si="1"/>
        <v>0</v>
      </c>
      <c r="K13" s="1"/>
      <c r="L13" s="1"/>
      <c r="M13" s="1">
        <f t="shared" si="2"/>
        <v>0</v>
      </c>
    </row>
    <row r="14" spans="2:13" x14ac:dyDescent="0.3">
      <c r="C14" s="1"/>
      <c r="D14" s="1"/>
      <c r="E14" s="1"/>
      <c r="F14" s="1">
        <f t="shared" si="0"/>
        <v>0</v>
      </c>
      <c r="G14" s="1" t="s">
        <v>100</v>
      </c>
      <c r="H14" s="1"/>
      <c r="I14" s="1"/>
      <c r="J14" s="1">
        <f t="shared" si="1"/>
        <v>0</v>
      </c>
      <c r="K14" s="1"/>
      <c r="L14" s="1"/>
      <c r="M14" s="1">
        <f t="shared" si="2"/>
        <v>0</v>
      </c>
    </row>
    <row r="15" spans="2:13" x14ac:dyDescent="0.3">
      <c r="C15" s="1"/>
      <c r="D15" s="1"/>
      <c r="E15" s="1"/>
      <c r="F15" s="1">
        <f t="shared" si="0"/>
        <v>0</v>
      </c>
      <c r="G15" s="1"/>
      <c r="H15" s="1"/>
      <c r="I15" s="1"/>
      <c r="J15" s="1">
        <f t="shared" si="1"/>
        <v>0</v>
      </c>
      <c r="K15" s="1"/>
      <c r="L15" s="1"/>
      <c r="M15" s="1">
        <f t="shared" si="2"/>
        <v>0</v>
      </c>
    </row>
    <row r="16" spans="2:13" x14ac:dyDescent="0.3">
      <c r="C16" s="1"/>
      <c r="D16" s="1"/>
      <c r="E16" s="1"/>
      <c r="F16" s="1">
        <f t="shared" si="0"/>
        <v>0</v>
      </c>
      <c r="G16" s="1"/>
      <c r="H16" s="1"/>
      <c r="I16" s="1"/>
      <c r="J16" s="1">
        <f t="shared" si="1"/>
        <v>0</v>
      </c>
      <c r="K16" s="1"/>
      <c r="L16" s="1"/>
      <c r="M16" s="1">
        <f t="shared" si="2"/>
        <v>0</v>
      </c>
    </row>
    <row r="17" spans="3:13" x14ac:dyDescent="0.3">
      <c r="C17" s="1" t="s">
        <v>86</v>
      </c>
      <c r="D17" s="1"/>
      <c r="E17" s="1"/>
      <c r="F17" s="1">
        <f t="shared" si="0"/>
        <v>0</v>
      </c>
      <c r="G17" s="1" t="s">
        <v>99</v>
      </c>
      <c r="H17" s="1"/>
      <c r="I17" s="1"/>
      <c r="J17" s="1">
        <f t="shared" si="1"/>
        <v>0</v>
      </c>
      <c r="K17" s="1"/>
      <c r="L17" s="1"/>
      <c r="M17" s="1">
        <f t="shared" si="2"/>
        <v>0</v>
      </c>
    </row>
    <row r="18" spans="3:13" x14ac:dyDescent="0.3">
      <c r="C18" s="1"/>
      <c r="D18" s="1"/>
      <c r="E18" s="1"/>
      <c r="F18" s="1">
        <f t="shared" si="0"/>
        <v>0</v>
      </c>
      <c r="G18" s="1" t="s">
        <v>100</v>
      </c>
      <c r="H18" s="1"/>
      <c r="I18" s="1"/>
      <c r="J18" s="1">
        <f t="shared" si="1"/>
        <v>0</v>
      </c>
      <c r="K18" s="1"/>
      <c r="L18" s="1"/>
      <c r="M18" s="1">
        <f t="shared" si="2"/>
        <v>0</v>
      </c>
    </row>
    <row r="19" spans="3:13" x14ac:dyDescent="0.3">
      <c r="C19" s="1"/>
      <c r="D19" s="1"/>
      <c r="E19" s="1"/>
      <c r="F19" s="1">
        <f t="shared" si="0"/>
        <v>0</v>
      </c>
      <c r="G19" s="1"/>
      <c r="H19" s="1"/>
      <c r="I19" s="1"/>
      <c r="J19" s="1">
        <f t="shared" si="1"/>
        <v>0</v>
      </c>
      <c r="K19" s="1"/>
      <c r="L19" s="1"/>
      <c r="M19" s="1">
        <f t="shared" si="2"/>
        <v>0</v>
      </c>
    </row>
    <row r="20" spans="3:13" x14ac:dyDescent="0.3">
      <c r="C20" s="1" t="s">
        <v>86</v>
      </c>
      <c r="D20" s="1"/>
      <c r="E20" s="1"/>
      <c r="F20" s="1">
        <f t="shared" si="0"/>
        <v>0</v>
      </c>
      <c r="G20" s="1" t="s">
        <v>99</v>
      </c>
      <c r="H20" s="1"/>
      <c r="I20" s="1"/>
      <c r="J20" s="1">
        <f t="shared" si="1"/>
        <v>0</v>
      </c>
      <c r="K20" s="1"/>
      <c r="L20" s="1"/>
      <c r="M20" s="1">
        <f t="shared" si="2"/>
        <v>0</v>
      </c>
    </row>
    <row r="21" spans="3:13" x14ac:dyDescent="0.3">
      <c r="C21" s="1"/>
      <c r="D21" s="1"/>
      <c r="E21" s="1"/>
      <c r="F21" s="1">
        <f t="shared" si="0"/>
        <v>0</v>
      </c>
      <c r="G21" s="1" t="s">
        <v>100</v>
      </c>
      <c r="H21" s="1"/>
      <c r="I21" s="1"/>
      <c r="J21" s="1">
        <f t="shared" si="1"/>
        <v>0</v>
      </c>
      <c r="K21" s="1"/>
      <c r="L21" s="1"/>
      <c r="M21" s="1">
        <f t="shared" si="2"/>
        <v>0</v>
      </c>
    </row>
    <row r="22" spans="3:13" x14ac:dyDescent="0.3">
      <c r="C22" s="1"/>
      <c r="D22" s="1"/>
      <c r="E22" s="1"/>
      <c r="F22" s="1">
        <f t="shared" si="0"/>
        <v>0</v>
      </c>
      <c r="G22" s="1"/>
      <c r="H22" s="1"/>
      <c r="I22" s="1"/>
      <c r="J22" s="1">
        <f t="shared" si="1"/>
        <v>0</v>
      </c>
      <c r="K22" s="1"/>
      <c r="L22" s="1"/>
      <c r="M22" s="1">
        <f t="shared" si="2"/>
        <v>0</v>
      </c>
    </row>
    <row r="23" spans="3:13" x14ac:dyDescent="0.3">
      <c r="C23" s="1" t="s">
        <v>92</v>
      </c>
      <c r="D23" s="1"/>
      <c r="E23" s="1"/>
      <c r="F23" s="1">
        <f t="shared" si="0"/>
        <v>0</v>
      </c>
      <c r="G23" s="1" t="s">
        <v>101</v>
      </c>
      <c r="H23" s="1"/>
      <c r="I23" s="1"/>
      <c r="J23" s="1">
        <f t="shared" si="1"/>
        <v>0</v>
      </c>
      <c r="K23" s="1"/>
      <c r="L23" s="1"/>
      <c r="M23" s="1">
        <f t="shared" si="2"/>
        <v>0</v>
      </c>
    </row>
    <row r="24" spans="3:13" x14ac:dyDescent="0.3">
      <c r="C24" s="1" t="s">
        <v>93</v>
      </c>
      <c r="D24" s="1"/>
      <c r="E24" s="1"/>
      <c r="F24" s="1">
        <f t="shared" si="0"/>
        <v>0</v>
      </c>
      <c r="G24" s="1" t="s">
        <v>101</v>
      </c>
      <c r="H24" s="1"/>
      <c r="I24" s="1"/>
      <c r="J24" s="1">
        <f t="shared" si="1"/>
        <v>0</v>
      </c>
      <c r="K24" s="1"/>
      <c r="L24" s="1"/>
      <c r="M24" s="1">
        <f t="shared" si="2"/>
        <v>0</v>
      </c>
    </row>
    <row r="25" spans="3:13" x14ac:dyDescent="0.3">
      <c r="C25" s="1" t="s">
        <v>94</v>
      </c>
      <c r="D25" s="1"/>
      <c r="E25" s="1"/>
      <c r="F25" s="1">
        <f t="shared" si="0"/>
        <v>0</v>
      </c>
      <c r="G25" s="1" t="s">
        <v>101</v>
      </c>
      <c r="H25" s="1"/>
      <c r="I25" s="1"/>
      <c r="J25" s="1">
        <f t="shared" si="1"/>
        <v>0</v>
      </c>
      <c r="K25" s="1"/>
      <c r="L25" s="1"/>
      <c r="M25" s="1">
        <f t="shared" si="2"/>
        <v>0</v>
      </c>
    </row>
    <row r="26" spans="3:13" x14ac:dyDescent="0.3">
      <c r="C26" s="1"/>
      <c r="D26" s="1"/>
      <c r="E26" s="1"/>
      <c r="F26" s="1">
        <f t="shared" si="0"/>
        <v>0</v>
      </c>
      <c r="G26" s="1"/>
      <c r="H26" s="1"/>
      <c r="I26" s="1"/>
      <c r="J26" s="1">
        <f t="shared" si="1"/>
        <v>0</v>
      </c>
      <c r="K26" s="1"/>
      <c r="L26" s="1"/>
      <c r="M26" s="1">
        <f t="shared" si="2"/>
        <v>0</v>
      </c>
    </row>
    <row r="27" spans="3:13" x14ac:dyDescent="0.3">
      <c r="C27" s="1" t="s">
        <v>88</v>
      </c>
      <c r="D27" s="1"/>
      <c r="E27" s="1"/>
      <c r="F27" s="1">
        <f t="shared" si="0"/>
        <v>0</v>
      </c>
      <c r="G27" s="1"/>
      <c r="H27" s="1"/>
      <c r="I27" s="1"/>
      <c r="J27" s="1">
        <f t="shared" si="1"/>
        <v>0</v>
      </c>
      <c r="K27" s="1"/>
      <c r="L27" s="1"/>
      <c r="M27" s="1">
        <f t="shared" si="2"/>
        <v>0</v>
      </c>
    </row>
    <row r="28" spans="3:13" x14ac:dyDescent="0.3">
      <c r="C28" s="1" t="s">
        <v>89</v>
      </c>
      <c r="D28" s="1"/>
      <c r="E28" s="1"/>
      <c r="F28" s="1">
        <f t="shared" si="0"/>
        <v>0</v>
      </c>
      <c r="G28" s="1"/>
      <c r="H28" s="1"/>
      <c r="I28" s="1"/>
      <c r="J28" s="1">
        <f t="shared" si="1"/>
        <v>0</v>
      </c>
      <c r="K28" s="1"/>
      <c r="L28" s="1"/>
      <c r="M28" s="1">
        <f t="shared" si="2"/>
        <v>0</v>
      </c>
    </row>
    <row r="29" spans="3:13" x14ac:dyDescent="0.3">
      <c r="C29" s="1" t="s">
        <v>90</v>
      </c>
      <c r="D29" s="1"/>
      <c r="E29" s="1"/>
      <c r="F29" s="1">
        <f t="shared" si="0"/>
        <v>0</v>
      </c>
      <c r="G29" s="1"/>
      <c r="H29" s="1"/>
      <c r="I29" s="1"/>
      <c r="J29" s="1">
        <f t="shared" si="1"/>
        <v>0</v>
      </c>
      <c r="K29" s="1"/>
      <c r="L29" s="1"/>
      <c r="M29" s="1">
        <f t="shared" si="2"/>
        <v>0</v>
      </c>
    </row>
    <row r="30" spans="3:13" x14ac:dyDescent="0.3">
      <c r="C30" s="1" t="s">
        <v>91</v>
      </c>
      <c r="D30" s="1"/>
      <c r="E30" s="1"/>
      <c r="F30" s="1">
        <f t="shared" si="0"/>
        <v>0</v>
      </c>
      <c r="G30" s="1"/>
      <c r="H30" s="1"/>
      <c r="I30" s="1"/>
      <c r="J30" s="1">
        <f>H30*I30</f>
        <v>0</v>
      </c>
      <c r="K30" s="1"/>
      <c r="L30" s="1"/>
      <c r="M30" s="1">
        <f>K30*L30</f>
        <v>0</v>
      </c>
    </row>
    <row r="31" spans="3:13" x14ac:dyDescent="0.3">
      <c r="C31" s="1"/>
      <c r="D31" s="1"/>
      <c r="E31" s="1"/>
      <c r="F31" s="1">
        <f t="shared" si="0"/>
        <v>0</v>
      </c>
      <c r="G31" s="1"/>
      <c r="H31" s="1"/>
      <c r="I31" s="1"/>
      <c r="J31" s="1">
        <f>H31*I31</f>
        <v>0</v>
      </c>
      <c r="K31" s="1"/>
      <c r="L31" s="1"/>
      <c r="M31" s="1">
        <f>K31*L31</f>
        <v>0</v>
      </c>
    </row>
    <row r="32" spans="3:13" x14ac:dyDescent="0.3">
      <c r="C32" s="1"/>
      <c r="D32" s="1"/>
      <c r="E32" s="1"/>
      <c r="F32" s="1">
        <f t="shared" si="0"/>
        <v>0</v>
      </c>
      <c r="G32" s="1"/>
      <c r="H32" s="1"/>
      <c r="I32" s="1"/>
      <c r="J32" s="1">
        <f>H32*I32</f>
        <v>0</v>
      </c>
      <c r="K32" s="1"/>
      <c r="L32" s="1"/>
      <c r="M32" s="1">
        <f>K32*L32</f>
        <v>0</v>
      </c>
    </row>
    <row r="33" spans="3:13" x14ac:dyDescent="0.3">
      <c r="C33" s="1"/>
      <c r="D33" s="1"/>
      <c r="E33" s="1"/>
      <c r="F33" s="1">
        <f t="shared" si="0"/>
        <v>0</v>
      </c>
      <c r="G33" s="1"/>
      <c r="H33" s="1"/>
      <c r="I33" s="1"/>
      <c r="J33" s="1">
        <f>H33*I33</f>
        <v>0</v>
      </c>
      <c r="K33" s="1"/>
      <c r="L33" s="1"/>
      <c r="M33" s="1">
        <f>K33*L33</f>
        <v>0</v>
      </c>
    </row>
    <row r="34" spans="3:13" x14ac:dyDescent="0.3">
      <c r="C34" s="1" t="s">
        <v>95</v>
      </c>
      <c r="D34" s="1"/>
      <c r="E34" s="1">
        <f>F34*10.764</f>
        <v>0</v>
      </c>
      <c r="F34" s="1">
        <f>SUM(F6:F33)</f>
        <v>0</v>
      </c>
      <c r="G34" s="1"/>
      <c r="H34" s="1"/>
      <c r="I34" s="1">
        <f>J34*10.764</f>
        <v>0</v>
      </c>
      <c r="J34" s="1">
        <f>SUM(J6:J33)</f>
        <v>0</v>
      </c>
      <c r="K34" s="1"/>
      <c r="L34" s="1">
        <f>M34*10.764</f>
        <v>0</v>
      </c>
      <c r="M34" s="1">
        <f>SUM(M6:M33)</f>
        <v>0</v>
      </c>
    </row>
  </sheetData>
  <mergeCells count="4">
    <mergeCell ref="D2:E2"/>
    <mergeCell ref="D4:F4"/>
    <mergeCell ref="H4:J4"/>
    <mergeCell ref="K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20"/>
  <sheetViews>
    <sheetView workbookViewId="0">
      <selection activeCell="C8" sqref="C8"/>
    </sheetView>
  </sheetViews>
  <sheetFormatPr defaultRowHeight="14.4" x14ac:dyDescent="0.3"/>
  <cols>
    <col min="1" max="1" width="11.44140625" customWidth="1"/>
    <col min="2" max="2" width="12" customWidth="1"/>
    <col min="3" max="3" width="14.5546875" customWidth="1"/>
    <col min="4" max="4" width="4" customWidth="1"/>
    <col min="5" max="5" width="15.21875" customWidth="1"/>
    <col min="6" max="7" width="9.21875" customWidth="1"/>
    <col min="9" max="9" width="12.5546875" customWidth="1"/>
    <col min="10" max="10" width="15.21875" customWidth="1"/>
    <col min="13" max="13" width="16.5546875" customWidth="1"/>
  </cols>
  <sheetData>
    <row r="2" spans="1:15" x14ac:dyDescent="0.3">
      <c r="A2" t="s">
        <v>114</v>
      </c>
      <c r="B2" s="6" t="s">
        <v>134</v>
      </c>
      <c r="C2" s="6">
        <v>4</v>
      </c>
    </row>
    <row r="3" spans="1:15" x14ac:dyDescent="0.3">
      <c r="B3" t="s">
        <v>115</v>
      </c>
      <c r="C3" t="s">
        <v>116</v>
      </c>
    </row>
    <row r="4" spans="1:15" x14ac:dyDescent="0.3">
      <c r="A4" t="s">
        <v>117</v>
      </c>
      <c r="B4" s="1">
        <v>10</v>
      </c>
      <c r="C4" s="1">
        <v>10</v>
      </c>
      <c r="E4">
        <f>(100/B4)*C4</f>
        <v>100</v>
      </c>
    </row>
    <row r="5" spans="1:15" x14ac:dyDescent="0.3">
      <c r="A5" t="s">
        <v>118</v>
      </c>
      <c r="B5" t="s">
        <v>119</v>
      </c>
      <c r="C5" t="s">
        <v>120</v>
      </c>
      <c r="E5">
        <f>(100/B6)*C6</f>
        <v>100</v>
      </c>
      <c r="I5" s="1" t="s">
        <v>121</v>
      </c>
      <c r="J5" s="1" t="s">
        <v>122</v>
      </c>
      <c r="K5" s="1" t="s">
        <v>123</v>
      </c>
      <c r="L5" s="1" t="s">
        <v>35</v>
      </c>
      <c r="M5" s="1" t="s">
        <v>41</v>
      </c>
      <c r="N5" s="1" t="s">
        <v>124</v>
      </c>
      <c r="O5" s="1" t="s">
        <v>42</v>
      </c>
    </row>
    <row r="6" spans="1:15" x14ac:dyDescent="0.3">
      <c r="B6" s="1">
        <f>C2+1</f>
        <v>5</v>
      </c>
      <c r="C6" s="1">
        <v>5</v>
      </c>
      <c r="E6">
        <f>(100/B8)*C8</f>
        <v>60</v>
      </c>
      <c r="F6" s="7" t="s">
        <v>125</v>
      </c>
      <c r="I6" s="7">
        <f>C4</f>
        <v>10</v>
      </c>
      <c r="J6" s="7">
        <f>40/B6*C6</f>
        <v>40</v>
      </c>
      <c r="K6" s="7">
        <f>15/B8*C8</f>
        <v>9</v>
      </c>
      <c r="L6" s="7">
        <f>10/B10*C10</f>
        <v>0</v>
      </c>
      <c r="M6" s="7">
        <f>10/B12*C12</f>
        <v>0</v>
      </c>
      <c r="N6" s="7">
        <f>5/B14*C14</f>
        <v>0</v>
      </c>
      <c r="O6" s="7">
        <f>5/B16*C16</f>
        <v>0</v>
      </c>
    </row>
    <row r="7" spans="1:15" x14ac:dyDescent="0.3">
      <c r="A7" t="s">
        <v>126</v>
      </c>
      <c r="B7" t="s">
        <v>127</v>
      </c>
      <c r="C7" t="s">
        <v>128</v>
      </c>
      <c r="E7">
        <f>(100/B10)*C10</f>
        <v>0</v>
      </c>
      <c r="F7" s="1" t="s">
        <v>129</v>
      </c>
      <c r="G7" s="1"/>
      <c r="H7" s="1"/>
      <c r="I7" s="1">
        <f>I6+20</f>
        <v>30</v>
      </c>
      <c r="J7" s="1">
        <f>30/B6*C6</f>
        <v>30</v>
      </c>
      <c r="K7" s="1">
        <f>15/B8*C8</f>
        <v>9</v>
      </c>
      <c r="L7" s="1">
        <f>10/B10*C10</f>
        <v>0</v>
      </c>
      <c r="M7" s="1">
        <f>5/B12*C12</f>
        <v>0</v>
      </c>
      <c r="N7" s="1">
        <f>5/B14*C14</f>
        <v>0</v>
      </c>
      <c r="O7" s="1">
        <f>5/B16*C16</f>
        <v>0</v>
      </c>
    </row>
    <row r="8" spans="1:15" x14ac:dyDescent="0.3">
      <c r="B8" s="1">
        <f>C2+1</f>
        <v>5</v>
      </c>
      <c r="C8" s="1">
        <v>3</v>
      </c>
      <c r="E8">
        <f>(100/B12)*C12</f>
        <v>0</v>
      </c>
    </row>
    <row r="9" spans="1:15" x14ac:dyDescent="0.3">
      <c r="A9" t="s">
        <v>130</v>
      </c>
      <c r="B9" t="s">
        <v>127</v>
      </c>
      <c r="C9" t="s">
        <v>128</v>
      </c>
      <c r="E9">
        <f>(100/B14)*C14</f>
        <v>0</v>
      </c>
    </row>
    <row r="10" spans="1:15" x14ac:dyDescent="0.3">
      <c r="B10" s="1">
        <f>C2+1</f>
        <v>5</v>
      </c>
      <c r="C10" s="1">
        <v>0</v>
      </c>
      <c r="E10">
        <f>(100/B16)*C16</f>
        <v>0</v>
      </c>
    </row>
    <row r="11" spans="1:15" x14ac:dyDescent="0.3">
      <c r="A11" t="s">
        <v>41</v>
      </c>
      <c r="B11" t="s">
        <v>127</v>
      </c>
      <c r="C11" t="s">
        <v>128</v>
      </c>
    </row>
    <row r="12" spans="1:15" x14ac:dyDescent="0.3">
      <c r="B12" s="1">
        <f>C2+1</f>
        <v>5</v>
      </c>
      <c r="C12" s="1">
        <v>0</v>
      </c>
      <c r="F12" s="1"/>
      <c r="G12" s="1" t="s">
        <v>125</v>
      </c>
      <c r="H12" s="1" t="s">
        <v>131</v>
      </c>
      <c r="L12" t="s">
        <v>132</v>
      </c>
    </row>
    <row r="13" spans="1:15" ht="31.5" customHeight="1" x14ac:dyDescent="0.3">
      <c r="A13" s="8" t="s">
        <v>124</v>
      </c>
      <c r="B13" t="s">
        <v>127</v>
      </c>
      <c r="C13" t="s">
        <v>128</v>
      </c>
      <c r="F13" s="1" t="s">
        <v>33</v>
      </c>
      <c r="G13" s="1">
        <f>I6</f>
        <v>10</v>
      </c>
      <c r="H13" s="1">
        <f>I7</f>
        <v>30</v>
      </c>
      <c r="L13" t="s">
        <v>132</v>
      </c>
    </row>
    <row r="14" spans="1:15" x14ac:dyDescent="0.3">
      <c r="B14" s="1">
        <f>C2+1</f>
        <v>5</v>
      </c>
      <c r="C14" s="1">
        <v>0</v>
      </c>
      <c r="F14" s="1" t="s">
        <v>34</v>
      </c>
      <c r="G14" s="1">
        <f>J6</f>
        <v>40</v>
      </c>
      <c r="H14" s="1">
        <f>J7</f>
        <v>30</v>
      </c>
    </row>
    <row r="15" spans="1:15" x14ac:dyDescent="0.3">
      <c r="A15" t="s">
        <v>42</v>
      </c>
      <c r="B15" t="s">
        <v>127</v>
      </c>
      <c r="C15" t="s">
        <v>128</v>
      </c>
      <c r="F15" s="1" t="s">
        <v>123</v>
      </c>
      <c r="G15" s="1">
        <f>K6</f>
        <v>9</v>
      </c>
      <c r="H15" s="1">
        <f>K7</f>
        <v>9</v>
      </c>
    </row>
    <row r="16" spans="1:15" x14ac:dyDescent="0.3">
      <c r="B16" s="1">
        <f>C2+1</f>
        <v>5</v>
      </c>
      <c r="C16" s="1">
        <v>0</v>
      </c>
      <c r="F16" s="1" t="s">
        <v>35</v>
      </c>
      <c r="G16" s="1">
        <f>L6</f>
        <v>0</v>
      </c>
      <c r="H16" s="1">
        <f>L7</f>
        <v>0</v>
      </c>
    </row>
    <row r="17" spans="6:8" x14ac:dyDescent="0.3">
      <c r="F17" s="1" t="s">
        <v>41</v>
      </c>
      <c r="G17" s="1">
        <f>M6</f>
        <v>0</v>
      </c>
      <c r="H17" s="1">
        <f>M7</f>
        <v>0</v>
      </c>
    </row>
    <row r="18" spans="6:8" ht="29.25" customHeight="1" x14ac:dyDescent="0.3">
      <c r="F18" s="9" t="s">
        <v>124</v>
      </c>
      <c r="G18" s="1">
        <f>N6</f>
        <v>0</v>
      </c>
      <c r="H18" s="1">
        <f>N7</f>
        <v>0</v>
      </c>
    </row>
    <row r="19" spans="6:8" x14ac:dyDescent="0.3">
      <c r="F19" s="1" t="s">
        <v>42</v>
      </c>
      <c r="G19" s="1">
        <f>O6</f>
        <v>0</v>
      </c>
      <c r="H19" s="1">
        <f>O7</f>
        <v>0</v>
      </c>
    </row>
    <row r="20" spans="6:8" x14ac:dyDescent="0.3">
      <c r="F20" s="1" t="s">
        <v>133</v>
      </c>
      <c r="G20" s="1">
        <f>G13+G14+G15+G16+G17+G18+G19</f>
        <v>59</v>
      </c>
      <c r="H20" s="1">
        <f>H13+H14+H15+H16+H17+H18+H19</f>
        <v>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M35"/>
  <sheetViews>
    <sheetView workbookViewId="0">
      <selection activeCell="G7" sqref="G7:G8"/>
    </sheetView>
  </sheetViews>
  <sheetFormatPr defaultRowHeight="14.4" x14ac:dyDescent="0.3"/>
  <sheetData>
    <row r="3" spans="2:13" x14ac:dyDescent="0.3">
      <c r="C3" s="4" t="s">
        <v>96</v>
      </c>
      <c r="D3" s="232"/>
      <c r="E3" s="232"/>
    </row>
    <row r="4" spans="2:13" x14ac:dyDescent="0.3">
      <c r="E4" s="3"/>
      <c r="F4" s="3"/>
      <c r="G4" s="3"/>
      <c r="H4" s="3"/>
      <c r="I4" s="3"/>
      <c r="J4" s="3"/>
    </row>
    <row r="5" spans="2:13" x14ac:dyDescent="0.3">
      <c r="B5" s="4" t="s">
        <v>97</v>
      </c>
      <c r="C5" s="2" t="s">
        <v>77</v>
      </c>
      <c r="D5" s="233" t="s">
        <v>78</v>
      </c>
      <c r="E5" s="233"/>
      <c r="F5" s="233"/>
      <c r="G5" s="5"/>
      <c r="H5" s="233" t="s">
        <v>79</v>
      </c>
      <c r="I5" s="233"/>
      <c r="J5" s="233"/>
      <c r="K5" s="233" t="s">
        <v>80</v>
      </c>
      <c r="L5" s="233"/>
      <c r="M5" s="233"/>
    </row>
    <row r="6" spans="2:13" x14ac:dyDescent="0.3">
      <c r="B6" s="4">
        <v>1</v>
      </c>
      <c r="C6" s="2"/>
      <c r="D6" s="2" t="s">
        <v>81</v>
      </c>
      <c r="E6" s="2" t="s">
        <v>82</v>
      </c>
      <c r="F6" s="2" t="s">
        <v>83</v>
      </c>
      <c r="G6" s="2"/>
      <c r="H6" s="2" t="s">
        <v>81</v>
      </c>
      <c r="I6" s="2" t="s">
        <v>82</v>
      </c>
      <c r="J6" s="2" t="s">
        <v>83</v>
      </c>
      <c r="K6" s="2" t="s">
        <v>81</v>
      </c>
      <c r="L6" s="2" t="s">
        <v>82</v>
      </c>
      <c r="M6" s="2" t="s">
        <v>83</v>
      </c>
    </row>
    <row r="7" spans="2:13" x14ac:dyDescent="0.3">
      <c r="C7" s="1" t="s">
        <v>84</v>
      </c>
      <c r="D7" s="1"/>
      <c r="E7" s="1"/>
      <c r="F7" s="1">
        <f>D7*E7</f>
        <v>0</v>
      </c>
      <c r="G7" s="1" t="s">
        <v>99</v>
      </c>
      <c r="H7" s="1"/>
      <c r="I7" s="1"/>
      <c r="J7" s="1">
        <f>H7*I7</f>
        <v>0</v>
      </c>
      <c r="K7" s="1"/>
      <c r="L7" s="1"/>
      <c r="M7" s="1">
        <f>K7*L7</f>
        <v>0</v>
      </c>
    </row>
    <row r="8" spans="2:13" x14ac:dyDescent="0.3">
      <c r="C8" s="1"/>
      <c r="D8" s="1"/>
      <c r="E8" s="1"/>
      <c r="F8" s="1">
        <f t="shared" ref="F8:F34" si="0">D8*E8</f>
        <v>0</v>
      </c>
      <c r="G8" s="1" t="s">
        <v>100</v>
      </c>
      <c r="H8" s="1"/>
      <c r="I8" s="1"/>
      <c r="J8" s="1">
        <f t="shared" ref="J8:J34" si="1">H8*I8</f>
        <v>0</v>
      </c>
      <c r="K8" s="1"/>
      <c r="L8" s="1"/>
      <c r="M8" s="1">
        <f t="shared" ref="M8:M34" si="2">K8*L8</f>
        <v>0</v>
      </c>
    </row>
    <row r="9" spans="2:13" x14ac:dyDescent="0.3">
      <c r="C9" s="1"/>
      <c r="D9" s="1"/>
      <c r="E9" s="1"/>
      <c r="F9" s="1">
        <f t="shared" si="0"/>
        <v>0</v>
      </c>
      <c r="G9" s="1"/>
      <c r="H9" s="1"/>
      <c r="I9" s="1"/>
      <c r="J9" s="1">
        <f t="shared" si="1"/>
        <v>0</v>
      </c>
      <c r="K9" s="1"/>
      <c r="L9" s="1"/>
      <c r="M9" s="1">
        <f t="shared" si="2"/>
        <v>0</v>
      </c>
    </row>
    <row r="10" spans="2:13" x14ac:dyDescent="0.3">
      <c r="C10" s="1" t="s">
        <v>87</v>
      </c>
      <c r="D10" s="1"/>
      <c r="E10" s="1"/>
      <c r="F10" s="1">
        <f t="shared" si="0"/>
        <v>0</v>
      </c>
      <c r="G10" s="1" t="s">
        <v>99</v>
      </c>
      <c r="H10" s="1"/>
      <c r="I10" s="1"/>
      <c r="J10" s="1">
        <f t="shared" si="1"/>
        <v>0</v>
      </c>
      <c r="K10" s="1"/>
      <c r="L10" s="1"/>
      <c r="M10" s="1">
        <f t="shared" si="2"/>
        <v>0</v>
      </c>
    </row>
    <row r="11" spans="2:13" x14ac:dyDescent="0.3">
      <c r="C11" s="1"/>
      <c r="D11" s="1"/>
      <c r="E11" s="1"/>
      <c r="F11" s="1">
        <f t="shared" si="0"/>
        <v>0</v>
      </c>
      <c r="G11" s="1" t="s">
        <v>100</v>
      </c>
      <c r="H11" s="1"/>
      <c r="I11" s="1"/>
      <c r="J11" s="1">
        <f t="shared" si="1"/>
        <v>0</v>
      </c>
      <c r="K11" s="1"/>
      <c r="L11" s="1"/>
      <c r="M11" s="1">
        <f t="shared" si="2"/>
        <v>0</v>
      </c>
    </row>
    <row r="12" spans="2:13" x14ac:dyDescent="0.3">
      <c r="C12" s="1"/>
      <c r="D12" s="1"/>
      <c r="E12" s="1"/>
      <c r="F12" s="1">
        <f t="shared" si="0"/>
        <v>0</v>
      </c>
      <c r="G12" s="1"/>
      <c r="H12" s="1"/>
      <c r="I12" s="1"/>
      <c r="J12" s="1">
        <f t="shared" si="1"/>
        <v>0</v>
      </c>
      <c r="K12" s="1"/>
      <c r="L12" s="1"/>
      <c r="M12" s="1">
        <f t="shared" si="2"/>
        <v>0</v>
      </c>
    </row>
    <row r="13" spans="2:13" x14ac:dyDescent="0.3">
      <c r="C13" s="1"/>
      <c r="D13" s="1"/>
      <c r="E13" s="1"/>
      <c r="F13" s="1">
        <f t="shared" si="0"/>
        <v>0</v>
      </c>
      <c r="G13" s="1"/>
      <c r="H13" s="1"/>
      <c r="I13" s="1"/>
      <c r="J13" s="1">
        <f t="shared" si="1"/>
        <v>0</v>
      </c>
      <c r="K13" s="1"/>
      <c r="L13" s="1"/>
      <c r="M13" s="1">
        <f t="shared" si="2"/>
        <v>0</v>
      </c>
    </row>
    <row r="14" spans="2:13" x14ac:dyDescent="0.3">
      <c r="C14" s="1" t="s">
        <v>85</v>
      </c>
      <c r="D14" s="1"/>
      <c r="E14" s="1"/>
      <c r="F14" s="1">
        <f t="shared" si="0"/>
        <v>0</v>
      </c>
      <c r="G14" s="1" t="s">
        <v>99</v>
      </c>
      <c r="H14" s="1"/>
      <c r="I14" s="1"/>
      <c r="J14" s="1">
        <f t="shared" si="1"/>
        <v>0</v>
      </c>
      <c r="K14" s="1"/>
      <c r="L14" s="1"/>
      <c r="M14" s="1">
        <f t="shared" si="2"/>
        <v>0</v>
      </c>
    </row>
    <row r="15" spans="2:13" x14ac:dyDescent="0.3">
      <c r="C15" s="1"/>
      <c r="D15" s="1"/>
      <c r="E15" s="1"/>
      <c r="F15" s="1">
        <f t="shared" si="0"/>
        <v>0</v>
      </c>
      <c r="G15" s="1" t="s">
        <v>100</v>
      </c>
      <c r="H15" s="1"/>
      <c r="I15" s="1"/>
      <c r="J15" s="1">
        <f t="shared" si="1"/>
        <v>0</v>
      </c>
      <c r="K15" s="1"/>
      <c r="L15" s="1"/>
      <c r="M15" s="1">
        <f t="shared" si="2"/>
        <v>0</v>
      </c>
    </row>
    <row r="16" spans="2:13" x14ac:dyDescent="0.3">
      <c r="C16" s="1"/>
      <c r="D16" s="1"/>
      <c r="E16" s="1"/>
      <c r="F16" s="1">
        <f t="shared" si="0"/>
        <v>0</v>
      </c>
      <c r="G16" s="1"/>
      <c r="H16" s="1"/>
      <c r="I16" s="1"/>
      <c r="J16" s="1">
        <f t="shared" si="1"/>
        <v>0</v>
      </c>
      <c r="K16" s="1"/>
      <c r="L16" s="1"/>
      <c r="M16" s="1">
        <f t="shared" si="2"/>
        <v>0</v>
      </c>
    </row>
    <row r="17" spans="3:13" x14ac:dyDescent="0.3">
      <c r="C17" s="1"/>
      <c r="D17" s="1"/>
      <c r="E17" s="1"/>
      <c r="F17" s="1">
        <f t="shared" si="0"/>
        <v>0</v>
      </c>
      <c r="G17" s="1"/>
      <c r="H17" s="1"/>
      <c r="I17" s="1"/>
      <c r="J17" s="1">
        <f t="shared" si="1"/>
        <v>0</v>
      </c>
      <c r="K17" s="1"/>
      <c r="L17" s="1"/>
      <c r="M17" s="1">
        <f t="shared" si="2"/>
        <v>0</v>
      </c>
    </row>
    <row r="18" spans="3:13" x14ac:dyDescent="0.3">
      <c r="C18" s="1" t="s">
        <v>86</v>
      </c>
      <c r="D18" s="1"/>
      <c r="E18" s="1"/>
      <c r="F18" s="1">
        <f t="shared" si="0"/>
        <v>0</v>
      </c>
      <c r="G18" s="1" t="s">
        <v>99</v>
      </c>
      <c r="H18" s="1"/>
      <c r="I18" s="1"/>
      <c r="J18" s="1">
        <f t="shared" si="1"/>
        <v>0</v>
      </c>
      <c r="K18" s="1"/>
      <c r="L18" s="1"/>
      <c r="M18" s="1">
        <f t="shared" si="2"/>
        <v>0</v>
      </c>
    </row>
    <row r="19" spans="3:13" x14ac:dyDescent="0.3">
      <c r="C19" s="1"/>
      <c r="D19" s="1"/>
      <c r="E19" s="1"/>
      <c r="F19" s="1">
        <f t="shared" si="0"/>
        <v>0</v>
      </c>
      <c r="G19" s="1" t="s">
        <v>100</v>
      </c>
      <c r="H19" s="1"/>
      <c r="I19" s="1"/>
      <c r="J19" s="1">
        <f t="shared" si="1"/>
        <v>0</v>
      </c>
      <c r="K19" s="1"/>
      <c r="L19" s="1"/>
      <c r="M19" s="1">
        <f t="shared" si="2"/>
        <v>0</v>
      </c>
    </row>
    <row r="20" spans="3:13" x14ac:dyDescent="0.3">
      <c r="C20" s="1"/>
      <c r="D20" s="1"/>
      <c r="E20" s="1"/>
      <c r="F20" s="1">
        <f t="shared" si="0"/>
        <v>0</v>
      </c>
      <c r="G20" s="1"/>
      <c r="H20" s="1"/>
      <c r="I20" s="1"/>
      <c r="J20" s="1">
        <f t="shared" si="1"/>
        <v>0</v>
      </c>
      <c r="K20" s="1"/>
      <c r="L20" s="1"/>
      <c r="M20" s="1">
        <f t="shared" si="2"/>
        <v>0</v>
      </c>
    </row>
    <row r="21" spans="3:13" x14ac:dyDescent="0.3">
      <c r="C21" s="1" t="s">
        <v>86</v>
      </c>
      <c r="D21" s="1"/>
      <c r="E21" s="1"/>
      <c r="F21" s="1">
        <f t="shared" si="0"/>
        <v>0</v>
      </c>
      <c r="G21" s="1" t="s">
        <v>99</v>
      </c>
      <c r="H21" s="1"/>
      <c r="I21" s="1"/>
      <c r="J21" s="1">
        <f t="shared" si="1"/>
        <v>0</v>
      </c>
      <c r="K21" s="1"/>
      <c r="L21" s="1"/>
      <c r="M21" s="1">
        <f t="shared" si="2"/>
        <v>0</v>
      </c>
    </row>
    <row r="22" spans="3:13" x14ac:dyDescent="0.3">
      <c r="C22" s="1"/>
      <c r="D22" s="1"/>
      <c r="E22" s="1"/>
      <c r="F22" s="1">
        <f t="shared" si="0"/>
        <v>0</v>
      </c>
      <c r="G22" s="1" t="s">
        <v>100</v>
      </c>
      <c r="H22" s="1"/>
      <c r="I22" s="1"/>
      <c r="J22" s="1">
        <f t="shared" si="1"/>
        <v>0</v>
      </c>
      <c r="K22" s="1"/>
      <c r="L22" s="1"/>
      <c r="M22" s="1">
        <f t="shared" si="2"/>
        <v>0</v>
      </c>
    </row>
    <row r="23" spans="3:13" x14ac:dyDescent="0.3">
      <c r="C23" s="1"/>
      <c r="D23" s="1"/>
      <c r="E23" s="1"/>
      <c r="F23" s="1">
        <f t="shared" si="0"/>
        <v>0</v>
      </c>
      <c r="G23" s="1"/>
      <c r="H23" s="1"/>
      <c r="I23" s="1"/>
      <c r="J23" s="1">
        <f t="shared" si="1"/>
        <v>0</v>
      </c>
      <c r="K23" s="1"/>
      <c r="L23" s="1"/>
      <c r="M23" s="1">
        <f t="shared" si="2"/>
        <v>0</v>
      </c>
    </row>
    <row r="24" spans="3:13" x14ac:dyDescent="0.3">
      <c r="C24" s="1" t="s">
        <v>92</v>
      </c>
      <c r="D24" s="1"/>
      <c r="E24" s="1"/>
      <c r="F24" s="1">
        <f t="shared" si="0"/>
        <v>0</v>
      </c>
      <c r="G24" s="1" t="s">
        <v>101</v>
      </c>
      <c r="H24" s="1"/>
      <c r="I24" s="1"/>
      <c r="J24" s="1">
        <f t="shared" si="1"/>
        <v>0</v>
      </c>
      <c r="K24" s="1"/>
      <c r="L24" s="1"/>
      <c r="M24" s="1">
        <f t="shared" si="2"/>
        <v>0</v>
      </c>
    </row>
    <row r="25" spans="3:13" x14ac:dyDescent="0.3">
      <c r="C25" s="1" t="s">
        <v>93</v>
      </c>
      <c r="D25" s="1"/>
      <c r="E25" s="1"/>
      <c r="F25" s="1">
        <f t="shared" si="0"/>
        <v>0</v>
      </c>
      <c r="G25" s="1" t="s">
        <v>101</v>
      </c>
      <c r="H25" s="1"/>
      <c r="I25" s="1"/>
      <c r="J25" s="1">
        <f t="shared" si="1"/>
        <v>0</v>
      </c>
      <c r="K25" s="1"/>
      <c r="L25" s="1"/>
      <c r="M25" s="1">
        <f t="shared" si="2"/>
        <v>0</v>
      </c>
    </row>
    <row r="26" spans="3:13" x14ac:dyDescent="0.3">
      <c r="C26" s="1" t="s">
        <v>94</v>
      </c>
      <c r="D26" s="1"/>
      <c r="E26" s="1"/>
      <c r="F26" s="1">
        <f t="shared" si="0"/>
        <v>0</v>
      </c>
      <c r="G26" s="1" t="s">
        <v>101</v>
      </c>
      <c r="H26" s="1"/>
      <c r="I26" s="1"/>
      <c r="J26" s="1">
        <f t="shared" si="1"/>
        <v>0</v>
      </c>
      <c r="K26" s="1"/>
      <c r="L26" s="1"/>
      <c r="M26" s="1">
        <f t="shared" si="2"/>
        <v>0</v>
      </c>
    </row>
    <row r="27" spans="3:13" x14ac:dyDescent="0.3">
      <c r="C27" s="1"/>
      <c r="D27" s="1"/>
      <c r="E27" s="1"/>
      <c r="F27" s="1">
        <f t="shared" si="0"/>
        <v>0</v>
      </c>
      <c r="G27" s="1"/>
      <c r="H27" s="1"/>
      <c r="I27" s="1"/>
      <c r="J27" s="1">
        <f t="shared" si="1"/>
        <v>0</v>
      </c>
      <c r="K27" s="1"/>
      <c r="L27" s="1"/>
      <c r="M27" s="1">
        <f t="shared" si="2"/>
        <v>0</v>
      </c>
    </row>
    <row r="28" spans="3:13" x14ac:dyDescent="0.3">
      <c r="C28" s="1" t="s">
        <v>88</v>
      </c>
      <c r="D28" s="1"/>
      <c r="E28" s="1"/>
      <c r="F28" s="1">
        <f t="shared" si="0"/>
        <v>0</v>
      </c>
      <c r="G28" s="1"/>
      <c r="H28" s="1"/>
      <c r="I28" s="1"/>
      <c r="J28" s="1">
        <f t="shared" si="1"/>
        <v>0</v>
      </c>
      <c r="K28" s="1"/>
      <c r="L28" s="1"/>
      <c r="M28" s="1">
        <f t="shared" si="2"/>
        <v>0</v>
      </c>
    </row>
    <row r="29" spans="3:13" x14ac:dyDescent="0.3">
      <c r="C29" s="1" t="s">
        <v>89</v>
      </c>
      <c r="D29" s="1"/>
      <c r="E29" s="1"/>
      <c r="F29" s="1">
        <f t="shared" si="0"/>
        <v>0</v>
      </c>
      <c r="G29" s="1"/>
      <c r="H29" s="1"/>
      <c r="I29" s="1"/>
      <c r="J29" s="1">
        <f t="shared" si="1"/>
        <v>0</v>
      </c>
      <c r="K29" s="1"/>
      <c r="L29" s="1"/>
      <c r="M29" s="1">
        <f t="shared" si="2"/>
        <v>0</v>
      </c>
    </row>
    <row r="30" spans="3:13" x14ac:dyDescent="0.3">
      <c r="C30" s="1" t="s">
        <v>90</v>
      </c>
      <c r="D30" s="1"/>
      <c r="E30" s="1"/>
      <c r="F30" s="1">
        <f t="shared" si="0"/>
        <v>0</v>
      </c>
      <c r="G30" s="1"/>
      <c r="H30" s="1"/>
      <c r="I30" s="1"/>
      <c r="J30" s="1">
        <f t="shared" si="1"/>
        <v>0</v>
      </c>
      <c r="K30" s="1"/>
      <c r="L30" s="1"/>
      <c r="M30" s="1">
        <f t="shared" si="2"/>
        <v>0</v>
      </c>
    </row>
    <row r="31" spans="3:13" x14ac:dyDescent="0.3">
      <c r="C31" s="1" t="s">
        <v>91</v>
      </c>
      <c r="D31" s="1"/>
      <c r="E31" s="1"/>
      <c r="F31" s="1">
        <f t="shared" si="0"/>
        <v>0</v>
      </c>
      <c r="G31" s="1"/>
      <c r="H31" s="1"/>
      <c r="I31" s="1"/>
      <c r="J31" s="1">
        <f t="shared" si="1"/>
        <v>0</v>
      </c>
      <c r="K31" s="1"/>
      <c r="L31" s="1"/>
      <c r="M31" s="1">
        <f t="shared" si="2"/>
        <v>0</v>
      </c>
    </row>
    <row r="32" spans="3:13" x14ac:dyDescent="0.3">
      <c r="C32" s="1"/>
      <c r="D32" s="1"/>
      <c r="E32" s="1"/>
      <c r="F32" s="1">
        <f t="shared" si="0"/>
        <v>0</v>
      </c>
      <c r="G32" s="1"/>
      <c r="H32" s="1"/>
      <c r="I32" s="1"/>
      <c r="J32" s="1">
        <f t="shared" si="1"/>
        <v>0</v>
      </c>
      <c r="K32" s="1"/>
      <c r="L32" s="1"/>
      <c r="M32" s="1">
        <f t="shared" si="2"/>
        <v>0</v>
      </c>
    </row>
    <row r="33" spans="3:13" x14ac:dyDescent="0.3">
      <c r="C33" s="1"/>
      <c r="D33" s="1"/>
      <c r="E33" s="1"/>
      <c r="F33" s="1">
        <f t="shared" si="0"/>
        <v>0</v>
      </c>
      <c r="G33" s="1"/>
      <c r="H33" s="1"/>
      <c r="I33" s="1"/>
      <c r="J33" s="1">
        <f t="shared" si="1"/>
        <v>0</v>
      </c>
      <c r="K33" s="1"/>
      <c r="L33" s="1"/>
      <c r="M33" s="1">
        <f t="shared" si="2"/>
        <v>0</v>
      </c>
    </row>
    <row r="34" spans="3:13" x14ac:dyDescent="0.3">
      <c r="C34" s="1"/>
      <c r="D34" s="1"/>
      <c r="E34" s="1"/>
      <c r="F34" s="1">
        <f t="shared" si="0"/>
        <v>0</v>
      </c>
      <c r="G34" s="1"/>
      <c r="H34" s="1"/>
      <c r="I34" s="1"/>
      <c r="J34" s="1">
        <f t="shared" si="1"/>
        <v>0</v>
      </c>
      <c r="K34" s="1"/>
      <c r="L34" s="1"/>
      <c r="M34" s="1">
        <f t="shared" si="2"/>
        <v>0</v>
      </c>
    </row>
    <row r="35" spans="3:13" x14ac:dyDescent="0.3">
      <c r="C35" s="1" t="s">
        <v>95</v>
      </c>
      <c r="D35" s="1"/>
      <c r="E35" s="1">
        <f>F35*10.764</f>
        <v>0</v>
      </c>
      <c r="F35" s="1">
        <f>SUM(F7:F34)</f>
        <v>0</v>
      </c>
      <c r="G35" s="1"/>
      <c r="H35" s="1"/>
      <c r="I35" s="1">
        <f>J35*10.764</f>
        <v>0</v>
      </c>
      <c r="J35" s="1">
        <f>SUM(J7:J34)</f>
        <v>0</v>
      </c>
      <c r="K35" s="1"/>
      <c r="L35" s="1">
        <f>M35*10.764</f>
        <v>0</v>
      </c>
      <c r="M35" s="1">
        <f>SUM(M7:M34)</f>
        <v>0</v>
      </c>
    </row>
  </sheetData>
  <mergeCells count="4">
    <mergeCell ref="D3:E3"/>
    <mergeCell ref="D5:F5"/>
    <mergeCell ref="H5:J5"/>
    <mergeCell ref="K5:M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3:N35"/>
  <sheetViews>
    <sheetView workbookViewId="0">
      <selection activeCell="H7" sqref="H7:H8"/>
    </sheetView>
  </sheetViews>
  <sheetFormatPr defaultRowHeight="14.4" x14ac:dyDescent="0.3"/>
  <sheetData>
    <row r="3" spans="3:14" x14ac:dyDescent="0.3">
      <c r="D3" s="4" t="s">
        <v>96</v>
      </c>
      <c r="E3" s="232"/>
      <c r="F3" s="232"/>
    </row>
    <row r="4" spans="3:14" x14ac:dyDescent="0.3">
      <c r="F4" s="3"/>
      <c r="G4" s="3"/>
      <c r="H4" s="3"/>
      <c r="I4" s="3"/>
      <c r="J4" s="3"/>
      <c r="K4" s="3"/>
    </row>
    <row r="5" spans="3:14" x14ac:dyDescent="0.3">
      <c r="C5" s="4" t="s">
        <v>97</v>
      </c>
      <c r="D5" s="2" t="s">
        <v>77</v>
      </c>
      <c r="E5" s="233" t="s">
        <v>78</v>
      </c>
      <c r="F5" s="233"/>
      <c r="G5" s="233"/>
      <c r="H5" s="5"/>
      <c r="I5" s="233" t="s">
        <v>79</v>
      </c>
      <c r="J5" s="233"/>
      <c r="K5" s="233"/>
      <c r="L5" s="233" t="s">
        <v>80</v>
      </c>
      <c r="M5" s="233"/>
      <c r="N5" s="233"/>
    </row>
    <row r="6" spans="3:14" x14ac:dyDescent="0.3">
      <c r="C6" s="4">
        <v>1</v>
      </c>
      <c r="D6" s="2"/>
      <c r="E6" s="2" t="s">
        <v>81</v>
      </c>
      <c r="F6" s="2" t="s">
        <v>82</v>
      </c>
      <c r="G6" s="2" t="s">
        <v>83</v>
      </c>
      <c r="H6" s="2"/>
      <c r="I6" s="2" t="s">
        <v>81</v>
      </c>
      <c r="J6" s="2" t="s">
        <v>82</v>
      </c>
      <c r="K6" s="2" t="s">
        <v>83</v>
      </c>
      <c r="L6" s="2" t="s">
        <v>81</v>
      </c>
      <c r="M6" s="2" t="s">
        <v>82</v>
      </c>
      <c r="N6" s="2" t="s">
        <v>83</v>
      </c>
    </row>
    <row r="7" spans="3:14" x14ac:dyDescent="0.3">
      <c r="D7" s="1" t="s">
        <v>84</v>
      </c>
      <c r="E7" s="1"/>
      <c r="F7" s="1"/>
      <c r="G7" s="1">
        <f>E7*F7</f>
        <v>0</v>
      </c>
      <c r="H7" s="1" t="s">
        <v>99</v>
      </c>
      <c r="I7" s="1"/>
      <c r="J7" s="1"/>
      <c r="K7" s="1">
        <f>I7*J7</f>
        <v>0</v>
      </c>
      <c r="L7" s="1"/>
      <c r="M7" s="1"/>
      <c r="N7" s="1">
        <f>L7*M7</f>
        <v>0</v>
      </c>
    </row>
    <row r="8" spans="3:14" x14ac:dyDescent="0.3">
      <c r="D8" s="1"/>
      <c r="E8" s="1"/>
      <c r="F8" s="1"/>
      <c r="G8" s="1">
        <f t="shared" ref="G8:G34" si="0">E8*F8</f>
        <v>0</v>
      </c>
      <c r="H8" s="1" t="s">
        <v>100</v>
      </c>
      <c r="I8" s="1"/>
      <c r="J8" s="1"/>
      <c r="K8" s="1">
        <f t="shared" ref="K8:K34" si="1">I8*J8</f>
        <v>0</v>
      </c>
      <c r="L8" s="1"/>
      <c r="M8" s="1"/>
      <c r="N8" s="1">
        <f t="shared" ref="N8:N34" si="2">L8*M8</f>
        <v>0</v>
      </c>
    </row>
    <row r="9" spans="3:14" x14ac:dyDescent="0.3">
      <c r="D9" s="1"/>
      <c r="E9" s="1"/>
      <c r="F9" s="1"/>
      <c r="G9" s="1">
        <f t="shared" si="0"/>
        <v>0</v>
      </c>
      <c r="H9" s="1"/>
      <c r="I9" s="1"/>
      <c r="J9" s="1"/>
      <c r="K9" s="1">
        <f t="shared" si="1"/>
        <v>0</v>
      </c>
      <c r="L9" s="1"/>
      <c r="M9" s="1"/>
      <c r="N9" s="1">
        <f t="shared" si="2"/>
        <v>0</v>
      </c>
    </row>
    <row r="10" spans="3:14" x14ac:dyDescent="0.3">
      <c r="D10" s="1" t="s">
        <v>87</v>
      </c>
      <c r="E10" s="1"/>
      <c r="F10" s="1"/>
      <c r="G10" s="1">
        <f t="shared" si="0"/>
        <v>0</v>
      </c>
      <c r="H10" s="1" t="s">
        <v>99</v>
      </c>
      <c r="I10" s="1"/>
      <c r="J10" s="1"/>
      <c r="K10" s="1">
        <f t="shared" si="1"/>
        <v>0</v>
      </c>
      <c r="L10" s="1"/>
      <c r="M10" s="1"/>
      <c r="N10" s="1">
        <f t="shared" si="2"/>
        <v>0</v>
      </c>
    </row>
    <row r="11" spans="3:14" x14ac:dyDescent="0.3">
      <c r="D11" s="1"/>
      <c r="E11" s="1"/>
      <c r="F11" s="1"/>
      <c r="G11" s="1">
        <f t="shared" si="0"/>
        <v>0</v>
      </c>
      <c r="H11" s="1" t="s">
        <v>100</v>
      </c>
      <c r="I11" s="1"/>
      <c r="J11" s="1"/>
      <c r="K11" s="1">
        <f t="shared" si="1"/>
        <v>0</v>
      </c>
      <c r="L11" s="1"/>
      <c r="M11" s="1"/>
      <c r="N11" s="1">
        <f t="shared" si="2"/>
        <v>0</v>
      </c>
    </row>
    <row r="12" spans="3:14" x14ac:dyDescent="0.3">
      <c r="D12" s="1"/>
      <c r="E12" s="1"/>
      <c r="F12" s="1"/>
      <c r="G12" s="1">
        <f t="shared" si="0"/>
        <v>0</v>
      </c>
      <c r="H12" s="1"/>
      <c r="I12" s="1"/>
      <c r="J12" s="1"/>
      <c r="K12" s="1">
        <f t="shared" si="1"/>
        <v>0</v>
      </c>
      <c r="L12" s="1"/>
      <c r="M12" s="1"/>
      <c r="N12" s="1">
        <f t="shared" si="2"/>
        <v>0</v>
      </c>
    </row>
    <row r="13" spans="3:14" x14ac:dyDescent="0.3">
      <c r="D13" s="1"/>
      <c r="E13" s="1"/>
      <c r="F13" s="1"/>
      <c r="G13" s="1">
        <f t="shared" si="0"/>
        <v>0</v>
      </c>
      <c r="H13" s="1"/>
      <c r="I13" s="1"/>
      <c r="J13" s="1"/>
      <c r="K13" s="1">
        <f t="shared" si="1"/>
        <v>0</v>
      </c>
      <c r="L13" s="1"/>
      <c r="M13" s="1"/>
      <c r="N13" s="1">
        <f t="shared" si="2"/>
        <v>0</v>
      </c>
    </row>
    <row r="14" spans="3:14" x14ac:dyDescent="0.3">
      <c r="D14" s="1" t="s">
        <v>85</v>
      </c>
      <c r="E14" s="1"/>
      <c r="F14" s="1"/>
      <c r="G14" s="1">
        <f t="shared" si="0"/>
        <v>0</v>
      </c>
      <c r="H14" s="1" t="s">
        <v>99</v>
      </c>
      <c r="I14" s="1"/>
      <c r="J14" s="1"/>
      <c r="K14" s="1">
        <f t="shared" si="1"/>
        <v>0</v>
      </c>
      <c r="L14" s="1"/>
      <c r="M14" s="1"/>
      <c r="N14" s="1">
        <f t="shared" si="2"/>
        <v>0</v>
      </c>
    </row>
    <row r="15" spans="3:14" x14ac:dyDescent="0.3">
      <c r="D15" s="1"/>
      <c r="E15" s="1"/>
      <c r="F15" s="1"/>
      <c r="G15" s="1">
        <f t="shared" si="0"/>
        <v>0</v>
      </c>
      <c r="H15" s="1" t="s">
        <v>100</v>
      </c>
      <c r="I15" s="1"/>
      <c r="J15" s="1"/>
      <c r="K15" s="1">
        <f t="shared" si="1"/>
        <v>0</v>
      </c>
      <c r="L15" s="1"/>
      <c r="M15" s="1"/>
      <c r="N15" s="1">
        <f t="shared" si="2"/>
        <v>0</v>
      </c>
    </row>
    <row r="16" spans="3:14" x14ac:dyDescent="0.3">
      <c r="D16" s="1"/>
      <c r="E16" s="1"/>
      <c r="F16" s="1"/>
      <c r="G16" s="1">
        <f t="shared" si="0"/>
        <v>0</v>
      </c>
      <c r="H16" s="1"/>
      <c r="I16" s="1"/>
      <c r="J16" s="1"/>
      <c r="K16" s="1">
        <f t="shared" si="1"/>
        <v>0</v>
      </c>
      <c r="L16" s="1"/>
      <c r="M16" s="1"/>
      <c r="N16" s="1">
        <f t="shared" si="2"/>
        <v>0</v>
      </c>
    </row>
    <row r="17" spans="4:14" x14ac:dyDescent="0.3">
      <c r="D17" s="1"/>
      <c r="E17" s="1"/>
      <c r="F17" s="1"/>
      <c r="G17" s="1">
        <f t="shared" si="0"/>
        <v>0</v>
      </c>
      <c r="H17" s="1"/>
      <c r="I17" s="1"/>
      <c r="J17" s="1"/>
      <c r="K17" s="1">
        <f t="shared" si="1"/>
        <v>0</v>
      </c>
      <c r="L17" s="1"/>
      <c r="M17" s="1"/>
      <c r="N17" s="1">
        <f t="shared" si="2"/>
        <v>0</v>
      </c>
    </row>
    <row r="18" spans="4:14" x14ac:dyDescent="0.3">
      <c r="D18" s="1" t="s">
        <v>86</v>
      </c>
      <c r="E18" s="1"/>
      <c r="F18" s="1"/>
      <c r="G18" s="1">
        <f t="shared" si="0"/>
        <v>0</v>
      </c>
      <c r="H18" s="1" t="s">
        <v>99</v>
      </c>
      <c r="I18" s="1"/>
      <c r="J18" s="1"/>
      <c r="K18" s="1">
        <f t="shared" si="1"/>
        <v>0</v>
      </c>
      <c r="L18" s="1"/>
      <c r="M18" s="1"/>
      <c r="N18" s="1">
        <f t="shared" si="2"/>
        <v>0</v>
      </c>
    </row>
    <row r="19" spans="4:14" x14ac:dyDescent="0.3">
      <c r="D19" s="1"/>
      <c r="E19" s="1"/>
      <c r="F19" s="1"/>
      <c r="G19" s="1">
        <f t="shared" si="0"/>
        <v>0</v>
      </c>
      <c r="H19" s="1" t="s">
        <v>100</v>
      </c>
      <c r="I19" s="1"/>
      <c r="J19" s="1"/>
      <c r="K19" s="1">
        <f t="shared" si="1"/>
        <v>0</v>
      </c>
      <c r="L19" s="1"/>
      <c r="M19" s="1"/>
      <c r="N19" s="1">
        <f t="shared" si="2"/>
        <v>0</v>
      </c>
    </row>
    <row r="20" spans="4:14" x14ac:dyDescent="0.3">
      <c r="D20" s="1"/>
      <c r="E20" s="1"/>
      <c r="F20" s="1"/>
      <c r="G20" s="1">
        <f t="shared" si="0"/>
        <v>0</v>
      </c>
      <c r="H20" s="1"/>
      <c r="I20" s="1"/>
      <c r="J20" s="1"/>
      <c r="K20" s="1">
        <f t="shared" si="1"/>
        <v>0</v>
      </c>
      <c r="L20" s="1"/>
      <c r="M20" s="1"/>
      <c r="N20" s="1">
        <f t="shared" si="2"/>
        <v>0</v>
      </c>
    </row>
    <row r="21" spans="4:14" x14ac:dyDescent="0.3">
      <c r="D21" s="1" t="s">
        <v>86</v>
      </c>
      <c r="E21" s="1"/>
      <c r="F21" s="1"/>
      <c r="G21" s="1">
        <f t="shared" si="0"/>
        <v>0</v>
      </c>
      <c r="H21" s="1" t="s">
        <v>99</v>
      </c>
      <c r="I21" s="1"/>
      <c r="J21" s="1"/>
      <c r="K21" s="1">
        <f t="shared" si="1"/>
        <v>0</v>
      </c>
      <c r="L21" s="1"/>
      <c r="M21" s="1"/>
      <c r="N21" s="1">
        <f t="shared" si="2"/>
        <v>0</v>
      </c>
    </row>
    <row r="22" spans="4:14" x14ac:dyDescent="0.3">
      <c r="D22" s="1"/>
      <c r="E22" s="1"/>
      <c r="F22" s="1"/>
      <c r="G22" s="1">
        <f t="shared" si="0"/>
        <v>0</v>
      </c>
      <c r="H22" s="1" t="s">
        <v>100</v>
      </c>
      <c r="I22" s="1"/>
      <c r="J22" s="1"/>
      <c r="K22" s="1">
        <f t="shared" si="1"/>
        <v>0</v>
      </c>
      <c r="L22" s="1"/>
      <c r="M22" s="1"/>
      <c r="N22" s="1">
        <f t="shared" si="2"/>
        <v>0</v>
      </c>
    </row>
    <row r="23" spans="4:14" x14ac:dyDescent="0.3">
      <c r="D23" s="1"/>
      <c r="E23" s="1"/>
      <c r="F23" s="1"/>
      <c r="G23" s="1">
        <f t="shared" si="0"/>
        <v>0</v>
      </c>
      <c r="H23" s="1"/>
      <c r="I23" s="1"/>
      <c r="J23" s="1"/>
      <c r="K23" s="1">
        <f t="shared" si="1"/>
        <v>0</v>
      </c>
      <c r="L23" s="1"/>
      <c r="M23" s="1"/>
      <c r="N23" s="1">
        <f t="shared" si="2"/>
        <v>0</v>
      </c>
    </row>
    <row r="24" spans="4:14" x14ac:dyDescent="0.3">
      <c r="D24" s="1" t="s">
        <v>92</v>
      </c>
      <c r="E24" s="1"/>
      <c r="F24" s="1"/>
      <c r="G24" s="1">
        <f t="shared" si="0"/>
        <v>0</v>
      </c>
      <c r="H24" s="1" t="s">
        <v>101</v>
      </c>
      <c r="I24" s="1"/>
      <c r="J24" s="1"/>
      <c r="K24" s="1">
        <f t="shared" si="1"/>
        <v>0</v>
      </c>
      <c r="L24" s="1"/>
      <c r="M24" s="1"/>
      <c r="N24" s="1">
        <f t="shared" si="2"/>
        <v>0</v>
      </c>
    </row>
    <row r="25" spans="4:14" x14ac:dyDescent="0.3">
      <c r="D25" s="1" t="s">
        <v>93</v>
      </c>
      <c r="E25" s="1"/>
      <c r="F25" s="1"/>
      <c r="G25" s="1">
        <f t="shared" si="0"/>
        <v>0</v>
      </c>
      <c r="H25" s="1" t="s">
        <v>101</v>
      </c>
      <c r="I25" s="1"/>
      <c r="J25" s="1"/>
      <c r="K25" s="1">
        <f t="shared" si="1"/>
        <v>0</v>
      </c>
      <c r="L25" s="1"/>
      <c r="M25" s="1"/>
      <c r="N25" s="1">
        <f t="shared" si="2"/>
        <v>0</v>
      </c>
    </row>
    <row r="26" spans="4:14" x14ac:dyDescent="0.3">
      <c r="D26" s="1" t="s">
        <v>94</v>
      </c>
      <c r="E26" s="1"/>
      <c r="F26" s="1"/>
      <c r="G26" s="1">
        <f t="shared" si="0"/>
        <v>0</v>
      </c>
      <c r="H26" s="1" t="s">
        <v>101</v>
      </c>
      <c r="I26" s="1"/>
      <c r="J26" s="1"/>
      <c r="K26" s="1">
        <f t="shared" si="1"/>
        <v>0</v>
      </c>
      <c r="L26" s="1"/>
      <c r="M26" s="1"/>
      <c r="N26" s="1">
        <f t="shared" si="2"/>
        <v>0</v>
      </c>
    </row>
    <row r="27" spans="4:14" x14ac:dyDescent="0.3">
      <c r="D27" s="1"/>
      <c r="E27" s="1"/>
      <c r="F27" s="1"/>
      <c r="G27" s="1">
        <f t="shared" si="0"/>
        <v>0</v>
      </c>
      <c r="H27" s="1"/>
      <c r="I27" s="1"/>
      <c r="J27" s="1"/>
      <c r="K27" s="1">
        <f t="shared" si="1"/>
        <v>0</v>
      </c>
      <c r="L27" s="1"/>
      <c r="M27" s="1"/>
      <c r="N27" s="1">
        <f t="shared" si="2"/>
        <v>0</v>
      </c>
    </row>
    <row r="28" spans="4:14" x14ac:dyDescent="0.3">
      <c r="D28" s="1" t="s">
        <v>88</v>
      </c>
      <c r="E28" s="1"/>
      <c r="F28" s="1"/>
      <c r="G28" s="1">
        <f t="shared" si="0"/>
        <v>0</v>
      </c>
      <c r="H28" s="1"/>
      <c r="I28" s="1"/>
      <c r="J28" s="1"/>
      <c r="K28" s="1">
        <f t="shared" si="1"/>
        <v>0</v>
      </c>
      <c r="L28" s="1"/>
      <c r="M28" s="1"/>
      <c r="N28" s="1">
        <f t="shared" si="2"/>
        <v>0</v>
      </c>
    </row>
    <row r="29" spans="4:14" x14ac:dyDescent="0.3">
      <c r="D29" s="1" t="s">
        <v>89</v>
      </c>
      <c r="E29" s="1"/>
      <c r="F29" s="1"/>
      <c r="G29" s="1">
        <f t="shared" si="0"/>
        <v>0</v>
      </c>
      <c r="H29" s="1"/>
      <c r="I29" s="1"/>
      <c r="J29" s="1"/>
      <c r="K29" s="1">
        <f t="shared" si="1"/>
        <v>0</v>
      </c>
      <c r="L29" s="1"/>
      <c r="M29" s="1"/>
      <c r="N29" s="1">
        <f t="shared" si="2"/>
        <v>0</v>
      </c>
    </row>
    <row r="30" spans="4:14" x14ac:dyDescent="0.3">
      <c r="D30" s="1" t="s">
        <v>90</v>
      </c>
      <c r="E30" s="1"/>
      <c r="F30" s="1"/>
      <c r="G30" s="1">
        <f t="shared" si="0"/>
        <v>0</v>
      </c>
      <c r="H30" s="1"/>
      <c r="I30" s="1"/>
      <c r="J30" s="1"/>
      <c r="K30" s="1">
        <f t="shared" si="1"/>
        <v>0</v>
      </c>
      <c r="L30" s="1"/>
      <c r="M30" s="1"/>
      <c r="N30" s="1">
        <f t="shared" si="2"/>
        <v>0</v>
      </c>
    </row>
    <row r="31" spans="4:14" x14ac:dyDescent="0.3">
      <c r="D31" s="1" t="s">
        <v>91</v>
      </c>
      <c r="E31" s="1"/>
      <c r="F31" s="1"/>
      <c r="G31" s="1">
        <f t="shared" si="0"/>
        <v>0</v>
      </c>
      <c r="H31" s="1"/>
      <c r="I31" s="1"/>
      <c r="J31" s="1"/>
      <c r="K31" s="1">
        <f t="shared" si="1"/>
        <v>0</v>
      </c>
      <c r="L31" s="1"/>
      <c r="M31" s="1"/>
      <c r="N31" s="1">
        <f t="shared" si="2"/>
        <v>0</v>
      </c>
    </row>
    <row r="32" spans="4:14" x14ac:dyDescent="0.3">
      <c r="D32" s="1"/>
      <c r="E32" s="1"/>
      <c r="F32" s="1"/>
      <c r="G32" s="1">
        <f t="shared" si="0"/>
        <v>0</v>
      </c>
      <c r="H32" s="1"/>
      <c r="I32" s="1"/>
      <c r="J32" s="1"/>
      <c r="K32" s="1">
        <f t="shared" si="1"/>
        <v>0</v>
      </c>
      <c r="L32" s="1"/>
      <c r="M32" s="1"/>
      <c r="N32" s="1">
        <f t="shared" si="2"/>
        <v>0</v>
      </c>
    </row>
    <row r="33" spans="4:14" x14ac:dyDescent="0.3">
      <c r="D33" s="1"/>
      <c r="E33" s="1"/>
      <c r="F33" s="1"/>
      <c r="G33" s="1">
        <f t="shared" si="0"/>
        <v>0</v>
      </c>
      <c r="H33" s="1"/>
      <c r="I33" s="1"/>
      <c r="J33" s="1"/>
      <c r="K33" s="1">
        <f t="shared" si="1"/>
        <v>0</v>
      </c>
      <c r="L33" s="1"/>
      <c r="M33" s="1"/>
      <c r="N33" s="1">
        <f t="shared" si="2"/>
        <v>0</v>
      </c>
    </row>
    <row r="34" spans="4:14" x14ac:dyDescent="0.3">
      <c r="D34" s="1"/>
      <c r="E34" s="1"/>
      <c r="F34" s="1"/>
      <c r="G34" s="1">
        <f t="shared" si="0"/>
        <v>0</v>
      </c>
      <c r="H34" s="1"/>
      <c r="I34" s="1"/>
      <c r="J34" s="1"/>
      <c r="K34" s="1">
        <f t="shared" si="1"/>
        <v>0</v>
      </c>
      <c r="L34" s="1"/>
      <c r="M34" s="1"/>
      <c r="N34" s="1">
        <f t="shared" si="2"/>
        <v>0</v>
      </c>
    </row>
    <row r="35" spans="4:14" x14ac:dyDescent="0.3">
      <c r="D35" s="1" t="s">
        <v>95</v>
      </c>
      <c r="E35" s="1"/>
      <c r="F35" s="1">
        <f>G35*10.764</f>
        <v>0</v>
      </c>
      <c r="G35" s="1">
        <f>SUM(G7:G34)</f>
        <v>0</v>
      </c>
      <c r="H35" s="1"/>
      <c r="I35" s="1"/>
      <c r="J35" s="1">
        <f>K35*10.764</f>
        <v>0</v>
      </c>
      <c r="K35" s="1">
        <f>SUM(K7:K34)</f>
        <v>0</v>
      </c>
      <c r="L35" s="1"/>
      <c r="M35" s="1">
        <f>N35*10.764</f>
        <v>0</v>
      </c>
      <c r="N35" s="1">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Sheet1</vt:lpstr>
      <vt:lpstr>VALUATION</vt:lpstr>
      <vt:lpstr>Sheet2</vt:lpstr>
      <vt:lpstr>A &amp; B% </vt:lpstr>
      <vt:lpstr>C</vt:lpstr>
      <vt:lpstr>Wing A</vt:lpstr>
      <vt:lpstr>B%</vt:lpstr>
      <vt:lpstr>Wing B</vt:lpstr>
      <vt:lpstr>Wing C</vt:lpstr>
      <vt:lpstr>Note</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2025-08-12T10:12:11Z</cp:lastPrinted>
  <dcterms:created xsi:type="dcterms:W3CDTF">2013-11-23T05:32:33Z</dcterms:created>
  <dcterms:modified xsi:type="dcterms:W3CDTF">2025-08-12T10:19:45Z</dcterms:modified>
</cp:coreProperties>
</file>