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7F773363-4873-4B32-8E78-EE2039B7EB0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1" l="1"/>
  <c r="D155" i="1"/>
  <c r="E156" i="1"/>
  <c r="E155" i="1"/>
  <c r="E154" i="1"/>
  <c r="D154" i="1"/>
  <c r="A155" i="1"/>
  <c r="A156" i="1" s="1"/>
  <c r="K154" i="1"/>
  <c r="J154" i="1"/>
  <c r="G154" i="1"/>
  <c r="D152" i="1"/>
  <c r="D151" i="1"/>
  <c r="D150" i="1"/>
  <c r="K150" i="1"/>
  <c r="J150" i="1"/>
  <c r="D143" i="1"/>
  <c r="D142" i="1"/>
  <c r="D141" i="1"/>
  <c r="D140" i="1"/>
  <c r="D139" i="1"/>
  <c r="D138" i="1"/>
  <c r="D137" i="1"/>
  <c r="D136" i="1"/>
  <c r="D135" i="1"/>
  <c r="D134" i="1"/>
  <c r="G50" i="1"/>
  <c r="G49" i="1"/>
  <c r="F156" i="1" l="1"/>
  <c r="F154" i="1"/>
  <c r="F155" i="1"/>
  <c r="E128" i="1"/>
  <c r="C128" i="1"/>
  <c r="E125" i="1"/>
  <c r="I134" i="1"/>
  <c r="C125" i="1" l="1"/>
  <c r="F134" i="1"/>
  <c r="F143" i="1" l="1"/>
  <c r="F142" i="1"/>
  <c r="F141" i="1"/>
  <c r="F140" i="1"/>
  <c r="F139" i="1"/>
  <c r="F138" i="1"/>
  <c r="B160" i="1" l="1"/>
  <c r="C14" i="1" l="1"/>
  <c r="E29" i="1" l="1"/>
  <c r="F122" i="1" l="1"/>
  <c r="F135" i="1" l="1"/>
  <c r="F136" i="1"/>
  <c r="F137" i="1"/>
  <c r="G125" i="1" l="1"/>
  <c r="B159" i="1"/>
  <c r="F151" i="1" l="1"/>
  <c r="F150" i="1"/>
  <c r="F152" i="1"/>
  <c r="G128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1" i="1"/>
  <c r="G150" i="1"/>
  <c r="A151" i="1"/>
  <c r="A152" i="1" s="1"/>
  <c r="A135" i="1"/>
  <c r="A136" i="1" s="1"/>
  <c r="A137" i="1" s="1"/>
  <c r="A138" i="1" s="1"/>
  <c r="A139" i="1" s="1"/>
  <c r="A140" i="1" s="1"/>
  <c r="A141" i="1" s="1"/>
  <c r="A142" i="1" s="1"/>
  <c r="A143" i="1" s="1"/>
  <c r="G134" i="1"/>
  <c r="J107" i="1"/>
  <c r="J106" i="1"/>
  <c r="J105" i="1"/>
  <c r="J104" i="1"/>
  <c r="C96" i="1"/>
  <c r="J93" i="1"/>
  <c r="J92" i="1"/>
  <c r="J91" i="1"/>
  <c r="J90" i="1"/>
  <c r="C82" i="1"/>
  <c r="J79" i="1"/>
  <c r="J78" i="1"/>
  <c r="J77" i="1"/>
  <c r="J76" i="1"/>
  <c r="C68" i="1"/>
  <c r="D55" i="1"/>
  <c r="C49" i="1"/>
  <c r="E42" i="1"/>
  <c r="E43" i="1" s="1"/>
  <c r="E26" i="1"/>
  <c r="E24" i="1"/>
  <c r="E7" i="1"/>
  <c r="E3" i="1"/>
  <c r="H69" i="1"/>
  <c r="H83" i="1"/>
  <c r="H97" i="1"/>
  <c r="D62" i="1" l="1"/>
  <c r="D93" i="1"/>
  <c r="D94" i="1"/>
  <c r="D95" i="1"/>
  <c r="D89" i="1"/>
  <c r="D90" i="1"/>
  <c r="D91" i="1"/>
  <c r="D92" i="1"/>
  <c r="C88" i="1"/>
  <c r="J82" i="1" s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C102" i="1"/>
  <c r="J96" i="1" s="1"/>
  <c r="J100" i="1"/>
  <c r="D109" i="1"/>
  <c r="D107" i="1"/>
  <c r="D105" i="1"/>
  <c r="D103" i="1"/>
  <c r="J101" i="1"/>
  <c r="C100" i="1" s="1"/>
  <c r="J99" i="1"/>
  <c r="J102" i="1"/>
  <c r="J103" i="1" s="1"/>
  <c r="J108" i="1" s="1"/>
  <c r="J109" i="1" s="1"/>
  <c r="C101" i="1" s="1"/>
  <c r="D108" i="1"/>
  <c r="D106" i="1"/>
  <c r="D104" i="1"/>
  <c r="J88" i="1"/>
  <c r="J89" i="1" s="1"/>
  <c r="J94" i="1" s="1"/>
  <c r="J95" i="1" s="1"/>
  <c r="C87" i="1" s="1"/>
  <c r="J86" i="1"/>
  <c r="J87" i="1"/>
  <c r="C86" i="1" s="1"/>
  <c r="J85" i="1"/>
  <c r="J75" i="1" l="1"/>
  <c r="J80" i="1" s="1"/>
  <c r="J81" i="1" s="1"/>
  <c r="D73" i="1"/>
  <c r="D102" i="1"/>
  <c r="J98" i="1"/>
  <c r="D100" i="1"/>
  <c r="J97" i="1" s="1"/>
  <c r="D88" i="1"/>
  <c r="J84" i="1"/>
  <c r="D74" i="1"/>
  <c r="J70" i="1"/>
  <c r="E72" i="1"/>
  <c r="D72" i="1"/>
  <c r="E86" i="1"/>
  <c r="D87" i="1"/>
  <c r="G86" i="1"/>
  <c r="D86" i="1"/>
  <c r="E100" i="1"/>
  <c r="D101" i="1"/>
  <c r="G100" i="1"/>
  <c r="J69" i="1" l="1"/>
  <c r="G72" i="1"/>
  <c r="D66" i="1" s="1"/>
  <c r="F67" i="1" s="1"/>
  <c r="I83" i="1"/>
  <c r="I84" i="1" s="1"/>
  <c r="I97" i="1"/>
  <c r="J83" i="1"/>
  <c r="I69" i="1"/>
  <c r="D67" i="1" l="1"/>
  <c r="I82" i="1"/>
  <c r="C84" i="1" s="1"/>
  <c r="I98" i="1"/>
  <c r="I96" i="1" s="1"/>
  <c r="C98" i="1" s="1"/>
  <c r="I70" i="1"/>
  <c r="I68" i="1" s="1"/>
  <c r="C70" i="1" s="1"/>
</calcChain>
</file>

<file path=xl/sharedStrings.xml><?xml version="1.0" encoding="utf-8"?>
<sst xmlns="http://schemas.openxmlformats.org/spreadsheetml/2006/main" count="352" uniqueCount="220">
  <si>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</si>
  <si>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</si>
  <si>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</si>
  <si>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</si>
  <si>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</si>
  <si>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</si>
  <si>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</si>
  <si>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</si>
  <si>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</si>
  <si>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</si>
  <si>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</si>
  <si>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</si>
  <si>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</si>
  <si>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</si>
  <si>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</si>
  <si>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</si>
  <si>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</si>
  <si>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</si>
  <si>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</si>
  <si>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</si>
  <si>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</si>
  <si>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</si>
  <si>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</si>
  <si>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</si>
  <si>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</si>
  <si>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</si>
  <si>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</si>
  <si>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</si>
  <si>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</si>
  <si>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</si>
  <si>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</si>
  <si>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</si>
  <si>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</si>
  <si>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</si>
  <si>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</si>
  <si>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</si>
  <si>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</si>
  <si>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</si>
  <si>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</si>
  <si>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</si>
  <si>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</si>
  <si>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</si>
  <si>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</si>
  <si>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</si>
  <si>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</si>
  <si>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</si>
  <si>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</si>
  <si>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</si>
  <si>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</si>
  <si>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</si>
  <si>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</si>
  <si>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</si>
  <si>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</si>
  <si>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</si>
  <si>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</si>
  <si>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</si>
  <si>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</si>
  <si>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</si>
  <si>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</si>
  <si>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</si>
  <si>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</si>
  <si>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</si>
  <si>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</si>
  <si>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</si>
  <si>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</si>
  <si>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</si>
  <si>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</si>
  <si>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</si>
  <si>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</si>
  <si>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</si>
  <si>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</si>
  <si>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</si>
  <si>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</si>
  <si>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</si>
  <si>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</si>
  <si>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</si>
  <si>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</si>
  <si>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</si>
  <si>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</si>
  <si>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</si>
  <si>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</si>
  <si>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</si>
  <si>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</si>
  <si>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</si>
  <si>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</si>
  <si>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</si>
  <si>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</si>
  <si>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</si>
  <si>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</si>
  <si>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</si>
  <si>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</si>
  <si>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</si>
  <si>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</si>
  <si>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</si>
  <si>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</si>
  <si>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</si>
  <si>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</si>
  <si>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</si>
  <si>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</si>
  <si>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</si>
  <si>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</si>
  <si>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</si>
  <si>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</si>
  <si>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</si>
  <si>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</si>
  <si>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</si>
  <si>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</si>
  <si>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</si>
  <si>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</si>
  <si>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</si>
  <si>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</si>
  <si>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</si>
  <si>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</si>
  <si>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</si>
  <si>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</si>
  <si>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</si>
  <si>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</si>
  <si>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</si>
  <si>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</si>
  <si>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</si>
  <si>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</si>
  <si>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</si>
  <si>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</si>
  <si>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</si>
  <si>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</si>
  <si>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</si>
  <si>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</si>
  <si>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</si>
  <si>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</si>
  <si>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</si>
  <si>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</si>
  <si>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</si>
  <si>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</si>
  <si>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</si>
  <si>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</si>
  <si>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</si>
  <si>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</si>
  <si>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</si>
  <si>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</si>
  <si>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</si>
  <si>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</si>
  <si>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</si>
  <si>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</si>
  <si>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</si>
  <si>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</si>
  <si>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</si>
  <si>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</si>
  <si>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</si>
  <si>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</si>
  <si>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</si>
  <si>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</si>
  <si>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</si>
  <si>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</si>
  <si>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</si>
  <si>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</si>
  <si>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</si>
  <si>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</si>
  <si>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</si>
  <si>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</si>
  <si>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</si>
  <si>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</si>
  <si>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</si>
  <si>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</si>
  <si>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</si>
  <si>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</si>
  <si>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</si>
  <si>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</si>
  <si>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</si>
  <si>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</si>
  <si>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</si>
  <si>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</si>
  <si>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</si>
  <si>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</si>
  <si>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Sanpada</t>
  </si>
  <si>
    <t>M/s. Satyam Infra</t>
  </si>
  <si>
    <t>Alliaance Icon</t>
  </si>
  <si>
    <t>P51700046173</t>
  </si>
  <si>
    <t>Plot No</t>
  </si>
  <si>
    <t>04, Sec-08</t>
  </si>
  <si>
    <t>Ghansoli</t>
  </si>
  <si>
    <t>Navi Mumbai</t>
  </si>
  <si>
    <t>Thane</t>
  </si>
  <si>
    <t>Jijamata Nagar</t>
  </si>
  <si>
    <t>Indian Bank St</t>
  </si>
  <si>
    <t>Mahanagar Gas CNG Station</t>
  </si>
  <si>
    <t>Indian Bank St Road</t>
  </si>
  <si>
    <t>Cidco/MSEB Office</t>
  </si>
  <si>
    <t>Intarnal Rd</t>
  </si>
  <si>
    <t>Open Plot</t>
  </si>
  <si>
    <t>https://goo.gl/maps/jLjBETC6yEjexUU19</t>
  </si>
  <si>
    <t>NMMC</t>
  </si>
  <si>
    <t>As per RERA - 31/12/2026</t>
  </si>
  <si>
    <t>Ground Floor For Commercial</t>
  </si>
  <si>
    <t>Shop</t>
  </si>
  <si>
    <t>4th Floor For Parking &amp; Amenities</t>
  </si>
  <si>
    <t>2BHK</t>
  </si>
  <si>
    <t>We considered Gross carpet area = Net carpet + Balcony + Chajja Area.</t>
  </si>
  <si>
    <t>Flats</t>
  </si>
  <si>
    <t>Approved Plans, CC, Sale Plans, Cost Sheet</t>
  </si>
  <si>
    <t>1.3KM from Ghansoli Railway Station</t>
  </si>
  <si>
    <t xml:space="preserve">Gr + 1st to 28th Floor
</t>
  </si>
  <si>
    <t>Floor Rise Rate (From 6th Floor)</t>
  </si>
  <si>
    <t xml:space="preserve">1. Vitrified tiles flooring 2. Granite Kitchen Platform 3. Decorative Enternace etc.
</t>
  </si>
  <si>
    <t>NMMP/NRV/BP/3390/2022</t>
  </si>
  <si>
    <t>Gr + 1st to 28th Floor</t>
  </si>
  <si>
    <t>1st to 3rd Floor For Robotic Parking</t>
  </si>
  <si>
    <t>5th to 27th Floor For Residential</t>
  </si>
  <si>
    <t>28th Floor For Residential</t>
  </si>
  <si>
    <t>1BHK</t>
  </si>
  <si>
    <t>Flats - 72, Shops -10.</t>
  </si>
  <si>
    <t xml:space="preserve">We have updated revised approved floor plan &amp; C.C (on 09/02/2023).
</t>
  </si>
  <si>
    <t>On Site, we meet Mr.Kanji Bhai (supervisor) - 9833977540.</t>
  </si>
  <si>
    <t>NRV/A-/3370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</si>
  <si>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</si>
  <si>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Site Meet Person Contact Details ( Name &amp; Contact No.)</t>
  </si>
  <si>
    <t>Mr. Kanji : 9833977140</t>
  </si>
  <si>
    <t>20/10/2022.</t>
  </si>
  <si>
    <t>Anish Vishwakarma</t>
  </si>
  <si>
    <t xml:space="preserve">Finishing work is in process at the time of Visit. Internal Visit was not allowed.
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</si>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</sst>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3" fillId="0" borderId="8" xfId="9" applyNumberFormat="1" applyFont="1" applyFill="1" applyBorder="1" applyAlignment="1" applyProtection="1">
      <alignment horizontal="left" vertical="top"/>
      <protection locked="0"/>
    </xf>
    <xf numFmtId="167" fontId="13" fillId="0" borderId="21" xfId="9" applyNumberFormat="1" applyFont="1" applyFill="1" applyBorder="1" applyAlignment="1" applyProtection="1">
      <alignment horizontal="left" vertical="top"/>
      <protection locked="0"/>
    </xf>
    <xf numFmtId="167" fontId="13" fillId="0" borderId="9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23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225</xdr:row>
      <xdr:rowOff>0</xdr:rowOff>
    </xdr:from>
    <xdr:to>
      <xdr:col>6</xdr:col>
      <xdr:colOff>562536</xdr:colOff>
      <xdr:row>240</xdr:row>
      <xdr:rowOff>11766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3950" y="42557700"/>
          <a:ext cx="4715436" cy="30121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304800</xdr:colOff>
      <xdr:row>241</xdr:row>
      <xdr:rowOff>44825</xdr:rowOff>
    </xdr:from>
    <xdr:to>
      <xdr:col>6</xdr:col>
      <xdr:colOff>562536</xdr:colOff>
      <xdr:row>256</xdr:row>
      <xdr:rowOff>56592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3950" y="45802925"/>
          <a:ext cx="4715436" cy="30121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1116330</xdr:colOff>
      <xdr:row>180</xdr:row>
      <xdr:rowOff>97155</xdr:rowOff>
    </xdr:from>
    <xdr:to>
      <xdr:col>16</xdr:col>
      <xdr:colOff>575065</xdr:colOff>
      <xdr:row>221</xdr:row>
      <xdr:rowOff>6867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814310" y="31582995"/>
          <a:ext cx="6042415" cy="8025012"/>
          <a:chOff x="323850" y="31994475"/>
          <a:chExt cx="5893825" cy="8499357"/>
        </a:xfrm>
      </xdr:grpSpPr>
      <xdr:pic>
        <xdr:nvPicPr>
          <xdr:cNvPr id="39" name="Picture 38" descr="insp-233781-1525.jpg (719×960)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8686" y="38333832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33781-843.jpg (719×960)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74513" y="31994475"/>
            <a:ext cx="269625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33781-845.jpg (719×960)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850" y="35695527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insp-233781-844.jpg (719×960)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30300" y="35695527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insp-233781-851.jpg (719×960)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53012" y="38333832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insp-233781-860.jpg (719×960)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27075" y="35695527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insp-233781-871.jpg (719×960)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8686" y="31994475"/>
            <a:ext cx="269625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449580</xdr:colOff>
      <xdr:row>182</xdr:row>
      <xdr:rowOff>30480</xdr:rowOff>
    </xdr:from>
    <xdr:to>
      <xdr:col>7</xdr:col>
      <xdr:colOff>571700</xdr:colOff>
      <xdr:row>218</xdr:row>
      <xdr:rowOff>127688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E57CE93-5730-0601-18ED-DC36C7751A0D}"/>
            </a:ext>
          </a:extLst>
        </xdr:cNvPr>
        <xdr:cNvGrpSpPr/>
      </xdr:nvGrpSpPr>
      <xdr:grpSpPr>
        <a:xfrm>
          <a:off x="449580" y="31912560"/>
          <a:ext cx="5966660" cy="7221908"/>
          <a:chOff x="170905" y="147703"/>
          <a:chExt cx="5966660" cy="7221908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3BC1B187-B042-A7D8-A647-454164D4BBD3}"/>
              </a:ext>
            </a:extLst>
          </xdr:cNvPr>
          <xdr:cNvGrpSpPr/>
        </xdr:nvGrpSpPr>
        <xdr:grpSpPr>
          <a:xfrm>
            <a:off x="962326" y="5569611"/>
            <a:ext cx="4383819" cy="1800000"/>
            <a:chOff x="1214496" y="5569611"/>
            <a:chExt cx="4383819" cy="180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A1876E53-1A2E-EE91-A2D6-306EF6C9EB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0190" y="556961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AA556DE0-F533-E878-AE19-EE5D13C07A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14496" y="556961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BCE46F3D-339F-E18F-A63B-5B864F9265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32343" y="556961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C395AE6F-812E-4843-A303-3972A71FDF9A}"/>
              </a:ext>
            </a:extLst>
          </xdr:cNvPr>
          <xdr:cNvGrpSpPr/>
        </xdr:nvGrpSpPr>
        <xdr:grpSpPr>
          <a:xfrm>
            <a:off x="170905" y="147703"/>
            <a:ext cx="5966660" cy="5220000"/>
            <a:chOff x="170905" y="147703"/>
            <a:chExt cx="5966660" cy="522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C6422C49-660E-AF4C-B170-74682C7BB7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0190" y="284770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590DB202-CE4E-D9D4-440C-59E804D5D7C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0190" y="14770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B96AED07-0670-A378-EBA7-D69D5052A5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0905" y="147703"/>
              <a:ext cx="3909563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LjBETC6yEjexUU1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23"/>
  <sheetViews>
    <sheetView tabSelected="1" view="pageBreakPreview" zoomScaleNormal="100" zoomScaleSheetLayoutView="100" workbookViewId="0">
      <selection activeCell="J3" sqref="J3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2" customWidth="1"/>
    <col min="10" max="10" width="11.44140625" style="22" customWidth="1"/>
    <col min="11" max="11" width="10.5546875" style="22" bestFit="1" customWidth="1"/>
    <col min="12" max="12" width="10.5546875" style="22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8" ht="46.5" customHeight="1" x14ac:dyDescent="0.3">
      <c r="A1" s="142" t="s">
        <v>213</v>
      </c>
      <c r="B1" s="142"/>
      <c r="C1" s="142"/>
      <c r="D1" s="142"/>
      <c r="E1" s="142"/>
      <c r="F1" s="142"/>
      <c r="G1" s="142"/>
      <c r="H1" s="142"/>
    </row>
    <row r="2" spans="1:8" ht="16.5" customHeight="1" x14ac:dyDescent="0.3">
      <c r="A2" s="131" t="s">
        <v>0</v>
      </c>
      <c r="B2" s="131"/>
      <c r="C2" s="131"/>
      <c r="D2" s="131"/>
      <c r="E2" s="131"/>
      <c r="F2" s="131"/>
      <c r="G2" s="131"/>
      <c r="H2" s="131"/>
    </row>
    <row r="3" spans="1:8" x14ac:dyDescent="0.3">
      <c r="A3" s="93" t="s">
        <v>1</v>
      </c>
      <c r="B3" s="93"/>
      <c r="C3" s="93"/>
      <c r="D3" s="93"/>
      <c r="E3" s="93" t="str">
        <f ca="1">TEXT(TODAY(),"DD/MM/YYYY")</f>
        <v>14/08/2025</v>
      </c>
      <c r="F3" s="93"/>
      <c r="G3" s="93"/>
      <c r="H3" s="93"/>
    </row>
    <row r="4" spans="1:8" ht="15" customHeight="1" x14ac:dyDescent="0.3">
      <c r="A4" s="93" t="s">
        <v>2</v>
      </c>
      <c r="B4" s="93"/>
      <c r="C4" s="93"/>
      <c r="D4" s="93"/>
      <c r="E4" s="93" t="s">
        <v>173</v>
      </c>
      <c r="F4" s="93"/>
      <c r="G4" s="93"/>
      <c r="H4" s="93"/>
    </row>
    <row r="5" spans="1:8" x14ac:dyDescent="0.3">
      <c r="A5" s="93" t="s">
        <v>3</v>
      </c>
      <c r="B5" s="93"/>
      <c r="C5" s="93"/>
      <c r="D5" s="93"/>
      <c r="E5" s="141">
        <v>45881</v>
      </c>
      <c r="F5" s="93"/>
      <c r="G5" s="93"/>
      <c r="H5" s="93"/>
    </row>
    <row r="6" spans="1:8" ht="16.5" customHeight="1" x14ac:dyDescent="0.3">
      <c r="A6" s="93" t="s">
        <v>4</v>
      </c>
      <c r="B6" s="93"/>
      <c r="C6" s="93"/>
      <c r="D6" s="93"/>
      <c r="E6" s="93" t="s">
        <v>174</v>
      </c>
      <c r="F6" s="93"/>
      <c r="G6" s="93"/>
      <c r="H6" s="93"/>
    </row>
    <row r="7" spans="1:8" ht="15" customHeight="1" x14ac:dyDescent="0.3">
      <c r="A7" s="93" t="s">
        <v>5</v>
      </c>
      <c r="B7" s="93"/>
      <c r="C7" s="93"/>
      <c r="D7" s="93"/>
      <c r="E7" s="93" t="str">
        <f>E6</f>
        <v>M/s. Satyam Infra</v>
      </c>
      <c r="F7" s="93"/>
      <c r="G7" s="93"/>
      <c r="H7" s="93"/>
    </row>
    <row r="8" spans="1:8" x14ac:dyDescent="0.3">
      <c r="A8" s="93" t="s">
        <v>6</v>
      </c>
      <c r="B8" s="93"/>
      <c r="C8" s="93"/>
      <c r="D8" s="93"/>
      <c r="E8" s="143" t="s">
        <v>175</v>
      </c>
      <c r="F8" s="143"/>
      <c r="G8" s="143"/>
      <c r="H8" s="143"/>
    </row>
    <row r="9" spans="1:8" x14ac:dyDescent="0.3">
      <c r="A9" s="93" t="s">
        <v>126</v>
      </c>
      <c r="B9" s="93"/>
      <c r="C9" s="93"/>
      <c r="D9" s="93"/>
      <c r="E9" s="93">
        <v>9819933845</v>
      </c>
      <c r="F9" s="93"/>
      <c r="G9" s="93"/>
      <c r="H9" s="93"/>
    </row>
    <row r="10" spans="1:8" x14ac:dyDescent="0.3">
      <c r="A10" s="93" t="s">
        <v>214</v>
      </c>
      <c r="B10" s="93"/>
      <c r="C10" s="93"/>
      <c r="D10" s="93"/>
      <c r="E10" s="93" t="s">
        <v>215</v>
      </c>
      <c r="F10" s="93"/>
      <c r="G10" s="93"/>
      <c r="H10" s="93"/>
    </row>
    <row r="11" spans="1:8" x14ac:dyDescent="0.3">
      <c r="A11" s="93" t="s">
        <v>7</v>
      </c>
      <c r="B11" s="93"/>
      <c r="C11" s="93"/>
      <c r="D11" s="93"/>
      <c r="E11" s="93" t="s">
        <v>127</v>
      </c>
      <c r="F11" s="93"/>
      <c r="G11" s="93"/>
      <c r="H11" s="93"/>
    </row>
    <row r="12" spans="1:8" x14ac:dyDescent="0.3">
      <c r="A12" s="77" t="s">
        <v>8</v>
      </c>
      <c r="B12" s="77"/>
      <c r="C12" s="77"/>
      <c r="D12" s="77"/>
      <c r="E12" s="84" t="s">
        <v>198</v>
      </c>
      <c r="F12" s="84"/>
      <c r="G12" s="84"/>
      <c r="H12" s="84"/>
    </row>
    <row r="13" spans="1:8" x14ac:dyDescent="0.3">
      <c r="A13" s="77" t="s">
        <v>9</v>
      </c>
      <c r="B13" s="77"/>
      <c r="C13" s="77"/>
      <c r="D13" s="77"/>
      <c r="E13" s="84" t="s">
        <v>176</v>
      </c>
      <c r="F13" s="85"/>
      <c r="G13" s="85"/>
      <c r="H13" s="85"/>
    </row>
    <row r="14" spans="1:8" ht="33" customHeight="1" x14ac:dyDescent="0.3">
      <c r="A14" s="84" t="s">
        <v>10</v>
      </c>
      <c r="B14" s="84"/>
      <c r="C14" s="8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Alliaance Icon, Plot No.04, Sec-08, near Mahanagar Gas CNG Station, Indian Bank St, Jijamata Nagar, Ghansoli, Navi Mumbai, Thane, Thane - 400701.</v>
      </c>
      <c r="D14" s="84"/>
      <c r="E14" s="84"/>
      <c r="F14" s="84"/>
      <c r="G14" s="84"/>
      <c r="H14" s="84"/>
    </row>
    <row r="15" spans="1:8" x14ac:dyDescent="0.3">
      <c r="A15" s="84" t="s">
        <v>177</v>
      </c>
      <c r="B15" s="84"/>
      <c r="C15" s="84" t="s">
        <v>178</v>
      </c>
      <c r="D15" s="84"/>
      <c r="E15" s="84"/>
      <c r="F15" s="84"/>
      <c r="G15" s="84"/>
      <c r="H15" s="84"/>
    </row>
    <row r="16" spans="1:8" ht="15.75" customHeight="1" x14ac:dyDescent="0.3">
      <c r="A16" s="187" t="s">
        <v>170</v>
      </c>
      <c r="B16" s="188"/>
      <c r="C16" s="187" t="s">
        <v>182</v>
      </c>
      <c r="D16" s="189"/>
      <c r="E16" s="189"/>
      <c r="F16" s="189"/>
      <c r="G16" s="189"/>
      <c r="H16" s="188"/>
    </row>
    <row r="17" spans="1:8" ht="15.75" customHeight="1" x14ac:dyDescent="0.3">
      <c r="A17" s="84" t="s">
        <v>11</v>
      </c>
      <c r="B17" s="84"/>
      <c r="C17" s="85" t="s">
        <v>183</v>
      </c>
      <c r="D17" s="85"/>
      <c r="E17" s="84" t="s">
        <v>171</v>
      </c>
      <c r="F17" s="84"/>
      <c r="G17" s="84" t="s">
        <v>179</v>
      </c>
      <c r="H17" s="84"/>
    </row>
    <row r="18" spans="1:8" x14ac:dyDescent="0.3">
      <c r="A18" s="85" t="s">
        <v>13</v>
      </c>
      <c r="B18" s="85"/>
      <c r="C18" s="84" t="s">
        <v>180</v>
      </c>
      <c r="D18" s="84"/>
      <c r="E18" s="84" t="s">
        <v>12</v>
      </c>
      <c r="F18" s="84"/>
      <c r="G18" s="144" t="s">
        <v>181</v>
      </c>
      <c r="H18" s="144"/>
    </row>
    <row r="19" spans="1:8" x14ac:dyDescent="0.3">
      <c r="A19" s="85" t="s">
        <v>76</v>
      </c>
      <c r="B19" s="85"/>
      <c r="C19" s="84" t="s">
        <v>181</v>
      </c>
      <c r="D19" s="84"/>
      <c r="E19" s="84" t="s">
        <v>14</v>
      </c>
      <c r="F19" s="84"/>
      <c r="G19" s="84">
        <v>400701</v>
      </c>
      <c r="H19" s="84"/>
    </row>
    <row r="20" spans="1:8" ht="32.25" customHeight="1" x14ac:dyDescent="0.3">
      <c r="A20" s="85" t="s">
        <v>128</v>
      </c>
      <c r="B20" s="85"/>
      <c r="C20" s="84" t="s">
        <v>184</v>
      </c>
      <c r="D20" s="84"/>
      <c r="E20" s="84" t="s">
        <v>15</v>
      </c>
      <c r="F20" s="84"/>
      <c r="G20" s="84" t="s">
        <v>199</v>
      </c>
      <c r="H20" s="84"/>
    </row>
    <row r="21" spans="1:8" ht="15" customHeight="1" x14ac:dyDescent="0.3">
      <c r="A21" s="91" t="s">
        <v>79</v>
      </c>
      <c r="B21" s="91"/>
      <c r="C21" s="91"/>
      <c r="D21" s="91"/>
      <c r="E21" s="93" t="s">
        <v>16</v>
      </c>
      <c r="F21" s="93"/>
      <c r="G21" s="93"/>
      <c r="H21" s="93"/>
    </row>
    <row r="22" spans="1:8" ht="18.75" customHeight="1" x14ac:dyDescent="0.3">
      <c r="A22" s="91"/>
      <c r="B22" s="91"/>
      <c r="C22" s="91"/>
      <c r="D22" s="91"/>
      <c r="E22" s="93"/>
      <c r="F22" s="93"/>
      <c r="G22" s="93"/>
      <c r="H22" s="93"/>
    </row>
    <row r="23" spans="1:8" ht="15" customHeight="1" x14ac:dyDescent="0.3">
      <c r="A23" s="91" t="s">
        <v>17</v>
      </c>
      <c r="B23" s="91"/>
      <c r="C23" s="91"/>
      <c r="D23" s="91"/>
      <c r="E23" s="92" t="s">
        <v>18</v>
      </c>
      <c r="F23" s="92"/>
      <c r="G23" s="92"/>
      <c r="H23" s="92"/>
    </row>
    <row r="24" spans="1:8" ht="15" customHeight="1" x14ac:dyDescent="0.3">
      <c r="A24" s="77" t="s">
        <v>19</v>
      </c>
      <c r="B24" s="77"/>
      <c r="C24" s="77"/>
      <c r="D24" s="77"/>
      <c r="E24" s="92" t="str">
        <f>IF(AND(G18="Mumbai"),"Upper Class","Middle Class")</f>
        <v>Middle Class</v>
      </c>
      <c r="F24" s="92"/>
      <c r="G24" s="92"/>
      <c r="H24" s="92"/>
    </row>
    <row r="25" spans="1:8" x14ac:dyDescent="0.3">
      <c r="A25" s="77" t="s">
        <v>20</v>
      </c>
      <c r="B25" s="77"/>
      <c r="C25" s="77"/>
      <c r="D25" s="77"/>
      <c r="E25" s="92" t="s">
        <v>21</v>
      </c>
      <c r="F25" s="92"/>
      <c r="G25" s="92"/>
      <c r="H25" s="92"/>
    </row>
    <row r="26" spans="1:8" ht="15.75" customHeight="1" x14ac:dyDescent="0.3">
      <c r="A26" s="77" t="s">
        <v>22</v>
      </c>
      <c r="B26" s="77"/>
      <c r="C26" s="77"/>
      <c r="D26" s="77"/>
      <c r="E26" s="92" t="str">
        <f>IF(AND(G18="Mumbai"),"Developed","Developing")</f>
        <v>Developing</v>
      </c>
      <c r="F26" s="92"/>
      <c r="G26" s="92"/>
      <c r="H26" s="92"/>
    </row>
    <row r="27" spans="1:8" x14ac:dyDescent="0.3">
      <c r="A27" s="77" t="s">
        <v>23</v>
      </c>
      <c r="B27" s="77"/>
      <c r="C27" s="77"/>
      <c r="D27" s="77"/>
      <c r="E27" s="92" t="s">
        <v>24</v>
      </c>
      <c r="F27" s="92"/>
      <c r="G27" s="92"/>
      <c r="H27" s="92"/>
    </row>
    <row r="28" spans="1:8" ht="15.75" customHeight="1" x14ac:dyDescent="0.3">
      <c r="A28" s="77" t="s">
        <v>84</v>
      </c>
      <c r="B28" s="77"/>
      <c r="C28" s="77"/>
      <c r="D28" s="77"/>
      <c r="E28" s="92" t="s">
        <v>85</v>
      </c>
      <c r="F28" s="92"/>
      <c r="G28" s="92"/>
      <c r="H28" s="92"/>
    </row>
    <row r="29" spans="1:8" ht="15" customHeight="1" x14ac:dyDescent="0.3">
      <c r="A29" s="77" t="s">
        <v>35</v>
      </c>
      <c r="B29" s="77"/>
      <c r="C29" s="77"/>
      <c r="D29" s="77"/>
      <c r="E29" s="9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92"/>
      <c r="G29" s="92"/>
      <c r="H29" s="92"/>
    </row>
    <row r="30" spans="1:8" ht="15.75" customHeight="1" x14ac:dyDescent="0.3">
      <c r="A30" s="77" t="s">
        <v>96</v>
      </c>
      <c r="B30" s="77"/>
      <c r="C30" s="77"/>
      <c r="D30" s="77"/>
      <c r="E30" s="92" t="s">
        <v>36</v>
      </c>
      <c r="F30" s="92"/>
      <c r="G30" s="92"/>
      <c r="H30" s="92"/>
    </row>
    <row r="31" spans="1:8" s="23" customFormat="1" x14ac:dyDescent="0.3">
      <c r="A31" s="148" t="s">
        <v>97</v>
      </c>
      <c r="B31" s="148"/>
      <c r="C31" s="147" t="s">
        <v>29</v>
      </c>
      <c r="D31" s="147"/>
      <c r="E31" s="147"/>
      <c r="F31" s="147" t="s">
        <v>31</v>
      </c>
      <c r="G31" s="147"/>
      <c r="H31" s="147"/>
    </row>
    <row r="32" spans="1:8" s="23" customFormat="1" x14ac:dyDescent="0.3">
      <c r="A32" s="145" t="s">
        <v>25</v>
      </c>
      <c r="B32" s="145" t="s">
        <v>30</v>
      </c>
      <c r="C32" s="146" t="s">
        <v>30</v>
      </c>
      <c r="D32" s="146"/>
      <c r="E32" s="146"/>
      <c r="F32" s="146" t="s">
        <v>185</v>
      </c>
      <c r="G32" s="146"/>
      <c r="H32" s="146"/>
    </row>
    <row r="33" spans="1:8" x14ac:dyDescent="0.3">
      <c r="A33" s="145" t="s">
        <v>26</v>
      </c>
      <c r="B33" s="145" t="s">
        <v>30</v>
      </c>
      <c r="C33" s="146" t="s">
        <v>30</v>
      </c>
      <c r="D33" s="146"/>
      <c r="E33" s="146"/>
      <c r="F33" s="146" t="s">
        <v>186</v>
      </c>
      <c r="G33" s="146"/>
      <c r="H33" s="146"/>
    </row>
    <row r="34" spans="1:8" s="23" customFormat="1" x14ac:dyDescent="0.3">
      <c r="A34" s="145" t="s">
        <v>28</v>
      </c>
      <c r="B34" s="145" t="s">
        <v>30</v>
      </c>
      <c r="C34" s="146" t="s">
        <v>30</v>
      </c>
      <c r="D34" s="146"/>
      <c r="E34" s="146"/>
      <c r="F34" s="146" t="s">
        <v>187</v>
      </c>
      <c r="G34" s="146"/>
      <c r="H34" s="146"/>
    </row>
    <row r="35" spans="1:8" x14ac:dyDescent="0.3">
      <c r="A35" s="145" t="s">
        <v>27</v>
      </c>
      <c r="B35" s="145" t="s">
        <v>30</v>
      </c>
      <c r="C35" s="146" t="s">
        <v>30</v>
      </c>
      <c r="D35" s="146"/>
      <c r="E35" s="146"/>
      <c r="F35" s="146" t="s">
        <v>188</v>
      </c>
      <c r="G35" s="146"/>
      <c r="H35" s="146"/>
    </row>
    <row r="36" spans="1:8" x14ac:dyDescent="0.3">
      <c r="A36" s="77" t="s">
        <v>32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3">
      <c r="A37" s="131" t="s">
        <v>33</v>
      </c>
      <c r="B37" s="131"/>
      <c r="C37" s="150">
        <v>19.121357</v>
      </c>
      <c r="D37" s="150"/>
      <c r="E37" s="131" t="s">
        <v>34</v>
      </c>
      <c r="F37" s="131"/>
      <c r="G37" s="151">
        <v>72.998089800000002</v>
      </c>
      <c r="H37" s="151"/>
    </row>
    <row r="38" spans="1:8" x14ac:dyDescent="0.3">
      <c r="A38" s="131" t="s">
        <v>169</v>
      </c>
      <c r="B38" s="131"/>
      <c r="C38" s="190" t="s">
        <v>189</v>
      </c>
      <c r="D38" s="92"/>
      <c r="E38" s="92"/>
      <c r="F38" s="92"/>
      <c r="G38" s="92"/>
      <c r="H38" s="92"/>
    </row>
    <row r="39" spans="1:8" x14ac:dyDescent="0.3">
      <c r="A39" s="138" t="s">
        <v>37</v>
      </c>
      <c r="B39" s="138"/>
      <c r="C39" s="138"/>
      <c r="D39" s="138"/>
      <c r="E39" s="138"/>
      <c r="F39" s="138"/>
      <c r="G39" s="138"/>
      <c r="H39" s="138"/>
    </row>
    <row r="40" spans="1:8" x14ac:dyDescent="0.3">
      <c r="A40" s="77" t="s">
        <v>38</v>
      </c>
      <c r="B40" s="77"/>
      <c r="C40" s="77"/>
      <c r="D40" s="77"/>
      <c r="E40" s="149">
        <v>1445.31</v>
      </c>
      <c r="F40" s="149"/>
      <c r="G40" s="149"/>
      <c r="H40" s="149"/>
    </row>
    <row r="41" spans="1:8" x14ac:dyDescent="0.3">
      <c r="A41" s="77" t="s">
        <v>39</v>
      </c>
      <c r="B41" s="77"/>
      <c r="C41" s="77"/>
      <c r="D41" s="77"/>
      <c r="E41" s="160">
        <v>1.1000000000000001</v>
      </c>
      <c r="F41" s="160"/>
      <c r="G41" s="160"/>
      <c r="H41" s="160"/>
    </row>
    <row r="42" spans="1:8" x14ac:dyDescent="0.3">
      <c r="A42" s="85" t="s">
        <v>40</v>
      </c>
      <c r="B42" s="85"/>
      <c r="C42" s="85"/>
      <c r="D42" s="85"/>
      <c r="E42" s="193">
        <f>E44/E40-E41</f>
        <v>4.5327742837176803</v>
      </c>
      <c r="F42" s="193"/>
      <c r="G42" s="193"/>
      <c r="H42" s="193"/>
    </row>
    <row r="43" spans="1:8" x14ac:dyDescent="0.3">
      <c r="A43" s="85" t="s">
        <v>41</v>
      </c>
      <c r="B43" s="85"/>
      <c r="C43" s="85"/>
      <c r="D43" s="85"/>
      <c r="E43" s="193">
        <f>E41+E42</f>
        <v>5.63277428371768</v>
      </c>
      <c r="F43" s="193"/>
      <c r="G43" s="193"/>
      <c r="H43" s="193"/>
    </row>
    <row r="44" spans="1:8" x14ac:dyDescent="0.3">
      <c r="A44" s="85" t="s">
        <v>95</v>
      </c>
      <c r="B44" s="85"/>
      <c r="C44" s="85"/>
      <c r="D44" s="85"/>
      <c r="E44" s="194">
        <v>8141.1049999999996</v>
      </c>
      <c r="F44" s="194"/>
      <c r="G44" s="194"/>
      <c r="H44" s="194"/>
    </row>
    <row r="45" spans="1:8" x14ac:dyDescent="0.3">
      <c r="A45" s="85" t="s">
        <v>42</v>
      </c>
      <c r="B45" s="85"/>
      <c r="C45" s="85"/>
      <c r="D45" s="85"/>
      <c r="E45" s="85" t="s">
        <v>127</v>
      </c>
      <c r="F45" s="85"/>
      <c r="G45" s="85"/>
      <c r="H45" s="85"/>
    </row>
    <row r="46" spans="1:8" x14ac:dyDescent="0.3">
      <c r="A46" s="152" t="s">
        <v>43</v>
      </c>
      <c r="B46" s="152"/>
      <c r="C46" s="152"/>
      <c r="D46" s="152"/>
      <c r="E46" s="152"/>
      <c r="F46" s="152"/>
      <c r="G46" s="152"/>
      <c r="H46" s="152"/>
    </row>
    <row r="47" spans="1:8" ht="33.75" customHeight="1" x14ac:dyDescent="0.3">
      <c r="A47" s="187" t="s">
        <v>158</v>
      </c>
      <c r="B47" s="188"/>
      <c r="C47" s="195" t="s">
        <v>190</v>
      </c>
      <c r="D47" s="196"/>
      <c r="E47" s="196"/>
      <c r="F47" s="196"/>
      <c r="G47" s="196"/>
      <c r="H47" s="197"/>
    </row>
    <row r="48" spans="1:8" ht="15.75" customHeight="1" x14ac:dyDescent="0.3">
      <c r="A48" s="73" t="s">
        <v>44</v>
      </c>
      <c r="B48" s="75"/>
      <c r="C48" s="73" t="s">
        <v>212</v>
      </c>
      <c r="D48" s="74"/>
      <c r="E48" s="75"/>
      <c r="F48" s="19" t="s">
        <v>45</v>
      </c>
      <c r="G48" s="76" t="s">
        <v>216</v>
      </c>
      <c r="H48" s="75"/>
    </row>
    <row r="49" spans="1:14" x14ac:dyDescent="0.3">
      <c r="A49" s="73" t="s">
        <v>46</v>
      </c>
      <c r="B49" s="75"/>
      <c r="C49" s="73" t="str">
        <f>C48</f>
        <v>NRV/A-/3370</v>
      </c>
      <c r="D49" s="74"/>
      <c r="E49" s="75"/>
      <c r="F49" s="19" t="s">
        <v>45</v>
      </c>
      <c r="G49" s="76" t="str">
        <f>G48</f>
        <v>20/10/2022.</v>
      </c>
      <c r="H49" s="75"/>
    </row>
    <row r="50" spans="1:14" s="24" customFormat="1" x14ac:dyDescent="0.3">
      <c r="A50" s="156" t="s">
        <v>162</v>
      </c>
      <c r="B50" s="157"/>
      <c r="C50" s="73" t="s">
        <v>203</v>
      </c>
      <c r="D50" s="74"/>
      <c r="E50" s="75"/>
      <c r="F50" s="19" t="s">
        <v>45</v>
      </c>
      <c r="G50" s="76" t="str">
        <f>G48</f>
        <v>20/10/2022.</v>
      </c>
      <c r="H50" s="75"/>
    </row>
    <row r="51" spans="1:14" s="24" customFormat="1" x14ac:dyDescent="0.3">
      <c r="A51" s="158"/>
      <c r="B51" s="159"/>
      <c r="C51" s="73" t="s">
        <v>204</v>
      </c>
      <c r="D51" s="74"/>
      <c r="E51" s="74"/>
      <c r="F51" s="74"/>
      <c r="G51" s="74"/>
      <c r="H51" s="75"/>
    </row>
    <row r="52" spans="1:14" x14ac:dyDescent="0.3">
      <c r="A52" s="122" t="s">
        <v>172</v>
      </c>
      <c r="B52" s="123"/>
      <c r="C52" s="87" t="s">
        <v>30</v>
      </c>
      <c r="D52" s="88"/>
      <c r="E52" s="89"/>
      <c r="F52" s="53" t="s">
        <v>45</v>
      </c>
      <c r="G52" s="94" t="s">
        <v>30</v>
      </c>
      <c r="H52" s="95"/>
    </row>
    <row r="53" spans="1:14" hidden="1" x14ac:dyDescent="0.3">
      <c r="A53" s="124"/>
      <c r="B53" s="125"/>
      <c r="C53" s="87" t="s">
        <v>30</v>
      </c>
      <c r="D53" s="88"/>
      <c r="E53" s="88"/>
      <c r="F53" s="88"/>
      <c r="G53" s="88"/>
      <c r="H53" s="89"/>
    </row>
    <row r="54" spans="1:14" x14ac:dyDescent="0.3">
      <c r="A54" s="90" t="s">
        <v>48</v>
      </c>
      <c r="B54" s="90"/>
      <c r="C54" s="90"/>
      <c r="D54" s="90"/>
      <c r="E54" s="90"/>
      <c r="F54" s="90"/>
      <c r="G54" s="90"/>
      <c r="H54" s="90"/>
    </row>
    <row r="55" spans="1:14" x14ac:dyDescent="0.3">
      <c r="A55" s="91" t="s">
        <v>94</v>
      </c>
      <c r="B55" s="91"/>
      <c r="C55" s="91"/>
      <c r="D55" s="77">
        <f>E44</f>
        <v>8141.1049999999996</v>
      </c>
      <c r="E55" s="77"/>
      <c r="F55" s="77"/>
      <c r="G55" s="77"/>
      <c r="H55" s="77"/>
    </row>
    <row r="56" spans="1:14" x14ac:dyDescent="0.3">
      <c r="A56" s="92" t="s">
        <v>49</v>
      </c>
      <c r="B56" s="93"/>
      <c r="C56" s="93"/>
      <c r="D56" s="85" t="s">
        <v>209</v>
      </c>
      <c r="E56" s="85"/>
      <c r="F56" s="85"/>
      <c r="G56" s="85"/>
      <c r="H56" s="85"/>
      <c r="I56" s="25"/>
    </row>
    <row r="57" spans="1:14" x14ac:dyDescent="0.3">
      <c r="A57" s="78" t="s">
        <v>50</v>
      </c>
      <c r="B57" s="79"/>
      <c r="C57" s="155"/>
      <c r="D57" s="153" t="s">
        <v>200</v>
      </c>
      <c r="E57" s="154"/>
      <c r="F57" s="154"/>
      <c r="G57" s="154"/>
      <c r="H57" s="154"/>
    </row>
    <row r="58" spans="1:14" ht="15.75" customHeight="1" x14ac:dyDescent="0.3">
      <c r="A58" s="78" t="s">
        <v>92</v>
      </c>
      <c r="B58" s="79"/>
      <c r="C58" s="79"/>
      <c r="D58" s="84" t="s">
        <v>200</v>
      </c>
      <c r="E58" s="85"/>
      <c r="F58" s="85"/>
      <c r="G58" s="85"/>
      <c r="H58" s="85"/>
    </row>
    <row r="59" spans="1:14" ht="15.75" hidden="1" customHeight="1" x14ac:dyDescent="0.3">
      <c r="A59" s="80"/>
      <c r="B59" s="81"/>
      <c r="C59" s="81"/>
      <c r="D59" s="86" t="s">
        <v>154</v>
      </c>
      <c r="E59" s="86"/>
      <c r="F59" s="86"/>
      <c r="G59" s="86"/>
      <c r="H59" s="86"/>
    </row>
    <row r="60" spans="1:14" ht="15.75" hidden="1" customHeight="1" x14ac:dyDescent="0.3">
      <c r="A60" s="82"/>
      <c r="B60" s="83"/>
      <c r="C60" s="83"/>
      <c r="D60" s="86" t="s">
        <v>155</v>
      </c>
      <c r="E60" s="86"/>
      <c r="F60" s="86"/>
      <c r="G60" s="86"/>
      <c r="H60" s="86"/>
    </row>
    <row r="61" spans="1:14" ht="15.75" customHeight="1" x14ac:dyDescent="0.3">
      <c r="A61" s="77" t="s">
        <v>47</v>
      </c>
      <c r="B61" s="77"/>
      <c r="C61" s="77"/>
      <c r="D61" s="91" t="s">
        <v>191</v>
      </c>
      <c r="E61" s="91"/>
      <c r="F61" s="91"/>
      <c r="G61" s="91"/>
      <c r="H61" s="91"/>
      <c r="J61" s="26"/>
      <c r="K61" s="25"/>
      <c r="N61" s="25"/>
    </row>
    <row r="62" spans="1:14" ht="15.75" customHeight="1" x14ac:dyDescent="0.3">
      <c r="A62" s="77" t="s">
        <v>90</v>
      </c>
      <c r="B62" s="77"/>
      <c r="C62" s="77"/>
      <c r="D62" s="192" t="str">
        <f>(IF(G52="NA","60 Years After Completion",IF(G52&lt;&gt;"NA",""&amp;60-ROUNDDOWN((E3-G52)/360,0)&amp;" Years"," ")))</f>
        <v>60 Years After Completion</v>
      </c>
      <c r="E62" s="192"/>
      <c r="F62" s="192"/>
      <c r="G62" s="192"/>
      <c r="H62" s="192"/>
      <c r="N62" s="25"/>
    </row>
    <row r="63" spans="1:14" ht="15.75" customHeight="1" x14ac:dyDescent="0.3">
      <c r="A63" s="77" t="s">
        <v>91</v>
      </c>
      <c r="B63" s="77"/>
      <c r="C63" s="77"/>
      <c r="D63" s="91" t="s">
        <v>24</v>
      </c>
      <c r="E63" s="91"/>
      <c r="F63" s="91"/>
      <c r="G63" s="91"/>
      <c r="H63" s="91"/>
      <c r="J63" s="27"/>
      <c r="K63" s="27"/>
    </row>
    <row r="64" spans="1:14" ht="30" customHeight="1" x14ac:dyDescent="0.3">
      <c r="A64" s="77" t="s">
        <v>77</v>
      </c>
      <c r="B64" s="77"/>
      <c r="C64" s="77"/>
      <c r="D64" s="92" t="s">
        <v>202</v>
      </c>
      <c r="E64" s="91"/>
      <c r="F64" s="91"/>
      <c r="G64" s="91"/>
      <c r="H64" s="91"/>
    </row>
    <row r="65" spans="1:14" x14ac:dyDescent="0.3">
      <c r="A65" s="91" t="s">
        <v>156</v>
      </c>
      <c r="B65" s="91"/>
      <c r="C65" s="91"/>
      <c r="D65" s="91" t="s">
        <v>30</v>
      </c>
      <c r="E65" s="91"/>
      <c r="F65" s="91"/>
      <c r="G65" s="91"/>
      <c r="H65" s="91"/>
      <c r="I65" s="28"/>
      <c r="J65" s="28"/>
      <c r="K65" s="28"/>
      <c r="L65" s="28"/>
      <c r="M65" s="28"/>
      <c r="N65" s="28"/>
    </row>
    <row r="66" spans="1:14" ht="15.75" customHeight="1" x14ac:dyDescent="0.3">
      <c r="A66" s="169" t="s">
        <v>89</v>
      </c>
      <c r="B66" s="169"/>
      <c r="C66" s="169"/>
      <c r="D66" s="134" t="str">
        <f ca="1">(IF(G72&gt;95%,"Nothing",IF(G72&gt;0%,"Cement, Aggregate, Steel, etc",IF(G72=0%,"Work not yet Started"))))</f>
        <v>Cement, Aggregate, Steel, etc</v>
      </c>
      <c r="E66" s="134"/>
      <c r="F66" s="134"/>
      <c r="G66" s="134"/>
      <c r="H66" s="134"/>
      <c r="J66" s="27"/>
    </row>
    <row r="67" spans="1:14" ht="33.75" customHeight="1" thickBot="1" x14ac:dyDescent="0.35">
      <c r="A67" s="133" t="s">
        <v>121</v>
      </c>
      <c r="B67" s="133"/>
      <c r="C67" s="133"/>
      <c r="D67" s="134" t="str">
        <f ca="1">(IF(D66="Nothing","Yes",IF(D66="Cement, Aggregate, Steel, etc","Under Construction",IF(D66="Work not yet Started","Work not yet Started"))))</f>
        <v>Under Construction</v>
      </c>
      <c r="E67" s="134"/>
      <c r="F67" s="134" t="str">
        <f ca="1">(IF(D66="Nothing","Yes",IF(D66="Cement, Aggregate, Steel, etc","Under Construction",IF(D66="Work not yet Started","Work not yet Started"))))</f>
        <v>Under Construction</v>
      </c>
      <c r="G67" s="134"/>
      <c r="H67" s="134"/>
    </row>
    <row r="68" spans="1:14" ht="15.75" customHeight="1" x14ac:dyDescent="0.3">
      <c r="A68" s="162" t="s">
        <v>146</v>
      </c>
      <c r="B68" s="163"/>
      <c r="C68" s="164" t="str">
        <f>D58</f>
        <v xml:space="preserve">Gr + 1st to 28th Floor
</v>
      </c>
      <c r="D68" s="165"/>
      <c r="E68" s="165"/>
      <c r="F68" s="165"/>
      <c r="G68" s="165"/>
      <c r="H68" s="166"/>
      <c r="I68" s="49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Plaster, External Plaster, Flooring Completed, Painting upto 27 Floor, Finishing upto 22 Floor Completed</v>
      </c>
      <c r="J68" s="50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Painting upto 27 Floor, Finishing upto 22 Floor</v>
      </c>
    </row>
    <row r="69" spans="1:14" x14ac:dyDescent="0.3">
      <c r="A69" s="58" t="s">
        <v>148</v>
      </c>
      <c r="B69" s="59">
        <v>0</v>
      </c>
      <c r="C69" s="59" t="s">
        <v>75</v>
      </c>
      <c r="D69" s="59">
        <v>1</v>
      </c>
      <c r="E69" s="59" t="s">
        <v>74</v>
      </c>
      <c r="F69" s="59">
        <v>0</v>
      </c>
      <c r="G69" s="59" t="s">
        <v>83</v>
      </c>
      <c r="H69" s="60">
        <f ca="1">--TRIM(RIGHT(SUBSTITUTE(LEFT(C68,_xlfn.AGGREGATE(16,6,FIND({0,1,2,3,4,5,6,7,8,9},C68,ROW(INDIRECT("1:"&amp;LEN(C68)))),1))," ",REPT(" ",LEN(C68))),LEN(C68)))</f>
        <v>28</v>
      </c>
      <c r="I69" s="51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</v>
      </c>
      <c r="J69" s="52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3" customHeight="1" x14ac:dyDescent="0.3">
      <c r="A70" s="161" t="s">
        <v>93</v>
      </c>
      <c r="B70" s="152"/>
      <c r="C70" s="167" t="str">
        <f ca="1">(IF($C$53=C68,"All work Completed. OC Received.",I68))</f>
        <v>Excavation, Plinth, RCC Slab, Brickwork, Internal Plaster, External Plaster, Flooring Completed, Painting upto 27 Floor, Finishing upto 22 Floor Completed</v>
      </c>
      <c r="D70" s="167"/>
      <c r="E70" s="167"/>
      <c r="F70" s="167"/>
      <c r="G70" s="167"/>
      <c r="H70" s="168"/>
      <c r="I70" s="51" t="str">
        <f ca="1">IF(I69&lt;&gt;""," Completed","")</f>
        <v xml:space="preserve"> Completed</v>
      </c>
      <c r="J70" s="52" t="str">
        <f ca="1">IF(J68&lt;&gt;"","Completed","")</f>
        <v>Completed</v>
      </c>
    </row>
    <row r="71" spans="1:14" ht="15.75" customHeight="1" x14ac:dyDescent="0.3">
      <c r="A71" s="106" t="s">
        <v>51</v>
      </c>
      <c r="B71" s="107"/>
      <c r="C71" s="44" t="s">
        <v>145</v>
      </c>
      <c r="D71" s="44" t="s">
        <v>86</v>
      </c>
      <c r="E71" s="107" t="s">
        <v>88</v>
      </c>
      <c r="F71" s="107"/>
      <c r="G71" s="107" t="s">
        <v>87</v>
      </c>
      <c r="H71" s="117"/>
      <c r="I71" s="14" t="s">
        <v>147</v>
      </c>
      <c r="J71" s="29">
        <f ca="1">H69*25%</f>
        <v>7</v>
      </c>
    </row>
    <row r="72" spans="1:14" x14ac:dyDescent="0.3">
      <c r="A72" s="106" t="s">
        <v>134</v>
      </c>
      <c r="B72" s="107"/>
      <c r="C72" s="44">
        <f ca="1">J73</f>
        <v>28</v>
      </c>
      <c r="D72" s="20">
        <f ca="1">((100/H69)*C72)/100</f>
        <v>1</v>
      </c>
      <c r="E72" s="174">
        <f ca="1">(((C73/H69*10)+(40/(D69+F69+H69)*C74)+(7.5/(H69)*C75)+(7.5/(H69)*C76)+(10/H69*C77)+(10/H69*C78)+(5/H69*C79)+(5/H69*C80)+(5/H69*C81))/100)</f>
        <v>0.9375</v>
      </c>
      <c r="F72" s="175"/>
      <c r="G72" s="174">
        <f ca="1">((((C72/H69)*20)+((C73/H69)*25)+(30/(H69+F69+D69)*C74)+(5/H69*C75)+(5/H69*C76)+(5/H69*C77)+(5/H69*C78)+(0/H69*C79)+(0/H69*C80)+(5/H69*C81))/100)</f>
        <v>0.95</v>
      </c>
      <c r="H72" s="181"/>
      <c r="I72" s="14" t="s">
        <v>104</v>
      </c>
      <c r="J72" s="30">
        <f ca="1">H69*50%</f>
        <v>14</v>
      </c>
    </row>
    <row r="73" spans="1:14" x14ac:dyDescent="0.3">
      <c r="A73" s="106" t="s">
        <v>52</v>
      </c>
      <c r="B73" s="107"/>
      <c r="C73" s="57">
        <v>28</v>
      </c>
      <c r="D73" s="20">
        <f ca="1">((100/H69)*C73)/100</f>
        <v>1</v>
      </c>
      <c r="E73" s="176"/>
      <c r="F73" s="177"/>
      <c r="G73" s="176"/>
      <c r="H73" s="182"/>
      <c r="I73" s="14" t="s">
        <v>105</v>
      </c>
      <c r="J73" s="30">
        <f ca="1">H69</f>
        <v>28</v>
      </c>
    </row>
    <row r="74" spans="1:14" ht="15.75" customHeight="1" x14ac:dyDescent="0.3">
      <c r="A74" s="106" t="s">
        <v>135</v>
      </c>
      <c r="B74" s="107"/>
      <c r="C74" s="44">
        <v>29</v>
      </c>
      <c r="D74" s="20">
        <f ca="1">((100/(D69+F69+H69))*C74)/100</f>
        <v>1</v>
      </c>
      <c r="E74" s="176"/>
      <c r="F74" s="177"/>
      <c r="G74" s="176"/>
      <c r="H74" s="182"/>
      <c r="I74" s="14" t="s">
        <v>106</v>
      </c>
      <c r="J74" s="31">
        <f ca="1">(IF(B69&gt;1,(H69/(B69+2)),H69/4))</f>
        <v>7</v>
      </c>
    </row>
    <row r="75" spans="1:14" ht="15.75" customHeight="1" x14ac:dyDescent="0.3">
      <c r="A75" s="106" t="s">
        <v>142</v>
      </c>
      <c r="B75" s="107" t="s">
        <v>136</v>
      </c>
      <c r="C75" s="44">
        <v>28</v>
      </c>
      <c r="D75" s="20">
        <f ca="1">((100/H69)*C75)/100</f>
        <v>1</v>
      </c>
      <c r="E75" s="176"/>
      <c r="F75" s="177"/>
      <c r="G75" s="176"/>
      <c r="H75" s="182"/>
      <c r="I75" s="14" t="s">
        <v>107</v>
      </c>
      <c r="J75" s="31">
        <f ca="1">(IF(B69&gt;1,(H69/(B69+2)+J74),H69/4+J74))</f>
        <v>14</v>
      </c>
    </row>
    <row r="76" spans="1:14" ht="15.75" customHeight="1" x14ac:dyDescent="0.3">
      <c r="A76" s="106" t="s">
        <v>143</v>
      </c>
      <c r="B76" s="107" t="s">
        <v>136</v>
      </c>
      <c r="C76" s="44">
        <v>28</v>
      </c>
      <c r="D76" s="20">
        <f ca="1">((100/H69)*C76)/100</f>
        <v>1</v>
      </c>
      <c r="E76" s="176"/>
      <c r="F76" s="177"/>
      <c r="G76" s="176"/>
      <c r="H76" s="182"/>
      <c r="I76" s="14" t="s">
        <v>152</v>
      </c>
      <c r="J76" s="31">
        <f>(IF(B69&gt;1,(H69/(B69+2)+J75),0))</f>
        <v>0</v>
      </c>
    </row>
    <row r="77" spans="1:14" ht="15" customHeight="1" x14ac:dyDescent="0.3">
      <c r="A77" s="106" t="s">
        <v>141</v>
      </c>
      <c r="B77" s="107" t="s">
        <v>138</v>
      </c>
      <c r="C77" s="44">
        <v>28</v>
      </c>
      <c r="D77" s="20">
        <f ca="1">((100/(H69))*C77)/100</f>
        <v>1</v>
      </c>
      <c r="E77" s="176"/>
      <c r="F77" s="177"/>
      <c r="G77" s="176"/>
      <c r="H77" s="182"/>
      <c r="I77" s="14" t="s">
        <v>149</v>
      </c>
      <c r="J77" s="31">
        <f>(IF(B69&gt;2,(H69/(B69+2)+J76),0))</f>
        <v>0</v>
      </c>
    </row>
    <row r="78" spans="1:14" ht="15.75" customHeight="1" x14ac:dyDescent="0.3">
      <c r="A78" s="106" t="s">
        <v>137</v>
      </c>
      <c r="B78" s="107" t="s">
        <v>137</v>
      </c>
      <c r="C78" s="44">
        <v>28</v>
      </c>
      <c r="D78" s="20">
        <f ca="1">((100/H69)*C78)/100</f>
        <v>1</v>
      </c>
      <c r="E78" s="176"/>
      <c r="F78" s="177"/>
      <c r="G78" s="176"/>
      <c r="H78" s="182"/>
      <c r="I78" s="14" t="s">
        <v>150</v>
      </c>
      <c r="J78" s="32">
        <f>(IF(B69&gt;3,(H69/(B69+2)+J77),0))</f>
        <v>0</v>
      </c>
    </row>
    <row r="79" spans="1:14" ht="15.75" customHeight="1" x14ac:dyDescent="0.3">
      <c r="A79" s="106" t="s">
        <v>144</v>
      </c>
      <c r="B79" s="107"/>
      <c r="C79" s="44">
        <v>27</v>
      </c>
      <c r="D79" s="20">
        <f ca="1">((100/H69)*C79)/100</f>
        <v>0.9642857142857143</v>
      </c>
      <c r="E79" s="176"/>
      <c r="F79" s="177"/>
      <c r="G79" s="176"/>
      <c r="H79" s="182"/>
      <c r="I79" s="14" t="s">
        <v>151</v>
      </c>
      <c r="J79" s="31">
        <f>(IF(B69&gt;4,(H69/(B69+2)+J78),0))</f>
        <v>0</v>
      </c>
    </row>
    <row r="80" spans="1:14" ht="15.75" customHeight="1" x14ac:dyDescent="0.3">
      <c r="A80" s="106" t="s">
        <v>139</v>
      </c>
      <c r="B80" s="107" t="s">
        <v>139</v>
      </c>
      <c r="C80" s="44">
        <v>22</v>
      </c>
      <c r="D80" s="20">
        <f ca="1">((100/(H69))*C80)/100</f>
        <v>0.7857142857142857</v>
      </c>
      <c r="E80" s="176"/>
      <c r="F80" s="177"/>
      <c r="G80" s="176"/>
      <c r="H80" s="182"/>
      <c r="I80" s="14" t="s">
        <v>153</v>
      </c>
      <c r="J80" s="31">
        <f ca="1">(IF(B69=1,(H69/(B69+3)+J75),IF(B69=0,(H69/4+J75),IF(B69&gt;1,0))))</f>
        <v>21</v>
      </c>
    </row>
    <row r="81" spans="1:10" ht="16.2" thickBot="1" x14ac:dyDescent="0.35">
      <c r="A81" s="113" t="s">
        <v>140</v>
      </c>
      <c r="B81" s="114"/>
      <c r="C81" s="45">
        <v>0</v>
      </c>
      <c r="D81" s="21">
        <f ca="1">((100/(H69))*C81)/100</f>
        <v>0</v>
      </c>
      <c r="E81" s="178"/>
      <c r="F81" s="179"/>
      <c r="G81" s="178"/>
      <c r="H81" s="183"/>
      <c r="I81" s="16" t="s">
        <v>108</v>
      </c>
      <c r="J81" s="33">
        <f ca="1">(IF(B69&gt;1.5,(H69/(B69+2)+J75+MAX(0,J76-J75)+MAX(0,J77-J76)+MAX(0,J78-J77)+MAX(0,J79-J78)+MAX(0,J80-J79)),IF(B69=1,(H69/(B69+3)+J80),IF(B69=0,H69/4+J80))))</f>
        <v>28</v>
      </c>
    </row>
    <row r="82" spans="1:10" ht="15.75" hidden="1" customHeight="1" x14ac:dyDescent="0.3">
      <c r="A82" s="126" t="s">
        <v>146</v>
      </c>
      <c r="B82" s="127"/>
      <c r="C82" s="128" t="str">
        <f>D59</f>
        <v>B Wing = G + 1st to 20th Floor</v>
      </c>
      <c r="D82" s="129"/>
      <c r="E82" s="129"/>
      <c r="F82" s="129"/>
      <c r="G82" s="129"/>
      <c r="H82" s="130"/>
      <c r="I82" s="49" t="str">
        <f ca="1">IF(D95=100%,"All work Completed. Possession granted to the Building.",IF(D94=100%,"All work Completed, Waiting for OC",I83&amp;""&amp;I84&amp;""&amp;J83&amp;""&amp;J82&amp;" "&amp;J84))</f>
        <v xml:space="preserve">Excavation, Plinth, RCC Slab Completed </v>
      </c>
      <c r="J82" s="50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hidden="1" x14ac:dyDescent="0.3">
      <c r="A83" s="17" t="s">
        <v>148</v>
      </c>
      <c r="B83" s="15">
        <v>0</v>
      </c>
      <c r="C83" s="46" t="s">
        <v>75</v>
      </c>
      <c r="D83" s="46">
        <v>1</v>
      </c>
      <c r="E83" s="46" t="s">
        <v>74</v>
      </c>
      <c r="F83" s="15">
        <v>0</v>
      </c>
      <c r="G83" s="47" t="s">
        <v>83</v>
      </c>
      <c r="H83" s="18">
        <f ca="1">--TRIM(RIGHT(SUBSTITUTE(LEFT(C82,_xlfn.AGGREGATE(16,6,FIND({0,1,2,3,4,5,6,7,8,9},C82,ROW(INDIRECT("1:"&amp;LEN(C82)))),1))," ",REPT(" ",LEN(C82))),LEN(C82)))</f>
        <v>20</v>
      </c>
      <c r="I83" s="51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</v>
      </c>
      <c r="J83" s="52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.75" hidden="1" customHeight="1" x14ac:dyDescent="0.3">
      <c r="A84" s="191" t="s">
        <v>93</v>
      </c>
      <c r="B84" s="143"/>
      <c r="C84" s="119" t="str">
        <f ca="1">(IF($C$53=C82,"All work Completed. OC Received.",I82))</f>
        <v xml:space="preserve">Excavation, Plinth, RCC Slab Completed </v>
      </c>
      <c r="D84" s="119"/>
      <c r="E84" s="119"/>
      <c r="F84" s="119"/>
      <c r="G84" s="119"/>
      <c r="H84" s="120"/>
      <c r="I84" s="51" t="str">
        <f ca="1">IF(I83&lt;&gt;""," Completed","")</f>
        <v xml:space="preserve"> Completed</v>
      </c>
      <c r="J84" s="52" t="str">
        <f ca="1">IF(J82&lt;&gt;"","Completed","")</f>
        <v/>
      </c>
    </row>
    <row r="85" spans="1:10" ht="15.75" hidden="1" customHeight="1" x14ac:dyDescent="0.3">
      <c r="A85" s="106" t="s">
        <v>51</v>
      </c>
      <c r="B85" s="107"/>
      <c r="C85" s="44" t="s">
        <v>145</v>
      </c>
      <c r="D85" s="44" t="s">
        <v>86</v>
      </c>
      <c r="E85" s="107" t="s">
        <v>88</v>
      </c>
      <c r="F85" s="107"/>
      <c r="G85" s="107" t="s">
        <v>87</v>
      </c>
      <c r="H85" s="117"/>
      <c r="I85" s="14" t="s">
        <v>147</v>
      </c>
      <c r="J85" s="29">
        <f ca="1">H83*25%</f>
        <v>5</v>
      </c>
    </row>
    <row r="86" spans="1:10" hidden="1" x14ac:dyDescent="0.3">
      <c r="A86" s="106" t="s">
        <v>134</v>
      </c>
      <c r="B86" s="107"/>
      <c r="C86" s="44">
        <f ca="1">J87</f>
        <v>20</v>
      </c>
      <c r="D86" s="20">
        <f ca="1">((100/H83)*C86)/100</f>
        <v>1</v>
      </c>
      <c r="E86" s="174">
        <f ca="1">(((C87/H83*10)+(40/(D83+F83+H83)*C88)+(7.5/(H83)*C89)+(7.5/(H83)*C90)+(10/H83*C91)+(10/H83*C92)+(5/H83*C93)+(5/H83*C94)+(5/H83*C95))/100)</f>
        <v>0.5</v>
      </c>
      <c r="F86" s="175"/>
      <c r="G86" s="174">
        <f ca="1">((((C86/H83)*20)+((C87/H83)*25)+(30/(H83+F83+D83)*C88)+(5/H83*C89)+(5/H83*C90)+(5/H83*C91)+(5/H83*C92)+(0/H83*C93)+(0/H83*C94)+(5/H83*C95))/100)</f>
        <v>0.75</v>
      </c>
      <c r="H86" s="181"/>
      <c r="I86" s="14" t="s">
        <v>104</v>
      </c>
      <c r="J86" s="30">
        <f ca="1">H83*50%</f>
        <v>10</v>
      </c>
    </row>
    <row r="87" spans="1:10" hidden="1" x14ac:dyDescent="0.3">
      <c r="A87" s="106" t="s">
        <v>52</v>
      </c>
      <c r="B87" s="107"/>
      <c r="C87" s="44">
        <f ca="1">J95</f>
        <v>20</v>
      </c>
      <c r="D87" s="20">
        <f ca="1">((100/H83)*C87)/100</f>
        <v>1</v>
      </c>
      <c r="E87" s="176"/>
      <c r="F87" s="177"/>
      <c r="G87" s="176"/>
      <c r="H87" s="182"/>
      <c r="I87" s="14" t="s">
        <v>105</v>
      </c>
      <c r="J87" s="30">
        <f ca="1">H83</f>
        <v>20</v>
      </c>
    </row>
    <row r="88" spans="1:10" ht="15.75" hidden="1" customHeight="1" x14ac:dyDescent="0.3">
      <c r="A88" s="106" t="s">
        <v>135</v>
      </c>
      <c r="B88" s="107"/>
      <c r="C88" s="44">
        <f ca="1">D83+H83</f>
        <v>21</v>
      </c>
      <c r="D88" s="20">
        <f ca="1">((100/(D83+F83+H83))*C88)/100</f>
        <v>1</v>
      </c>
      <c r="E88" s="176"/>
      <c r="F88" s="177"/>
      <c r="G88" s="176"/>
      <c r="H88" s="182"/>
      <c r="I88" s="14" t="s">
        <v>106</v>
      </c>
      <c r="J88" s="31">
        <f ca="1">(IF(B83&gt;1,(H83/(B83+2)),H83/4))</f>
        <v>5</v>
      </c>
    </row>
    <row r="89" spans="1:10" ht="15.75" hidden="1" customHeight="1" x14ac:dyDescent="0.3">
      <c r="A89" s="106" t="s">
        <v>142</v>
      </c>
      <c r="B89" s="107" t="s">
        <v>136</v>
      </c>
      <c r="C89" s="44">
        <v>0</v>
      </c>
      <c r="D89" s="20">
        <f ca="1">((100/H83)*C89)/100</f>
        <v>0</v>
      </c>
      <c r="E89" s="176"/>
      <c r="F89" s="177"/>
      <c r="G89" s="176"/>
      <c r="H89" s="182"/>
      <c r="I89" s="14" t="s">
        <v>107</v>
      </c>
      <c r="J89" s="31">
        <f ca="1">(IF(B83&gt;1,(H83/(B83+2)+J88),H83/4+J88))</f>
        <v>10</v>
      </c>
    </row>
    <row r="90" spans="1:10" ht="15.75" hidden="1" customHeight="1" x14ac:dyDescent="0.3">
      <c r="A90" s="106" t="s">
        <v>143</v>
      </c>
      <c r="B90" s="107" t="s">
        <v>136</v>
      </c>
      <c r="C90" s="44">
        <v>0</v>
      </c>
      <c r="D90" s="20">
        <f ca="1">((100/H83)*C90)/100</f>
        <v>0</v>
      </c>
      <c r="E90" s="176"/>
      <c r="F90" s="177"/>
      <c r="G90" s="176"/>
      <c r="H90" s="182"/>
      <c r="I90" s="14" t="s">
        <v>152</v>
      </c>
      <c r="J90" s="31">
        <f>(IF(B83&gt;1,(H83/(B83+2)+J89),0))</f>
        <v>0</v>
      </c>
    </row>
    <row r="91" spans="1:10" ht="15" hidden="1" customHeight="1" x14ac:dyDescent="0.3">
      <c r="A91" s="106" t="s">
        <v>141</v>
      </c>
      <c r="B91" s="107" t="s">
        <v>138</v>
      </c>
      <c r="C91" s="44">
        <v>0</v>
      </c>
      <c r="D91" s="20">
        <f ca="1">((100/(H83))*C91)/100</f>
        <v>0</v>
      </c>
      <c r="E91" s="176"/>
      <c r="F91" s="177"/>
      <c r="G91" s="176"/>
      <c r="H91" s="182"/>
      <c r="I91" s="14" t="s">
        <v>149</v>
      </c>
      <c r="J91" s="31">
        <f>(IF(B83&gt;2,(H83/(B83+2)+J90),0))</f>
        <v>0</v>
      </c>
    </row>
    <row r="92" spans="1:10" ht="15.75" hidden="1" customHeight="1" x14ac:dyDescent="0.3">
      <c r="A92" s="106" t="s">
        <v>137</v>
      </c>
      <c r="B92" s="107" t="s">
        <v>137</v>
      </c>
      <c r="C92" s="44">
        <v>0</v>
      </c>
      <c r="D92" s="20">
        <f ca="1">((100/H83)*C92)/100</f>
        <v>0</v>
      </c>
      <c r="E92" s="176"/>
      <c r="F92" s="177"/>
      <c r="G92" s="176"/>
      <c r="H92" s="182"/>
      <c r="I92" s="14" t="s">
        <v>150</v>
      </c>
      <c r="J92" s="32">
        <f>(IF(B83&gt;3,(H83/(B83+2)+J91),0))</f>
        <v>0</v>
      </c>
    </row>
    <row r="93" spans="1:10" ht="15.75" hidden="1" customHeight="1" x14ac:dyDescent="0.3">
      <c r="A93" s="106" t="s">
        <v>144</v>
      </c>
      <c r="B93" s="107"/>
      <c r="C93" s="44">
        <v>0</v>
      </c>
      <c r="D93" s="20">
        <f ca="1">((100/H83)*C93)/100</f>
        <v>0</v>
      </c>
      <c r="E93" s="176"/>
      <c r="F93" s="177"/>
      <c r="G93" s="176"/>
      <c r="H93" s="182"/>
      <c r="I93" s="14" t="s">
        <v>151</v>
      </c>
      <c r="J93" s="31">
        <f>(IF(B83&gt;4,(H83/(B83+2)+J92),0))</f>
        <v>0</v>
      </c>
    </row>
    <row r="94" spans="1:10" ht="15.75" hidden="1" customHeight="1" x14ac:dyDescent="0.3">
      <c r="A94" s="106" t="s">
        <v>139</v>
      </c>
      <c r="B94" s="107" t="s">
        <v>139</v>
      </c>
      <c r="C94" s="44">
        <v>0</v>
      </c>
      <c r="D94" s="20">
        <f ca="1">((100/(H83))*C94)/100</f>
        <v>0</v>
      </c>
      <c r="E94" s="176"/>
      <c r="F94" s="177"/>
      <c r="G94" s="176"/>
      <c r="H94" s="182"/>
      <c r="I94" s="14" t="s">
        <v>153</v>
      </c>
      <c r="J94" s="31">
        <f ca="1">(IF(B83=1,(H83/(B83+3)+J89),IF(B83=0,(H83/4+J89),IF(B83&gt;1,0))))</f>
        <v>15</v>
      </c>
    </row>
    <row r="95" spans="1:10" ht="16.2" hidden="1" thickBot="1" x14ac:dyDescent="0.35">
      <c r="A95" s="113" t="s">
        <v>140</v>
      </c>
      <c r="B95" s="114"/>
      <c r="C95" s="45">
        <v>0</v>
      </c>
      <c r="D95" s="21">
        <f ca="1">((100/(H83))*C95)/100</f>
        <v>0</v>
      </c>
      <c r="E95" s="178"/>
      <c r="F95" s="179"/>
      <c r="G95" s="178"/>
      <c r="H95" s="183"/>
      <c r="I95" s="16" t="s">
        <v>108</v>
      </c>
      <c r="J95" s="33">
        <f ca="1">(IF(B83&gt;1.5,(H83/(B83+2)+J89+MAX(0,J90-J89)+MAX(0,J91-J90)+MAX(0,J92-J91)+MAX(0,J93-J92)+MAX(0,J94-J93)),IF(B83=1,(H83/(B83+3)+J94),IF(B83=0,H83/4+J94))))</f>
        <v>20</v>
      </c>
    </row>
    <row r="96" spans="1:10" ht="15.75" hidden="1" customHeight="1" x14ac:dyDescent="0.3">
      <c r="A96" s="126" t="s">
        <v>146</v>
      </c>
      <c r="B96" s="127"/>
      <c r="C96" s="128" t="str">
        <f>D60</f>
        <v>C Wing = G + 1st to 20th Floor</v>
      </c>
      <c r="D96" s="129"/>
      <c r="E96" s="129"/>
      <c r="F96" s="129"/>
      <c r="G96" s="129"/>
      <c r="H96" s="130"/>
      <c r="I96" s="49" t="str">
        <f ca="1">IF(D109=100%,"All work Completed. Possession granted to the Building.",IF(D108=100%,"All work Completed, Waiting for OC",I97&amp;""&amp;I98&amp;""&amp;J97&amp;""&amp;J96&amp;" "&amp;J98))</f>
        <v xml:space="preserve">Excavation, Plinth, RCC Slab Completed </v>
      </c>
      <c r="J96" s="50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0" hidden="1" x14ac:dyDescent="0.3">
      <c r="A97" s="17" t="s">
        <v>148</v>
      </c>
      <c r="B97" s="15">
        <v>0</v>
      </c>
      <c r="C97" s="46" t="s">
        <v>75</v>
      </c>
      <c r="D97" s="46">
        <v>1</v>
      </c>
      <c r="E97" s="46" t="s">
        <v>74</v>
      </c>
      <c r="F97" s="15">
        <v>0</v>
      </c>
      <c r="G97" s="47" t="s">
        <v>83</v>
      </c>
      <c r="H97" s="18">
        <f ca="1">--TRIM(RIGHT(SUBSTITUTE(LEFT(C96,_xlfn.AGGREGATE(16,6,FIND({0,1,2,3,4,5,6,7,8,9},C96,ROW(INDIRECT("1:"&amp;LEN(C96)))),1))," ",REPT(" ",LEN(C96))),LEN(C96)))</f>
        <v>20</v>
      </c>
      <c r="I97" s="51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</v>
      </c>
      <c r="J97" s="52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3" hidden="1" customHeight="1" x14ac:dyDescent="0.3">
      <c r="A98" s="191" t="s">
        <v>93</v>
      </c>
      <c r="B98" s="143"/>
      <c r="C98" s="119" t="str">
        <f ca="1">(IF($C$53=C96,"All work Completed. OC Received.",I96))</f>
        <v xml:space="preserve">Excavation, Plinth, RCC Slab Completed </v>
      </c>
      <c r="D98" s="119"/>
      <c r="E98" s="119"/>
      <c r="F98" s="119"/>
      <c r="G98" s="119"/>
      <c r="H98" s="120"/>
      <c r="I98" s="51" t="str">
        <f ca="1">IF(I97&lt;&gt;""," Completed","")</f>
        <v xml:space="preserve"> Completed</v>
      </c>
      <c r="J98" s="52" t="str">
        <f ca="1">IF(J96&lt;&gt;"","Completed","")</f>
        <v/>
      </c>
    </row>
    <row r="99" spans="1:10" ht="15.75" hidden="1" customHeight="1" x14ac:dyDescent="0.3">
      <c r="A99" s="106" t="s">
        <v>51</v>
      </c>
      <c r="B99" s="107"/>
      <c r="C99" s="44" t="s">
        <v>145</v>
      </c>
      <c r="D99" s="44" t="s">
        <v>86</v>
      </c>
      <c r="E99" s="107" t="s">
        <v>88</v>
      </c>
      <c r="F99" s="107"/>
      <c r="G99" s="107" t="s">
        <v>87</v>
      </c>
      <c r="H99" s="117"/>
      <c r="I99" s="14" t="s">
        <v>147</v>
      </c>
      <c r="J99" s="29">
        <f ca="1">H97*25%</f>
        <v>5</v>
      </c>
    </row>
    <row r="100" spans="1:10" hidden="1" x14ac:dyDescent="0.3">
      <c r="A100" s="106" t="s">
        <v>134</v>
      </c>
      <c r="B100" s="107"/>
      <c r="C100" s="44">
        <f ca="1">J101</f>
        <v>20</v>
      </c>
      <c r="D100" s="20">
        <f ca="1">((100/H97)*C100)/100</f>
        <v>1</v>
      </c>
      <c r="E100" s="174">
        <f ca="1">(((C101/H97*10)+(40/(D97+F97+H97)*C102)+(7.5/(H97)*C103)+(7.5/(H97)*C104)+(10/H97*C105)+(10/H97*C106)+(5/H97*C107)+(5/H97*C108)+(5/H97*C109))/100)</f>
        <v>0.5</v>
      </c>
      <c r="F100" s="175"/>
      <c r="G100" s="174">
        <f ca="1">((((C100/H97)*20)+((C101/H97)*25)+(30/(H97+F97+D97)*C102)+(5/H97*C103)+(5/H97*C104)+(5/H97*C105)+(5/H97*C106)+(0/H97*C107)+(0/H97*C108)+(5/H97*C109))/100)</f>
        <v>0.75</v>
      </c>
      <c r="H100" s="181"/>
      <c r="I100" s="14" t="s">
        <v>104</v>
      </c>
      <c r="J100" s="30">
        <f ca="1">H97*50%</f>
        <v>10</v>
      </c>
    </row>
    <row r="101" spans="1:10" hidden="1" x14ac:dyDescent="0.3">
      <c r="A101" s="106" t="s">
        <v>52</v>
      </c>
      <c r="B101" s="107"/>
      <c r="C101" s="44">
        <f ca="1">J109</f>
        <v>20</v>
      </c>
      <c r="D101" s="20">
        <f ca="1">((100/H97)*C101)/100</f>
        <v>1</v>
      </c>
      <c r="E101" s="176"/>
      <c r="F101" s="177"/>
      <c r="G101" s="176"/>
      <c r="H101" s="182"/>
      <c r="I101" s="14" t="s">
        <v>105</v>
      </c>
      <c r="J101" s="30">
        <f ca="1">H97</f>
        <v>20</v>
      </c>
    </row>
    <row r="102" spans="1:10" ht="15.75" hidden="1" customHeight="1" x14ac:dyDescent="0.3">
      <c r="A102" s="106" t="s">
        <v>135</v>
      </c>
      <c r="B102" s="107"/>
      <c r="C102" s="44">
        <f ca="1">D97+H97</f>
        <v>21</v>
      </c>
      <c r="D102" s="20">
        <f ca="1">((100/(D97+F97+H97))*C102)/100</f>
        <v>1</v>
      </c>
      <c r="E102" s="176"/>
      <c r="F102" s="177"/>
      <c r="G102" s="176"/>
      <c r="H102" s="182"/>
      <c r="I102" s="14" t="s">
        <v>106</v>
      </c>
      <c r="J102" s="31">
        <f ca="1">(IF(B97&gt;1,(H97/(B97+2)),H97/4))</f>
        <v>5</v>
      </c>
    </row>
    <row r="103" spans="1:10" ht="15.75" hidden="1" customHeight="1" x14ac:dyDescent="0.3">
      <c r="A103" s="106" t="s">
        <v>142</v>
      </c>
      <c r="B103" s="107" t="s">
        <v>136</v>
      </c>
      <c r="C103" s="44">
        <v>0</v>
      </c>
      <c r="D103" s="20">
        <f ca="1">((100/H97)*C103)/100</f>
        <v>0</v>
      </c>
      <c r="E103" s="176"/>
      <c r="F103" s="177"/>
      <c r="G103" s="176"/>
      <c r="H103" s="182"/>
      <c r="I103" s="14" t="s">
        <v>107</v>
      </c>
      <c r="J103" s="31">
        <f ca="1">(IF(B97&gt;1,(H97/(B97+2)+J102),H97/4+J102))</f>
        <v>10</v>
      </c>
    </row>
    <row r="104" spans="1:10" ht="15.75" hidden="1" customHeight="1" x14ac:dyDescent="0.3">
      <c r="A104" s="106" t="s">
        <v>143</v>
      </c>
      <c r="B104" s="107" t="s">
        <v>136</v>
      </c>
      <c r="C104" s="44">
        <v>0</v>
      </c>
      <c r="D104" s="20">
        <f ca="1">((100/H97)*C104)/100</f>
        <v>0</v>
      </c>
      <c r="E104" s="176"/>
      <c r="F104" s="177"/>
      <c r="G104" s="176"/>
      <c r="H104" s="182"/>
      <c r="I104" s="14" t="s">
        <v>152</v>
      </c>
      <c r="J104" s="31">
        <f>(IF(B97&gt;1,(H97/(B97+2)+J103),0))</f>
        <v>0</v>
      </c>
    </row>
    <row r="105" spans="1:10" ht="15" hidden="1" customHeight="1" x14ac:dyDescent="0.3">
      <c r="A105" s="106" t="s">
        <v>141</v>
      </c>
      <c r="B105" s="107" t="s">
        <v>138</v>
      </c>
      <c r="C105" s="44">
        <v>0</v>
      </c>
      <c r="D105" s="20">
        <f ca="1">((100/(H97))*C105)/100</f>
        <v>0</v>
      </c>
      <c r="E105" s="176"/>
      <c r="F105" s="177"/>
      <c r="G105" s="176"/>
      <c r="H105" s="182"/>
      <c r="I105" s="14" t="s">
        <v>149</v>
      </c>
      <c r="J105" s="31">
        <f>(IF(B97&gt;2,(H97/(B97+2)+J104),0))</f>
        <v>0</v>
      </c>
    </row>
    <row r="106" spans="1:10" ht="15.75" hidden="1" customHeight="1" x14ac:dyDescent="0.3">
      <c r="A106" s="106" t="s">
        <v>137</v>
      </c>
      <c r="B106" s="107" t="s">
        <v>137</v>
      </c>
      <c r="C106" s="44">
        <v>0</v>
      </c>
      <c r="D106" s="20">
        <f ca="1">((100/H97)*C106)/100</f>
        <v>0</v>
      </c>
      <c r="E106" s="176"/>
      <c r="F106" s="177"/>
      <c r="G106" s="176"/>
      <c r="H106" s="182"/>
      <c r="I106" s="14" t="s">
        <v>150</v>
      </c>
      <c r="J106" s="32">
        <f>(IF(B97&gt;3,(H97/(B97+2)+J105),0))</f>
        <v>0</v>
      </c>
    </row>
    <row r="107" spans="1:10" ht="15.75" hidden="1" customHeight="1" x14ac:dyDescent="0.3">
      <c r="A107" s="106" t="s">
        <v>144</v>
      </c>
      <c r="B107" s="107"/>
      <c r="C107" s="44">
        <v>0</v>
      </c>
      <c r="D107" s="20">
        <f ca="1">((100/H97)*C107)/100</f>
        <v>0</v>
      </c>
      <c r="E107" s="176"/>
      <c r="F107" s="177"/>
      <c r="G107" s="176"/>
      <c r="H107" s="182"/>
      <c r="I107" s="14" t="s">
        <v>151</v>
      </c>
      <c r="J107" s="31">
        <f>(IF(B97&gt;4,(H97/(B97+2)+J106),0))</f>
        <v>0</v>
      </c>
    </row>
    <row r="108" spans="1:10" ht="15.75" hidden="1" customHeight="1" x14ac:dyDescent="0.3">
      <c r="A108" s="106" t="s">
        <v>139</v>
      </c>
      <c r="B108" s="107" t="s">
        <v>139</v>
      </c>
      <c r="C108" s="44">
        <v>0</v>
      </c>
      <c r="D108" s="20">
        <f ca="1">((100/(H97))*C108)/100</f>
        <v>0</v>
      </c>
      <c r="E108" s="176"/>
      <c r="F108" s="177"/>
      <c r="G108" s="176"/>
      <c r="H108" s="182"/>
      <c r="I108" s="14" t="s">
        <v>153</v>
      </c>
      <c r="J108" s="31">
        <f ca="1">(IF(B97=1,(H97/(B97+3)+J103),IF(B97=0,(H97/4+J103),IF(B97&gt;1,0))))</f>
        <v>15</v>
      </c>
    </row>
    <row r="109" spans="1:10" ht="16.2" hidden="1" thickBot="1" x14ac:dyDescent="0.35">
      <c r="A109" s="113" t="s">
        <v>140</v>
      </c>
      <c r="B109" s="114"/>
      <c r="C109" s="45">
        <v>0</v>
      </c>
      <c r="D109" s="21">
        <f ca="1">((100/(H97))*C109)/100</f>
        <v>0</v>
      </c>
      <c r="E109" s="178"/>
      <c r="F109" s="179"/>
      <c r="G109" s="178"/>
      <c r="H109" s="183"/>
      <c r="I109" s="16" t="s">
        <v>108</v>
      </c>
      <c r="J109" s="33">
        <f ca="1">(IF(B97&gt;1.5,(H97/(B97+2)+J103+MAX(0,J104-J103)+MAX(0,J105-J104)+MAX(0,J106-J105)+MAX(0,J107-J106)+MAX(0,J108-J107)),IF(B97=1,(H97/(B97+3)+J108),IF(B97=0,H97/4+J108))))</f>
        <v>20</v>
      </c>
    </row>
    <row r="110" spans="1:10" x14ac:dyDescent="0.3">
      <c r="A110" s="118" t="s">
        <v>164</v>
      </c>
      <c r="B110" s="118"/>
      <c r="C110" s="118"/>
      <c r="D110" s="118"/>
      <c r="E110" s="118"/>
      <c r="F110" s="180" t="s">
        <v>167</v>
      </c>
      <c r="G110" s="180"/>
      <c r="H110" s="180"/>
    </row>
    <row r="111" spans="1:10" x14ac:dyDescent="0.3">
      <c r="A111" s="77" t="s">
        <v>166</v>
      </c>
      <c r="B111" s="77"/>
      <c r="C111" s="77"/>
      <c r="D111" s="77"/>
      <c r="E111" s="77"/>
      <c r="F111" s="108">
        <v>12000</v>
      </c>
      <c r="G111" s="109"/>
      <c r="H111" s="110"/>
    </row>
    <row r="112" spans="1:10" x14ac:dyDescent="0.3">
      <c r="A112" s="77" t="s">
        <v>165</v>
      </c>
      <c r="B112" s="77"/>
      <c r="C112" s="77"/>
      <c r="D112" s="77"/>
      <c r="E112" s="77"/>
      <c r="F112" s="116">
        <v>20000</v>
      </c>
      <c r="G112" s="116"/>
      <c r="H112" s="116"/>
    </row>
    <row r="113" spans="1:8" s="34" customFormat="1" x14ac:dyDescent="0.25">
      <c r="A113" s="77" t="s">
        <v>201</v>
      </c>
      <c r="B113" s="77"/>
      <c r="C113" s="77"/>
      <c r="D113" s="77"/>
      <c r="E113" s="77"/>
      <c r="F113" s="116">
        <v>30</v>
      </c>
      <c r="G113" s="116"/>
      <c r="H113" s="116"/>
    </row>
    <row r="114" spans="1:8" s="34" customFormat="1" x14ac:dyDescent="0.25">
      <c r="A114" s="77" t="s">
        <v>98</v>
      </c>
      <c r="B114" s="77"/>
      <c r="C114" s="77"/>
      <c r="D114" s="77"/>
      <c r="E114" s="77"/>
      <c r="F114" s="116">
        <v>400000</v>
      </c>
      <c r="G114" s="116"/>
      <c r="H114" s="116"/>
    </row>
    <row r="115" spans="1:8" s="34" customFormat="1" x14ac:dyDescent="0.25">
      <c r="A115" s="77" t="s">
        <v>99</v>
      </c>
      <c r="B115" s="77"/>
      <c r="C115" s="77"/>
      <c r="D115" s="77"/>
      <c r="E115" s="77"/>
      <c r="F115" s="116">
        <v>200000</v>
      </c>
      <c r="G115" s="116"/>
      <c r="H115" s="116"/>
    </row>
    <row r="116" spans="1:8" s="34" customFormat="1" hidden="1" x14ac:dyDescent="0.25">
      <c r="A116" s="77" t="s">
        <v>168</v>
      </c>
      <c r="B116" s="77"/>
      <c r="C116" s="77"/>
      <c r="D116" s="77"/>
      <c r="E116" s="77"/>
      <c r="F116" s="116"/>
      <c r="G116" s="116"/>
      <c r="H116" s="116"/>
    </row>
    <row r="117" spans="1:8" s="34" customFormat="1" hidden="1" x14ac:dyDescent="0.25">
      <c r="A117" s="77" t="s">
        <v>100</v>
      </c>
      <c r="B117" s="77"/>
      <c r="C117" s="77"/>
      <c r="D117" s="77"/>
      <c r="E117" s="77"/>
      <c r="F117" s="116"/>
      <c r="G117" s="116"/>
      <c r="H117" s="116"/>
    </row>
    <row r="118" spans="1:8" s="34" customFormat="1" hidden="1" x14ac:dyDescent="0.25">
      <c r="A118" s="77" t="s">
        <v>101</v>
      </c>
      <c r="B118" s="77"/>
      <c r="C118" s="77"/>
      <c r="D118" s="77"/>
      <c r="E118" s="77"/>
      <c r="F118" s="116"/>
      <c r="G118" s="116"/>
      <c r="H118" s="116"/>
    </row>
    <row r="119" spans="1:8" s="34" customFormat="1" x14ac:dyDescent="0.25">
      <c r="A119" s="77" t="s">
        <v>102</v>
      </c>
      <c r="B119" s="77"/>
      <c r="C119" s="77"/>
      <c r="D119" s="77"/>
      <c r="E119" s="77"/>
      <c r="F119" s="116">
        <v>100000</v>
      </c>
      <c r="G119" s="116"/>
      <c r="H119" s="116"/>
    </row>
    <row r="120" spans="1:8" s="34" customFormat="1" hidden="1" x14ac:dyDescent="0.25">
      <c r="A120" s="77" t="s">
        <v>103</v>
      </c>
      <c r="B120" s="77"/>
      <c r="C120" s="77"/>
      <c r="D120" s="77"/>
      <c r="E120" s="77"/>
      <c r="F120" s="116"/>
      <c r="G120" s="116"/>
      <c r="H120" s="116"/>
    </row>
    <row r="121" spans="1:8" x14ac:dyDescent="0.3">
      <c r="A121" s="77" t="s">
        <v>53</v>
      </c>
      <c r="B121" s="77"/>
      <c r="C121" s="77"/>
      <c r="D121" s="77"/>
      <c r="E121" s="77"/>
      <c r="F121" s="116">
        <v>600000</v>
      </c>
      <c r="G121" s="116"/>
      <c r="H121" s="116"/>
    </row>
    <row r="122" spans="1:8" s="35" customFormat="1" x14ac:dyDescent="0.3">
      <c r="A122" s="138" t="s">
        <v>54</v>
      </c>
      <c r="B122" s="138"/>
      <c r="C122" s="138"/>
      <c r="D122" s="138"/>
      <c r="E122" s="138"/>
      <c r="F122" s="116">
        <f>F111*0.8</f>
        <v>9600</v>
      </c>
      <c r="G122" s="116"/>
      <c r="H122" s="116"/>
    </row>
    <row r="123" spans="1:8" s="36" customFormat="1" ht="15.75" customHeight="1" x14ac:dyDescent="0.3">
      <c r="A123" s="137" t="s">
        <v>78</v>
      </c>
      <c r="B123" s="137"/>
      <c r="C123" s="137"/>
      <c r="D123" s="137"/>
      <c r="E123" s="137"/>
      <c r="F123" s="137"/>
      <c r="G123" s="137"/>
      <c r="H123" s="137"/>
    </row>
    <row r="124" spans="1:8" s="36" customFormat="1" ht="15.75" customHeight="1" x14ac:dyDescent="0.3">
      <c r="A124" s="97" t="s">
        <v>55</v>
      </c>
      <c r="B124" s="97"/>
      <c r="C124" s="115" t="s">
        <v>81</v>
      </c>
      <c r="D124" s="115"/>
      <c r="E124" s="140" t="s">
        <v>56</v>
      </c>
      <c r="F124" s="140"/>
      <c r="G124" s="97" t="s">
        <v>57</v>
      </c>
      <c r="H124" s="97"/>
    </row>
    <row r="125" spans="1:8" s="36" customFormat="1" x14ac:dyDescent="0.3">
      <c r="A125" s="139" t="s">
        <v>193</v>
      </c>
      <c r="B125" s="139"/>
      <c r="C125" s="170">
        <f>COUNT(D134:D143)</f>
        <v>10</v>
      </c>
      <c r="D125" s="198"/>
      <c r="E125" s="111">
        <f>SUM(D134:D143)</f>
        <v>4522.1716799999995</v>
      </c>
      <c r="F125" s="112"/>
      <c r="G125" s="111">
        <f>SUM(F134:F143)</f>
        <v>7235.4746880000002</v>
      </c>
      <c r="H125" s="112"/>
    </row>
    <row r="126" spans="1:8" s="36" customFormat="1" x14ac:dyDescent="0.3">
      <c r="A126" s="137" t="s">
        <v>73</v>
      </c>
      <c r="B126" s="137"/>
      <c r="C126" s="137"/>
      <c r="D126" s="137"/>
      <c r="E126" s="137"/>
      <c r="F126" s="137"/>
      <c r="G126" s="137"/>
      <c r="H126" s="137"/>
    </row>
    <row r="127" spans="1:8" s="36" customFormat="1" ht="15.75" customHeight="1" x14ac:dyDescent="0.3">
      <c r="A127" s="97" t="s">
        <v>55</v>
      </c>
      <c r="B127" s="97"/>
      <c r="C127" s="115" t="s">
        <v>81</v>
      </c>
      <c r="D127" s="115"/>
      <c r="E127" s="140" t="s">
        <v>56</v>
      </c>
      <c r="F127" s="140"/>
      <c r="G127" s="97" t="s">
        <v>57</v>
      </c>
      <c r="H127" s="97"/>
    </row>
    <row r="128" spans="1:8" s="36" customFormat="1" x14ac:dyDescent="0.3">
      <c r="A128" s="139" t="s">
        <v>197</v>
      </c>
      <c r="B128" s="139"/>
      <c r="C128" s="170">
        <f>COUNT(D150:D152)*23+COUNT(D154:D156)</f>
        <v>72</v>
      </c>
      <c r="D128" s="170"/>
      <c r="E128" s="111">
        <f>SUM(D150:D152)*23+SUM(D154:D156)</f>
        <v>53181.115158599998</v>
      </c>
      <c r="F128" s="111"/>
      <c r="G128" s="111">
        <f>SUM(F150:F152)*23+SUM(F154:F156)</f>
        <v>82653.344161829998</v>
      </c>
      <c r="H128" s="111"/>
    </row>
    <row r="129" spans="1:14" s="35" customFormat="1" x14ac:dyDescent="0.3">
      <c r="A129" s="131" t="s">
        <v>58</v>
      </c>
      <c r="B129" s="131"/>
      <c r="C129" s="131"/>
      <c r="D129" s="131"/>
      <c r="E129" s="131"/>
      <c r="F129" s="131"/>
      <c r="G129" s="131"/>
      <c r="H129" s="131"/>
    </row>
    <row r="130" spans="1:14" x14ac:dyDescent="0.3">
      <c r="A130" s="131" t="s">
        <v>59</v>
      </c>
      <c r="B130" s="131"/>
      <c r="C130" s="131"/>
      <c r="D130" s="131"/>
      <c r="E130" s="131"/>
      <c r="F130" s="131"/>
      <c r="G130" s="131"/>
      <c r="H130" s="131"/>
    </row>
    <row r="131" spans="1:14" ht="47.25" customHeight="1" x14ac:dyDescent="0.3">
      <c r="A131" s="98" t="s">
        <v>123</v>
      </c>
      <c r="B131" s="98" t="s">
        <v>122</v>
      </c>
      <c r="C131" s="98" t="s">
        <v>60</v>
      </c>
      <c r="D131" s="98" t="s">
        <v>61</v>
      </c>
      <c r="E131" s="100" t="s">
        <v>163</v>
      </c>
      <c r="F131" s="43" t="s">
        <v>157</v>
      </c>
      <c r="G131" s="102" t="s">
        <v>63</v>
      </c>
      <c r="H131" s="103"/>
    </row>
    <row r="132" spans="1:14" s="48" customFormat="1" x14ac:dyDescent="0.3">
      <c r="A132" s="99"/>
      <c r="B132" s="99"/>
      <c r="C132" s="99"/>
      <c r="D132" s="99"/>
      <c r="E132" s="101"/>
      <c r="F132" s="13">
        <v>0.6</v>
      </c>
      <c r="G132" s="104"/>
      <c r="H132" s="105"/>
    </row>
    <row r="133" spans="1:14" s="48" customFormat="1" x14ac:dyDescent="0.3">
      <c r="A133" s="171" t="s">
        <v>192</v>
      </c>
      <c r="B133" s="172"/>
      <c r="C133" s="172"/>
      <c r="D133" s="172"/>
      <c r="E133" s="172"/>
      <c r="F133" s="172"/>
      <c r="G133" s="172"/>
      <c r="H133" s="173"/>
      <c r="J133" s="37"/>
    </row>
    <row r="134" spans="1:14" s="48" customFormat="1" ht="15.75" customHeight="1" x14ac:dyDescent="0.3">
      <c r="A134" s="184">
        <v>1</v>
      </c>
      <c r="B134" s="186"/>
      <c r="C134" s="42" t="s">
        <v>193</v>
      </c>
      <c r="D134" s="56">
        <f>(35.144)*10.764</f>
        <v>378.29001599999998</v>
      </c>
      <c r="E134" s="42">
        <v>0</v>
      </c>
      <c r="F134" s="42">
        <f>(D134+E134)*(($F$132)+1)</f>
        <v>605.26402559999997</v>
      </c>
      <c r="G134" s="64" t="str">
        <f>A133</f>
        <v>Ground Floor For Commercial</v>
      </c>
      <c r="H134" s="65"/>
      <c r="I134" s="37">
        <f>3.2*10.715</f>
        <v>34.288000000000004</v>
      </c>
      <c r="J134" s="37">
        <v>10.763999999999999</v>
      </c>
      <c r="L134" s="62"/>
      <c r="M134" s="62"/>
      <c r="N134" s="37"/>
    </row>
    <row r="135" spans="1:14" s="48" customFormat="1" ht="15.75" customHeight="1" x14ac:dyDescent="0.3">
      <c r="A135" s="184">
        <f t="shared" ref="A135:A143" si="0">A134+1</f>
        <v>2</v>
      </c>
      <c r="B135" s="186"/>
      <c r="C135" s="42" t="s">
        <v>193</v>
      </c>
      <c r="D135" s="56">
        <f>(35.144)*10.764</f>
        <v>378.29001599999998</v>
      </c>
      <c r="E135" s="42">
        <v>0</v>
      </c>
      <c r="F135" s="42">
        <f t="shared" ref="F135:F137" si="1">(D135+E135)*(($F$132)+1)</f>
        <v>605.26402559999997</v>
      </c>
      <c r="G135" s="66"/>
      <c r="H135" s="67"/>
      <c r="I135" s="37"/>
      <c r="L135" s="62"/>
      <c r="M135" s="62"/>
      <c r="N135" s="37"/>
    </row>
    <row r="136" spans="1:14" s="48" customFormat="1" ht="15.75" customHeight="1" x14ac:dyDescent="0.3">
      <c r="A136" s="184">
        <f t="shared" si="0"/>
        <v>3</v>
      </c>
      <c r="B136" s="186"/>
      <c r="C136" s="42" t="s">
        <v>193</v>
      </c>
      <c r="D136" s="56">
        <f>(33.59)*10.764</f>
        <v>361.56276000000003</v>
      </c>
      <c r="E136" s="42">
        <v>0</v>
      </c>
      <c r="F136" s="42">
        <f t="shared" si="1"/>
        <v>578.50041600000009</v>
      </c>
      <c r="G136" s="66"/>
      <c r="H136" s="67"/>
      <c r="I136" s="37"/>
      <c r="L136" s="62"/>
      <c r="M136" s="62"/>
      <c r="N136" s="37"/>
    </row>
    <row r="137" spans="1:14" s="48" customFormat="1" ht="15.75" customHeight="1" x14ac:dyDescent="0.3">
      <c r="A137" s="184">
        <f t="shared" si="0"/>
        <v>4</v>
      </c>
      <c r="B137" s="186"/>
      <c r="C137" s="42" t="s">
        <v>193</v>
      </c>
      <c r="D137" s="56">
        <f>(34.929)*10.764</f>
        <v>375.97575599999999</v>
      </c>
      <c r="E137" s="42">
        <v>0</v>
      </c>
      <c r="F137" s="42">
        <f t="shared" si="1"/>
        <v>601.56120959999998</v>
      </c>
      <c r="G137" s="66"/>
      <c r="H137" s="67"/>
      <c r="I137" s="37"/>
      <c r="L137" s="62"/>
      <c r="M137" s="62"/>
      <c r="N137" s="37"/>
    </row>
    <row r="138" spans="1:14" s="48" customFormat="1" ht="15.75" customHeight="1" x14ac:dyDescent="0.3">
      <c r="A138" s="184">
        <f t="shared" si="0"/>
        <v>5</v>
      </c>
      <c r="B138" s="186"/>
      <c r="C138" s="42" t="s">
        <v>193</v>
      </c>
      <c r="D138" s="56">
        <f>(34.929)*10.764</f>
        <v>375.97575599999999</v>
      </c>
      <c r="E138" s="42">
        <v>0</v>
      </c>
      <c r="F138" s="42">
        <f t="shared" ref="F138:F140" si="2">(D138+E138)*(($F$132)+1)</f>
        <v>601.56120959999998</v>
      </c>
      <c r="G138" s="66"/>
      <c r="H138" s="67"/>
      <c r="I138" s="37"/>
      <c r="L138" s="62"/>
      <c r="M138" s="62"/>
      <c r="N138" s="37"/>
    </row>
    <row r="139" spans="1:14" s="48" customFormat="1" ht="15.75" customHeight="1" x14ac:dyDescent="0.3">
      <c r="A139" s="184">
        <f t="shared" si="0"/>
        <v>6</v>
      </c>
      <c r="B139" s="186"/>
      <c r="C139" s="42" t="s">
        <v>193</v>
      </c>
      <c r="D139" s="56">
        <f>(153.415)*10.764</f>
        <v>1651.3590599999998</v>
      </c>
      <c r="E139" s="42">
        <v>0</v>
      </c>
      <c r="F139" s="42">
        <f t="shared" si="2"/>
        <v>2642.1744959999996</v>
      </c>
      <c r="G139" s="66"/>
      <c r="H139" s="67"/>
      <c r="I139" s="37"/>
      <c r="L139" s="62"/>
      <c r="M139" s="62"/>
      <c r="N139" s="37"/>
    </row>
    <row r="140" spans="1:14" s="48" customFormat="1" ht="15.75" customHeight="1" x14ac:dyDescent="0.3">
      <c r="A140" s="184">
        <f t="shared" si="0"/>
        <v>7</v>
      </c>
      <c r="B140" s="186"/>
      <c r="C140" s="42" t="s">
        <v>193</v>
      </c>
      <c r="D140" s="56">
        <f>(23.203)*10.764</f>
        <v>249.75709199999997</v>
      </c>
      <c r="E140" s="42">
        <v>0</v>
      </c>
      <c r="F140" s="42">
        <f t="shared" si="2"/>
        <v>399.61134719999995</v>
      </c>
      <c r="G140" s="66"/>
      <c r="H140" s="67"/>
      <c r="I140" s="37"/>
      <c r="L140" s="62"/>
      <c r="M140" s="62"/>
      <c r="N140" s="37"/>
    </row>
    <row r="141" spans="1:14" s="48" customFormat="1" ht="15.75" customHeight="1" x14ac:dyDescent="0.3">
      <c r="A141" s="184">
        <f t="shared" si="0"/>
        <v>8</v>
      </c>
      <c r="B141" s="186"/>
      <c r="C141" s="42" t="s">
        <v>193</v>
      </c>
      <c r="D141" s="56">
        <f>(24.502)*10.764</f>
        <v>263.73952799999995</v>
      </c>
      <c r="E141" s="42">
        <v>0</v>
      </c>
      <c r="F141" s="42">
        <f t="shared" ref="F141:F142" si="3">(D141+E141)*(($F$132)+1)</f>
        <v>421.98324479999997</v>
      </c>
      <c r="G141" s="66"/>
      <c r="H141" s="67"/>
      <c r="I141" s="37"/>
      <c r="L141" s="62"/>
      <c r="M141" s="62"/>
      <c r="N141" s="37"/>
    </row>
    <row r="142" spans="1:14" s="48" customFormat="1" ht="15.75" customHeight="1" x14ac:dyDescent="0.3">
      <c r="A142" s="184">
        <f t="shared" si="0"/>
        <v>9</v>
      </c>
      <c r="B142" s="186"/>
      <c r="C142" s="42" t="s">
        <v>193</v>
      </c>
      <c r="D142" s="56">
        <f>(22.442)*10.764</f>
        <v>241.56568799999999</v>
      </c>
      <c r="E142" s="42">
        <v>0</v>
      </c>
      <c r="F142" s="42">
        <f t="shared" si="3"/>
        <v>386.50510080000004</v>
      </c>
      <c r="G142" s="66"/>
      <c r="H142" s="67"/>
      <c r="I142" s="37"/>
      <c r="L142" s="62"/>
      <c r="M142" s="62"/>
      <c r="N142" s="37"/>
    </row>
    <row r="143" spans="1:14" s="48" customFormat="1" ht="15.75" customHeight="1" x14ac:dyDescent="0.3">
      <c r="A143" s="184">
        <f t="shared" si="0"/>
        <v>10</v>
      </c>
      <c r="B143" s="186"/>
      <c r="C143" s="42" t="s">
        <v>193</v>
      </c>
      <c r="D143" s="56">
        <f>(22.822)*10.764</f>
        <v>245.65600799999999</v>
      </c>
      <c r="E143" s="42">
        <v>0</v>
      </c>
      <c r="F143" s="42">
        <f t="shared" ref="F143" si="4">(D143+E143)*(($F$132)+1)</f>
        <v>393.04961279999998</v>
      </c>
      <c r="G143" s="68"/>
      <c r="H143" s="69"/>
      <c r="I143" s="37"/>
      <c r="L143" s="62"/>
      <c r="M143" s="62"/>
      <c r="N143" s="37"/>
    </row>
    <row r="144" spans="1:14" s="48" customFormat="1" x14ac:dyDescent="0.3">
      <c r="A144" s="184"/>
      <c r="B144" s="185"/>
      <c r="C144" s="185"/>
      <c r="D144" s="185"/>
      <c r="E144" s="185"/>
      <c r="F144" s="185"/>
      <c r="G144" s="185"/>
      <c r="H144" s="186"/>
      <c r="I144" s="37"/>
      <c r="N144" s="37"/>
    </row>
    <row r="145" spans="1:14" ht="47.25" customHeight="1" x14ac:dyDescent="0.3">
      <c r="A145" s="102" t="s">
        <v>124</v>
      </c>
      <c r="B145" s="102" t="s">
        <v>125</v>
      </c>
      <c r="C145" s="98" t="s">
        <v>60</v>
      </c>
      <c r="D145" s="98" t="s">
        <v>61</v>
      </c>
      <c r="E145" s="100" t="s">
        <v>62</v>
      </c>
      <c r="F145" s="43" t="s">
        <v>157</v>
      </c>
      <c r="G145" s="102" t="s">
        <v>63</v>
      </c>
      <c r="H145" s="103"/>
      <c r="I145" s="37"/>
    </row>
    <row r="146" spans="1:14" s="48" customFormat="1" x14ac:dyDescent="0.3">
      <c r="A146" s="104"/>
      <c r="B146" s="104"/>
      <c r="C146" s="99"/>
      <c r="D146" s="99"/>
      <c r="E146" s="101"/>
      <c r="F146" s="13">
        <v>0.55000000000000004</v>
      </c>
      <c r="G146" s="104"/>
      <c r="H146" s="105"/>
      <c r="I146" s="37"/>
    </row>
    <row r="147" spans="1:14" s="48" customFormat="1" x14ac:dyDescent="0.3">
      <c r="A147" s="171" t="s">
        <v>205</v>
      </c>
      <c r="B147" s="172"/>
      <c r="C147" s="172"/>
      <c r="D147" s="172"/>
      <c r="E147" s="172"/>
      <c r="F147" s="172"/>
      <c r="G147" s="172"/>
      <c r="H147" s="173"/>
      <c r="J147" s="37"/>
    </row>
    <row r="148" spans="1:14" s="48" customFormat="1" x14ac:dyDescent="0.3">
      <c r="A148" s="171" t="s">
        <v>194</v>
      </c>
      <c r="B148" s="172"/>
      <c r="C148" s="172"/>
      <c r="D148" s="172"/>
      <c r="E148" s="172"/>
      <c r="F148" s="172"/>
      <c r="G148" s="172"/>
      <c r="H148" s="173"/>
      <c r="J148" s="37"/>
    </row>
    <row r="149" spans="1:14" s="48" customFormat="1" x14ac:dyDescent="0.3">
      <c r="A149" s="121" t="s">
        <v>206</v>
      </c>
      <c r="B149" s="121"/>
      <c r="C149" s="121"/>
      <c r="D149" s="121"/>
      <c r="E149" s="121"/>
      <c r="F149" s="121"/>
      <c r="G149" s="121"/>
      <c r="H149" s="121"/>
      <c r="I149" s="37"/>
      <c r="L149" s="62"/>
      <c r="M149" s="62"/>
    </row>
    <row r="150" spans="1:14" s="48" customFormat="1" ht="15.75" customHeight="1" x14ac:dyDescent="0.3">
      <c r="A150" s="63">
        <v>1</v>
      </c>
      <c r="B150" s="63"/>
      <c r="C150" s="54" t="s">
        <v>195</v>
      </c>
      <c r="D150" s="56">
        <f>(59.645+2.75*1.43+0.75*(2.1+3.3+3.65))*10.764</f>
        <v>757.40885999999989</v>
      </c>
      <c r="E150" s="42">
        <v>0</v>
      </c>
      <c r="F150" s="42">
        <f t="shared" ref="F150:F151" si="5">D150*(($F$146)+1)+(IF(E150&lt;101,E150,IF(E150&lt;201,E150/2,IF(E150&lt;=301,E150/3,E150/4))))</f>
        <v>1173.9837329999998</v>
      </c>
      <c r="G150" s="64" t="str">
        <f>A149</f>
        <v>5th to 27th Floor For Residential</v>
      </c>
      <c r="H150" s="65"/>
      <c r="I150" s="37"/>
      <c r="J150" s="48">
        <f>(4.25*5.15+2.45*3.505+3.35*3.3+3.2*3.65+1.945*1.35+1.35*2.3+1.35*1.2)</f>
        <v>60.560500000000005</v>
      </c>
      <c r="K150" s="48">
        <f>2*1.43</f>
        <v>2.86</v>
      </c>
      <c r="N150" s="37"/>
    </row>
    <row r="151" spans="1:14" s="48" customFormat="1" ht="15.75" customHeight="1" x14ac:dyDescent="0.3">
      <c r="A151" s="63">
        <f>A150+1</f>
        <v>2</v>
      </c>
      <c r="B151" s="63"/>
      <c r="C151" s="54" t="s">
        <v>195</v>
      </c>
      <c r="D151" s="56">
        <f>(59.403+3.085*1.43+0.75*(3.05+3.01))*10.764</f>
        <v>735.82219619999989</v>
      </c>
      <c r="E151" s="42">
        <v>0</v>
      </c>
      <c r="F151" s="42">
        <f t="shared" si="5"/>
        <v>1140.52440411</v>
      </c>
      <c r="G151" s="66"/>
      <c r="H151" s="67"/>
      <c r="I151" s="37"/>
      <c r="L151" s="55"/>
      <c r="N151" s="37"/>
    </row>
    <row r="152" spans="1:14" s="48" customFormat="1" ht="15.75" customHeight="1" x14ac:dyDescent="0.3">
      <c r="A152" s="63">
        <f>A151+1</f>
        <v>3</v>
      </c>
      <c r="B152" s="63"/>
      <c r="C152" s="54" t="s">
        <v>195</v>
      </c>
      <c r="D152" s="56">
        <f>(59.751+2*1.2+0.75*(3.2+3.2+2.66))*10.764</f>
        <v>742.13474399999996</v>
      </c>
      <c r="E152" s="42">
        <v>0</v>
      </c>
      <c r="F152" s="42">
        <f>D152*(($F$146)+1)+(IF(E152&lt;101,E152,IF(E152&lt;201,E152/2,IF(E152&lt;=301,E152/3,E152/4))))</f>
        <v>1150.3088531999999</v>
      </c>
      <c r="G152" s="68"/>
      <c r="H152" s="69"/>
      <c r="I152" s="37"/>
      <c r="N152" s="37"/>
    </row>
    <row r="153" spans="1:14" s="48" customFormat="1" x14ac:dyDescent="0.3">
      <c r="A153" s="121" t="s">
        <v>207</v>
      </c>
      <c r="B153" s="121"/>
      <c r="C153" s="121"/>
      <c r="D153" s="121"/>
      <c r="E153" s="121"/>
      <c r="F153" s="121"/>
      <c r="G153" s="121"/>
      <c r="H153" s="121"/>
      <c r="I153" s="37"/>
      <c r="L153" s="62"/>
      <c r="M153" s="62"/>
    </row>
    <row r="154" spans="1:14" s="48" customFormat="1" ht="15.75" customHeight="1" x14ac:dyDescent="0.3">
      <c r="A154" s="63">
        <v>1</v>
      </c>
      <c r="B154" s="63"/>
      <c r="C154" s="54" t="s">
        <v>208</v>
      </c>
      <c r="D154" s="56">
        <f>(48.749+0.75*(4.25+3.65))*10.764</f>
        <v>588.51093600000002</v>
      </c>
      <c r="E154" s="42">
        <f>11.557*10.764</f>
        <v>124.399548</v>
      </c>
      <c r="F154" s="42">
        <f t="shared" ref="F154:F155" si="6">D154*(($F$146)+1)+(IF(E154&lt;101,E154,IF(E154&lt;201,E154/2,IF(E154&lt;=301,E154/3,E154/4))))</f>
        <v>974.39172480000013</v>
      </c>
      <c r="G154" s="64" t="str">
        <f>A153</f>
        <v>28th Floor For Residential</v>
      </c>
      <c r="H154" s="65"/>
      <c r="I154" s="37"/>
      <c r="J154" s="48">
        <f>(4.25*5.15+2.45*3.505+3.35*3.3+3.2*3.65+1.945*1.35+1.35*2.3+1.35*1.2)</f>
        <v>60.560500000000005</v>
      </c>
      <c r="K154" s="48">
        <f>2*1.43</f>
        <v>2.86</v>
      </c>
      <c r="N154" s="37"/>
    </row>
    <row r="155" spans="1:14" s="48" customFormat="1" ht="15.75" customHeight="1" x14ac:dyDescent="0.3">
      <c r="A155" s="63">
        <f>A154+1</f>
        <v>2</v>
      </c>
      <c r="B155" s="63"/>
      <c r="C155" s="54" t="s">
        <v>208</v>
      </c>
      <c r="D155" s="56">
        <f>(49.749+0.75*(3.2+3.05))*10.764</f>
        <v>585.95448599999997</v>
      </c>
      <c r="E155" s="42">
        <f>3.01*3.05*10.764</f>
        <v>98.81890199999998</v>
      </c>
      <c r="F155" s="42">
        <f t="shared" si="6"/>
        <v>1007.0483552999999</v>
      </c>
      <c r="G155" s="66"/>
      <c r="H155" s="67"/>
      <c r="I155" s="37"/>
      <c r="L155" s="55"/>
      <c r="N155" s="37"/>
    </row>
    <row r="156" spans="1:14" s="48" customFormat="1" ht="15.75" customHeight="1" x14ac:dyDescent="0.3">
      <c r="A156" s="63">
        <f>A155+1</f>
        <v>3</v>
      </c>
      <c r="B156" s="63"/>
      <c r="C156" s="54" t="s">
        <v>208</v>
      </c>
      <c r="D156" s="56">
        <f>(48.603+0.75*(4.88+3.8))*10.764</f>
        <v>593.23633199999995</v>
      </c>
      <c r="E156" s="42">
        <f>11.445*10.764</f>
        <v>123.19398</v>
      </c>
      <c r="F156" s="42">
        <f>D156*(($F$146)+1)+(IF(E156&lt;101,E156,IF(E156&lt;201,E156/2,IF(E156&lt;=301,E156/3,E156/4))))</f>
        <v>981.11330459999999</v>
      </c>
      <c r="G156" s="68"/>
      <c r="H156" s="69"/>
      <c r="I156" s="37"/>
      <c r="N156" s="37"/>
    </row>
    <row r="157" spans="1:14" s="36" customFormat="1" x14ac:dyDescent="0.3">
      <c r="A157" s="132" t="s">
        <v>71</v>
      </c>
      <c r="B157" s="132"/>
      <c r="C157" s="132"/>
      <c r="D157" s="132"/>
      <c r="E157" s="132"/>
      <c r="F157" s="132"/>
      <c r="G157" s="132"/>
      <c r="H157" s="132"/>
    </row>
    <row r="158" spans="1:14" s="36" customFormat="1" x14ac:dyDescent="0.3">
      <c r="A158" s="61" t="s">
        <v>160</v>
      </c>
      <c r="B158" s="70" t="s">
        <v>218</v>
      </c>
      <c r="C158" s="71"/>
      <c r="D158" s="71"/>
      <c r="E158" s="71"/>
      <c r="F158" s="71"/>
      <c r="G158" s="71"/>
      <c r="H158" s="72"/>
    </row>
    <row r="159" spans="1:14" s="36" customFormat="1" x14ac:dyDescent="0.3">
      <c r="A159" s="61" t="s">
        <v>160</v>
      </c>
      <c r="B159" s="70" t="str">
        <f>(IF(F145="Saleable area Loading :","We have considered Saleable area of Flats as per our Calculation.","We considered Saleable area of Flat as per Builder area Sheet."))</f>
        <v>We have considered Saleable area of Flats as per our Calculation.</v>
      </c>
      <c r="C159" s="71"/>
      <c r="D159" s="71"/>
      <c r="E159" s="71"/>
      <c r="F159" s="71"/>
      <c r="G159" s="71"/>
      <c r="H159" s="72"/>
    </row>
    <row r="160" spans="1:14" s="36" customFormat="1" x14ac:dyDescent="0.3">
      <c r="A160" s="61" t="s">
        <v>160</v>
      </c>
      <c r="B160" s="70" t="str">
        <f>(IF(F131="Saleable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0" s="71"/>
      <c r="D160" s="71"/>
      <c r="E160" s="71"/>
      <c r="F160" s="71"/>
      <c r="G160" s="71"/>
      <c r="H160" s="72"/>
    </row>
    <row r="161" spans="1:8" s="36" customFormat="1" x14ac:dyDescent="0.3">
      <c r="A161" s="61" t="s">
        <v>160</v>
      </c>
      <c r="B161" s="70" t="s">
        <v>129</v>
      </c>
      <c r="C161" s="71"/>
      <c r="D161" s="71"/>
      <c r="E161" s="71"/>
      <c r="F161" s="71"/>
      <c r="G161" s="71"/>
      <c r="H161" s="72"/>
    </row>
    <row r="162" spans="1:8" s="36" customFormat="1" x14ac:dyDescent="0.3">
      <c r="A162" s="61" t="s">
        <v>160</v>
      </c>
      <c r="B162" s="70" t="s">
        <v>196</v>
      </c>
      <c r="C162" s="71"/>
      <c r="D162" s="71"/>
      <c r="E162" s="71"/>
      <c r="F162" s="71"/>
      <c r="G162" s="71"/>
      <c r="H162" s="72"/>
    </row>
    <row r="163" spans="1:8" s="36" customFormat="1" x14ac:dyDescent="0.3">
      <c r="A163" s="61" t="s">
        <v>160</v>
      </c>
      <c r="B163" s="70" t="s">
        <v>159</v>
      </c>
      <c r="C163" s="71"/>
      <c r="D163" s="71"/>
      <c r="E163" s="71"/>
      <c r="F163" s="71"/>
      <c r="G163" s="71"/>
      <c r="H163" s="72"/>
    </row>
    <row r="164" spans="1:8" s="36" customFormat="1" x14ac:dyDescent="0.3">
      <c r="A164" s="61" t="s">
        <v>160</v>
      </c>
      <c r="B164" s="70" t="s">
        <v>130</v>
      </c>
      <c r="C164" s="71"/>
      <c r="D164" s="71"/>
      <c r="E164" s="71"/>
      <c r="F164" s="71"/>
      <c r="G164" s="71"/>
      <c r="H164" s="72"/>
    </row>
    <row r="165" spans="1:8" s="36" customFormat="1" ht="34.5" customHeight="1" x14ac:dyDescent="0.3">
      <c r="A165" s="61" t="s">
        <v>160</v>
      </c>
      <c r="B165" s="70" t="s">
        <v>161</v>
      </c>
      <c r="C165" s="71"/>
      <c r="D165" s="71"/>
      <c r="E165" s="71"/>
      <c r="F165" s="71"/>
      <c r="G165" s="71"/>
      <c r="H165" s="72"/>
    </row>
    <row r="166" spans="1:8" s="36" customFormat="1" x14ac:dyDescent="0.3">
      <c r="A166" s="61" t="s">
        <v>160</v>
      </c>
      <c r="B166" s="70" t="s">
        <v>131</v>
      </c>
      <c r="C166" s="71"/>
      <c r="D166" s="71"/>
      <c r="E166" s="71"/>
      <c r="F166" s="71"/>
      <c r="G166" s="71"/>
      <c r="H166" s="72"/>
    </row>
    <row r="167" spans="1:8" s="36" customFormat="1" hidden="1" x14ac:dyDescent="0.3">
      <c r="A167" s="61" t="s">
        <v>160</v>
      </c>
      <c r="B167" s="70" t="s">
        <v>211</v>
      </c>
      <c r="C167" s="71"/>
      <c r="D167" s="71"/>
      <c r="E167" s="71"/>
      <c r="F167" s="71"/>
      <c r="G167" s="71"/>
      <c r="H167" s="72"/>
    </row>
    <row r="168" spans="1:8" s="36" customFormat="1" x14ac:dyDescent="0.3">
      <c r="A168" s="61" t="s">
        <v>160</v>
      </c>
      <c r="B168" s="70" t="s">
        <v>210</v>
      </c>
      <c r="C168" s="71"/>
      <c r="D168" s="71"/>
      <c r="E168" s="71"/>
      <c r="F168" s="71"/>
      <c r="G168" s="71"/>
      <c r="H168" s="72"/>
    </row>
    <row r="169" spans="1:8" x14ac:dyDescent="0.3">
      <c r="A169" s="90" t="s">
        <v>64</v>
      </c>
      <c r="B169" s="90"/>
      <c r="C169" s="90"/>
      <c r="D169" s="90"/>
      <c r="E169" s="90"/>
      <c r="F169" s="90"/>
      <c r="G169" s="90"/>
      <c r="H169" s="90"/>
    </row>
    <row r="170" spans="1:8" x14ac:dyDescent="0.3">
      <c r="A170" s="77" t="s">
        <v>65</v>
      </c>
      <c r="B170" s="77"/>
      <c r="C170" s="77"/>
      <c r="D170" s="77"/>
      <c r="E170" s="77"/>
      <c r="F170" s="77"/>
      <c r="G170" s="77"/>
      <c r="H170" s="77"/>
    </row>
    <row r="171" spans="1:8" ht="15.75" customHeight="1" x14ac:dyDescent="0.3">
      <c r="A171" s="96" t="s">
        <v>66</v>
      </c>
      <c r="B171" s="96"/>
      <c r="C171" s="96"/>
      <c r="D171" s="96"/>
      <c r="E171" s="96"/>
      <c r="F171" s="96"/>
      <c r="G171" s="96"/>
      <c r="H171" s="96"/>
    </row>
    <row r="172" spans="1:8" x14ac:dyDescent="0.3">
      <c r="A172" s="77" t="s">
        <v>67</v>
      </c>
      <c r="B172" s="77"/>
      <c r="C172" s="77"/>
      <c r="D172" s="77"/>
      <c r="E172" s="77"/>
      <c r="F172" s="77"/>
      <c r="G172" s="77"/>
      <c r="H172" s="77"/>
    </row>
    <row r="173" spans="1:8" x14ac:dyDescent="0.3">
      <c r="A173" s="77" t="s">
        <v>68</v>
      </c>
      <c r="B173" s="77"/>
      <c r="C173" s="77"/>
      <c r="D173" s="77"/>
      <c r="E173" s="77"/>
      <c r="F173" s="77"/>
      <c r="G173" s="77"/>
      <c r="H173" s="77"/>
    </row>
    <row r="174" spans="1:8" x14ac:dyDescent="0.3">
      <c r="A174" s="77" t="s">
        <v>132</v>
      </c>
      <c r="B174" s="77"/>
      <c r="C174" s="77"/>
      <c r="D174" s="77"/>
      <c r="E174" s="77"/>
      <c r="F174" s="77"/>
      <c r="G174" s="77"/>
      <c r="H174" s="77"/>
    </row>
    <row r="175" spans="1:8" ht="35.25" customHeight="1" x14ac:dyDescent="0.3">
      <c r="A175" s="91" t="s">
        <v>133</v>
      </c>
      <c r="B175" s="91"/>
      <c r="C175" s="91"/>
      <c r="D175" s="91"/>
      <c r="E175" s="91"/>
      <c r="F175" s="91"/>
      <c r="G175" s="91"/>
      <c r="H175" s="91"/>
    </row>
    <row r="176" spans="1:8" x14ac:dyDescent="0.3">
      <c r="A176" s="136" t="s">
        <v>80</v>
      </c>
      <c r="B176" s="136"/>
      <c r="C176" s="136" t="s">
        <v>217</v>
      </c>
      <c r="D176" s="136"/>
      <c r="E176" s="136" t="s">
        <v>109</v>
      </c>
      <c r="F176" s="136"/>
      <c r="G176" s="136" t="s">
        <v>219</v>
      </c>
      <c r="H176" s="136"/>
    </row>
    <row r="177" spans="1:8" x14ac:dyDescent="0.3">
      <c r="A177" s="135" t="s">
        <v>82</v>
      </c>
      <c r="B177" s="135"/>
      <c r="C177" s="135"/>
      <c r="D177" s="135"/>
      <c r="E177" s="135"/>
      <c r="F177" s="135"/>
      <c r="G177" s="135"/>
      <c r="H177" s="135"/>
    </row>
    <row r="178" spans="1:8" x14ac:dyDescent="0.3">
      <c r="A178" s="135"/>
      <c r="B178" s="135"/>
      <c r="C178" s="135"/>
      <c r="D178" s="135"/>
      <c r="E178" s="135"/>
      <c r="F178" s="135"/>
      <c r="G178" s="135"/>
      <c r="H178" s="135"/>
    </row>
    <row r="179" spans="1:8" x14ac:dyDescent="0.3">
      <c r="A179" s="135"/>
      <c r="B179" s="135"/>
      <c r="C179" s="135"/>
      <c r="D179" s="135"/>
      <c r="E179" s="135"/>
      <c r="F179" s="135"/>
      <c r="G179" s="135"/>
      <c r="H179" s="135"/>
    </row>
    <row r="180" spans="1:8" x14ac:dyDescent="0.3">
      <c r="A180" s="135"/>
      <c r="B180" s="135"/>
      <c r="C180" s="135"/>
      <c r="D180" s="135"/>
      <c r="E180" s="135"/>
      <c r="F180" s="135"/>
      <c r="G180" s="135"/>
      <c r="H180" s="135"/>
    </row>
    <row r="181" spans="1:8" x14ac:dyDescent="0.3">
      <c r="A181" s="38" t="s">
        <v>69</v>
      </c>
      <c r="B181" s="39"/>
      <c r="C181" s="39"/>
      <c r="D181" s="38" t="str">
        <f>E8</f>
        <v>Alliaance Icon</v>
      </c>
      <c r="F181" s="39"/>
      <c r="G181" s="39"/>
      <c r="H181" s="39"/>
    </row>
    <row r="182" spans="1:8" x14ac:dyDescent="0.3">
      <c r="A182" s="39"/>
      <c r="B182" s="39"/>
      <c r="C182" s="39"/>
      <c r="D182" s="39"/>
      <c r="E182" s="39"/>
      <c r="F182" s="39"/>
      <c r="G182" s="39"/>
      <c r="H182" s="39"/>
    </row>
    <row r="183" spans="1:8" x14ac:dyDescent="0.3">
      <c r="A183" s="39"/>
      <c r="B183" s="39"/>
      <c r="C183" s="39"/>
      <c r="D183" s="39"/>
      <c r="E183" s="39"/>
      <c r="F183" s="39"/>
      <c r="G183" s="39"/>
      <c r="H183" s="39"/>
    </row>
    <row r="184" spans="1:8" ht="15" customHeight="1" x14ac:dyDescent="0.3"/>
    <row r="223" spans="1:1" x14ac:dyDescent="0.3">
      <c r="A223" s="41" t="s">
        <v>70</v>
      </c>
    </row>
  </sheetData>
  <mergeCells count="317">
    <mergeCell ref="B165:H165"/>
    <mergeCell ref="A47:B47"/>
    <mergeCell ref="C47:H47"/>
    <mergeCell ref="B163:H163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D131:D132"/>
    <mergeCell ref="A113:E113"/>
    <mergeCell ref="A134:B134"/>
    <mergeCell ref="A135:B135"/>
    <mergeCell ref="A136:B136"/>
    <mergeCell ref="A139:B139"/>
    <mergeCell ref="A99:B99"/>
    <mergeCell ref="E99:F99"/>
    <mergeCell ref="G100:H109"/>
    <mergeCell ref="A148:H148"/>
    <mergeCell ref="A147:H147"/>
    <mergeCell ref="C125:D125"/>
    <mergeCell ref="A16:B16"/>
    <mergeCell ref="C16:H16"/>
    <mergeCell ref="A38:B38"/>
    <mergeCell ref="C38:H38"/>
    <mergeCell ref="A84:B84"/>
    <mergeCell ref="A98:B98"/>
    <mergeCell ref="F117:H117"/>
    <mergeCell ref="C124:D124"/>
    <mergeCell ref="F120:H120"/>
    <mergeCell ref="F118:H118"/>
    <mergeCell ref="G124:H124"/>
    <mergeCell ref="A119:E119"/>
    <mergeCell ref="A62:C62"/>
    <mergeCell ref="D61:H61"/>
    <mergeCell ref="A80:B80"/>
    <mergeCell ref="A81:B81"/>
    <mergeCell ref="D62:H62"/>
    <mergeCell ref="A42:D42"/>
    <mergeCell ref="E42:H42"/>
    <mergeCell ref="E43:H43"/>
    <mergeCell ref="E44:H44"/>
    <mergeCell ref="E45:H45"/>
    <mergeCell ref="A43:D43"/>
    <mergeCell ref="A78:B78"/>
    <mergeCell ref="E125:F125"/>
    <mergeCell ref="F119:H119"/>
    <mergeCell ref="A120:E120"/>
    <mergeCell ref="C84:H84"/>
    <mergeCell ref="A85:B85"/>
    <mergeCell ref="E85:F85"/>
    <mergeCell ref="G85:H85"/>
    <mergeCell ref="A115:E115"/>
    <mergeCell ref="F115:H115"/>
    <mergeCell ref="A116:E116"/>
    <mergeCell ref="A118:E118"/>
    <mergeCell ref="A117:E117"/>
    <mergeCell ref="A103:B103"/>
    <mergeCell ref="A104:B104"/>
    <mergeCell ref="A105:B105"/>
    <mergeCell ref="L149:M149"/>
    <mergeCell ref="A144:H144"/>
    <mergeCell ref="A145:A146"/>
    <mergeCell ref="A151:B151"/>
    <mergeCell ref="A152:B152"/>
    <mergeCell ref="C131:C132"/>
    <mergeCell ref="B145:B146"/>
    <mergeCell ref="B131:B132"/>
    <mergeCell ref="A131:A132"/>
    <mergeCell ref="C145:C146"/>
    <mergeCell ref="A138:B138"/>
    <mergeCell ref="A137:B137"/>
    <mergeCell ref="L138:M138"/>
    <mergeCell ref="L139:M139"/>
    <mergeCell ref="A140:B140"/>
    <mergeCell ref="L140:M140"/>
    <mergeCell ref="A141:B141"/>
    <mergeCell ref="L141:M141"/>
    <mergeCell ref="L142:M142"/>
    <mergeCell ref="L143:M143"/>
    <mergeCell ref="A142:B142"/>
    <mergeCell ref="A143:B143"/>
    <mergeCell ref="L137:M137"/>
    <mergeCell ref="L136:M136"/>
    <mergeCell ref="L135:M135"/>
    <mergeCell ref="L134:M134"/>
    <mergeCell ref="A79:B79"/>
    <mergeCell ref="C128:D128"/>
    <mergeCell ref="E128:F128"/>
    <mergeCell ref="G128:H128"/>
    <mergeCell ref="F116:H116"/>
    <mergeCell ref="A111:E111"/>
    <mergeCell ref="A96:B96"/>
    <mergeCell ref="C96:H96"/>
    <mergeCell ref="A133:H133"/>
    <mergeCell ref="E131:E132"/>
    <mergeCell ref="G131:H132"/>
    <mergeCell ref="A86:B86"/>
    <mergeCell ref="E86:F95"/>
    <mergeCell ref="A93:B93"/>
    <mergeCell ref="A94:B94"/>
    <mergeCell ref="A95:B95"/>
    <mergeCell ref="A100:B100"/>
    <mergeCell ref="E100:F109"/>
    <mergeCell ref="F110:H110"/>
    <mergeCell ref="F114:H114"/>
    <mergeCell ref="E72:F81"/>
    <mergeCell ref="G72:H8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66:C66"/>
    <mergeCell ref="D66:H66"/>
    <mergeCell ref="A72:B72"/>
    <mergeCell ref="G71:H71"/>
    <mergeCell ref="D65:H65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F35:H35"/>
    <mergeCell ref="A37:B37"/>
    <mergeCell ref="E37:F37"/>
    <mergeCell ref="C37:D37"/>
    <mergeCell ref="G37:H37"/>
    <mergeCell ref="A44:D44"/>
    <mergeCell ref="A45:D45"/>
    <mergeCell ref="A46:H46"/>
    <mergeCell ref="D57:H57"/>
    <mergeCell ref="A57:C57"/>
    <mergeCell ref="G49:H49"/>
    <mergeCell ref="A50:B51"/>
    <mergeCell ref="E41:H41"/>
    <mergeCell ref="A41:D41"/>
    <mergeCell ref="A48:B4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A10:D10"/>
    <mergeCell ref="E10:H10"/>
    <mergeCell ref="E12:H12"/>
    <mergeCell ref="A13:D13"/>
    <mergeCell ref="A177:H180"/>
    <mergeCell ref="A176:B176"/>
    <mergeCell ref="E176:F176"/>
    <mergeCell ref="C176:D176"/>
    <mergeCell ref="G176:H176"/>
    <mergeCell ref="A123:H123"/>
    <mergeCell ref="A121:E121"/>
    <mergeCell ref="F121:H121"/>
    <mergeCell ref="A122:E122"/>
    <mergeCell ref="F122:H122"/>
    <mergeCell ref="A149:H149"/>
    <mergeCell ref="A128:B128"/>
    <mergeCell ref="A125:B125"/>
    <mergeCell ref="A172:H172"/>
    <mergeCell ref="A126:H126"/>
    <mergeCell ref="A175:H175"/>
    <mergeCell ref="A173:H173"/>
    <mergeCell ref="A169:H169"/>
    <mergeCell ref="A170:H170"/>
    <mergeCell ref="E127:F127"/>
    <mergeCell ref="B166:H166"/>
    <mergeCell ref="B167:H167"/>
    <mergeCell ref="E124:F124"/>
    <mergeCell ref="A174:H174"/>
    <mergeCell ref="D60:H60"/>
    <mergeCell ref="A52:B53"/>
    <mergeCell ref="C53:H53"/>
    <mergeCell ref="C51:H51"/>
    <mergeCell ref="A82:B82"/>
    <mergeCell ref="C82:H82"/>
    <mergeCell ref="A77:B77"/>
    <mergeCell ref="B164:H164"/>
    <mergeCell ref="B160:H160"/>
    <mergeCell ref="A129:H129"/>
    <mergeCell ref="A130:H130"/>
    <mergeCell ref="B158:H158"/>
    <mergeCell ref="B159:H159"/>
    <mergeCell ref="B161:H161"/>
    <mergeCell ref="B162:H162"/>
    <mergeCell ref="A157:H157"/>
    <mergeCell ref="A75:B75"/>
    <mergeCell ref="E71:F71"/>
    <mergeCell ref="A64:C64"/>
    <mergeCell ref="D64:H64"/>
    <mergeCell ref="A67:C67"/>
    <mergeCell ref="D67:H67"/>
    <mergeCell ref="A65:C65"/>
    <mergeCell ref="A71:B71"/>
    <mergeCell ref="A171:H171"/>
    <mergeCell ref="A150:B150"/>
    <mergeCell ref="A127:B127"/>
    <mergeCell ref="D145:D146"/>
    <mergeCell ref="E145:E146"/>
    <mergeCell ref="G145:H146"/>
    <mergeCell ref="A90:B90"/>
    <mergeCell ref="A91:B91"/>
    <mergeCell ref="A92:B92"/>
    <mergeCell ref="A106:B106"/>
    <mergeCell ref="F111:H111"/>
    <mergeCell ref="G125:H125"/>
    <mergeCell ref="A109:B109"/>
    <mergeCell ref="C127:D127"/>
    <mergeCell ref="G127:H127"/>
    <mergeCell ref="A124:B124"/>
    <mergeCell ref="A107:B107"/>
    <mergeCell ref="A108:B108"/>
    <mergeCell ref="A114:E114"/>
    <mergeCell ref="F113:H113"/>
    <mergeCell ref="G99:H99"/>
    <mergeCell ref="A110:E110"/>
    <mergeCell ref="C98:H98"/>
    <mergeCell ref="A153:H153"/>
    <mergeCell ref="L153:M153"/>
    <mergeCell ref="A154:B154"/>
    <mergeCell ref="G154:H156"/>
    <mergeCell ref="A155:B155"/>
    <mergeCell ref="A156:B156"/>
    <mergeCell ref="B168:H168"/>
    <mergeCell ref="C48:E48"/>
    <mergeCell ref="G48:H48"/>
    <mergeCell ref="G50:H50"/>
    <mergeCell ref="D55:H55"/>
    <mergeCell ref="G134:H143"/>
    <mergeCell ref="G150:H152"/>
    <mergeCell ref="C50:E50"/>
    <mergeCell ref="A58:C60"/>
    <mergeCell ref="D58:H58"/>
    <mergeCell ref="D59:H59"/>
    <mergeCell ref="C49:E49"/>
    <mergeCell ref="C52:E52"/>
    <mergeCell ref="A49:B49"/>
    <mergeCell ref="A54:H54"/>
    <mergeCell ref="A55:C55"/>
    <mergeCell ref="A56:C56"/>
    <mergeCell ref="D56:H56"/>
    <mergeCell ref="G52:H52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80" max="16383" man="1"/>
    <brk id="2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9" t="s">
        <v>110</v>
      </c>
      <c r="C3" s="199"/>
      <c r="D3" s="199"/>
      <c r="E3" s="199"/>
      <c r="F3" s="199"/>
      <c r="G3" s="199"/>
      <c r="H3" s="199"/>
    </row>
    <row r="4" spans="1:9" x14ac:dyDescent="0.3">
      <c r="A4" s="2"/>
      <c r="B4" s="3" t="s">
        <v>111</v>
      </c>
      <c r="C4" s="3" t="s">
        <v>112</v>
      </c>
      <c r="D4" s="3" t="s">
        <v>72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2025-08-14T05:19:28Z</cp:lastPrinted>
  <dcterms:created xsi:type="dcterms:W3CDTF">2019-07-16T09:29:46Z</dcterms:created>
  <dcterms:modified xsi:type="dcterms:W3CDTF">2025-08-14T05:21:19Z</dcterms:modified>
</cp:coreProperties>
</file>