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"/>
    </mc:Choice>
  </mc:AlternateContent>
  <xr:revisionPtr revIDLastSave="0" documentId="13_ncr:1_{10B9B6C7-03DF-4F71-8E6E-55E329891C07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1" l="1"/>
  <c r="J154" i="1"/>
  <c r="J155" i="1"/>
  <c r="J156" i="1"/>
  <c r="J157" i="1"/>
  <c r="J152" i="1"/>
  <c r="C78" i="1"/>
  <c r="J89" i="1"/>
  <c r="J88" i="1"/>
  <c r="J87" i="1"/>
  <c r="J86" i="1"/>
  <c r="G112" i="1"/>
  <c r="D199" i="1"/>
  <c r="F199" i="1" s="1"/>
  <c r="D198" i="1"/>
  <c r="F198" i="1" s="1"/>
  <c r="D197" i="1"/>
  <c r="F197" i="1" s="1"/>
  <c r="D196" i="1"/>
  <c r="F196" i="1" s="1"/>
  <c r="D194" i="1"/>
  <c r="F194" i="1" s="1"/>
  <c r="D193" i="1"/>
  <c r="F193" i="1" s="1"/>
  <c r="A193" i="1"/>
  <c r="A194" i="1" s="1"/>
  <c r="A195" i="1" s="1"/>
  <c r="A196" i="1" s="1"/>
  <c r="A197" i="1" s="1"/>
  <c r="A198" i="1" s="1"/>
  <c r="A199" i="1" s="1"/>
  <c r="G192" i="1"/>
  <c r="D192" i="1"/>
  <c r="F192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74" i="1"/>
  <c r="F174" i="1" s="1"/>
  <c r="K173" i="1" s="1"/>
  <c r="E180" i="1"/>
  <c r="E179" i="1"/>
  <c r="E178" i="1"/>
  <c r="E177" i="1"/>
  <c r="D181" i="1"/>
  <c r="F181" i="1" s="1"/>
  <c r="D180" i="1"/>
  <c r="D179" i="1"/>
  <c r="D178" i="1"/>
  <c r="D177" i="1"/>
  <c r="D176" i="1"/>
  <c r="F176" i="1" s="1"/>
  <c r="K174" i="1" s="1"/>
  <c r="D175" i="1"/>
  <c r="F175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A139" i="1"/>
  <c r="A140" i="1" s="1"/>
  <c r="A141" i="1" s="1"/>
  <c r="A142" i="1" s="1"/>
  <c r="A143" i="1" s="1"/>
  <c r="A144" i="1" s="1"/>
  <c r="A145" i="1" s="1"/>
  <c r="A146" i="1" s="1"/>
  <c r="G139" i="1"/>
  <c r="D153" i="1"/>
  <c r="K153" i="1" s="1"/>
  <c r="A184" i="1"/>
  <c r="A185" i="1" s="1"/>
  <c r="A186" i="1" s="1"/>
  <c r="A187" i="1" s="1"/>
  <c r="A188" i="1" s="1"/>
  <c r="A189" i="1" s="1"/>
  <c r="A190" i="1" s="1"/>
  <c r="G183" i="1"/>
  <c r="A175" i="1"/>
  <c r="A176" i="1" s="1"/>
  <c r="A177" i="1" s="1"/>
  <c r="A178" i="1" s="1"/>
  <c r="A179" i="1" s="1"/>
  <c r="A180" i="1" s="1"/>
  <c r="A181" i="1" s="1"/>
  <c r="I174" i="1"/>
  <c r="G174" i="1"/>
  <c r="D170" i="1"/>
  <c r="D169" i="1"/>
  <c r="D168" i="1"/>
  <c r="D167" i="1"/>
  <c r="A167" i="1"/>
  <c r="A168" i="1" s="1"/>
  <c r="A169" i="1" s="1"/>
  <c r="A170" i="1" s="1"/>
  <c r="A171" i="1" s="1"/>
  <c r="G166" i="1"/>
  <c r="G167" i="1" s="1"/>
  <c r="G168" i="1" s="1"/>
  <c r="G169" i="1" s="1"/>
  <c r="G170" i="1" s="1"/>
  <c r="D166" i="1"/>
  <c r="D154" i="1"/>
  <c r="K154" i="1" s="1"/>
  <c r="D164" i="1"/>
  <c r="D163" i="1"/>
  <c r="D162" i="1"/>
  <c r="D161" i="1"/>
  <c r="D160" i="1"/>
  <c r="D159" i="1"/>
  <c r="D156" i="1"/>
  <c r="K156" i="1" s="1"/>
  <c r="D155" i="1"/>
  <c r="K155" i="1" s="1"/>
  <c r="A160" i="1"/>
  <c r="A161" i="1" s="1"/>
  <c r="A162" i="1" s="1"/>
  <c r="A163" i="1" s="1"/>
  <c r="A164" i="1" s="1"/>
  <c r="D157" i="1"/>
  <c r="K157" i="1" s="1"/>
  <c r="D152" i="1"/>
  <c r="K152" i="1" s="1"/>
  <c r="I152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F180" i="1" l="1"/>
  <c r="E107" i="1"/>
  <c r="F179" i="1"/>
  <c r="F177" i="1"/>
  <c r="F178" i="1"/>
  <c r="C107" i="1"/>
  <c r="C112" i="1"/>
  <c r="G108" i="1"/>
  <c r="E113" i="1"/>
  <c r="C113" i="1"/>
  <c r="E108" i="1"/>
  <c r="C108" i="1"/>
  <c r="E112" i="1"/>
  <c r="G47" i="1"/>
  <c r="C47" i="1"/>
  <c r="C109" i="1" l="1"/>
  <c r="G113" i="1"/>
  <c r="G114" i="1" s="1"/>
  <c r="C114" i="1"/>
  <c r="E114" i="1"/>
  <c r="E109" i="1"/>
  <c r="E115" i="1" s="1"/>
  <c r="E157" i="1"/>
  <c r="E156" i="1"/>
  <c r="E153" i="1"/>
  <c r="E152" i="1"/>
  <c r="F135" i="1"/>
  <c r="F136" i="1"/>
  <c r="F134" i="1"/>
  <c r="F133" i="1"/>
  <c r="F132" i="1"/>
  <c r="F131" i="1"/>
  <c r="F130" i="1"/>
  <c r="C115" i="1" l="1"/>
  <c r="B202" i="1"/>
  <c r="C13" i="1" l="1"/>
  <c r="E27" i="1" l="1"/>
  <c r="F124" i="1" l="1"/>
  <c r="F125" i="1"/>
  <c r="F126" i="1"/>
  <c r="F127" i="1"/>
  <c r="F128" i="1"/>
  <c r="F129" i="1"/>
  <c r="F123" i="1"/>
  <c r="G107" i="1" l="1"/>
  <c r="G109" i="1" s="1"/>
  <c r="G115" i="1" s="1"/>
  <c r="B20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7" i="1"/>
  <c r="G159" i="1"/>
  <c r="G160" i="1" s="1"/>
  <c r="G161" i="1" s="1"/>
  <c r="G162" i="1" s="1"/>
  <c r="G163" i="1" s="1"/>
  <c r="G164" i="1" s="1"/>
  <c r="G152" i="1"/>
  <c r="A153" i="1"/>
  <c r="A154" i="1" s="1"/>
  <c r="A155" i="1" s="1"/>
  <c r="A156" i="1" s="1"/>
  <c r="A157" i="1" s="1"/>
  <c r="G123" i="1"/>
  <c r="F104" i="1"/>
  <c r="J75" i="1"/>
  <c r="J74" i="1"/>
  <c r="J73" i="1"/>
  <c r="J72" i="1"/>
  <c r="C64" i="1"/>
  <c r="D52" i="1"/>
  <c r="E40" i="1"/>
  <c r="E41" i="1" s="1"/>
  <c r="E24" i="1"/>
  <c r="E22" i="1"/>
  <c r="E7" i="1"/>
  <c r="E3" i="1"/>
  <c r="D58" i="1" s="1"/>
  <c r="H65" i="1"/>
  <c r="D70" i="1" l="1"/>
  <c r="J68" i="1"/>
  <c r="D77" i="1"/>
  <c r="D75" i="1"/>
  <c r="D73" i="1"/>
  <c r="D71" i="1"/>
  <c r="J69" i="1"/>
  <c r="J67" i="1"/>
  <c r="J70" i="1"/>
  <c r="D76" i="1"/>
  <c r="D72" i="1"/>
  <c r="D74" i="1"/>
  <c r="J71" i="1" l="1"/>
  <c r="J76" i="1" s="1"/>
  <c r="J77" i="1" s="1"/>
  <c r="C68" i="1" l="1"/>
  <c r="D68" i="1" s="1"/>
  <c r="C69" i="1"/>
  <c r="D69" i="1" s="1"/>
  <c r="H79" i="1"/>
  <c r="J84" i="1" l="1"/>
  <c r="J85" i="1" s="1"/>
  <c r="J90" i="1" s="1"/>
  <c r="J91" i="1" s="1"/>
  <c r="J83" i="1"/>
  <c r="J81" i="1"/>
  <c r="D91" i="1"/>
  <c r="D90" i="1"/>
  <c r="D89" i="1"/>
  <c r="D88" i="1"/>
  <c r="D87" i="1"/>
  <c r="D86" i="1"/>
  <c r="D85" i="1"/>
  <c r="D84" i="1"/>
  <c r="J82" i="1"/>
  <c r="G68" i="1"/>
  <c r="D62" i="1" s="1"/>
  <c r="F63" i="1" s="1"/>
  <c r="E68" i="1"/>
  <c r="I64" i="1" s="1"/>
  <c r="C66" i="1" s="1"/>
  <c r="D63" i="1" l="1"/>
  <c r="C83" i="1"/>
  <c r="C82" i="1"/>
  <c r="G82" i="1" l="1"/>
  <c r="D82" i="1"/>
  <c r="E82" i="1"/>
  <c r="D83" i="1"/>
  <c r="I78" i="1" l="1"/>
  <c r="C80" i="1" s="1"/>
</calcChain>
</file>

<file path=xl/sharedStrings.xml><?xml version="1.0" encoding="utf-8"?>
<sst xmlns="http://schemas.openxmlformats.org/spreadsheetml/2006/main" count="384" uniqueCount="227">
  <si>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</si>
  <si>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</si>
  <si>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</si>
  <si>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</si>
  <si>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</si>
  <si>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</si>
  <si>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</si>
  <si>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</si>
  <si>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</si>
  <si>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</si>
  <si>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</si>
  <si>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</si>
  <si>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</si>
  <si>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</si>
  <si>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</si>
  <si>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</si>
  <si>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</si>
  <si>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</si>
  <si>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</si>
  <si>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</si>
  <si>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</si>
  <si>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</si>
  <si>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</si>
  <si>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</si>
  <si>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</si>
  <si>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</si>
  <si>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</si>
  <si>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</si>
  <si>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</si>
  <si>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</si>
  <si>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</si>
  <si>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</si>
  <si>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</si>
  <si>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</si>
  <si>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</si>
  <si>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</si>
  <si>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</si>
  <si>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</si>
  <si>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</si>
  <si>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</si>
  <si>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</si>
  <si>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</si>
  <si>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</si>
  <si>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</si>
  <si>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</si>
  <si>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</si>
  <si>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</si>
  <si>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</si>
  <si>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</si>
  <si>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</si>
  <si>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</si>
  <si>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</si>
  <si>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</si>
  <si>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</si>
  <si>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</si>
  <si>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</si>
  <si>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</si>
  <si>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</si>
  <si>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</si>
  <si>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</si>
  <si>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</si>
  <si>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</si>
  <si>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</si>
  <si>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</si>
  <si>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</si>
  <si>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</si>
  <si>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</si>
  <si>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</si>
  <si>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</si>
  <si>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</si>
  <si>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</si>
  <si>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</si>
  <si>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</si>
  <si>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</si>
  <si>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</si>
  <si>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</si>
  <si>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</si>
  <si>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</si>
  <si>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</si>
  <si>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</si>
  <si>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</si>
  <si>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</si>
  <si>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</si>
  <si>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</si>
  <si>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</si>
  <si>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</si>
  <si>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</si>
  <si>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</si>
  <si>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</si>
  <si>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</si>
  <si>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</si>
  <si>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</si>
  <si>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</si>
  <si>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</si>
  <si>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</si>
  <si>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</si>
  <si>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</si>
  <si>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</si>
  <si>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</si>
  <si>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</si>
  <si>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</si>
  <si>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</si>
  <si>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</si>
  <si>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</si>
  <si>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</si>
  <si>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</si>
  <si>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</si>
  <si>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</si>
  <si>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</si>
  <si>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</si>
  <si>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</si>
  <si>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</si>
  <si>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</si>
  <si>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</si>
  <si>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</si>
  <si>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</si>
  <si>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</si>
  <si>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</si>
  <si>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</si>
  <si>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</si>
  <si>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</si>
  <si>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</si>
  <si>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</si>
  <si>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</si>
  <si>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</si>
  <si>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</si>
  <si>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</si>
  <si>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</si>
  <si>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</si>
  <si>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</si>
  <si>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</si>
  <si>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</si>
  <si>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</si>
  <si>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</si>
  <si>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</si>
  <si>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</si>
  <si>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</si>
  <si>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</si>
  <si>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</si>
  <si>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</si>
  <si>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</si>
  <si>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</si>
  <si>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</si>
  <si>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</si>
  <si>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</si>
  <si>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</si>
  <si>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</si>
  <si>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</si>
  <si>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</si>
  <si>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</si>
  <si>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</si>
  <si>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</si>
  <si>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</si>
  <si>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</si>
  <si>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</si>
  <si>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</si>
  <si>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</si>
  <si>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</si>
  <si>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</si>
  <si>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</si>
  <si>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</si>
  <si>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</si>
  <si>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</si>
  <si>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</si>
  <si>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should be considered as all inclusive rate if other charges are not mentioned. (Excluding GST &amp; other government Taxes)</t>
  </si>
  <si>
    <t>Axis Sanpada</t>
  </si>
  <si>
    <t>M/s. AB Builders And Devlopers</t>
  </si>
  <si>
    <t>Aleen Heights</t>
  </si>
  <si>
    <t>P99000031719</t>
  </si>
  <si>
    <t>Approved Plans, Sale Plans, Builder Saleable Area, Cost Sheet</t>
  </si>
  <si>
    <t>Survey No</t>
  </si>
  <si>
    <t>Sopara</t>
  </si>
  <si>
    <t>Palghar</t>
  </si>
  <si>
    <t>Vasai</t>
  </si>
  <si>
    <t>Mahesh Apartment</t>
  </si>
  <si>
    <t>Internal Road</t>
  </si>
  <si>
    <t>Shree Aditya Apartment</t>
  </si>
  <si>
    <t>3.1KM from Nallasopara Railway Station</t>
  </si>
  <si>
    <t>Vasai-Virar City Municipal Corporation</t>
  </si>
  <si>
    <t>As per RERA - 30/11/2026</t>
  </si>
  <si>
    <t>Shop</t>
  </si>
  <si>
    <t>1BHK</t>
  </si>
  <si>
    <t>2BHK</t>
  </si>
  <si>
    <t>Ground Floor for Commercial</t>
  </si>
  <si>
    <t>1st Floor for Residential</t>
  </si>
  <si>
    <t>Legal Charges</t>
  </si>
  <si>
    <t>Society Charges</t>
  </si>
  <si>
    <t>Other Charges</t>
  </si>
  <si>
    <t>Builder Saleable area</t>
  </si>
  <si>
    <t>Nallasopara West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</si>
  <si>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</si>
  <si>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Location Link</t>
  </si>
  <si>
    <t>https://maps.app.goo.gl/KuBN9X864z8ZKy7K9</t>
  </si>
  <si>
    <t>Latitude, Longitude</t>
  </si>
  <si>
    <t>19.413400, 72.809780</t>
  </si>
  <si>
    <t>2 Building</t>
  </si>
  <si>
    <t>VVCMC/TP/AMEND/VP/5896/341/2022-23</t>
  </si>
  <si>
    <t>Building No.1</t>
  </si>
  <si>
    <t>2nd to 7th, 9th to 12th &amp; 14th to 16th Floor</t>
  </si>
  <si>
    <t>Refuge Area</t>
  </si>
  <si>
    <t>8th &amp; 13th Floor (Part Refuge Area)</t>
  </si>
  <si>
    <t>Wing A</t>
  </si>
  <si>
    <t>Wing B</t>
  </si>
  <si>
    <t>Layout Plan</t>
  </si>
  <si>
    <t xml:space="preserve">Construction work is in process at the time of Visit
</t>
  </si>
  <si>
    <t>We considered Gross carpet area = Net carpet + Chajja Area</t>
  </si>
  <si>
    <t>Total</t>
  </si>
  <si>
    <t>Grand Total</t>
  </si>
  <si>
    <t>Flats - 220, Shops - 22</t>
  </si>
  <si>
    <t xml:space="preserve">Building No.1 = Wing A &amp; B - G + 1st to 16th Floor
</t>
  </si>
  <si>
    <t>Building No.1 (Wing A &amp; B)</t>
  </si>
  <si>
    <t xml:space="preserve">https://housing.com/in/buy/projects/page/267301-ab-aleen-heights-by-ab-builders-and-developers-in-nalasopara-west </t>
  </si>
  <si>
    <t>Housing</t>
  </si>
  <si>
    <t>37, Hissa No.1, Plot No.6, 7</t>
  </si>
  <si>
    <t>Vitrified tiles flooring, Kitchen Platform, Decorative entrance</t>
  </si>
  <si>
    <t>Navnath</t>
  </si>
  <si>
    <t>Rate 5800 Trupti Cost sheet Case B401 &amp; 1101      On 14/10/2024</t>
  </si>
  <si>
    <t>Recommended Rates of the Property have been revised on 14/10/2024.</t>
  </si>
  <si>
    <t>On Site, we meet Mr. Rahul : 8999512834.</t>
  </si>
  <si>
    <t>VVCMC/TP/RDP/VP-5896/415/2023-24</t>
  </si>
  <si>
    <t xml:space="preserve">Valid Up to:  
Building No.1 = Wing A &amp; B - G + 1st to 18th Floor
No of Flats = 246 Nos, No of Shops = 22 Nos
</t>
  </si>
  <si>
    <t>We have updated revised approved CC from RERA site (on 12/08/2025).</t>
  </si>
  <si>
    <t xml:space="preserve">Construction work goes beyond approved no of floors. Please provide revised approved plans.
</t>
  </si>
  <si>
    <t>Building No.1 = Wing B = G + 1st to 18th Floor</t>
  </si>
  <si>
    <t>Kunal Kadam</t>
  </si>
  <si>
    <t>We Have Updated CC &amp; Approved Floor Plan for Building No.1 (Wing A &amp; B) (on 23/12/2023).</t>
  </si>
  <si>
    <t>Building No.1 = Wing A = G + 1st to 18th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</si>
</sst>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6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4" fontId="7" fillId="0" borderId="0" xfId="1" applyNumberFormat="1" applyFont="1" applyAlignment="1">
      <alignment horizontal="center" vertical="center"/>
    </xf>
    <xf numFmtId="1" fontId="24" fillId="0" borderId="0" xfId="10" applyNumberFormat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6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3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8" xfId="10" applyBorder="1" applyAlignment="1" applyProtection="1">
      <alignment horizontal="left"/>
      <protection locked="0"/>
    </xf>
    <xf numFmtId="0" fontId="12" fillId="0" borderId="23" xfId="1" applyFont="1" applyBorder="1" applyAlignment="1" applyProtection="1">
      <alignment horizontal="left"/>
      <protection locked="0"/>
    </xf>
    <xf numFmtId="0" fontId="12" fillId="0" borderId="9" xfId="1" applyFont="1" applyBorder="1" applyAlignment="1" applyProtection="1">
      <alignment horizontal="left"/>
      <protection locked="0"/>
    </xf>
    <xf numFmtId="0" fontId="12" fillId="0" borderId="8" xfId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12" fillId="2" borderId="9" xfId="1" applyFont="1" applyFill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301</xdr:row>
      <xdr:rowOff>19050</xdr:rowOff>
    </xdr:from>
    <xdr:to>
      <xdr:col>7</xdr:col>
      <xdr:colOff>347560</xdr:colOff>
      <xdr:row>319</xdr:row>
      <xdr:rowOff>18599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450" y="52387500"/>
          <a:ext cx="591016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552451</xdr:colOff>
      <xdr:row>319</xdr:row>
      <xdr:rowOff>190500</xdr:rowOff>
    </xdr:from>
    <xdr:to>
      <xdr:col>7</xdr:col>
      <xdr:colOff>285020</xdr:colOff>
      <xdr:row>337</xdr:row>
      <xdr:rowOff>190051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451" y="56159400"/>
          <a:ext cx="584761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112568</xdr:colOff>
      <xdr:row>46</xdr:row>
      <xdr:rowOff>441613</xdr:rowOff>
    </xdr:from>
    <xdr:to>
      <xdr:col>15</xdr:col>
      <xdr:colOff>47792</xdr:colOff>
      <xdr:row>48</xdr:row>
      <xdr:rowOff>229411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32863" y="11291454"/>
          <a:ext cx="5580952" cy="428571"/>
        </a:xfrm>
        <a:prstGeom prst="rect">
          <a:avLst/>
        </a:prstGeom>
      </xdr:spPr>
    </xdr:pic>
    <xdr:clientData/>
  </xdr:twoCellAnchor>
  <xdr:oneCellAnchor>
    <xdr:from>
      <xdr:col>0</xdr:col>
      <xdr:colOff>510887</xdr:colOff>
      <xdr:row>272</xdr:row>
      <xdr:rowOff>77932</xdr:rowOff>
    </xdr:from>
    <xdr:ext cx="5605840" cy="36000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887" y="52924364"/>
          <a:ext cx="560584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>
    <xdr:from>
      <xdr:col>1</xdr:col>
      <xdr:colOff>311727</xdr:colOff>
      <xdr:row>278</xdr:row>
      <xdr:rowOff>173182</xdr:rowOff>
    </xdr:from>
    <xdr:to>
      <xdr:col>7</xdr:col>
      <xdr:colOff>8659</xdr:colOff>
      <xdr:row>288</xdr:row>
      <xdr:rowOff>121228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3727" y="54214568"/>
          <a:ext cx="4623955" cy="193963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675409</xdr:colOff>
      <xdr:row>275</xdr:row>
      <xdr:rowOff>95250</xdr:rowOff>
    </xdr:from>
    <xdr:to>
      <xdr:col>6</xdr:col>
      <xdr:colOff>86590</xdr:colOff>
      <xdr:row>278</xdr:row>
      <xdr:rowOff>121228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26477" y="53539159"/>
          <a:ext cx="969818" cy="623455"/>
        </a:xfrm>
        <a:prstGeom prst="rect">
          <a:avLst/>
        </a:prstGeom>
        <a:noFill/>
        <a:ln w="381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614795</xdr:colOff>
      <xdr:row>274</xdr:row>
      <xdr:rowOff>34637</xdr:rowOff>
    </xdr:from>
    <xdr:to>
      <xdr:col>6</xdr:col>
      <xdr:colOff>60613</xdr:colOff>
      <xdr:row>275</xdr:row>
      <xdr:rowOff>103909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965863" y="53279387"/>
          <a:ext cx="1004455" cy="268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Building No.2</a:t>
          </a:r>
        </a:p>
      </xdr:txBody>
    </xdr:sp>
    <xdr:clientData/>
  </xdr:twoCellAnchor>
  <xdr:twoCellAnchor>
    <xdr:from>
      <xdr:col>3</xdr:col>
      <xdr:colOff>528206</xdr:colOff>
      <xdr:row>280</xdr:row>
      <xdr:rowOff>34636</xdr:rowOff>
    </xdr:from>
    <xdr:to>
      <xdr:col>4</xdr:col>
      <xdr:colOff>588820</xdr:colOff>
      <xdr:row>281</xdr:row>
      <xdr:rowOff>103908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935433" y="54474341"/>
          <a:ext cx="1004455" cy="268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Building No.1</a:t>
          </a:r>
        </a:p>
      </xdr:txBody>
    </xdr:sp>
    <xdr:clientData/>
  </xdr:twoCellAnchor>
  <xdr:twoCellAnchor editAs="oneCell">
    <xdr:from>
      <xdr:col>8</xdr:col>
      <xdr:colOff>25977</xdr:colOff>
      <xdr:row>175</xdr:row>
      <xdr:rowOff>190499</xdr:rowOff>
    </xdr:from>
    <xdr:to>
      <xdr:col>14</xdr:col>
      <xdr:colOff>84655</xdr:colOff>
      <xdr:row>185</xdr:row>
      <xdr:rowOff>1217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6272" y="37693022"/>
          <a:ext cx="5046315" cy="1800000"/>
        </a:xfrm>
        <a:prstGeom prst="rect">
          <a:avLst/>
        </a:prstGeom>
      </xdr:spPr>
    </xdr:pic>
    <xdr:clientData/>
  </xdr:twoCellAnchor>
  <xdr:twoCellAnchor>
    <xdr:from>
      <xdr:col>8</xdr:col>
      <xdr:colOff>381000</xdr:colOff>
      <xdr:row>226</xdr:row>
      <xdr:rowOff>68580</xdr:rowOff>
    </xdr:from>
    <xdr:to>
      <xdr:col>15</xdr:col>
      <xdr:colOff>328780</xdr:colOff>
      <xdr:row>265</xdr:row>
      <xdr:rowOff>180030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BC0F9FD2-3BEE-4296-B5A2-550CE12B56B2}"/>
            </a:ext>
          </a:extLst>
        </xdr:cNvPr>
        <xdr:cNvGrpSpPr/>
      </xdr:nvGrpSpPr>
      <xdr:grpSpPr>
        <a:xfrm>
          <a:off x="7078980" y="47251620"/>
          <a:ext cx="5761840" cy="7830510"/>
          <a:chOff x="508075" y="533400"/>
          <a:chExt cx="5613250" cy="7902900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5C2793FC-0C7A-447B-B969-01BDADF8BB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84623" y="53340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15FC52C5-0A81-4208-AC00-4C0246B0FC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533400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B1D8F7AE-A0AC-4F36-B304-4EE8C9EBF9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8075" y="394485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68DEEA7A-0DC5-4393-A37E-97B506A822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38114" y="394485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C2F99898-6579-415D-A3DB-A7E1751FD4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8153" y="394485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C0BBA169-6252-40C6-9BD0-703CC92DC7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28639" y="64563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AB361A82-8839-4A2B-8910-A93FE4608E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645630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3" name="TextBox 174">
            <a:extLst>
              <a:ext uri="{FF2B5EF4-FFF2-40B4-BE49-F238E27FC236}">
                <a16:creationId xmlns:a16="http://schemas.microsoft.com/office/drawing/2014/main" id="{0D20213E-1509-4D22-B90D-CA9792EAF52F}"/>
              </a:ext>
            </a:extLst>
          </xdr:cNvPr>
          <xdr:cNvSpPr txBox="1"/>
        </xdr:nvSpPr>
        <xdr:spPr>
          <a:xfrm>
            <a:off x="784623" y="533400"/>
            <a:ext cx="87556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4" name="TextBox 175">
            <a:extLst>
              <a:ext uri="{FF2B5EF4-FFF2-40B4-BE49-F238E27FC236}">
                <a16:creationId xmlns:a16="http://schemas.microsoft.com/office/drawing/2014/main" id="{A2387046-ACEB-469B-B66A-05B3BF1177F2}"/>
              </a:ext>
            </a:extLst>
          </xdr:cNvPr>
          <xdr:cNvSpPr txBox="1"/>
        </xdr:nvSpPr>
        <xdr:spPr>
          <a:xfrm>
            <a:off x="3930372" y="533400"/>
            <a:ext cx="86594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495301</xdr:colOff>
      <xdr:row>227</xdr:row>
      <xdr:rowOff>129541</xdr:rowOff>
    </xdr:from>
    <xdr:to>
      <xdr:col>7</xdr:col>
      <xdr:colOff>381001</xdr:colOff>
      <xdr:row>268</xdr:row>
      <xdr:rowOff>22861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1CF52E1F-9004-27D6-16DD-6480BA32B59F}"/>
            </a:ext>
          </a:extLst>
        </xdr:cNvPr>
        <xdr:cNvGrpSpPr/>
      </xdr:nvGrpSpPr>
      <xdr:grpSpPr>
        <a:xfrm>
          <a:off x="495301" y="47510701"/>
          <a:ext cx="5730240" cy="8008620"/>
          <a:chOff x="538494" y="339397"/>
          <a:chExt cx="6026399" cy="8959085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6206B36-DF34-8597-5565-DDBDED32BC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32574" y="339397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76A6C9B8-FD87-1DDE-5A23-8D78A5989A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8494" y="339397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F57DFA0F-DDE1-9F8F-DAC6-5C6968B921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8494" y="4399440"/>
            <a:ext cx="2160000" cy="288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B5BF79E-1978-4828-CF8D-2E91C92BF6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32574" y="4399440"/>
            <a:ext cx="2160000" cy="28830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7F366BDE-0773-4E47-E76B-43E5AA6D83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6067" y="749848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B3010BF4-38B2-FEF1-F992-06C0DB2995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16407" y="749848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E533BCEE-D5BB-C99F-5F50-2E95D68C30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1237" y="749848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8" name="TextBox 22">
            <a:extLst>
              <a:ext uri="{FF2B5EF4-FFF2-40B4-BE49-F238E27FC236}">
                <a16:creationId xmlns:a16="http://schemas.microsoft.com/office/drawing/2014/main" id="{F3F29381-C4AB-0A3A-4D63-6826FD1BB9DD}"/>
              </a:ext>
            </a:extLst>
          </xdr:cNvPr>
          <xdr:cNvSpPr txBox="1"/>
        </xdr:nvSpPr>
        <xdr:spPr>
          <a:xfrm>
            <a:off x="4934284" y="4305672"/>
            <a:ext cx="94128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 Wing </a:t>
            </a:r>
            <a:endParaRPr lang="en-IN" b="1"/>
          </a:p>
        </xdr:txBody>
      </xdr:sp>
      <xdr:sp macro="" textlink="">
        <xdr:nvSpPr>
          <xdr:cNvPr id="19" name="TextBox 23">
            <a:extLst>
              <a:ext uri="{FF2B5EF4-FFF2-40B4-BE49-F238E27FC236}">
                <a16:creationId xmlns:a16="http://schemas.microsoft.com/office/drawing/2014/main" id="{4E4D4F5D-CE58-4963-8298-BD9956D19663}"/>
              </a:ext>
            </a:extLst>
          </xdr:cNvPr>
          <xdr:cNvSpPr txBox="1"/>
        </xdr:nvSpPr>
        <xdr:spPr>
          <a:xfrm>
            <a:off x="2586578" y="4304338"/>
            <a:ext cx="94128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 Wing </a:t>
            </a:r>
            <a:endParaRPr lang="en-IN" b="1"/>
          </a:p>
        </xdr:txBody>
      </xdr:sp>
      <xdr:sp macro="" textlink="">
        <xdr:nvSpPr>
          <xdr:cNvPr id="20" name="TextBox 24">
            <a:extLst>
              <a:ext uri="{FF2B5EF4-FFF2-40B4-BE49-F238E27FC236}">
                <a16:creationId xmlns:a16="http://schemas.microsoft.com/office/drawing/2014/main" id="{5801B3D9-6A05-6BF5-519E-AD965E3514B3}"/>
              </a:ext>
            </a:extLst>
          </xdr:cNvPr>
          <xdr:cNvSpPr txBox="1"/>
        </xdr:nvSpPr>
        <xdr:spPr>
          <a:xfrm>
            <a:off x="5646052" y="339397"/>
            <a:ext cx="918841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B Wing </a:t>
            </a:r>
            <a:endParaRPr lang="en-IN" b="1"/>
          </a:p>
        </xdr:txBody>
      </xdr:sp>
      <xdr:sp macro="" textlink="">
        <xdr:nvSpPr>
          <xdr:cNvPr id="21" name="TextBox 25">
            <a:extLst>
              <a:ext uri="{FF2B5EF4-FFF2-40B4-BE49-F238E27FC236}">
                <a16:creationId xmlns:a16="http://schemas.microsoft.com/office/drawing/2014/main" id="{C0D2626A-1C74-433D-7F44-4291C1D3F25B}"/>
              </a:ext>
            </a:extLst>
          </xdr:cNvPr>
          <xdr:cNvSpPr txBox="1"/>
        </xdr:nvSpPr>
        <xdr:spPr>
          <a:xfrm>
            <a:off x="2584251" y="339397"/>
            <a:ext cx="941283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A Wing </a:t>
            </a:r>
            <a:endParaRPr lang="en-IN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67301-ab-aleen-heights-by-ab-builders-and-developers-in-nalasopara-west" TargetMode="External"/><Relationship Id="rId1" Type="http://schemas.openxmlformats.org/officeDocument/2006/relationships/hyperlink" Target="https://maps.app.goo.gl/KuBN9X864z8ZKy7K9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1"/>
  <sheetViews>
    <sheetView tabSelected="1" view="pageBreakPreview" topLeftCell="A207" zoomScaleNormal="100" zoomScaleSheetLayoutView="100" workbookViewId="0">
      <selection activeCell="K212" sqref="K212"/>
    </sheetView>
  </sheetViews>
  <sheetFormatPr defaultColWidth="9.109375" defaultRowHeight="15.6" x14ac:dyDescent="0.3"/>
  <cols>
    <col min="1" max="1" width="11.44140625" style="10" customWidth="1"/>
    <col min="2" max="2" width="12" style="10" customWidth="1"/>
    <col min="3" max="3" width="12.6640625" style="10" customWidth="1"/>
    <col min="4" max="4" width="14.109375" style="10" customWidth="1"/>
    <col min="5" max="7" width="11.6640625" style="10" customWidth="1"/>
    <col min="8" max="8" width="12.44140625" style="10" customWidth="1"/>
    <col min="9" max="9" width="17.44140625" style="3" customWidth="1"/>
    <col min="10" max="10" width="11.44140625" style="3" customWidth="1"/>
    <col min="11" max="11" width="11" style="3" bestFit="1" customWidth="1"/>
    <col min="12" max="12" width="10.5546875" style="3" customWidth="1"/>
    <col min="13" max="13" width="11.88671875" style="3" customWidth="1"/>
    <col min="14" max="14" width="12.5546875" style="3" customWidth="1"/>
    <col min="15" max="15" width="9.88671875" style="3" customWidth="1"/>
    <col min="16" max="16" width="11.6640625" style="3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143" t="s">
        <v>190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3">
      <c r="A2" s="144" t="s">
        <v>0</v>
      </c>
      <c r="B2" s="144"/>
      <c r="C2" s="144"/>
      <c r="D2" s="144"/>
      <c r="E2" s="144"/>
      <c r="F2" s="144"/>
      <c r="G2" s="144"/>
      <c r="H2" s="144"/>
    </row>
    <row r="3" spans="1:8" x14ac:dyDescent="0.3">
      <c r="A3" s="71" t="s">
        <v>1</v>
      </c>
      <c r="B3" s="71"/>
      <c r="C3" s="71"/>
      <c r="D3" s="71"/>
      <c r="E3" s="145" t="str">
        <f ca="1">TEXT(TODAY(),"DD/MM/YYYY")</f>
        <v>12/08/2025</v>
      </c>
      <c r="F3" s="145"/>
      <c r="G3" s="145"/>
      <c r="H3" s="145"/>
    </row>
    <row r="4" spans="1:8" ht="15" customHeight="1" x14ac:dyDescent="0.3">
      <c r="A4" s="71" t="s">
        <v>2</v>
      </c>
      <c r="B4" s="71"/>
      <c r="C4" s="71"/>
      <c r="D4" s="71"/>
      <c r="E4" s="146" t="s">
        <v>165</v>
      </c>
      <c r="F4" s="146"/>
      <c r="G4" s="146"/>
      <c r="H4" s="146"/>
    </row>
    <row r="5" spans="1:8" x14ac:dyDescent="0.3">
      <c r="A5" s="71" t="s">
        <v>3</v>
      </c>
      <c r="B5" s="71"/>
      <c r="C5" s="71"/>
      <c r="D5" s="71"/>
      <c r="E5" s="145">
        <v>45880</v>
      </c>
      <c r="F5" s="145"/>
      <c r="G5" s="145"/>
      <c r="H5" s="145"/>
    </row>
    <row r="6" spans="1:8" ht="16.5" customHeight="1" x14ac:dyDescent="0.3">
      <c r="A6" s="71" t="s">
        <v>4</v>
      </c>
      <c r="B6" s="71"/>
      <c r="C6" s="71"/>
      <c r="D6" s="71"/>
      <c r="E6" s="105" t="s">
        <v>166</v>
      </c>
      <c r="F6" s="105"/>
      <c r="G6" s="105"/>
      <c r="H6" s="105"/>
    </row>
    <row r="7" spans="1:8" ht="15" customHeight="1" x14ac:dyDescent="0.3">
      <c r="A7" s="71" t="s">
        <v>5</v>
      </c>
      <c r="B7" s="71"/>
      <c r="C7" s="71"/>
      <c r="D7" s="71"/>
      <c r="E7" s="105" t="str">
        <f>E6</f>
        <v>M/s. AB Builders And Devlopers</v>
      </c>
      <c r="F7" s="105"/>
      <c r="G7" s="105"/>
      <c r="H7" s="105"/>
    </row>
    <row r="8" spans="1:8" x14ac:dyDescent="0.3">
      <c r="A8" s="71" t="s">
        <v>6</v>
      </c>
      <c r="B8" s="71"/>
      <c r="C8" s="71"/>
      <c r="D8" s="71"/>
      <c r="E8" s="103" t="s">
        <v>167</v>
      </c>
      <c r="F8" s="97"/>
      <c r="G8" s="97"/>
      <c r="H8" s="97"/>
    </row>
    <row r="9" spans="1:8" x14ac:dyDescent="0.3">
      <c r="A9" s="71" t="s">
        <v>130</v>
      </c>
      <c r="B9" s="71"/>
      <c r="C9" s="71"/>
      <c r="D9" s="71"/>
      <c r="E9" s="116">
        <v>8390038861</v>
      </c>
      <c r="F9" s="116"/>
      <c r="G9" s="116"/>
      <c r="H9" s="116"/>
    </row>
    <row r="10" spans="1:8" x14ac:dyDescent="0.3">
      <c r="A10" s="116" t="s">
        <v>7</v>
      </c>
      <c r="B10" s="116"/>
      <c r="C10" s="116"/>
      <c r="D10" s="116"/>
      <c r="E10" s="116" t="s">
        <v>210</v>
      </c>
      <c r="F10" s="116"/>
      <c r="G10" s="116"/>
      <c r="H10" s="116"/>
    </row>
    <row r="11" spans="1:8" ht="32.25" customHeight="1" x14ac:dyDescent="0.3">
      <c r="A11" s="71" t="s">
        <v>8</v>
      </c>
      <c r="B11" s="71"/>
      <c r="C11" s="71"/>
      <c r="D11" s="71"/>
      <c r="E11" s="105" t="s">
        <v>169</v>
      </c>
      <c r="F11" s="105"/>
      <c r="G11" s="105"/>
      <c r="H11" s="105"/>
    </row>
    <row r="12" spans="1:8" x14ac:dyDescent="0.3">
      <c r="A12" s="71" t="s">
        <v>9</v>
      </c>
      <c r="B12" s="71"/>
      <c r="C12" s="71"/>
      <c r="D12" s="71"/>
      <c r="E12" s="105" t="s">
        <v>168</v>
      </c>
      <c r="F12" s="116"/>
      <c r="G12" s="116"/>
      <c r="H12" s="116"/>
    </row>
    <row r="13" spans="1:8" ht="32.25" customHeight="1" x14ac:dyDescent="0.3">
      <c r="A13" s="105" t="s">
        <v>10</v>
      </c>
      <c r="B13" s="105"/>
      <c r="C13" s="10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Aleen Heights, Survey No.37, Hissa No.1, Plot No.6, 7, near Mahesh Apartment, Internal Road, Sopara, Nallasopara West, Vasai, Palghar - 401203.</v>
      </c>
      <c r="D13" s="105"/>
      <c r="E13" s="105"/>
      <c r="F13" s="105"/>
      <c r="G13" s="105"/>
      <c r="H13" s="105"/>
    </row>
    <row r="14" spans="1:8" x14ac:dyDescent="0.3">
      <c r="A14" s="105" t="s">
        <v>170</v>
      </c>
      <c r="B14" s="105"/>
      <c r="C14" s="105" t="s">
        <v>213</v>
      </c>
      <c r="D14" s="105"/>
      <c r="E14" s="105"/>
      <c r="F14" s="105"/>
      <c r="G14" s="105"/>
      <c r="H14" s="105"/>
    </row>
    <row r="15" spans="1:8" ht="15.75" customHeight="1" x14ac:dyDescent="0.3">
      <c r="A15" s="105" t="s">
        <v>11</v>
      </c>
      <c r="B15" s="105"/>
      <c r="C15" s="116" t="s">
        <v>175</v>
      </c>
      <c r="D15" s="116"/>
      <c r="E15" s="105" t="s">
        <v>78</v>
      </c>
      <c r="F15" s="105"/>
      <c r="G15" s="105" t="s">
        <v>171</v>
      </c>
      <c r="H15" s="105"/>
    </row>
    <row r="16" spans="1:8" x14ac:dyDescent="0.3">
      <c r="A16" s="116" t="s">
        <v>13</v>
      </c>
      <c r="B16" s="116"/>
      <c r="C16" s="105" t="s">
        <v>189</v>
      </c>
      <c r="D16" s="105"/>
      <c r="E16" s="105" t="s">
        <v>12</v>
      </c>
      <c r="F16" s="105"/>
      <c r="G16" s="147" t="s">
        <v>172</v>
      </c>
      <c r="H16" s="147"/>
    </row>
    <row r="17" spans="1:8" x14ac:dyDescent="0.3">
      <c r="A17" s="116" t="s">
        <v>79</v>
      </c>
      <c r="B17" s="116"/>
      <c r="C17" s="105" t="s">
        <v>173</v>
      </c>
      <c r="D17" s="105"/>
      <c r="E17" s="105" t="s">
        <v>14</v>
      </c>
      <c r="F17" s="105"/>
      <c r="G17" s="105">
        <v>401203</v>
      </c>
      <c r="H17" s="105"/>
    </row>
    <row r="18" spans="1:8" ht="32.25" customHeight="1" x14ac:dyDescent="0.3">
      <c r="A18" s="116" t="s">
        <v>131</v>
      </c>
      <c r="B18" s="116"/>
      <c r="C18" s="87" t="s">
        <v>174</v>
      </c>
      <c r="D18" s="87"/>
      <c r="E18" s="105" t="s">
        <v>15</v>
      </c>
      <c r="F18" s="105"/>
      <c r="G18" s="105" t="s">
        <v>177</v>
      </c>
      <c r="H18" s="105"/>
    </row>
    <row r="19" spans="1:8" ht="15" customHeight="1" x14ac:dyDescent="0.3">
      <c r="A19" s="105" t="s">
        <v>82</v>
      </c>
      <c r="B19" s="105"/>
      <c r="C19" s="105"/>
      <c r="D19" s="105"/>
      <c r="E19" s="116" t="s">
        <v>16</v>
      </c>
      <c r="F19" s="116"/>
      <c r="G19" s="116"/>
      <c r="H19" s="116"/>
    </row>
    <row r="20" spans="1:8" ht="18.75" customHeight="1" x14ac:dyDescent="0.3">
      <c r="A20" s="105"/>
      <c r="B20" s="105"/>
      <c r="C20" s="105"/>
      <c r="D20" s="105"/>
      <c r="E20" s="116"/>
      <c r="F20" s="116"/>
      <c r="G20" s="116"/>
      <c r="H20" s="116"/>
    </row>
    <row r="21" spans="1:8" ht="15" customHeight="1" x14ac:dyDescent="0.3">
      <c r="A21" s="106" t="s">
        <v>17</v>
      </c>
      <c r="B21" s="106"/>
      <c r="C21" s="106"/>
      <c r="D21" s="106"/>
      <c r="E21" s="105" t="s">
        <v>18</v>
      </c>
      <c r="F21" s="105"/>
      <c r="G21" s="105"/>
      <c r="H21" s="105"/>
    </row>
    <row r="22" spans="1:8" ht="15" customHeight="1" x14ac:dyDescent="0.3">
      <c r="A22" s="71" t="s">
        <v>19</v>
      </c>
      <c r="B22" s="71"/>
      <c r="C22" s="71"/>
      <c r="D22" s="71"/>
      <c r="E22" s="105" t="str">
        <f>IF(AND(G16="Mumbai"),"Upper Class","Middle Class")</f>
        <v>Middle Class</v>
      </c>
      <c r="F22" s="105"/>
      <c r="G22" s="105"/>
      <c r="H22" s="105"/>
    </row>
    <row r="23" spans="1:8" x14ac:dyDescent="0.3">
      <c r="A23" s="71" t="s">
        <v>20</v>
      </c>
      <c r="B23" s="71"/>
      <c r="C23" s="71"/>
      <c r="D23" s="71"/>
      <c r="E23" s="105" t="s">
        <v>21</v>
      </c>
      <c r="F23" s="105"/>
      <c r="G23" s="105"/>
      <c r="H23" s="105"/>
    </row>
    <row r="24" spans="1:8" ht="15.75" customHeight="1" x14ac:dyDescent="0.3">
      <c r="A24" s="71" t="s">
        <v>22</v>
      </c>
      <c r="B24" s="71"/>
      <c r="C24" s="71"/>
      <c r="D24" s="71"/>
      <c r="E24" s="105" t="str">
        <f>IF(AND(G16="Mumbai"),"Developed","Developing")</f>
        <v>Developing</v>
      </c>
      <c r="F24" s="105"/>
      <c r="G24" s="105"/>
      <c r="H24" s="105"/>
    </row>
    <row r="25" spans="1:8" x14ac:dyDescent="0.3">
      <c r="A25" s="71" t="s">
        <v>23</v>
      </c>
      <c r="B25" s="71"/>
      <c r="C25" s="71"/>
      <c r="D25" s="71"/>
      <c r="E25" s="105" t="s">
        <v>24</v>
      </c>
      <c r="F25" s="105"/>
      <c r="G25" s="105"/>
      <c r="H25" s="105"/>
    </row>
    <row r="26" spans="1:8" x14ac:dyDescent="0.3">
      <c r="A26" s="71" t="s">
        <v>87</v>
      </c>
      <c r="B26" s="71"/>
      <c r="C26" s="71"/>
      <c r="D26" s="71"/>
      <c r="E26" s="105" t="s">
        <v>88</v>
      </c>
      <c r="F26" s="105"/>
      <c r="G26" s="105"/>
      <c r="H26" s="105"/>
    </row>
    <row r="27" spans="1:8" ht="15" customHeight="1" x14ac:dyDescent="0.3">
      <c r="A27" s="106" t="s">
        <v>33</v>
      </c>
      <c r="B27" s="106"/>
      <c r="C27" s="106"/>
      <c r="D27" s="106"/>
      <c r="E27" s="146" t="str">
        <f>IF(ISNUMBER(SEARCH("Shop",D53)),"Residential + Commercial",IF(ISNUMBER(SEARCH("Office",D53)),"Residential + Commercial",IF(SEARCH("Flats",D53),"Residential","")))</f>
        <v>Residential + Commercial</v>
      </c>
      <c r="F27" s="146"/>
      <c r="G27" s="146"/>
      <c r="H27" s="146"/>
    </row>
    <row r="28" spans="1:8" x14ac:dyDescent="0.3">
      <c r="A28" s="106" t="s">
        <v>99</v>
      </c>
      <c r="B28" s="106"/>
      <c r="C28" s="106"/>
      <c r="D28" s="106"/>
      <c r="E28" s="106" t="s">
        <v>34</v>
      </c>
      <c r="F28" s="106"/>
      <c r="G28" s="106"/>
      <c r="H28" s="106"/>
    </row>
    <row r="29" spans="1:8" s="6" customFormat="1" x14ac:dyDescent="0.3">
      <c r="A29" s="152" t="s">
        <v>100</v>
      </c>
      <c r="B29" s="152"/>
      <c r="C29" s="151" t="s">
        <v>29</v>
      </c>
      <c r="D29" s="151"/>
      <c r="E29" s="151"/>
      <c r="F29" s="151" t="s">
        <v>31</v>
      </c>
      <c r="G29" s="151"/>
      <c r="H29" s="151"/>
    </row>
    <row r="30" spans="1:8" s="6" customFormat="1" x14ac:dyDescent="0.3">
      <c r="A30" s="148" t="s">
        <v>25</v>
      </c>
      <c r="B30" s="148" t="s">
        <v>30</v>
      </c>
      <c r="C30" s="149" t="s">
        <v>30</v>
      </c>
      <c r="D30" s="149"/>
      <c r="E30" s="149"/>
      <c r="F30" s="149" t="s">
        <v>176</v>
      </c>
      <c r="G30" s="149"/>
      <c r="H30" s="149"/>
    </row>
    <row r="31" spans="1:8" x14ac:dyDescent="0.3">
      <c r="A31" s="148" t="s">
        <v>26</v>
      </c>
      <c r="B31" s="148" t="s">
        <v>30</v>
      </c>
      <c r="C31" s="149" t="s">
        <v>30</v>
      </c>
      <c r="D31" s="149"/>
      <c r="E31" s="149"/>
      <c r="F31" s="149" t="s">
        <v>175</v>
      </c>
      <c r="G31" s="149"/>
      <c r="H31" s="149"/>
    </row>
    <row r="32" spans="1:8" s="6" customFormat="1" x14ac:dyDescent="0.3">
      <c r="A32" s="148" t="s">
        <v>28</v>
      </c>
      <c r="B32" s="148" t="s">
        <v>30</v>
      </c>
      <c r="C32" s="149" t="s">
        <v>30</v>
      </c>
      <c r="D32" s="149"/>
      <c r="E32" s="149"/>
      <c r="F32" s="149" t="s">
        <v>174</v>
      </c>
      <c r="G32" s="149"/>
      <c r="H32" s="149"/>
    </row>
    <row r="33" spans="1:8" x14ac:dyDescent="0.3">
      <c r="A33" s="148" t="s">
        <v>27</v>
      </c>
      <c r="B33" s="148" t="s">
        <v>30</v>
      </c>
      <c r="C33" s="149" t="s">
        <v>30</v>
      </c>
      <c r="D33" s="149"/>
      <c r="E33" s="149"/>
      <c r="F33" s="149" t="s">
        <v>175</v>
      </c>
      <c r="G33" s="149"/>
      <c r="H33" s="149"/>
    </row>
    <row r="34" spans="1:8" x14ac:dyDescent="0.3">
      <c r="A34" s="116" t="s">
        <v>32</v>
      </c>
      <c r="B34" s="116"/>
      <c r="C34" s="116"/>
      <c r="D34" s="116"/>
      <c r="E34" s="116"/>
      <c r="F34" s="116"/>
      <c r="G34" s="116"/>
      <c r="H34" s="116"/>
    </row>
    <row r="35" spans="1:8" ht="15.75" customHeight="1" x14ac:dyDescent="0.3">
      <c r="A35" s="151" t="s">
        <v>193</v>
      </c>
      <c r="B35" s="151"/>
      <c r="C35" s="156" t="s">
        <v>194</v>
      </c>
      <c r="D35" s="154"/>
      <c r="E35" s="154"/>
      <c r="F35" s="154"/>
      <c r="G35" s="154"/>
      <c r="H35" s="155"/>
    </row>
    <row r="36" spans="1:8" ht="15.75" customHeight="1" x14ac:dyDescent="0.3">
      <c r="A36" s="151" t="s">
        <v>191</v>
      </c>
      <c r="B36" s="151"/>
      <c r="C36" s="153" t="s">
        <v>192</v>
      </c>
      <c r="D36" s="154"/>
      <c r="E36" s="154"/>
      <c r="F36" s="154"/>
      <c r="G36" s="154"/>
      <c r="H36" s="155"/>
    </row>
    <row r="37" spans="1:8" x14ac:dyDescent="0.3">
      <c r="A37" s="97" t="s">
        <v>35</v>
      </c>
      <c r="B37" s="97"/>
      <c r="C37" s="97"/>
      <c r="D37" s="97"/>
      <c r="E37" s="97"/>
      <c r="F37" s="97"/>
      <c r="G37" s="97"/>
      <c r="H37" s="97"/>
    </row>
    <row r="38" spans="1:8" x14ac:dyDescent="0.3">
      <c r="A38" s="71" t="s">
        <v>36</v>
      </c>
      <c r="B38" s="71"/>
      <c r="C38" s="71"/>
      <c r="D38" s="71"/>
      <c r="E38" s="150">
        <v>2624.44</v>
      </c>
      <c r="F38" s="150"/>
      <c r="G38" s="150"/>
      <c r="H38" s="150"/>
    </row>
    <row r="39" spans="1:8" x14ac:dyDescent="0.3">
      <c r="A39" s="70" t="s">
        <v>37</v>
      </c>
      <c r="B39" s="70"/>
      <c r="C39" s="70"/>
      <c r="D39" s="70"/>
      <c r="E39" s="69">
        <v>1.1000000000000001</v>
      </c>
      <c r="F39" s="69"/>
      <c r="G39" s="69"/>
      <c r="H39" s="69"/>
    </row>
    <row r="40" spans="1:8" x14ac:dyDescent="0.3">
      <c r="A40" s="70" t="s">
        <v>38</v>
      </c>
      <c r="B40" s="70"/>
      <c r="C40" s="70"/>
      <c r="D40" s="70"/>
      <c r="E40" s="69">
        <f>E42/E38-E39</f>
        <v>2.8988835713523646</v>
      </c>
      <c r="F40" s="69"/>
      <c r="G40" s="69"/>
      <c r="H40" s="69"/>
    </row>
    <row r="41" spans="1:8" x14ac:dyDescent="0.3">
      <c r="A41" s="70" t="s">
        <v>39</v>
      </c>
      <c r="B41" s="70"/>
      <c r="C41" s="70"/>
      <c r="D41" s="70"/>
      <c r="E41" s="69">
        <f>E39+E40</f>
        <v>3.9988835713523647</v>
      </c>
      <c r="F41" s="69"/>
      <c r="G41" s="69"/>
      <c r="H41" s="69"/>
    </row>
    <row r="42" spans="1:8" x14ac:dyDescent="0.3">
      <c r="A42" s="70" t="s">
        <v>98</v>
      </c>
      <c r="B42" s="70"/>
      <c r="C42" s="70"/>
      <c r="D42" s="70"/>
      <c r="E42" s="133">
        <v>10494.83</v>
      </c>
      <c r="F42" s="133"/>
      <c r="G42" s="133"/>
      <c r="H42" s="133"/>
    </row>
    <row r="43" spans="1:8" x14ac:dyDescent="0.3">
      <c r="A43" s="70" t="s">
        <v>40</v>
      </c>
      <c r="B43" s="70"/>
      <c r="C43" s="70"/>
      <c r="D43" s="70"/>
      <c r="E43" s="70" t="s">
        <v>195</v>
      </c>
      <c r="F43" s="70"/>
      <c r="G43" s="70"/>
      <c r="H43" s="70"/>
    </row>
    <row r="44" spans="1:8" x14ac:dyDescent="0.3">
      <c r="A44" s="80" t="s">
        <v>41</v>
      </c>
      <c r="B44" s="80"/>
      <c r="C44" s="80"/>
      <c r="D44" s="80"/>
      <c r="E44" s="80"/>
      <c r="F44" s="80"/>
      <c r="G44" s="80"/>
      <c r="H44" s="80"/>
    </row>
    <row r="45" spans="1:8" ht="33.75" customHeight="1" x14ac:dyDescent="0.3">
      <c r="A45" s="135" t="s">
        <v>159</v>
      </c>
      <c r="B45" s="136"/>
      <c r="C45" s="137" t="s">
        <v>178</v>
      </c>
      <c r="D45" s="138"/>
      <c r="E45" s="138"/>
      <c r="F45" s="138"/>
      <c r="G45" s="138"/>
      <c r="H45" s="139"/>
    </row>
    <row r="46" spans="1:8" ht="33" customHeight="1" x14ac:dyDescent="0.3">
      <c r="A46" s="83" t="s">
        <v>42</v>
      </c>
      <c r="B46" s="83"/>
      <c r="C46" s="84" t="s">
        <v>196</v>
      </c>
      <c r="D46" s="84"/>
      <c r="E46" s="84"/>
      <c r="F46" s="47" t="s">
        <v>43</v>
      </c>
      <c r="G46" s="85">
        <v>44823</v>
      </c>
      <c r="H46" s="85"/>
    </row>
    <row r="47" spans="1:8" ht="34.5" customHeight="1" x14ac:dyDescent="0.3">
      <c r="A47" s="70" t="s">
        <v>44</v>
      </c>
      <c r="B47" s="70"/>
      <c r="C47" s="84" t="str">
        <f>C46</f>
        <v>VVCMC/TP/AMEND/VP/5896/341/2022-23</v>
      </c>
      <c r="D47" s="84"/>
      <c r="E47" s="84"/>
      <c r="F47" s="47" t="s">
        <v>43</v>
      </c>
      <c r="G47" s="85">
        <f>G46</f>
        <v>44823</v>
      </c>
      <c r="H47" s="85"/>
    </row>
    <row r="48" spans="1:8" s="5" customFormat="1" x14ac:dyDescent="0.3">
      <c r="A48" s="83" t="s">
        <v>45</v>
      </c>
      <c r="B48" s="83"/>
      <c r="C48" s="87" t="s">
        <v>219</v>
      </c>
      <c r="D48" s="88"/>
      <c r="E48" s="88"/>
      <c r="F48" s="54" t="s">
        <v>43</v>
      </c>
      <c r="G48" s="86">
        <v>45358</v>
      </c>
      <c r="H48" s="86"/>
    </row>
    <row r="49" spans="1:14" s="5" customFormat="1" ht="48.6" customHeight="1" x14ac:dyDescent="0.3">
      <c r="A49" s="83"/>
      <c r="B49" s="83"/>
      <c r="C49" s="118" t="s">
        <v>220</v>
      </c>
      <c r="D49" s="119"/>
      <c r="E49" s="119"/>
      <c r="F49" s="119"/>
      <c r="G49" s="119"/>
      <c r="H49" s="175"/>
    </row>
    <row r="50" spans="1:14" x14ac:dyDescent="0.3">
      <c r="A50" s="140" t="s">
        <v>46</v>
      </c>
      <c r="B50" s="140"/>
      <c r="C50" s="141" t="s">
        <v>112</v>
      </c>
      <c r="D50" s="142"/>
      <c r="E50" s="142" t="s">
        <v>47</v>
      </c>
      <c r="F50" s="55" t="s">
        <v>43</v>
      </c>
      <c r="G50" s="117" t="s">
        <v>30</v>
      </c>
      <c r="H50" s="117"/>
    </row>
    <row r="51" spans="1:14" x14ac:dyDescent="0.3">
      <c r="A51" s="115" t="s">
        <v>49</v>
      </c>
      <c r="B51" s="115"/>
      <c r="C51" s="115"/>
      <c r="D51" s="115"/>
      <c r="E51" s="115"/>
      <c r="F51" s="115"/>
      <c r="G51" s="115"/>
      <c r="H51" s="115"/>
    </row>
    <row r="52" spans="1:14" x14ac:dyDescent="0.3">
      <c r="A52" s="106" t="s">
        <v>97</v>
      </c>
      <c r="B52" s="106"/>
      <c r="C52" s="106"/>
      <c r="D52" s="71">
        <f>E42</f>
        <v>10494.83</v>
      </c>
      <c r="E52" s="71"/>
      <c r="F52" s="71"/>
      <c r="G52" s="71"/>
      <c r="H52" s="71"/>
    </row>
    <row r="53" spans="1:14" x14ac:dyDescent="0.3">
      <c r="A53" s="105" t="s">
        <v>50</v>
      </c>
      <c r="B53" s="116"/>
      <c r="C53" s="116"/>
      <c r="D53" s="116" t="s">
        <v>208</v>
      </c>
      <c r="E53" s="116"/>
      <c r="F53" s="116"/>
      <c r="G53" s="116"/>
      <c r="H53" s="116"/>
      <c r="I53" s="34"/>
    </row>
    <row r="54" spans="1:14" ht="16.5" customHeight="1" x14ac:dyDescent="0.3">
      <c r="A54" s="90" t="s">
        <v>51</v>
      </c>
      <c r="B54" s="91"/>
      <c r="C54" s="92"/>
      <c r="D54" s="120" t="s">
        <v>209</v>
      </c>
      <c r="E54" s="121"/>
      <c r="F54" s="121"/>
      <c r="G54" s="121"/>
      <c r="H54" s="122"/>
    </row>
    <row r="55" spans="1:14" ht="15.75" customHeight="1" x14ac:dyDescent="0.3">
      <c r="A55" s="90" t="s">
        <v>95</v>
      </c>
      <c r="B55" s="91"/>
      <c r="C55" s="92"/>
      <c r="D55" s="89" t="s">
        <v>226</v>
      </c>
      <c r="E55" s="89"/>
      <c r="F55" s="89"/>
      <c r="G55" s="89"/>
      <c r="H55" s="89"/>
    </row>
    <row r="56" spans="1:14" ht="15.75" customHeight="1" x14ac:dyDescent="0.3">
      <c r="A56" s="93"/>
      <c r="B56" s="94"/>
      <c r="C56" s="95"/>
      <c r="D56" s="89" t="s">
        <v>223</v>
      </c>
      <c r="E56" s="89"/>
      <c r="F56" s="89"/>
      <c r="G56" s="89"/>
      <c r="H56" s="89"/>
    </row>
    <row r="57" spans="1:14" ht="15.75" customHeight="1" x14ac:dyDescent="0.3">
      <c r="A57" s="71" t="s">
        <v>48</v>
      </c>
      <c r="B57" s="71"/>
      <c r="C57" s="71"/>
      <c r="D57" s="83" t="s">
        <v>179</v>
      </c>
      <c r="E57" s="83"/>
      <c r="F57" s="83"/>
      <c r="G57" s="83"/>
      <c r="H57" s="83"/>
      <c r="J57" s="33"/>
      <c r="K57" s="34"/>
      <c r="N57" s="34"/>
    </row>
    <row r="58" spans="1:14" ht="15.75" customHeight="1" x14ac:dyDescent="0.3">
      <c r="A58" s="71" t="s">
        <v>93</v>
      </c>
      <c r="B58" s="71"/>
      <c r="C58" s="71"/>
      <c r="D58" s="124" t="str">
        <f>(IF(G50="NA","60 Years After Completion",IF(G50&lt;&gt;"NA",""&amp;60-ROUNDDOWN((E3-G50)/360,0)&amp;" Years"," ")))</f>
        <v>60 Years After Completion</v>
      </c>
      <c r="E58" s="124"/>
      <c r="F58" s="124"/>
      <c r="G58" s="124"/>
      <c r="H58" s="124"/>
      <c r="N58" s="34"/>
    </row>
    <row r="59" spans="1:14" ht="15.75" customHeight="1" x14ac:dyDescent="0.3">
      <c r="A59" s="71" t="s">
        <v>94</v>
      </c>
      <c r="B59" s="71"/>
      <c r="C59" s="71"/>
      <c r="D59" s="83" t="s">
        <v>24</v>
      </c>
      <c r="E59" s="83"/>
      <c r="F59" s="83"/>
      <c r="G59" s="83"/>
      <c r="H59" s="83"/>
      <c r="J59" s="12"/>
      <c r="K59" s="12"/>
    </row>
    <row r="60" spans="1:14" x14ac:dyDescent="0.3">
      <c r="A60" s="71" t="s">
        <v>80</v>
      </c>
      <c r="B60" s="71"/>
      <c r="C60" s="71"/>
      <c r="D60" s="105" t="s">
        <v>214</v>
      </c>
      <c r="E60" s="106"/>
      <c r="F60" s="106"/>
      <c r="G60" s="106"/>
      <c r="H60" s="106"/>
    </row>
    <row r="61" spans="1:14" x14ac:dyDescent="0.3">
      <c r="A61" s="106" t="s">
        <v>157</v>
      </c>
      <c r="B61" s="106"/>
      <c r="C61" s="106"/>
      <c r="D61" s="106" t="s">
        <v>30</v>
      </c>
      <c r="E61" s="106"/>
      <c r="F61" s="106"/>
      <c r="G61" s="106"/>
      <c r="H61" s="106"/>
      <c r="I61" s="43"/>
      <c r="J61" s="43"/>
      <c r="K61" s="43"/>
      <c r="L61" s="43"/>
      <c r="M61" s="43"/>
      <c r="N61" s="43"/>
    </row>
    <row r="62" spans="1:14" ht="15.75" customHeight="1" x14ac:dyDescent="0.3">
      <c r="A62" s="123" t="s">
        <v>92</v>
      </c>
      <c r="B62" s="123"/>
      <c r="C62" s="123"/>
      <c r="D62" s="108" t="str">
        <f ca="1">(IF(G68&gt;95%,"Nothing",IF(G68&gt;0%,"Cement, Aggregate, Steel, etc",IF(G68=0%,"Work not yet Started"))))</f>
        <v>Cement, Aggregate, Steel, etc</v>
      </c>
      <c r="E62" s="108"/>
      <c r="F62" s="108"/>
      <c r="G62" s="108"/>
      <c r="H62" s="108"/>
      <c r="J62" s="12"/>
    </row>
    <row r="63" spans="1:14" ht="33.75" customHeight="1" thickBot="1" x14ac:dyDescent="0.35">
      <c r="A63" s="107" t="s">
        <v>125</v>
      </c>
      <c r="B63" s="107"/>
      <c r="C63" s="107"/>
      <c r="D63" s="108" t="str">
        <f ca="1">(IF(D62="Nothing","Yes",IF(D62="Cement, Aggregate, Steel, etc","Under Construction",IF(D62="Work not yet Started","Work not yet Started"))))</f>
        <v>Under Construction</v>
      </c>
      <c r="E63" s="108"/>
      <c r="F63" s="108" t="str">
        <f ca="1">(IF(D62="Nothing","Yes",IF(D62="Cement, Aggregate, Steel, etc","Under Construction",IF(D62="Work not yet Started","Work not yet Started"))))</f>
        <v>Under Construction</v>
      </c>
      <c r="G63" s="108"/>
      <c r="H63" s="108"/>
    </row>
    <row r="64" spans="1:14" ht="15.75" customHeight="1" x14ac:dyDescent="0.3">
      <c r="A64" s="98" t="s">
        <v>149</v>
      </c>
      <c r="B64" s="99"/>
      <c r="C64" s="100" t="str">
        <f>D55</f>
        <v>Building No.1 = Wing A = G + 1st to 18th Floor</v>
      </c>
      <c r="D64" s="101"/>
      <c r="E64" s="101"/>
      <c r="F64" s="101"/>
      <c r="G64" s="101"/>
      <c r="H64" s="102"/>
      <c r="I64" s="36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upto 18 Slab Completed, Brickwork upto 12 Floor Completed, Internal Plaster upto 7 Floor Completed.</v>
      </c>
      <c r="J64" s="14"/>
    </row>
    <row r="65" spans="1:10" x14ac:dyDescent="0.3">
      <c r="A65" s="41" t="s">
        <v>151</v>
      </c>
      <c r="B65" s="46">
        <v>0</v>
      </c>
      <c r="C65" s="46" t="s">
        <v>77</v>
      </c>
      <c r="D65" s="46">
        <v>1</v>
      </c>
      <c r="E65" s="46" t="s">
        <v>76</v>
      </c>
      <c r="F65" s="46">
        <v>0</v>
      </c>
      <c r="G65" s="46" t="s">
        <v>86</v>
      </c>
      <c r="H65" s="42">
        <f ca="1">--TRIM(RIGHT(SUBSTITUTE(LEFT(C64,_xlfn.AGGREGATE(16,6,FIND({0,1,2,3,4,5,6,7,8,9},C64,ROW(INDIRECT("1:"&amp;LEN(C64)))),1))," ",REPT(" ",LEN(C64))),LEN(C64)))</f>
        <v>18</v>
      </c>
      <c r="I65" s="12"/>
      <c r="J65" s="15"/>
    </row>
    <row r="66" spans="1:10" ht="32.4" customHeight="1" x14ac:dyDescent="0.3">
      <c r="A66" s="96" t="s">
        <v>96</v>
      </c>
      <c r="B66" s="97"/>
      <c r="C66" s="103" t="str">
        <f ca="1">(IF($G$50="NA",I64,"All work Completed. OC Received."))</f>
        <v>Excavation work Completed. Plinth work completed, RCC upto 18 Slab Completed, Brickwork upto 12 Floor Completed, Internal Plaster upto 7 Floor Completed.</v>
      </c>
      <c r="D66" s="103"/>
      <c r="E66" s="103"/>
      <c r="F66" s="103"/>
      <c r="G66" s="103"/>
      <c r="H66" s="104"/>
      <c r="I66" s="12" t="s">
        <v>111</v>
      </c>
      <c r="J66" s="15"/>
    </row>
    <row r="67" spans="1:10" ht="15.75" customHeight="1" x14ac:dyDescent="0.3">
      <c r="A67" s="77" t="s">
        <v>52</v>
      </c>
      <c r="B67" s="78"/>
      <c r="C67" s="48" t="s">
        <v>148</v>
      </c>
      <c r="D67" s="48" t="s">
        <v>89</v>
      </c>
      <c r="E67" s="78" t="s">
        <v>91</v>
      </c>
      <c r="F67" s="78"/>
      <c r="G67" s="78" t="s">
        <v>90</v>
      </c>
      <c r="H67" s="134"/>
      <c r="I67" s="32" t="s">
        <v>150</v>
      </c>
      <c r="J67" s="16">
        <f ca="1">H65*25%</f>
        <v>4.5</v>
      </c>
    </row>
    <row r="68" spans="1:10" x14ac:dyDescent="0.3">
      <c r="A68" s="77" t="s">
        <v>137</v>
      </c>
      <c r="B68" s="78"/>
      <c r="C68" s="51">
        <f ca="1">J77</f>
        <v>18</v>
      </c>
      <c r="D68" s="50">
        <f ca="1">((100/H65)*C68)/100</f>
        <v>1</v>
      </c>
      <c r="E68" s="109">
        <f ca="1">(((C69/H65*10)+(40/(D65+F65+H65)*C70)+(7.5/(H65)*C71)+(7.5/(H65)*C72)+(10/H65*C73)+(10/H65*C74)+(5/H65*C75)+(5/H65*C76)+(5/H65*C77))/100)</f>
        <v>0.55811403508771928</v>
      </c>
      <c r="F68" s="109"/>
      <c r="G68" s="109">
        <f ca="1">((((C68/H65)*20)+((C69/H65)*25)+(30/(H65+F65+D65)*C70)+(5/H65*C71)+(5/H65*C72)+(5/H65*C73)+(5/H65*C74)+(0/H65*C75)+(0/H65*C76)+(5/H65*C77))/100)</f>
        <v>0.78698830409356713</v>
      </c>
      <c r="H68" s="111"/>
      <c r="I68" s="32" t="s">
        <v>106</v>
      </c>
      <c r="J68" s="35">
        <f ca="1">H65*50%</f>
        <v>9</v>
      </c>
    </row>
    <row r="69" spans="1:10" x14ac:dyDescent="0.3">
      <c r="A69" s="77" t="s">
        <v>53</v>
      </c>
      <c r="B69" s="78"/>
      <c r="C69" s="51">
        <f ca="1">J77</f>
        <v>18</v>
      </c>
      <c r="D69" s="50">
        <f ca="1">((100/H65)*C69)/100</f>
        <v>1</v>
      </c>
      <c r="E69" s="109"/>
      <c r="F69" s="109"/>
      <c r="G69" s="109"/>
      <c r="H69" s="111"/>
      <c r="I69" s="32" t="s">
        <v>107</v>
      </c>
      <c r="J69" s="35">
        <f ca="1">H65</f>
        <v>18</v>
      </c>
    </row>
    <row r="70" spans="1:10" ht="15.75" customHeight="1" x14ac:dyDescent="0.3">
      <c r="A70" s="77" t="s">
        <v>138</v>
      </c>
      <c r="B70" s="78"/>
      <c r="C70" s="51">
        <v>18</v>
      </c>
      <c r="D70" s="50">
        <f ca="1">((100/(D65+F65+H65))*C70)/100</f>
        <v>0.94736842105263164</v>
      </c>
      <c r="E70" s="109"/>
      <c r="F70" s="109"/>
      <c r="G70" s="109"/>
      <c r="H70" s="111"/>
      <c r="I70" s="32" t="s">
        <v>108</v>
      </c>
      <c r="J70" s="38">
        <f ca="1">(IF(B65&gt;1,(H65/(B65+2)),H65/4))</f>
        <v>4.5</v>
      </c>
    </row>
    <row r="71" spans="1:10" ht="15.75" customHeight="1" x14ac:dyDescent="0.3">
      <c r="A71" s="77" t="s">
        <v>145</v>
      </c>
      <c r="B71" s="78" t="s">
        <v>139</v>
      </c>
      <c r="C71" s="49">
        <v>12</v>
      </c>
      <c r="D71" s="50">
        <f ca="1">((100/H65)*C71)/100</f>
        <v>0.66666666666666652</v>
      </c>
      <c r="E71" s="109"/>
      <c r="F71" s="109"/>
      <c r="G71" s="109"/>
      <c r="H71" s="111"/>
      <c r="I71" s="32" t="s">
        <v>109</v>
      </c>
      <c r="J71" s="38">
        <f ca="1">(IF(B65&gt;1,(H65/(B65+2)+J70),H65/4+J70))</f>
        <v>9</v>
      </c>
    </row>
    <row r="72" spans="1:10" ht="15.75" customHeight="1" x14ac:dyDescent="0.3">
      <c r="A72" s="77" t="s">
        <v>146</v>
      </c>
      <c r="B72" s="78" t="s">
        <v>139</v>
      </c>
      <c r="C72" s="49">
        <v>7</v>
      </c>
      <c r="D72" s="50">
        <f ca="1">((100/H65)*C72)/100</f>
        <v>0.38888888888888884</v>
      </c>
      <c r="E72" s="109"/>
      <c r="F72" s="109"/>
      <c r="G72" s="109"/>
      <c r="H72" s="111"/>
      <c r="I72" s="32" t="s">
        <v>155</v>
      </c>
      <c r="J72" s="38">
        <f>(IF(B65&gt;1,(H65/(B65+2)+J71),0))</f>
        <v>0</v>
      </c>
    </row>
    <row r="73" spans="1:10" ht="15" customHeight="1" x14ac:dyDescent="0.3">
      <c r="A73" s="77" t="s">
        <v>144</v>
      </c>
      <c r="B73" s="78" t="s">
        <v>141</v>
      </c>
      <c r="C73" s="49">
        <v>0</v>
      </c>
      <c r="D73" s="50">
        <f ca="1">((100/(H65))*C73)/100</f>
        <v>0</v>
      </c>
      <c r="E73" s="109"/>
      <c r="F73" s="109"/>
      <c r="G73" s="109"/>
      <c r="H73" s="111"/>
      <c r="I73" s="32" t="s">
        <v>152</v>
      </c>
      <c r="J73" s="38">
        <f>(IF(B65&gt;2,(H65/(B65+2)+J72),0))</f>
        <v>0</v>
      </c>
    </row>
    <row r="74" spans="1:10" ht="15.75" customHeight="1" x14ac:dyDescent="0.3">
      <c r="A74" s="77" t="s">
        <v>140</v>
      </c>
      <c r="B74" s="78" t="s">
        <v>140</v>
      </c>
      <c r="C74" s="49">
        <v>0</v>
      </c>
      <c r="D74" s="50">
        <f ca="1">((100/H65)*C74)/100</f>
        <v>0</v>
      </c>
      <c r="E74" s="109"/>
      <c r="F74" s="109"/>
      <c r="G74" s="109"/>
      <c r="H74" s="111"/>
      <c r="I74" s="32" t="s">
        <v>153</v>
      </c>
      <c r="J74" s="39">
        <f>(IF(B65&gt;3,(H65/(B65+2)+J73),0))</f>
        <v>0</v>
      </c>
    </row>
    <row r="75" spans="1:10" ht="15.75" customHeight="1" x14ac:dyDescent="0.3">
      <c r="A75" s="77" t="s">
        <v>147</v>
      </c>
      <c r="B75" s="78"/>
      <c r="C75" s="49">
        <v>0</v>
      </c>
      <c r="D75" s="50">
        <f ca="1">((100/H65)*C75)/100</f>
        <v>0</v>
      </c>
      <c r="E75" s="109"/>
      <c r="F75" s="109"/>
      <c r="G75" s="109"/>
      <c r="H75" s="111"/>
      <c r="I75" s="32" t="s">
        <v>154</v>
      </c>
      <c r="J75" s="38">
        <f>(IF(B65&gt;4,(H65/(B65+2)+J74),0))</f>
        <v>0</v>
      </c>
    </row>
    <row r="76" spans="1:10" ht="15.75" customHeight="1" x14ac:dyDescent="0.3">
      <c r="A76" s="77" t="s">
        <v>142</v>
      </c>
      <c r="B76" s="78" t="s">
        <v>142</v>
      </c>
      <c r="C76" s="49">
        <v>0</v>
      </c>
      <c r="D76" s="50">
        <f ca="1">((100/(H65))*C76)/100</f>
        <v>0</v>
      </c>
      <c r="E76" s="109"/>
      <c r="F76" s="109"/>
      <c r="G76" s="109"/>
      <c r="H76" s="111"/>
      <c r="I76" s="32" t="s">
        <v>156</v>
      </c>
      <c r="J76" s="38">
        <f ca="1">(IF(B65=1,(H65/(B65+3)+J71),IF(B65=0,(H65/4+J71),IF(B65&gt;1,0))))</f>
        <v>13.5</v>
      </c>
    </row>
    <row r="77" spans="1:10" ht="16.2" thickBot="1" x14ac:dyDescent="0.35">
      <c r="A77" s="113" t="s">
        <v>143</v>
      </c>
      <c r="B77" s="114"/>
      <c r="C77" s="52">
        <v>0</v>
      </c>
      <c r="D77" s="53">
        <f ca="1">((100/(H65))*C77)/100</f>
        <v>0</v>
      </c>
      <c r="E77" s="110"/>
      <c r="F77" s="110"/>
      <c r="G77" s="110"/>
      <c r="H77" s="112"/>
      <c r="I77" s="37" t="s">
        <v>110</v>
      </c>
      <c r="J77" s="40">
        <f ca="1">(IF(B65&gt;1.5,(H65/(B65+2)+J71+MAX(0,J72-J71)+MAX(0,J73-J72)+MAX(0,J74-J73)+MAX(0,J75-J74)+MAX(0,J76-J75)),IF(B65=1,(H65/(B65+3)+J76),IF(B65=0,H65/4+J76))))</f>
        <v>18</v>
      </c>
    </row>
    <row r="78" spans="1:10" ht="15.75" customHeight="1" x14ac:dyDescent="0.3">
      <c r="A78" s="98" t="s">
        <v>149</v>
      </c>
      <c r="B78" s="99"/>
      <c r="C78" s="100" t="str">
        <f>D56</f>
        <v>Building No.1 = Wing B = G + 1st to 18th Floor</v>
      </c>
      <c r="D78" s="101"/>
      <c r="E78" s="101"/>
      <c r="F78" s="101"/>
      <c r="G78" s="101"/>
      <c r="H78" s="102"/>
      <c r="I78" s="36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 Completed",IF(C84&gt;0,", RCC upto "&amp;C84&amp;" Slab Completed",""))&amp;(IF(C85=H79,", Brickwork Completed",IF(C85&gt;0,", Brickwork upto "&amp;C85&amp;" Floor Completed",""))&amp;(IF(C86=H79,", Internal Plaster Completed",IF(C86&gt;0,", Internal Plaster upto "&amp;C86&amp;" Floor Completed",""))&amp;(IF(C87=H79,", External Plaster Completed",IF(C87&gt;0,", External Plaster upto "&amp;C87&amp;" Floor Completed",""))&amp;(IF(C88=H79,", Flooring Completed",IF(C88&gt;0,", Flooring upto "&amp;C88&amp;" Floor Completed",""))&amp;(IF(C89=H79,", Painting Completed",IF(C89&gt;0,", Painting upto "&amp;C89&amp;" Floor Completed",""))&amp;(IF(C90&gt;0,", Finishing upto "&amp;C90&amp;" Floor Completed","")&amp;(IF(C84&gt;0.5,".",""))))))))))))))</f>
        <v>Excavation work Completed. Plinth work completed, RCC upto 15 Slab Completed, Brickwork upto 10 Floor Completed, Internal Plaster upto 8 Floor Completed, External Plaster upto 8 Floor Completed.</v>
      </c>
      <c r="J78" s="14"/>
    </row>
    <row r="79" spans="1:10" x14ac:dyDescent="0.3">
      <c r="A79" s="41" t="s">
        <v>151</v>
      </c>
      <c r="B79" s="46">
        <v>0</v>
      </c>
      <c r="C79" s="46" t="s">
        <v>77</v>
      </c>
      <c r="D79" s="46">
        <v>1</v>
      </c>
      <c r="E79" s="46" t="s">
        <v>76</v>
      </c>
      <c r="F79" s="46">
        <v>0</v>
      </c>
      <c r="G79" s="46" t="s">
        <v>86</v>
      </c>
      <c r="H79" s="42">
        <f ca="1">--TRIM(RIGHT(SUBSTITUTE(LEFT(C78,_xlfn.AGGREGATE(16,6,FIND({0,1,2,3,4,5,6,7,8,9},C78,ROW(INDIRECT("1:"&amp;LEN(C78)))),1))," ",REPT(" ",LEN(C78))),LEN(C78)))</f>
        <v>18</v>
      </c>
      <c r="I79" s="12"/>
      <c r="J79" s="15"/>
    </row>
    <row r="80" spans="1:10" ht="33" customHeight="1" x14ac:dyDescent="0.3">
      <c r="A80" s="96" t="s">
        <v>96</v>
      </c>
      <c r="B80" s="97"/>
      <c r="C80" s="103" t="str">
        <f ca="1">(IF($G$50="NA",I78,"All work Completed. OC Received."))</f>
        <v>Excavation work Completed. Plinth work completed, RCC upto 15 Slab Completed, Brickwork upto 10 Floor Completed, Internal Plaster upto 8 Floor Completed, External Plaster upto 8 Floor Completed.</v>
      </c>
      <c r="D80" s="103"/>
      <c r="E80" s="103"/>
      <c r="F80" s="103"/>
      <c r="G80" s="103"/>
      <c r="H80" s="104"/>
      <c r="I80" s="12" t="s">
        <v>111</v>
      </c>
      <c r="J80" s="15"/>
    </row>
    <row r="81" spans="1:10" ht="15.75" customHeight="1" x14ac:dyDescent="0.3">
      <c r="A81" s="77" t="s">
        <v>52</v>
      </c>
      <c r="B81" s="78"/>
      <c r="C81" s="48" t="s">
        <v>148</v>
      </c>
      <c r="D81" s="48" t="s">
        <v>89</v>
      </c>
      <c r="E81" s="78" t="s">
        <v>91</v>
      </c>
      <c r="F81" s="78"/>
      <c r="G81" s="78" t="s">
        <v>90</v>
      </c>
      <c r="H81" s="134"/>
      <c r="I81" s="32" t="s">
        <v>150</v>
      </c>
      <c r="J81" s="16">
        <f ca="1">H79*25%</f>
        <v>4.5</v>
      </c>
    </row>
    <row r="82" spans="1:10" x14ac:dyDescent="0.3">
      <c r="A82" s="77" t="s">
        <v>137</v>
      </c>
      <c r="B82" s="78"/>
      <c r="C82" s="51">
        <f ca="1">J91</f>
        <v>18</v>
      </c>
      <c r="D82" s="50">
        <f ca="1">((100/H79)*C82)/100</f>
        <v>1</v>
      </c>
      <c r="E82" s="109">
        <f ca="1">(((C83/H79*10)+(40/(D79+F79+H79)*C84)+(7.5/(H79)*C85)+(7.5/(H79)*C86)+(10/H79*C87)+(10/H79*C88)+(5/H79*C89)+(5/H79*C90)+(5/H79*C91))/100)</f>
        <v>0.53523391812865495</v>
      </c>
      <c r="F82" s="109"/>
      <c r="G82" s="109">
        <f ca="1">((((C82/H79)*20)+((C83/H79)*25)+(30/(H79+F79+D79)*C84)+(5/H79*C85)+(5/H79*C86)+(5/H79*C87)+(5/H79*C88)+(0/H79*C89)+(0/H79*C90)+(5/H79*C91))/100)</f>
        <v>0.75906432748538022</v>
      </c>
      <c r="H82" s="111"/>
      <c r="I82" s="32" t="s">
        <v>106</v>
      </c>
      <c r="J82" s="35">
        <f ca="1">H79*50%</f>
        <v>9</v>
      </c>
    </row>
    <row r="83" spans="1:10" x14ac:dyDescent="0.3">
      <c r="A83" s="77" t="s">
        <v>53</v>
      </c>
      <c r="B83" s="78"/>
      <c r="C83" s="51">
        <f ca="1">J91</f>
        <v>18</v>
      </c>
      <c r="D83" s="50">
        <f ca="1">((100/H79)*C83)/100</f>
        <v>1</v>
      </c>
      <c r="E83" s="109"/>
      <c r="F83" s="109"/>
      <c r="G83" s="109"/>
      <c r="H83" s="111"/>
      <c r="I83" s="32" t="s">
        <v>107</v>
      </c>
      <c r="J83" s="35">
        <f ca="1">H79</f>
        <v>18</v>
      </c>
    </row>
    <row r="84" spans="1:10" ht="15.75" customHeight="1" x14ac:dyDescent="0.3">
      <c r="A84" s="77" t="s">
        <v>138</v>
      </c>
      <c r="B84" s="78"/>
      <c r="C84" s="51">
        <v>15</v>
      </c>
      <c r="D84" s="50">
        <f ca="1">((100/(D79+F79+H79))*C84)/100</f>
        <v>0.78947368421052633</v>
      </c>
      <c r="E84" s="109"/>
      <c r="F84" s="109"/>
      <c r="G84" s="109"/>
      <c r="H84" s="111"/>
      <c r="I84" s="32" t="s">
        <v>108</v>
      </c>
      <c r="J84" s="38">
        <f ca="1">(IF(B79&gt;1,(H79/(B79+2)),H79/4))</f>
        <v>4.5</v>
      </c>
    </row>
    <row r="85" spans="1:10" ht="15.75" customHeight="1" x14ac:dyDescent="0.3">
      <c r="A85" s="77" t="s">
        <v>145</v>
      </c>
      <c r="B85" s="78" t="s">
        <v>139</v>
      </c>
      <c r="C85" s="49">
        <v>10</v>
      </c>
      <c r="D85" s="50">
        <f ca="1">((100/H79)*C85)/100</f>
        <v>0.55555555555555558</v>
      </c>
      <c r="E85" s="109"/>
      <c r="F85" s="109"/>
      <c r="G85" s="109"/>
      <c r="H85" s="111"/>
      <c r="I85" s="32" t="s">
        <v>109</v>
      </c>
      <c r="J85" s="38">
        <f ca="1">(IF(B79&gt;1,(H79/(B79+2)+J84),H79/4+J84))</f>
        <v>9</v>
      </c>
    </row>
    <row r="86" spans="1:10" ht="15.75" customHeight="1" x14ac:dyDescent="0.3">
      <c r="A86" s="77" t="s">
        <v>146</v>
      </c>
      <c r="B86" s="78" t="s">
        <v>139</v>
      </c>
      <c r="C86" s="49">
        <v>8</v>
      </c>
      <c r="D86" s="50">
        <f ca="1">((100/H79)*C86)/100</f>
        <v>0.44444444444444442</v>
      </c>
      <c r="E86" s="109"/>
      <c r="F86" s="109"/>
      <c r="G86" s="109"/>
      <c r="H86" s="111"/>
      <c r="I86" s="32" t="s">
        <v>155</v>
      </c>
      <c r="J86" s="38">
        <f>(IF(B79&gt;1,(H79/(B79+2)+J85),0))</f>
        <v>0</v>
      </c>
    </row>
    <row r="87" spans="1:10" ht="15" customHeight="1" x14ac:dyDescent="0.3">
      <c r="A87" s="77" t="s">
        <v>144</v>
      </c>
      <c r="B87" s="78" t="s">
        <v>141</v>
      </c>
      <c r="C87" s="49">
        <v>8</v>
      </c>
      <c r="D87" s="50">
        <f ca="1">((100/(H79))*C87)/100</f>
        <v>0.44444444444444442</v>
      </c>
      <c r="E87" s="109"/>
      <c r="F87" s="109"/>
      <c r="G87" s="109"/>
      <c r="H87" s="111"/>
      <c r="I87" s="32" t="s">
        <v>152</v>
      </c>
      <c r="J87" s="38">
        <f>(IF(B79&gt;2,(H79/(B79+2)+J86),0))</f>
        <v>0</v>
      </c>
    </row>
    <row r="88" spans="1:10" ht="15.75" customHeight="1" x14ac:dyDescent="0.3">
      <c r="A88" s="77" t="s">
        <v>140</v>
      </c>
      <c r="B88" s="78" t="s">
        <v>140</v>
      </c>
      <c r="C88" s="49">
        <v>0</v>
      </c>
      <c r="D88" s="50">
        <f ca="1">((100/H79)*C88)/100</f>
        <v>0</v>
      </c>
      <c r="E88" s="109"/>
      <c r="F88" s="109"/>
      <c r="G88" s="109"/>
      <c r="H88" s="111"/>
      <c r="I88" s="32" t="s">
        <v>153</v>
      </c>
      <c r="J88" s="39">
        <f>(IF(B79&gt;3,(H79/(B79+2)+J87),0))</f>
        <v>0</v>
      </c>
    </row>
    <row r="89" spans="1:10" ht="15.75" customHeight="1" x14ac:dyDescent="0.3">
      <c r="A89" s="77" t="s">
        <v>147</v>
      </c>
      <c r="B89" s="78"/>
      <c r="C89" s="49">
        <v>0</v>
      </c>
      <c r="D89" s="50">
        <f ca="1">((100/H79)*C89)/100</f>
        <v>0</v>
      </c>
      <c r="E89" s="109"/>
      <c r="F89" s="109"/>
      <c r="G89" s="109"/>
      <c r="H89" s="111"/>
      <c r="I89" s="32" t="s">
        <v>154</v>
      </c>
      <c r="J89" s="38">
        <f>(IF(B79&gt;4,(H79/(B79+2)+J88),0))</f>
        <v>0</v>
      </c>
    </row>
    <row r="90" spans="1:10" ht="15.75" customHeight="1" x14ac:dyDescent="0.3">
      <c r="A90" s="77" t="s">
        <v>142</v>
      </c>
      <c r="B90" s="78" t="s">
        <v>142</v>
      </c>
      <c r="C90" s="49">
        <v>0</v>
      </c>
      <c r="D90" s="50">
        <f ca="1">((100/(H79))*C90)/100</f>
        <v>0</v>
      </c>
      <c r="E90" s="109"/>
      <c r="F90" s="109"/>
      <c r="G90" s="109"/>
      <c r="H90" s="111"/>
      <c r="I90" s="32" t="s">
        <v>156</v>
      </c>
      <c r="J90" s="38">
        <f ca="1">(IF(B79=1,(H79/(B79+3)+J85),IF(B79=0,(H79/4+J85),IF(B79&gt;1,0))))</f>
        <v>13.5</v>
      </c>
    </row>
    <row r="91" spans="1:10" ht="16.2" thickBot="1" x14ac:dyDescent="0.35">
      <c r="A91" s="113" t="s">
        <v>143</v>
      </c>
      <c r="B91" s="114"/>
      <c r="C91" s="52">
        <v>0</v>
      </c>
      <c r="D91" s="53">
        <f ca="1">((100/(H79))*C91)/100</f>
        <v>0</v>
      </c>
      <c r="E91" s="110"/>
      <c r="F91" s="110"/>
      <c r="G91" s="110"/>
      <c r="H91" s="112"/>
      <c r="I91" s="37" t="s">
        <v>110</v>
      </c>
      <c r="J91" s="40">
        <f ca="1">(IF(B79&gt;1.5,(H79/(B79+2)+J85+MAX(0,J86-J85)+MAX(0,J87-J86)+MAX(0,J88-J87)+MAX(0,J89-J88)+MAX(0,J90-J89)),IF(B79=1,(H79/(B79+3)+J90),IF(B79=0,H79/4+J90))))</f>
        <v>18</v>
      </c>
    </row>
    <row r="92" spans="1:10" x14ac:dyDescent="0.3">
      <c r="A92" s="80" t="s">
        <v>54</v>
      </c>
      <c r="B92" s="80"/>
      <c r="C92" s="80"/>
      <c r="D92" s="80"/>
      <c r="E92" s="80"/>
      <c r="F92" s="80"/>
      <c r="G92" s="80"/>
      <c r="H92" s="80"/>
    </row>
    <row r="93" spans="1:10" x14ac:dyDescent="0.3">
      <c r="A93" s="71" t="s">
        <v>162</v>
      </c>
      <c r="B93" s="71"/>
      <c r="C93" s="71"/>
      <c r="D93" s="71"/>
      <c r="E93" s="71"/>
      <c r="F93" s="79">
        <v>5800</v>
      </c>
      <c r="G93" s="79"/>
      <c r="H93" s="79"/>
      <c r="J93" s="3" t="s">
        <v>216</v>
      </c>
    </row>
    <row r="94" spans="1:10" x14ac:dyDescent="0.3">
      <c r="A94" s="71" t="s">
        <v>163</v>
      </c>
      <c r="B94" s="71"/>
      <c r="C94" s="71"/>
      <c r="D94" s="71"/>
      <c r="E94" s="71"/>
      <c r="F94" s="79">
        <v>10000</v>
      </c>
      <c r="G94" s="79"/>
      <c r="H94" s="79"/>
    </row>
    <row r="95" spans="1:10" s="7" customFormat="1" hidden="1" x14ac:dyDescent="0.25">
      <c r="A95" s="71" t="s">
        <v>101</v>
      </c>
      <c r="B95" s="71"/>
      <c r="C95" s="71"/>
      <c r="D95" s="71"/>
      <c r="E95" s="71"/>
      <c r="F95" s="79"/>
      <c r="G95" s="79"/>
      <c r="H95" s="79"/>
    </row>
    <row r="96" spans="1:10" s="7" customFormat="1" hidden="1" x14ac:dyDescent="0.25">
      <c r="A96" s="71" t="s">
        <v>102</v>
      </c>
      <c r="B96" s="71"/>
      <c r="C96" s="71"/>
      <c r="D96" s="71"/>
      <c r="E96" s="71"/>
      <c r="F96" s="79"/>
      <c r="G96" s="79"/>
      <c r="H96" s="79"/>
    </row>
    <row r="97" spans="1:8" s="7" customFormat="1" hidden="1" x14ac:dyDescent="0.25">
      <c r="A97" s="71" t="s">
        <v>103</v>
      </c>
      <c r="B97" s="71"/>
      <c r="C97" s="71"/>
      <c r="D97" s="71"/>
      <c r="E97" s="71"/>
      <c r="F97" s="79"/>
      <c r="G97" s="79"/>
      <c r="H97" s="79"/>
    </row>
    <row r="98" spans="1:8" s="7" customFormat="1" hidden="1" x14ac:dyDescent="0.25">
      <c r="A98" s="71" t="s">
        <v>185</v>
      </c>
      <c r="B98" s="71"/>
      <c r="C98" s="71"/>
      <c r="D98" s="71"/>
      <c r="E98" s="71"/>
      <c r="F98" s="79">
        <v>10000</v>
      </c>
      <c r="G98" s="79"/>
      <c r="H98" s="79"/>
    </row>
    <row r="99" spans="1:8" s="7" customFormat="1" hidden="1" x14ac:dyDescent="0.25">
      <c r="A99" s="71" t="s">
        <v>104</v>
      </c>
      <c r="B99" s="71"/>
      <c r="C99" s="71"/>
      <c r="D99" s="71"/>
      <c r="E99" s="71"/>
      <c r="F99" s="79"/>
      <c r="G99" s="79"/>
      <c r="H99" s="79"/>
    </row>
    <row r="100" spans="1:8" s="7" customFormat="1" hidden="1" x14ac:dyDescent="0.25">
      <c r="A100" s="71" t="s">
        <v>105</v>
      </c>
      <c r="B100" s="71"/>
      <c r="C100" s="71"/>
      <c r="D100" s="71"/>
      <c r="E100" s="71"/>
      <c r="F100" s="79"/>
      <c r="G100" s="79"/>
      <c r="H100" s="79"/>
    </row>
    <row r="101" spans="1:8" s="7" customFormat="1" x14ac:dyDescent="0.25">
      <c r="A101" s="71" t="s">
        <v>186</v>
      </c>
      <c r="B101" s="71"/>
      <c r="C101" s="71"/>
      <c r="D101" s="71"/>
      <c r="E101" s="71"/>
      <c r="F101" s="79">
        <v>175000</v>
      </c>
      <c r="G101" s="79"/>
      <c r="H101" s="79"/>
    </row>
    <row r="102" spans="1:8" s="7" customFormat="1" x14ac:dyDescent="0.25">
      <c r="A102" s="71" t="s">
        <v>187</v>
      </c>
      <c r="B102" s="71"/>
      <c r="C102" s="71"/>
      <c r="D102" s="71"/>
      <c r="E102" s="71"/>
      <c r="F102" s="79">
        <v>25000</v>
      </c>
      <c r="G102" s="79"/>
      <c r="H102" s="79"/>
    </row>
    <row r="103" spans="1:8" x14ac:dyDescent="0.3">
      <c r="A103" s="71" t="s">
        <v>55</v>
      </c>
      <c r="B103" s="71"/>
      <c r="C103" s="71"/>
      <c r="D103" s="71"/>
      <c r="E103" s="71"/>
      <c r="F103" s="79">
        <v>200000</v>
      </c>
      <c r="G103" s="79"/>
      <c r="H103" s="79"/>
    </row>
    <row r="104" spans="1:8" s="4" customFormat="1" x14ac:dyDescent="0.3">
      <c r="A104" s="80" t="s">
        <v>56</v>
      </c>
      <c r="B104" s="80"/>
      <c r="C104" s="80"/>
      <c r="D104" s="80"/>
      <c r="E104" s="80"/>
      <c r="F104" s="79">
        <f>F93*0.8</f>
        <v>4640</v>
      </c>
      <c r="G104" s="79"/>
      <c r="H104" s="79"/>
    </row>
    <row r="105" spans="1:8" s="1" customFormat="1" ht="15.75" customHeight="1" x14ac:dyDescent="0.3">
      <c r="A105" s="127" t="s">
        <v>81</v>
      </c>
      <c r="B105" s="127"/>
      <c r="C105" s="127"/>
      <c r="D105" s="127"/>
      <c r="E105" s="127"/>
      <c r="F105" s="127"/>
      <c r="G105" s="127"/>
      <c r="H105" s="127"/>
    </row>
    <row r="106" spans="1:8" s="1" customFormat="1" ht="15.75" customHeight="1" x14ac:dyDescent="0.3">
      <c r="A106" s="74" t="s">
        <v>57</v>
      </c>
      <c r="B106" s="74"/>
      <c r="C106" s="157" t="s">
        <v>84</v>
      </c>
      <c r="D106" s="157"/>
      <c r="E106" s="132" t="s">
        <v>58</v>
      </c>
      <c r="F106" s="132"/>
      <c r="G106" s="74" t="s">
        <v>59</v>
      </c>
      <c r="H106" s="74"/>
    </row>
    <row r="107" spans="1:8" s="1" customFormat="1" x14ac:dyDescent="0.3">
      <c r="A107" s="169" t="s">
        <v>197</v>
      </c>
      <c r="B107" s="44" t="s">
        <v>201</v>
      </c>
      <c r="C107" s="81">
        <f>COUNT(D123:D136)</f>
        <v>14</v>
      </c>
      <c r="D107" s="82"/>
      <c r="E107" s="81">
        <f>SUM(D123:D136)</f>
        <v>2434.8167999999996</v>
      </c>
      <c r="F107" s="82"/>
      <c r="G107" s="81">
        <f>SUM(F123:F136)</f>
        <v>3895.7068800000002</v>
      </c>
      <c r="H107" s="82"/>
    </row>
    <row r="108" spans="1:8" s="1" customFormat="1" x14ac:dyDescent="0.3">
      <c r="A108" s="170"/>
      <c r="B108" s="44" t="s">
        <v>202</v>
      </c>
      <c r="C108" s="81">
        <f>COUNT(D139:D146)</f>
        <v>8</v>
      </c>
      <c r="D108" s="82"/>
      <c r="E108" s="81">
        <f>SUM(D139:D146)</f>
        <v>1616.2145999999998</v>
      </c>
      <c r="F108" s="82"/>
      <c r="G108" s="81">
        <f>SUM(F139:F146)</f>
        <v>2585.9433600000002</v>
      </c>
      <c r="H108" s="82"/>
    </row>
    <row r="109" spans="1:8" s="1" customFormat="1" x14ac:dyDescent="0.3">
      <c r="A109" s="172" t="s">
        <v>206</v>
      </c>
      <c r="B109" s="173"/>
      <c r="C109" s="171">
        <f t="shared" ref="C109:G109" si="0">SUM(C107:D108)</f>
        <v>22</v>
      </c>
      <c r="D109" s="157"/>
      <c r="E109" s="168">
        <f t="shared" si="0"/>
        <v>4051.0313999999994</v>
      </c>
      <c r="F109" s="132"/>
      <c r="G109" s="168">
        <f t="shared" si="0"/>
        <v>6481.6502400000008</v>
      </c>
      <c r="H109" s="132"/>
    </row>
    <row r="110" spans="1:8" s="1" customFormat="1" x14ac:dyDescent="0.3">
      <c r="A110" s="127" t="s">
        <v>75</v>
      </c>
      <c r="B110" s="127"/>
      <c r="C110" s="127"/>
      <c r="D110" s="127"/>
      <c r="E110" s="127"/>
      <c r="F110" s="127"/>
      <c r="G110" s="127"/>
      <c r="H110" s="127"/>
    </row>
    <row r="111" spans="1:8" s="1" customFormat="1" ht="15.75" customHeight="1" x14ac:dyDescent="0.3">
      <c r="A111" s="74" t="s">
        <v>57</v>
      </c>
      <c r="B111" s="74"/>
      <c r="C111" s="157" t="s">
        <v>84</v>
      </c>
      <c r="D111" s="157"/>
      <c r="E111" s="132" t="s">
        <v>58</v>
      </c>
      <c r="F111" s="132"/>
      <c r="G111" s="74" t="s">
        <v>59</v>
      </c>
      <c r="H111" s="74"/>
    </row>
    <row r="112" spans="1:8" s="1" customFormat="1" x14ac:dyDescent="0.3">
      <c r="A112" s="169" t="s">
        <v>197</v>
      </c>
      <c r="B112" s="44" t="s">
        <v>201</v>
      </c>
      <c r="C112" s="81">
        <f>COUNT(D152:D157)+COUNT(D159:D164)*13+COUNT(D166:D170)*2</f>
        <v>94</v>
      </c>
      <c r="D112" s="81"/>
      <c r="E112" s="81">
        <f>SUM(D152:D157)+SUM(D159:D164)*13+SUM(D166:D170)*2</f>
        <v>46880.987400000005</v>
      </c>
      <c r="F112" s="81"/>
      <c r="G112" s="81">
        <f>SUM(F152:F157)+SUM(F159:F164)*13+SUM(F166:F170)*2</f>
        <v>70000</v>
      </c>
      <c r="H112" s="81"/>
    </row>
    <row r="113" spans="1:14" s="1" customFormat="1" x14ac:dyDescent="0.3">
      <c r="A113" s="170"/>
      <c r="B113" s="44" t="s">
        <v>202</v>
      </c>
      <c r="C113" s="81">
        <f>COUNT(D174:D181)+COUNT(D183:D190)*13+COUNT(D192:D194,D196:D199)*2</f>
        <v>126</v>
      </c>
      <c r="D113" s="81"/>
      <c r="E113" s="81">
        <f>SUM(D174:D181)+SUM(D183:D190)*13+SUM(D192:D194,D196:D199)*2</f>
        <v>52024.699349999988</v>
      </c>
      <c r="F113" s="81"/>
      <c r="G113" s="81">
        <f>SUM(F174:F181)+SUM(F183:F190)*13+SUM(F192:F194,F196:F199)*2</f>
        <v>78352.192035</v>
      </c>
      <c r="H113" s="81"/>
    </row>
    <row r="114" spans="1:14" s="1" customFormat="1" x14ac:dyDescent="0.3">
      <c r="A114" s="172" t="s">
        <v>206</v>
      </c>
      <c r="B114" s="173"/>
      <c r="C114" s="168">
        <f t="shared" ref="C114:G114" si="1">SUM(C112:D113)</f>
        <v>220</v>
      </c>
      <c r="D114" s="132"/>
      <c r="E114" s="168">
        <f t="shared" si="1"/>
        <v>98905.686749999993</v>
      </c>
      <c r="F114" s="132"/>
      <c r="G114" s="168">
        <f t="shared" si="1"/>
        <v>148352.19203500001</v>
      </c>
      <c r="H114" s="132"/>
    </row>
    <row r="115" spans="1:14" s="1" customFormat="1" x14ac:dyDescent="0.3">
      <c r="A115" s="127" t="s">
        <v>207</v>
      </c>
      <c r="B115" s="127"/>
      <c r="C115" s="171">
        <f>C109+C114</f>
        <v>242</v>
      </c>
      <c r="D115" s="157"/>
      <c r="E115" s="168">
        <f>E109+E114</f>
        <v>102956.71814999999</v>
      </c>
      <c r="F115" s="132"/>
      <c r="G115" s="168">
        <f>G109+G114</f>
        <v>154833.842275</v>
      </c>
      <c r="H115" s="132"/>
    </row>
    <row r="116" spans="1:14" s="4" customFormat="1" x14ac:dyDescent="0.3">
      <c r="A116" s="144" t="s">
        <v>60</v>
      </c>
      <c r="B116" s="144"/>
      <c r="C116" s="144"/>
      <c r="D116" s="144"/>
      <c r="E116" s="144"/>
      <c r="F116" s="144"/>
      <c r="G116" s="144"/>
      <c r="H116" s="144"/>
    </row>
    <row r="117" spans="1:14" x14ac:dyDescent="0.3">
      <c r="A117" s="144" t="s">
        <v>61</v>
      </c>
      <c r="B117" s="144"/>
      <c r="C117" s="144"/>
      <c r="D117" s="144"/>
      <c r="E117" s="144"/>
      <c r="F117" s="144"/>
      <c r="G117" s="144"/>
      <c r="H117" s="144"/>
    </row>
    <row r="118" spans="1:14" ht="47.25" customHeight="1" x14ac:dyDescent="0.3">
      <c r="A118" s="130" t="s">
        <v>127</v>
      </c>
      <c r="B118" s="130" t="s">
        <v>126</v>
      </c>
      <c r="C118" s="130" t="s">
        <v>62</v>
      </c>
      <c r="D118" s="130" t="s">
        <v>63</v>
      </c>
      <c r="E118" s="164" t="s">
        <v>64</v>
      </c>
      <c r="F118" s="29" t="s">
        <v>158</v>
      </c>
      <c r="G118" s="75" t="s">
        <v>65</v>
      </c>
      <c r="H118" s="76"/>
    </row>
    <row r="119" spans="1:14" s="2" customFormat="1" x14ac:dyDescent="0.3">
      <c r="A119" s="131"/>
      <c r="B119" s="131"/>
      <c r="C119" s="131"/>
      <c r="D119" s="131"/>
      <c r="E119" s="165"/>
      <c r="F119" s="30">
        <v>0.6</v>
      </c>
      <c r="G119" s="166"/>
      <c r="H119" s="167"/>
    </row>
    <row r="120" spans="1:14" s="2" customFormat="1" x14ac:dyDescent="0.3">
      <c r="A120" s="65" t="s">
        <v>197</v>
      </c>
      <c r="B120" s="66"/>
      <c r="C120" s="66"/>
      <c r="D120" s="66"/>
      <c r="E120" s="66"/>
      <c r="F120" s="66"/>
      <c r="G120" s="66"/>
      <c r="H120" s="67"/>
      <c r="J120" s="31"/>
    </row>
    <row r="121" spans="1:14" s="2" customFormat="1" x14ac:dyDescent="0.3">
      <c r="A121" s="65" t="s">
        <v>201</v>
      </c>
      <c r="B121" s="66"/>
      <c r="C121" s="66"/>
      <c r="D121" s="66"/>
      <c r="E121" s="66"/>
      <c r="F121" s="66"/>
      <c r="G121" s="66"/>
      <c r="H121" s="67"/>
      <c r="J121" s="31"/>
    </row>
    <row r="122" spans="1:14" s="2" customFormat="1" x14ac:dyDescent="0.3">
      <c r="A122" s="65" t="s">
        <v>183</v>
      </c>
      <c r="B122" s="66"/>
      <c r="C122" s="66"/>
      <c r="D122" s="66"/>
      <c r="E122" s="66"/>
      <c r="F122" s="66"/>
      <c r="G122" s="66"/>
      <c r="H122" s="67"/>
      <c r="J122" s="31"/>
    </row>
    <row r="123" spans="1:14" s="2" customFormat="1" ht="15.75" customHeight="1" x14ac:dyDescent="0.3">
      <c r="A123" s="63">
        <v>1</v>
      </c>
      <c r="B123" s="64"/>
      <c r="C123" s="13" t="s">
        <v>180</v>
      </c>
      <c r="D123" s="13">
        <f>(20.1)*10.764</f>
        <v>216.35640000000001</v>
      </c>
      <c r="E123" s="13">
        <v>0</v>
      </c>
      <c r="F123" s="13">
        <f>D123*(($F$119)+1)+(IF(E123&lt;101,E123,IF(E123&lt;201,E123/2,IF(E123&lt;=301,E123/3,E123/4))))</f>
        <v>346.17024000000004</v>
      </c>
      <c r="G123" s="158" t="str">
        <f>A122</f>
        <v>Ground Floor for Commercial</v>
      </c>
      <c r="H123" s="159"/>
      <c r="I123" s="31"/>
      <c r="L123" s="62"/>
      <c r="M123" s="62"/>
      <c r="N123" s="31"/>
    </row>
    <row r="124" spans="1:14" s="2" customFormat="1" ht="15.75" customHeight="1" x14ac:dyDescent="0.3">
      <c r="A124" s="63">
        <v>2</v>
      </c>
      <c r="B124" s="64"/>
      <c r="C124" s="13" t="s">
        <v>180</v>
      </c>
      <c r="D124" s="13">
        <f>(14.4)*10.764</f>
        <v>155.0016</v>
      </c>
      <c r="E124" s="13">
        <v>0</v>
      </c>
      <c r="F124" s="13">
        <f t="shared" ref="F124:F129" si="2">D124*(($F$119)+1)+(IF(E124&lt;101,E124,IF(E124&lt;201,E124/2,IF(E124&lt;=301,E124/3,E124/4))))</f>
        <v>248.00256000000002</v>
      </c>
      <c r="G124" s="160"/>
      <c r="H124" s="161"/>
      <c r="I124" s="31"/>
      <c r="L124" s="62"/>
      <c r="M124" s="62"/>
      <c r="N124" s="31"/>
    </row>
    <row r="125" spans="1:14" s="2" customFormat="1" ht="15.75" customHeight="1" x14ac:dyDescent="0.3">
      <c r="A125" s="63">
        <v>3</v>
      </c>
      <c r="B125" s="64"/>
      <c r="C125" s="13" t="s">
        <v>180</v>
      </c>
      <c r="D125" s="13">
        <f>(14.75)*10.764</f>
        <v>158.76899999999998</v>
      </c>
      <c r="E125" s="13">
        <v>0</v>
      </c>
      <c r="F125" s="13">
        <f t="shared" si="2"/>
        <v>254.03039999999999</v>
      </c>
      <c r="G125" s="160"/>
      <c r="H125" s="161"/>
      <c r="I125" s="31"/>
      <c r="L125" s="62"/>
      <c r="M125" s="62"/>
      <c r="N125" s="31"/>
    </row>
    <row r="126" spans="1:14" s="2" customFormat="1" ht="15.75" customHeight="1" x14ac:dyDescent="0.3">
      <c r="A126" s="63">
        <v>4</v>
      </c>
      <c r="B126" s="64"/>
      <c r="C126" s="13" t="s">
        <v>180</v>
      </c>
      <c r="D126" s="13">
        <f>(14.2)*10.764</f>
        <v>152.84879999999998</v>
      </c>
      <c r="E126" s="13">
        <v>0</v>
      </c>
      <c r="F126" s="13">
        <f t="shared" si="2"/>
        <v>244.55807999999999</v>
      </c>
      <c r="G126" s="160"/>
      <c r="H126" s="161"/>
      <c r="I126" s="31"/>
      <c r="L126" s="62"/>
      <c r="M126" s="62"/>
      <c r="N126" s="31"/>
    </row>
    <row r="127" spans="1:14" s="2" customFormat="1" ht="15.75" customHeight="1" x14ac:dyDescent="0.3">
      <c r="A127" s="63">
        <v>5</v>
      </c>
      <c r="B127" s="64"/>
      <c r="C127" s="13" t="s">
        <v>180</v>
      </c>
      <c r="D127" s="13">
        <f>(11)*10.764</f>
        <v>118.404</v>
      </c>
      <c r="E127" s="13">
        <v>0</v>
      </c>
      <c r="F127" s="13">
        <f t="shared" si="2"/>
        <v>189.44640000000001</v>
      </c>
      <c r="G127" s="160"/>
      <c r="H127" s="161"/>
      <c r="I127" s="31"/>
      <c r="J127" s="13"/>
      <c r="L127" s="62"/>
      <c r="M127" s="62"/>
      <c r="N127" s="31"/>
    </row>
    <row r="128" spans="1:14" s="2" customFormat="1" ht="15.75" customHeight="1" x14ac:dyDescent="0.3">
      <c r="A128" s="63">
        <v>6</v>
      </c>
      <c r="B128" s="64"/>
      <c r="C128" s="13" t="s">
        <v>180</v>
      </c>
      <c r="D128" s="13">
        <f>(11.9)*10.764</f>
        <v>128.0916</v>
      </c>
      <c r="E128" s="13">
        <v>0</v>
      </c>
      <c r="F128" s="13">
        <f t="shared" si="2"/>
        <v>204.94656000000001</v>
      </c>
      <c r="G128" s="160"/>
      <c r="H128" s="161"/>
      <c r="I128" s="31"/>
      <c r="L128" s="62"/>
      <c r="M128" s="62"/>
      <c r="N128" s="31"/>
    </row>
    <row r="129" spans="1:14" s="2" customFormat="1" ht="15.75" customHeight="1" x14ac:dyDescent="0.3">
      <c r="A129" s="63">
        <v>7</v>
      </c>
      <c r="B129" s="64"/>
      <c r="C129" s="13" t="s">
        <v>180</v>
      </c>
      <c r="D129" s="13">
        <f>(15.85)*10.764</f>
        <v>170.60939999999999</v>
      </c>
      <c r="E129" s="13">
        <v>0</v>
      </c>
      <c r="F129" s="13">
        <f t="shared" si="2"/>
        <v>272.97503999999998</v>
      </c>
      <c r="G129" s="160"/>
      <c r="H129" s="161"/>
      <c r="I129" s="31"/>
      <c r="L129" s="62"/>
      <c r="M129" s="62"/>
      <c r="N129" s="31"/>
    </row>
    <row r="130" spans="1:14" s="2" customFormat="1" ht="15.75" customHeight="1" x14ac:dyDescent="0.3">
      <c r="A130" s="63">
        <v>8</v>
      </c>
      <c r="B130" s="64"/>
      <c r="C130" s="13" t="s">
        <v>180</v>
      </c>
      <c r="D130" s="13">
        <f>(15)*10.764</f>
        <v>161.45999999999998</v>
      </c>
      <c r="E130" s="13">
        <v>0</v>
      </c>
      <c r="F130" s="13">
        <f>D130*(($F$119)+1)+(IF(E130&lt;101,E130,IF(E130&lt;201,E130/2,IF(E130&lt;=301,E130/3,E130/4))))</f>
        <v>258.33599999999996</v>
      </c>
      <c r="G130" s="160"/>
      <c r="H130" s="161"/>
      <c r="I130" s="31"/>
      <c r="L130" s="62"/>
      <c r="M130" s="62"/>
      <c r="N130" s="31"/>
    </row>
    <row r="131" spans="1:14" s="2" customFormat="1" ht="15.75" customHeight="1" x14ac:dyDescent="0.3">
      <c r="A131" s="63">
        <v>9</v>
      </c>
      <c r="B131" s="64"/>
      <c r="C131" s="13" t="s">
        <v>180</v>
      </c>
      <c r="D131" s="13">
        <f>(13.6)*10.764</f>
        <v>146.3904</v>
      </c>
      <c r="E131" s="13">
        <v>0</v>
      </c>
      <c r="F131" s="13">
        <f t="shared" ref="F131:F136" si="3">D131*(($F$119)+1)+(IF(E131&lt;101,E131,IF(E131&lt;201,E131/2,IF(E131&lt;=301,E131/3,E131/4))))</f>
        <v>234.22464000000002</v>
      </c>
      <c r="G131" s="160"/>
      <c r="H131" s="161"/>
      <c r="I131" s="31"/>
      <c r="L131" s="62"/>
      <c r="M131" s="62"/>
      <c r="N131" s="31"/>
    </row>
    <row r="132" spans="1:14" s="2" customFormat="1" ht="15.75" customHeight="1" x14ac:dyDescent="0.3">
      <c r="A132" s="63">
        <v>10</v>
      </c>
      <c r="B132" s="64"/>
      <c r="C132" s="13" t="s">
        <v>180</v>
      </c>
      <c r="D132" s="13">
        <f>(17.4)*10.764</f>
        <v>187.29359999999997</v>
      </c>
      <c r="E132" s="13">
        <v>0</v>
      </c>
      <c r="F132" s="13">
        <f t="shared" si="3"/>
        <v>299.66975999999994</v>
      </c>
      <c r="G132" s="160"/>
      <c r="H132" s="161"/>
      <c r="I132" s="31"/>
      <c r="L132" s="62"/>
      <c r="M132" s="62"/>
      <c r="N132" s="31"/>
    </row>
    <row r="133" spans="1:14" s="2" customFormat="1" ht="15.75" customHeight="1" x14ac:dyDescent="0.3">
      <c r="A133" s="63">
        <v>11</v>
      </c>
      <c r="B133" s="64"/>
      <c r="C133" s="13" t="s">
        <v>180</v>
      </c>
      <c r="D133" s="13">
        <f>(17.75)*10.764</f>
        <v>191.06099999999998</v>
      </c>
      <c r="E133" s="13">
        <v>0</v>
      </c>
      <c r="F133" s="13">
        <f t="shared" si="3"/>
        <v>305.69759999999997</v>
      </c>
      <c r="G133" s="160"/>
      <c r="H133" s="161"/>
      <c r="I133" s="31"/>
      <c r="L133" s="62"/>
      <c r="M133" s="62"/>
      <c r="N133" s="31"/>
    </row>
    <row r="134" spans="1:14" s="2" customFormat="1" ht="15.75" customHeight="1" x14ac:dyDescent="0.3">
      <c r="A134" s="63">
        <v>12</v>
      </c>
      <c r="B134" s="64"/>
      <c r="C134" s="13" t="s">
        <v>180</v>
      </c>
      <c r="D134" s="13">
        <f>(16.45)*10.764</f>
        <v>177.06779999999998</v>
      </c>
      <c r="E134" s="13">
        <v>0</v>
      </c>
      <c r="F134" s="13">
        <f t="shared" si="3"/>
        <v>283.30847999999997</v>
      </c>
      <c r="G134" s="160"/>
      <c r="H134" s="161"/>
      <c r="I134" s="31"/>
      <c r="L134" s="62"/>
      <c r="M134" s="62"/>
      <c r="N134" s="31"/>
    </row>
    <row r="135" spans="1:14" s="2" customFormat="1" ht="15.75" customHeight="1" x14ac:dyDescent="0.3">
      <c r="A135" s="63">
        <v>13</v>
      </c>
      <c r="B135" s="64"/>
      <c r="C135" s="13" t="s">
        <v>180</v>
      </c>
      <c r="D135" s="13">
        <f>(21.7)*10.764</f>
        <v>233.57879999999997</v>
      </c>
      <c r="E135" s="13">
        <v>0</v>
      </c>
      <c r="F135" s="13">
        <f t="shared" si="3"/>
        <v>373.72607999999997</v>
      </c>
      <c r="G135" s="160"/>
      <c r="H135" s="161"/>
      <c r="I135" s="31"/>
      <c r="L135" s="62"/>
      <c r="M135" s="62"/>
      <c r="N135" s="31"/>
    </row>
    <row r="136" spans="1:14" s="2" customFormat="1" ht="15.75" customHeight="1" x14ac:dyDescent="0.3">
      <c r="A136" s="63">
        <v>14</v>
      </c>
      <c r="B136" s="64"/>
      <c r="C136" s="13" t="s">
        <v>180</v>
      </c>
      <c r="D136" s="13">
        <f>(22.1)*10.764</f>
        <v>237.8844</v>
      </c>
      <c r="E136" s="13">
        <v>0</v>
      </c>
      <c r="F136" s="13">
        <f t="shared" si="3"/>
        <v>380.61504000000002</v>
      </c>
      <c r="G136" s="162"/>
      <c r="H136" s="163"/>
      <c r="I136" s="31"/>
      <c r="L136" s="62"/>
      <c r="M136" s="62"/>
      <c r="N136" s="31"/>
    </row>
    <row r="137" spans="1:14" s="2" customFormat="1" x14ac:dyDescent="0.3">
      <c r="A137" s="65" t="s">
        <v>202</v>
      </c>
      <c r="B137" s="66"/>
      <c r="C137" s="66"/>
      <c r="D137" s="66"/>
      <c r="E137" s="66"/>
      <c r="F137" s="66"/>
      <c r="G137" s="66"/>
      <c r="H137" s="67"/>
      <c r="J137" s="31"/>
    </row>
    <row r="138" spans="1:14" s="2" customFormat="1" x14ac:dyDescent="0.3">
      <c r="A138" s="65" t="s">
        <v>183</v>
      </c>
      <c r="B138" s="66"/>
      <c r="C138" s="66"/>
      <c r="D138" s="66"/>
      <c r="E138" s="66"/>
      <c r="F138" s="66"/>
      <c r="G138" s="66"/>
      <c r="H138" s="67"/>
      <c r="J138" s="31"/>
    </row>
    <row r="139" spans="1:14" s="2" customFormat="1" ht="15.75" customHeight="1" x14ac:dyDescent="0.3">
      <c r="A139" s="63">
        <f>A136+1</f>
        <v>15</v>
      </c>
      <c r="B139" s="64"/>
      <c r="C139" s="13" t="s">
        <v>180</v>
      </c>
      <c r="D139" s="13">
        <f>(27.8)*10.764</f>
        <v>299.23919999999998</v>
      </c>
      <c r="E139" s="13">
        <v>0</v>
      </c>
      <c r="F139" s="13">
        <f>D139*(($F$119)+1)+(IF(E139&lt;101,E139,IF(E139&lt;201,E139/2,IF(E139&lt;=301,E139/3,E139/4))))</f>
        <v>478.78271999999998</v>
      </c>
      <c r="G139" s="158" t="str">
        <f>A138</f>
        <v>Ground Floor for Commercial</v>
      </c>
      <c r="H139" s="159"/>
      <c r="I139" s="31"/>
      <c r="L139" s="62"/>
      <c r="M139" s="62"/>
      <c r="N139" s="31"/>
    </row>
    <row r="140" spans="1:14" s="2" customFormat="1" ht="15.75" customHeight="1" x14ac:dyDescent="0.3">
      <c r="A140" s="63">
        <f>A139+1</f>
        <v>16</v>
      </c>
      <c r="B140" s="64"/>
      <c r="C140" s="13" t="s">
        <v>180</v>
      </c>
      <c r="D140" s="13">
        <f>(17.9)*10.764</f>
        <v>192.67559999999997</v>
      </c>
      <c r="E140" s="13">
        <v>0</v>
      </c>
      <c r="F140" s="13">
        <f t="shared" ref="F140:F145" si="4">D140*(($F$119)+1)+(IF(E140&lt;101,E140,IF(E140&lt;201,E140/2,IF(E140&lt;=301,E140/3,E140/4))))</f>
        <v>308.28095999999999</v>
      </c>
      <c r="G140" s="160"/>
      <c r="H140" s="161"/>
      <c r="I140" s="31"/>
      <c r="L140" s="62"/>
      <c r="M140" s="62"/>
      <c r="N140" s="31"/>
    </row>
    <row r="141" spans="1:14" s="2" customFormat="1" ht="15.75" customHeight="1" x14ac:dyDescent="0.3">
      <c r="A141" s="63">
        <f t="shared" ref="A141:A146" si="5">A140+1</f>
        <v>17</v>
      </c>
      <c r="B141" s="64"/>
      <c r="C141" s="13" t="s">
        <v>180</v>
      </c>
      <c r="D141" s="13">
        <f>(12.55)*10.764</f>
        <v>135.0882</v>
      </c>
      <c r="E141" s="13">
        <v>0</v>
      </c>
      <c r="F141" s="13">
        <f t="shared" si="4"/>
        <v>216.14112</v>
      </c>
      <c r="G141" s="160"/>
      <c r="H141" s="161"/>
      <c r="I141" s="31"/>
      <c r="L141" s="62"/>
      <c r="M141" s="62"/>
      <c r="N141" s="31"/>
    </row>
    <row r="142" spans="1:14" s="2" customFormat="1" ht="15.75" customHeight="1" x14ac:dyDescent="0.3">
      <c r="A142" s="63">
        <f t="shared" si="5"/>
        <v>18</v>
      </c>
      <c r="B142" s="64"/>
      <c r="C142" s="13" t="s">
        <v>180</v>
      </c>
      <c r="D142" s="13">
        <f>(12.55)*10.764</f>
        <v>135.0882</v>
      </c>
      <c r="E142" s="13">
        <v>0</v>
      </c>
      <c r="F142" s="13">
        <f t="shared" si="4"/>
        <v>216.14112</v>
      </c>
      <c r="G142" s="160"/>
      <c r="H142" s="161"/>
      <c r="I142" s="31"/>
      <c r="L142" s="62"/>
      <c r="M142" s="62"/>
      <c r="N142" s="31"/>
    </row>
    <row r="143" spans="1:14" s="2" customFormat="1" ht="15.75" customHeight="1" x14ac:dyDescent="0.3">
      <c r="A143" s="63">
        <f t="shared" si="5"/>
        <v>19</v>
      </c>
      <c r="B143" s="64"/>
      <c r="C143" s="13" t="s">
        <v>180</v>
      </c>
      <c r="D143" s="13">
        <f>(20.3)*10.764</f>
        <v>218.50919999999999</v>
      </c>
      <c r="E143" s="13">
        <v>0</v>
      </c>
      <c r="F143" s="13">
        <f t="shared" si="4"/>
        <v>349.61472000000003</v>
      </c>
      <c r="G143" s="160"/>
      <c r="H143" s="161"/>
      <c r="I143" s="31"/>
      <c r="J143" s="13">
        <v>10.763999999999999</v>
      </c>
      <c r="L143" s="62"/>
      <c r="M143" s="62"/>
      <c r="N143" s="31"/>
    </row>
    <row r="144" spans="1:14" s="2" customFormat="1" ht="15.75" customHeight="1" x14ac:dyDescent="0.3">
      <c r="A144" s="63">
        <f t="shared" si="5"/>
        <v>20</v>
      </c>
      <c r="B144" s="64"/>
      <c r="C144" s="13" t="s">
        <v>180</v>
      </c>
      <c r="D144" s="13">
        <f>(15.85)*10.764</f>
        <v>170.60939999999999</v>
      </c>
      <c r="E144" s="13">
        <v>0</v>
      </c>
      <c r="F144" s="13">
        <f t="shared" si="4"/>
        <v>272.97503999999998</v>
      </c>
      <c r="G144" s="160"/>
      <c r="H144" s="161"/>
      <c r="I144" s="31"/>
      <c r="L144" s="62"/>
      <c r="M144" s="62"/>
      <c r="N144" s="31"/>
    </row>
    <row r="145" spans="1:14" s="2" customFormat="1" ht="15.75" customHeight="1" x14ac:dyDescent="0.3">
      <c r="A145" s="63">
        <f t="shared" si="5"/>
        <v>21</v>
      </c>
      <c r="B145" s="64"/>
      <c r="C145" s="13" t="s">
        <v>180</v>
      </c>
      <c r="D145" s="13">
        <f>(13.6)*10.764</f>
        <v>146.3904</v>
      </c>
      <c r="E145" s="13">
        <v>0</v>
      </c>
      <c r="F145" s="13">
        <f t="shared" si="4"/>
        <v>234.22464000000002</v>
      </c>
      <c r="G145" s="160"/>
      <c r="H145" s="161"/>
      <c r="I145" s="31"/>
      <c r="L145" s="62"/>
      <c r="M145" s="62"/>
      <c r="N145" s="31"/>
    </row>
    <row r="146" spans="1:14" s="2" customFormat="1" ht="15.75" customHeight="1" x14ac:dyDescent="0.3">
      <c r="A146" s="63">
        <f t="shared" si="5"/>
        <v>22</v>
      </c>
      <c r="B146" s="64"/>
      <c r="C146" s="13" t="s">
        <v>180</v>
      </c>
      <c r="D146" s="13">
        <f>(29.6)*10.764</f>
        <v>318.61439999999999</v>
      </c>
      <c r="E146" s="13">
        <v>0</v>
      </c>
      <c r="F146" s="13">
        <f>D146*(($F$119)+1)+(IF(E146&lt;101,E146,IF(E146&lt;201,E146/2,IF(E146&lt;=301,E146/3,E146/4))))</f>
        <v>509.78304000000003</v>
      </c>
      <c r="G146" s="162"/>
      <c r="H146" s="163"/>
      <c r="I146" s="31"/>
      <c r="L146" s="62"/>
      <c r="M146" s="62"/>
      <c r="N146" s="31"/>
    </row>
    <row r="147" spans="1:14" s="2" customFormat="1" x14ac:dyDescent="0.3">
      <c r="A147" s="63"/>
      <c r="B147" s="68"/>
      <c r="C147" s="68"/>
      <c r="D147" s="68"/>
      <c r="E147" s="68"/>
      <c r="F147" s="68"/>
      <c r="G147" s="68"/>
      <c r="H147" s="64"/>
      <c r="I147" s="31"/>
      <c r="N147" s="31"/>
    </row>
    <row r="148" spans="1:14" ht="47.25" customHeight="1" x14ac:dyDescent="0.3">
      <c r="A148" s="29" t="s">
        <v>128</v>
      </c>
      <c r="B148" s="29" t="s">
        <v>129</v>
      </c>
      <c r="C148" s="29" t="s">
        <v>62</v>
      </c>
      <c r="D148" s="29" t="s">
        <v>63</v>
      </c>
      <c r="E148" s="45" t="s">
        <v>64</v>
      </c>
      <c r="F148" s="29" t="s">
        <v>188</v>
      </c>
      <c r="G148" s="75" t="s">
        <v>65</v>
      </c>
      <c r="H148" s="76"/>
      <c r="I148" s="31"/>
    </row>
    <row r="149" spans="1:14" s="2" customFormat="1" x14ac:dyDescent="0.3">
      <c r="A149" s="65" t="s">
        <v>197</v>
      </c>
      <c r="B149" s="66"/>
      <c r="C149" s="66"/>
      <c r="D149" s="66"/>
      <c r="E149" s="66"/>
      <c r="F149" s="66"/>
      <c r="G149" s="66"/>
      <c r="H149" s="67"/>
      <c r="J149" s="31"/>
    </row>
    <row r="150" spans="1:14" s="2" customFormat="1" x14ac:dyDescent="0.3">
      <c r="A150" s="65" t="s">
        <v>201</v>
      </c>
      <c r="B150" s="66"/>
      <c r="C150" s="66"/>
      <c r="D150" s="66"/>
      <c r="E150" s="66"/>
      <c r="F150" s="66"/>
      <c r="G150" s="66"/>
      <c r="H150" s="67"/>
      <c r="J150" s="31"/>
    </row>
    <row r="151" spans="1:14" s="2" customFormat="1" x14ac:dyDescent="0.3">
      <c r="A151" s="128" t="s">
        <v>184</v>
      </c>
      <c r="B151" s="128"/>
      <c r="C151" s="128"/>
      <c r="D151" s="128"/>
      <c r="E151" s="128"/>
      <c r="F151" s="128"/>
      <c r="G151" s="128"/>
      <c r="H151" s="128"/>
      <c r="I151" s="31"/>
      <c r="L151" s="62"/>
      <c r="M151" s="62"/>
    </row>
    <row r="152" spans="1:14" s="2" customFormat="1" ht="15.75" customHeight="1" x14ac:dyDescent="0.3">
      <c r="A152" s="72">
        <v>1</v>
      </c>
      <c r="B152" s="72"/>
      <c r="C152" s="13" t="s">
        <v>181</v>
      </c>
      <c r="D152" s="13">
        <f>(27.75+0.75*(2.75+2.25+2.6))*10.764</f>
        <v>360.05580000000003</v>
      </c>
      <c r="E152" s="13">
        <f>(1.75*3.55)*10.764</f>
        <v>66.871349999999993</v>
      </c>
      <c r="F152" s="13">
        <v>520</v>
      </c>
      <c r="G152" s="158" t="str">
        <f>A151</f>
        <v>1st Floor for Residential</v>
      </c>
      <c r="H152" s="159"/>
      <c r="I152" s="31">
        <f>3.45*2.75+2.5*2.25+2.9*2.6+1.65*1+0.9*1.3+1.55*0.4</f>
        <v>26.092500000000001</v>
      </c>
      <c r="J152" s="56">
        <f>5000*F152</f>
        <v>2600000</v>
      </c>
      <c r="K152" s="2">
        <f>F152/D152</f>
        <v>1.444220590252955</v>
      </c>
      <c r="N152" s="31"/>
    </row>
    <row r="153" spans="1:14" s="2" customFormat="1" ht="15.75" customHeight="1" x14ac:dyDescent="0.3">
      <c r="A153" s="72">
        <f>A152+1</f>
        <v>2</v>
      </c>
      <c r="B153" s="72"/>
      <c r="C153" s="13" t="s">
        <v>182</v>
      </c>
      <c r="D153" s="13">
        <f>(45.25+0.75*(2.5+3.3+1.2))*10.764</f>
        <v>543.58199999999999</v>
      </c>
      <c r="E153" s="13">
        <f>(2.7*1.9)*10.764</f>
        <v>55.219319999999996</v>
      </c>
      <c r="F153" s="13">
        <v>850</v>
      </c>
      <c r="G153" s="160"/>
      <c r="H153" s="161"/>
      <c r="I153" s="31"/>
      <c r="J153" s="56">
        <f t="shared" ref="J153:J157" si="6">5000*F153</f>
        <v>4250000</v>
      </c>
      <c r="K153" s="2">
        <f t="shared" ref="K153:K157" si="7">F153/D153</f>
        <v>1.5637015206537377</v>
      </c>
      <c r="N153" s="31"/>
    </row>
    <row r="154" spans="1:14" s="2" customFormat="1" ht="15.75" customHeight="1" x14ac:dyDescent="0.3">
      <c r="A154" s="72">
        <f>A153+1</f>
        <v>3</v>
      </c>
      <c r="B154" s="72"/>
      <c r="C154" s="13" t="s">
        <v>182</v>
      </c>
      <c r="D154" s="13">
        <f>(45.25+0.75*(2.7+2.5+3.3+1.2))*10.764</f>
        <v>565.37909999999999</v>
      </c>
      <c r="E154" s="13">
        <v>0</v>
      </c>
      <c r="F154" s="13">
        <v>850</v>
      </c>
      <c r="G154" s="160"/>
      <c r="H154" s="161"/>
      <c r="I154" s="31"/>
      <c r="J154" s="56">
        <f t="shared" si="6"/>
        <v>4250000</v>
      </c>
      <c r="K154" s="2">
        <f t="shared" si="7"/>
        <v>1.5034160265209662</v>
      </c>
      <c r="N154" s="31"/>
    </row>
    <row r="155" spans="1:14" s="2" customFormat="1" ht="15.75" customHeight="1" x14ac:dyDescent="0.3">
      <c r="A155" s="72">
        <f>A154+1</f>
        <v>4</v>
      </c>
      <c r="B155" s="72"/>
      <c r="C155" s="13" t="s">
        <v>182</v>
      </c>
      <c r="D155" s="13">
        <f>(45.25+0.75*(2.7+2.5+3.3+1.2))*10.764</f>
        <v>565.37909999999999</v>
      </c>
      <c r="E155" s="13">
        <v>0</v>
      </c>
      <c r="F155" s="13">
        <v>850</v>
      </c>
      <c r="G155" s="160"/>
      <c r="H155" s="161"/>
      <c r="I155" s="31"/>
      <c r="J155" s="56">
        <f t="shared" si="6"/>
        <v>4250000</v>
      </c>
      <c r="K155" s="2">
        <f t="shared" si="7"/>
        <v>1.5034160265209662</v>
      </c>
      <c r="N155" s="31"/>
    </row>
    <row r="156" spans="1:14" s="2" customFormat="1" ht="15.75" customHeight="1" x14ac:dyDescent="0.3">
      <c r="A156" s="72">
        <f>A155+1</f>
        <v>5</v>
      </c>
      <c r="B156" s="72"/>
      <c r="C156" s="13" t="s">
        <v>182</v>
      </c>
      <c r="D156" s="13">
        <f>(45.25+0.75*(2.5+3.3+1.2))*10.764</f>
        <v>543.58199999999999</v>
      </c>
      <c r="E156" s="13">
        <f>(2.7*2.05)*10.764</f>
        <v>59.578739999999996</v>
      </c>
      <c r="F156" s="13">
        <v>850</v>
      </c>
      <c r="G156" s="160"/>
      <c r="H156" s="161"/>
      <c r="I156" s="31"/>
      <c r="J156" s="56">
        <f t="shared" si="6"/>
        <v>4250000</v>
      </c>
      <c r="K156" s="2">
        <f t="shared" si="7"/>
        <v>1.5637015206537377</v>
      </c>
      <c r="N156" s="31"/>
    </row>
    <row r="157" spans="1:14" s="2" customFormat="1" ht="15.75" customHeight="1" x14ac:dyDescent="0.3">
      <c r="A157" s="72">
        <f>A156+1</f>
        <v>6</v>
      </c>
      <c r="B157" s="72"/>
      <c r="C157" s="13" t="s">
        <v>181</v>
      </c>
      <c r="D157" s="13">
        <f>(27.75)*10.764</f>
        <v>298.70099999999996</v>
      </c>
      <c r="E157" s="13">
        <f>(2.7*2.05+2.6*2.7+1.5*(2.6+2.25))*10.764</f>
        <v>213.45011999999997</v>
      </c>
      <c r="F157" s="13">
        <v>520</v>
      </c>
      <c r="G157" s="162"/>
      <c r="H157" s="163"/>
      <c r="I157" s="31"/>
      <c r="J157" s="56">
        <f t="shared" si="6"/>
        <v>2600000</v>
      </c>
      <c r="K157" s="2">
        <f t="shared" si="7"/>
        <v>1.7408713060886976</v>
      </c>
      <c r="N157" s="31"/>
    </row>
    <row r="158" spans="1:14" s="2" customFormat="1" x14ac:dyDescent="0.3">
      <c r="A158" s="65" t="s">
        <v>198</v>
      </c>
      <c r="B158" s="66"/>
      <c r="C158" s="66"/>
      <c r="D158" s="66"/>
      <c r="E158" s="66"/>
      <c r="F158" s="66"/>
      <c r="G158" s="66"/>
      <c r="H158" s="67"/>
      <c r="I158" s="31"/>
    </row>
    <row r="159" spans="1:14" s="2" customFormat="1" ht="15.75" customHeight="1" x14ac:dyDescent="0.3">
      <c r="A159" s="63">
        <v>1</v>
      </c>
      <c r="B159" s="64"/>
      <c r="C159" s="13" t="s">
        <v>181</v>
      </c>
      <c r="D159" s="13">
        <f>(27.75+0.75*(2.75+2.25+2.6))*10.764</f>
        <v>360.05580000000003</v>
      </c>
      <c r="E159" s="13">
        <v>0</v>
      </c>
      <c r="F159" s="13">
        <v>520</v>
      </c>
      <c r="G159" s="158" t="str">
        <f>A158</f>
        <v>2nd to 7th, 9th to 12th &amp; 14th to 16th Floor</v>
      </c>
      <c r="H159" s="159"/>
      <c r="I159" s="31"/>
    </row>
    <row r="160" spans="1:14" s="2" customFormat="1" ht="15.75" customHeight="1" x14ac:dyDescent="0.3">
      <c r="A160" s="63">
        <f>A159+1</f>
        <v>2</v>
      </c>
      <c r="B160" s="64"/>
      <c r="C160" s="13" t="s">
        <v>182</v>
      </c>
      <c r="D160" s="13">
        <f>(45.25+0.75*(2.7+2.5+3.3+1.2))*10.764</f>
        <v>565.37909999999999</v>
      </c>
      <c r="E160" s="13">
        <v>0</v>
      </c>
      <c r="F160" s="13">
        <v>850</v>
      </c>
      <c r="G160" s="160" t="str">
        <f>G159</f>
        <v>2nd to 7th, 9th to 12th &amp; 14th to 16th Floor</v>
      </c>
      <c r="H160" s="161"/>
      <c r="I160" s="31"/>
    </row>
    <row r="161" spans="1:14" s="2" customFormat="1" ht="15.75" customHeight="1" x14ac:dyDescent="0.3">
      <c r="A161" s="63">
        <f t="shared" ref="A161:A164" si="8">A160+1</f>
        <v>3</v>
      </c>
      <c r="B161" s="64"/>
      <c r="C161" s="13" t="s">
        <v>182</v>
      </c>
      <c r="D161" s="13">
        <f>(45.25+0.75*(1.2+3.3+2.5+2.7))*10.764</f>
        <v>565.37909999999999</v>
      </c>
      <c r="E161" s="13">
        <v>0</v>
      </c>
      <c r="F161" s="13">
        <v>850</v>
      </c>
      <c r="G161" s="160" t="str">
        <f>G160</f>
        <v>2nd to 7th, 9th to 12th &amp; 14th to 16th Floor</v>
      </c>
      <c r="H161" s="161"/>
      <c r="I161" s="31"/>
    </row>
    <row r="162" spans="1:14" s="2" customFormat="1" ht="15.75" customHeight="1" x14ac:dyDescent="0.3">
      <c r="A162" s="63">
        <f t="shared" si="8"/>
        <v>4</v>
      </c>
      <c r="B162" s="64"/>
      <c r="C162" s="13" t="s">
        <v>182</v>
      </c>
      <c r="D162" s="13">
        <f>(45.25+0.75*(2.7+2.5+3.3+1.2))*10.764</f>
        <v>565.37909999999999</v>
      </c>
      <c r="E162" s="13">
        <v>0</v>
      </c>
      <c r="F162" s="13">
        <v>850</v>
      </c>
      <c r="G162" s="160" t="str">
        <f>G161</f>
        <v>2nd to 7th, 9th to 12th &amp; 14th to 16th Floor</v>
      </c>
      <c r="H162" s="161"/>
      <c r="I162" s="31"/>
    </row>
    <row r="163" spans="1:14" s="2" customFormat="1" ht="15.75" customHeight="1" x14ac:dyDescent="0.3">
      <c r="A163" s="63">
        <f t="shared" si="8"/>
        <v>5</v>
      </c>
      <c r="B163" s="64"/>
      <c r="C163" s="13" t="s">
        <v>182</v>
      </c>
      <c r="D163" s="13">
        <f>(45.25+0.75*(2.7+2.5+3.3+1.2))*10.764</f>
        <v>565.37909999999999</v>
      </c>
      <c r="E163" s="13">
        <v>0</v>
      </c>
      <c r="F163" s="13">
        <v>850</v>
      </c>
      <c r="G163" s="160" t="str">
        <f>G162</f>
        <v>2nd to 7th, 9th to 12th &amp; 14th to 16th Floor</v>
      </c>
      <c r="H163" s="161"/>
      <c r="I163" s="31"/>
    </row>
    <row r="164" spans="1:14" s="2" customFormat="1" ht="15.75" customHeight="1" x14ac:dyDescent="0.3">
      <c r="A164" s="63">
        <f t="shared" si="8"/>
        <v>6</v>
      </c>
      <c r="B164" s="64"/>
      <c r="C164" s="13" t="s">
        <v>181</v>
      </c>
      <c r="D164" s="13">
        <f>(27.75+0.75*(2.75+2.25+2.6))*10.764</f>
        <v>360.05580000000003</v>
      </c>
      <c r="E164" s="13">
        <v>0</v>
      </c>
      <c r="F164" s="13">
        <v>520</v>
      </c>
      <c r="G164" s="162" t="str">
        <f>G163</f>
        <v>2nd to 7th, 9th to 12th &amp; 14th to 16th Floor</v>
      </c>
      <c r="H164" s="163"/>
      <c r="I164" s="31"/>
    </row>
    <row r="165" spans="1:14" s="2" customFormat="1" x14ac:dyDescent="0.3">
      <c r="A165" s="65" t="s">
        <v>200</v>
      </c>
      <c r="B165" s="66"/>
      <c r="C165" s="66"/>
      <c r="D165" s="66"/>
      <c r="E165" s="66"/>
      <c r="F165" s="66"/>
      <c r="G165" s="66"/>
      <c r="H165" s="67"/>
      <c r="I165" s="31"/>
    </row>
    <row r="166" spans="1:14" s="2" customFormat="1" ht="15.75" customHeight="1" x14ac:dyDescent="0.3">
      <c r="A166" s="63">
        <v>1</v>
      </c>
      <c r="B166" s="64"/>
      <c r="C166" s="13" t="s">
        <v>181</v>
      </c>
      <c r="D166" s="13">
        <f>(27.75+0.75*(2.75+2.25+2.6))*10.764</f>
        <v>360.05580000000003</v>
      </c>
      <c r="E166" s="13">
        <v>0</v>
      </c>
      <c r="F166" s="13">
        <v>520</v>
      </c>
      <c r="G166" s="158" t="str">
        <f>A165</f>
        <v>8th &amp; 13th Floor (Part Refuge Area)</v>
      </c>
      <c r="H166" s="159"/>
      <c r="I166" s="31"/>
    </row>
    <row r="167" spans="1:14" s="2" customFormat="1" ht="15.75" customHeight="1" x14ac:dyDescent="0.3">
      <c r="A167" s="63">
        <f>A166+1</f>
        <v>2</v>
      </c>
      <c r="B167" s="64"/>
      <c r="C167" s="13" t="s">
        <v>182</v>
      </c>
      <c r="D167" s="13">
        <f>(45.25+0.75*(2.7+2.5+3.3+1.2))*10.764</f>
        <v>565.37909999999999</v>
      </c>
      <c r="E167" s="13">
        <v>0</v>
      </c>
      <c r="F167" s="13">
        <v>850</v>
      </c>
      <c r="G167" s="160" t="str">
        <f>G166</f>
        <v>8th &amp; 13th Floor (Part Refuge Area)</v>
      </c>
      <c r="H167" s="161"/>
      <c r="I167" s="31"/>
    </row>
    <row r="168" spans="1:14" s="2" customFormat="1" ht="15.75" customHeight="1" x14ac:dyDescent="0.3">
      <c r="A168" s="63">
        <f t="shared" ref="A168:A171" si="9">A167+1</f>
        <v>3</v>
      </c>
      <c r="B168" s="64"/>
      <c r="C168" s="13" t="s">
        <v>182</v>
      </c>
      <c r="D168" s="13">
        <f>(45.25+0.75*(1.2+3.3+2.5+2.7))*10.764</f>
        <v>565.37909999999999</v>
      </c>
      <c r="E168" s="13">
        <v>0</v>
      </c>
      <c r="F168" s="13">
        <v>850</v>
      </c>
      <c r="G168" s="160" t="str">
        <f>G167</f>
        <v>8th &amp; 13th Floor (Part Refuge Area)</v>
      </c>
      <c r="H168" s="161"/>
      <c r="I168" s="31"/>
    </row>
    <row r="169" spans="1:14" s="2" customFormat="1" ht="15.75" customHeight="1" x14ac:dyDescent="0.3">
      <c r="A169" s="63">
        <f t="shared" si="9"/>
        <v>4</v>
      </c>
      <c r="B169" s="64"/>
      <c r="C169" s="13" t="s">
        <v>182</v>
      </c>
      <c r="D169" s="13">
        <f>(45.25+0.75*(2.7+2.5+3.3+1.2))*10.764</f>
        <v>565.37909999999999</v>
      </c>
      <c r="E169" s="13">
        <v>0</v>
      </c>
      <c r="F169" s="13">
        <v>850</v>
      </c>
      <c r="G169" s="160" t="str">
        <f>G168</f>
        <v>8th &amp; 13th Floor (Part Refuge Area)</v>
      </c>
      <c r="H169" s="161"/>
      <c r="I169" s="31"/>
    </row>
    <row r="170" spans="1:14" s="2" customFormat="1" ht="15.75" customHeight="1" x14ac:dyDescent="0.3">
      <c r="A170" s="63">
        <f t="shared" si="9"/>
        <v>5</v>
      </c>
      <c r="B170" s="64"/>
      <c r="C170" s="13" t="s">
        <v>182</v>
      </c>
      <c r="D170" s="13">
        <f>(45.25+0.75*(2.7+2.5+3.3+1.2))*10.764</f>
        <v>565.37909999999999</v>
      </c>
      <c r="E170" s="13">
        <v>0</v>
      </c>
      <c r="F170" s="13">
        <v>850</v>
      </c>
      <c r="G170" s="160" t="str">
        <f>G169</f>
        <v>8th &amp; 13th Floor (Part Refuge Area)</v>
      </c>
      <c r="H170" s="161"/>
      <c r="I170" s="31"/>
    </row>
    <row r="171" spans="1:14" s="2" customFormat="1" x14ac:dyDescent="0.3">
      <c r="A171" s="63">
        <f t="shared" si="9"/>
        <v>6</v>
      </c>
      <c r="B171" s="64"/>
      <c r="C171" s="63" t="s">
        <v>199</v>
      </c>
      <c r="D171" s="68"/>
      <c r="E171" s="68"/>
      <c r="F171" s="68"/>
      <c r="G171" s="68"/>
      <c r="H171" s="64"/>
      <c r="I171" s="57" t="s">
        <v>211</v>
      </c>
    </row>
    <row r="172" spans="1:14" s="2" customFormat="1" x14ac:dyDescent="0.3">
      <c r="A172" s="65" t="s">
        <v>202</v>
      </c>
      <c r="B172" s="66"/>
      <c r="C172" s="66"/>
      <c r="D172" s="66"/>
      <c r="E172" s="66"/>
      <c r="F172" s="66"/>
      <c r="G172" s="66"/>
      <c r="H172" s="67"/>
      <c r="J172" s="31"/>
      <c r="K172" s="58" t="s">
        <v>212</v>
      </c>
    </row>
    <row r="173" spans="1:14" s="2" customFormat="1" x14ac:dyDescent="0.3">
      <c r="A173" s="128" t="s">
        <v>184</v>
      </c>
      <c r="B173" s="128"/>
      <c r="C173" s="128"/>
      <c r="D173" s="128"/>
      <c r="E173" s="128"/>
      <c r="F173" s="128"/>
      <c r="G173" s="128"/>
      <c r="H173" s="128"/>
      <c r="I173" s="31"/>
      <c r="K173" s="31">
        <f>2551000/F174</f>
        <v>5284.140081290001</v>
      </c>
      <c r="L173" s="62"/>
      <c r="M173" s="62"/>
    </row>
    <row r="174" spans="1:14" s="2" customFormat="1" ht="15.75" customHeight="1" x14ac:dyDescent="0.3">
      <c r="A174" s="72">
        <v>1</v>
      </c>
      <c r="B174" s="72"/>
      <c r="C174" s="13" t="s">
        <v>181</v>
      </c>
      <c r="D174" s="13">
        <f>(29+0.75*1.2)*10.764</f>
        <v>321.84359999999998</v>
      </c>
      <c r="E174" s="13">
        <v>0</v>
      </c>
      <c r="F174" s="13">
        <f>D174*1.5</f>
        <v>482.7654</v>
      </c>
      <c r="G174" s="158" t="str">
        <f>A173</f>
        <v>1st Floor for Residential</v>
      </c>
      <c r="H174" s="159"/>
      <c r="I174" s="31">
        <f>3.45*2.75+2.5*2.25+2.9*2.6+1.65*1+0.9*1.3+1.55*0.4</f>
        <v>26.092500000000001</v>
      </c>
      <c r="K174" s="31">
        <f>4251000/F176</f>
        <v>5698.8100466361338</v>
      </c>
      <c r="N174" s="31"/>
    </row>
    <row r="175" spans="1:14" s="2" customFormat="1" ht="15.75" customHeight="1" x14ac:dyDescent="0.3">
      <c r="A175" s="72">
        <f t="shared" ref="A175:A181" si="10">A174+1</f>
        <v>2</v>
      </c>
      <c r="B175" s="72"/>
      <c r="C175" s="13" t="s">
        <v>182</v>
      </c>
      <c r="D175" s="13">
        <f>(42+0.75*(2.7+2.5+3+1.2))*10.764</f>
        <v>527.97419999999988</v>
      </c>
      <c r="E175" s="13">
        <v>0</v>
      </c>
      <c r="F175" s="13">
        <f t="shared" ref="F175:F181" si="11">D175*1.5</f>
        <v>791.96129999999982</v>
      </c>
      <c r="G175" s="160"/>
      <c r="H175" s="161"/>
      <c r="I175" s="31"/>
      <c r="J175" s="13">
        <v>10.763999999999999</v>
      </c>
      <c r="N175" s="31"/>
    </row>
    <row r="176" spans="1:14" s="2" customFormat="1" ht="15.75" customHeight="1" x14ac:dyDescent="0.3">
      <c r="A176" s="72">
        <f t="shared" si="10"/>
        <v>3</v>
      </c>
      <c r="B176" s="72"/>
      <c r="C176" s="13" t="s">
        <v>182</v>
      </c>
      <c r="D176" s="13">
        <f>(39.15+0.75*(1.2+3+2.5+2.7))*10.764</f>
        <v>497.29680000000002</v>
      </c>
      <c r="E176" s="13">
        <v>0</v>
      </c>
      <c r="F176" s="13">
        <f t="shared" si="11"/>
        <v>745.9452</v>
      </c>
      <c r="G176" s="160"/>
      <c r="H176" s="161"/>
      <c r="I176" s="31"/>
      <c r="N176" s="31"/>
    </row>
    <row r="177" spans="1:14" s="2" customFormat="1" ht="15.75" customHeight="1" x14ac:dyDescent="0.3">
      <c r="A177" s="72">
        <f t="shared" si="10"/>
        <v>4</v>
      </c>
      <c r="B177" s="72"/>
      <c r="C177" s="13" t="s">
        <v>181</v>
      </c>
      <c r="D177" s="13">
        <f>(29.55+0.75*(2.75+2.25))*10.764</f>
        <v>358.44119999999992</v>
      </c>
      <c r="E177" s="13">
        <f>(1.3*5.1+2*2.65)*10.764</f>
        <v>128.41451999999998</v>
      </c>
      <c r="F177" s="13">
        <f>D177*1.5+(E177/2)</f>
        <v>601.86905999999988</v>
      </c>
      <c r="G177" s="160"/>
      <c r="H177" s="161"/>
      <c r="I177" s="31"/>
      <c r="N177" s="31"/>
    </row>
    <row r="178" spans="1:14" s="2" customFormat="1" ht="15.75" customHeight="1" x14ac:dyDescent="0.3">
      <c r="A178" s="72">
        <f t="shared" si="10"/>
        <v>5</v>
      </c>
      <c r="B178" s="72"/>
      <c r="C178" s="13" t="s">
        <v>181</v>
      </c>
      <c r="D178" s="13">
        <f>(29.95)*10.764</f>
        <v>322.3818</v>
      </c>
      <c r="E178" s="13">
        <f>(2*(2.1+2.7+2.7)+0.75*2.7)*10.764</f>
        <v>183.25710000000001</v>
      </c>
      <c r="F178" s="13">
        <f t="shared" ref="F178:F180" si="12">D178*1.5+(E178/2)</f>
        <v>575.20124999999996</v>
      </c>
      <c r="G178" s="160"/>
      <c r="H178" s="161"/>
      <c r="I178" s="31"/>
      <c r="M178" s="31"/>
    </row>
    <row r="179" spans="1:14" s="2" customFormat="1" ht="15.75" customHeight="1" x14ac:dyDescent="0.3">
      <c r="A179" s="72">
        <f t="shared" si="10"/>
        <v>6</v>
      </c>
      <c r="B179" s="72"/>
      <c r="C179" s="13" t="s">
        <v>181</v>
      </c>
      <c r="D179" s="13">
        <f>(29.85)*10.764</f>
        <v>321.30540000000002</v>
      </c>
      <c r="E179" s="13">
        <f>(2*(2.5+2.1+2.7))*10.764</f>
        <v>157.15439999999998</v>
      </c>
      <c r="F179" s="13">
        <f t="shared" si="12"/>
        <v>560.53530000000001</v>
      </c>
      <c r="G179" s="160"/>
      <c r="H179" s="161"/>
      <c r="I179" s="31"/>
      <c r="M179" s="31"/>
    </row>
    <row r="180" spans="1:14" s="2" customFormat="1" ht="15.75" customHeight="1" x14ac:dyDescent="0.3">
      <c r="A180" s="72">
        <f t="shared" si="10"/>
        <v>7</v>
      </c>
      <c r="B180" s="72"/>
      <c r="C180" s="13" t="s">
        <v>181</v>
      </c>
      <c r="D180" s="13">
        <f>(31.55)*10.764</f>
        <v>339.60419999999999</v>
      </c>
      <c r="E180" s="13">
        <f>(2*(2.7+2.1+2.7))*10.764</f>
        <v>161.46</v>
      </c>
      <c r="F180" s="13">
        <f t="shared" si="12"/>
        <v>590.13630000000001</v>
      </c>
      <c r="G180" s="160"/>
      <c r="H180" s="161"/>
      <c r="I180" s="31"/>
      <c r="M180" s="31"/>
    </row>
    <row r="181" spans="1:14" s="2" customFormat="1" ht="15.75" customHeight="1" x14ac:dyDescent="0.3">
      <c r="A181" s="72">
        <f t="shared" si="10"/>
        <v>8</v>
      </c>
      <c r="B181" s="72"/>
      <c r="C181" s="13" t="s">
        <v>181</v>
      </c>
      <c r="D181" s="13">
        <f>(31+0.75*(2.7+2.1+2.7))*10.764</f>
        <v>394.23149999999998</v>
      </c>
      <c r="E181" s="13">
        <v>0</v>
      </c>
      <c r="F181" s="13">
        <f t="shared" si="11"/>
        <v>591.34725000000003</v>
      </c>
      <c r="G181" s="162"/>
      <c r="H181" s="163"/>
      <c r="I181" s="31"/>
      <c r="N181" s="31"/>
    </row>
    <row r="182" spans="1:14" s="2" customFormat="1" x14ac:dyDescent="0.3">
      <c r="A182" s="65" t="s">
        <v>198</v>
      </c>
      <c r="B182" s="66"/>
      <c r="C182" s="66"/>
      <c r="D182" s="66"/>
      <c r="E182" s="66"/>
      <c r="F182" s="66"/>
      <c r="G182" s="66"/>
      <c r="H182" s="67"/>
      <c r="I182" s="31"/>
    </row>
    <row r="183" spans="1:14" s="2" customFormat="1" ht="15.75" customHeight="1" x14ac:dyDescent="0.3">
      <c r="A183" s="63">
        <v>1</v>
      </c>
      <c r="B183" s="64"/>
      <c r="C183" s="13" t="s">
        <v>181</v>
      </c>
      <c r="D183" s="13">
        <f>(29+0.75*1.2)*10.764</f>
        <v>321.84359999999998</v>
      </c>
      <c r="E183" s="13">
        <v>0</v>
      </c>
      <c r="F183" s="13">
        <f>D183*1.5</f>
        <v>482.7654</v>
      </c>
      <c r="G183" s="158" t="str">
        <f>A182</f>
        <v>2nd to 7th, 9th to 12th &amp; 14th to 16th Floor</v>
      </c>
      <c r="H183" s="159"/>
      <c r="I183" s="31"/>
    </row>
    <row r="184" spans="1:14" s="2" customFormat="1" ht="15.75" customHeight="1" x14ac:dyDescent="0.3">
      <c r="A184" s="63">
        <f>A183+1</f>
        <v>2</v>
      </c>
      <c r="B184" s="64"/>
      <c r="C184" s="13" t="s">
        <v>182</v>
      </c>
      <c r="D184" s="13">
        <f>(42+0.75*(2.7+2.5+3+1.2))*10.764</f>
        <v>527.97419999999988</v>
      </c>
      <c r="E184" s="13">
        <v>0</v>
      </c>
      <c r="F184" s="13">
        <f t="shared" ref="F184:F190" si="13">D184*1.5</f>
        <v>791.96129999999982</v>
      </c>
      <c r="G184" s="160"/>
      <c r="H184" s="161"/>
      <c r="I184" s="31"/>
    </row>
    <row r="185" spans="1:14" s="2" customFormat="1" ht="15.75" customHeight="1" x14ac:dyDescent="0.3">
      <c r="A185" s="63">
        <f t="shared" ref="A185:A188" si="14">A184+1</f>
        <v>3</v>
      </c>
      <c r="B185" s="64"/>
      <c r="C185" s="13" t="s">
        <v>182</v>
      </c>
      <c r="D185" s="13">
        <f>(39.15+0.75*(1.2+3+2.5+2.7))*10.764</f>
        <v>497.29680000000002</v>
      </c>
      <c r="E185" s="13">
        <v>0</v>
      </c>
      <c r="F185" s="13">
        <f t="shared" si="13"/>
        <v>745.9452</v>
      </c>
      <c r="G185" s="160"/>
      <c r="H185" s="161"/>
      <c r="I185" s="31"/>
    </row>
    <row r="186" spans="1:14" s="2" customFormat="1" ht="15.75" customHeight="1" x14ac:dyDescent="0.3">
      <c r="A186" s="63">
        <f t="shared" si="14"/>
        <v>4</v>
      </c>
      <c r="B186" s="64"/>
      <c r="C186" s="13" t="s">
        <v>181</v>
      </c>
      <c r="D186" s="13">
        <f>(29.95+0.75*(2.75+2.25+2.85+0.75+2.65))*10.764</f>
        <v>413.20305000000002</v>
      </c>
      <c r="E186" s="13">
        <v>0</v>
      </c>
      <c r="F186" s="13">
        <f t="shared" si="13"/>
        <v>619.804575</v>
      </c>
      <c r="G186" s="160"/>
      <c r="H186" s="161"/>
      <c r="I186" s="31"/>
      <c r="J186" s="13">
        <v>10.763999999999999</v>
      </c>
    </row>
    <row r="187" spans="1:14" s="2" customFormat="1" ht="15.75" customHeight="1" x14ac:dyDescent="0.3">
      <c r="A187" s="63">
        <f t="shared" si="14"/>
        <v>5</v>
      </c>
      <c r="B187" s="64"/>
      <c r="C187" s="13" t="s">
        <v>181</v>
      </c>
      <c r="D187" s="13">
        <f>(29.95+0.75*(2.7+2.1+2.7))*10.764</f>
        <v>382.92930000000001</v>
      </c>
      <c r="E187" s="13">
        <v>0</v>
      </c>
      <c r="F187" s="13">
        <f t="shared" si="13"/>
        <v>574.39395000000002</v>
      </c>
      <c r="G187" s="160"/>
      <c r="H187" s="161"/>
      <c r="I187" s="31"/>
    </row>
    <row r="188" spans="1:14" s="2" customFormat="1" ht="15.75" customHeight="1" x14ac:dyDescent="0.3">
      <c r="A188" s="63">
        <f t="shared" si="14"/>
        <v>6</v>
      </c>
      <c r="B188" s="64"/>
      <c r="C188" s="13" t="s">
        <v>181</v>
      </c>
      <c r="D188" s="13">
        <f>(29.85+0.75*(2.7+2.1+2.5))*10.764</f>
        <v>380.23829999999998</v>
      </c>
      <c r="E188" s="13">
        <v>0</v>
      </c>
      <c r="F188" s="13">
        <f t="shared" si="13"/>
        <v>570.35744999999997</v>
      </c>
      <c r="G188" s="160"/>
      <c r="H188" s="161"/>
      <c r="I188" s="31"/>
    </row>
    <row r="189" spans="1:14" s="2" customFormat="1" ht="15.75" customHeight="1" x14ac:dyDescent="0.3">
      <c r="A189" s="63">
        <f t="shared" ref="A189:A190" si="15">A188+1</f>
        <v>7</v>
      </c>
      <c r="B189" s="64"/>
      <c r="C189" s="13" t="s">
        <v>181</v>
      </c>
      <c r="D189" s="13">
        <f>(31.55+0.75*(2.7+2.1+2.7))*10.764</f>
        <v>400.15170000000001</v>
      </c>
      <c r="E189" s="13">
        <v>0</v>
      </c>
      <c r="F189" s="13">
        <f t="shared" si="13"/>
        <v>600.22755000000006</v>
      </c>
      <c r="G189" s="160"/>
      <c r="H189" s="161"/>
      <c r="I189" s="31"/>
    </row>
    <row r="190" spans="1:14" s="2" customFormat="1" ht="15.75" customHeight="1" x14ac:dyDescent="0.3">
      <c r="A190" s="63">
        <f t="shared" si="15"/>
        <v>8</v>
      </c>
      <c r="B190" s="64"/>
      <c r="C190" s="13" t="s">
        <v>181</v>
      </c>
      <c r="D190" s="13">
        <f>(31+0.75*(2.7+2.1+2.7))*10.764</f>
        <v>394.23149999999998</v>
      </c>
      <c r="E190" s="13">
        <v>0</v>
      </c>
      <c r="F190" s="13">
        <f t="shared" si="13"/>
        <v>591.34725000000003</v>
      </c>
      <c r="G190" s="162"/>
      <c r="H190" s="163"/>
      <c r="I190" s="31"/>
    </row>
    <row r="191" spans="1:14" s="2" customFormat="1" x14ac:dyDescent="0.3">
      <c r="A191" s="65" t="s">
        <v>200</v>
      </c>
      <c r="B191" s="66"/>
      <c r="C191" s="66"/>
      <c r="D191" s="66"/>
      <c r="E191" s="66"/>
      <c r="F191" s="66"/>
      <c r="G191" s="66"/>
      <c r="H191" s="67"/>
      <c r="I191" s="31"/>
    </row>
    <row r="192" spans="1:14" s="2" customFormat="1" ht="15.75" customHeight="1" x14ac:dyDescent="0.3">
      <c r="A192" s="63">
        <v>1</v>
      </c>
      <c r="B192" s="64"/>
      <c r="C192" s="13" t="s">
        <v>181</v>
      </c>
      <c r="D192" s="13">
        <f>(29+0.75*1.2)*10.764</f>
        <v>321.84359999999998</v>
      </c>
      <c r="E192" s="13">
        <v>0</v>
      </c>
      <c r="F192" s="13">
        <f>D192*1.5</f>
        <v>482.7654</v>
      </c>
      <c r="G192" s="158" t="str">
        <f>A191</f>
        <v>8th &amp; 13th Floor (Part Refuge Area)</v>
      </c>
      <c r="H192" s="159"/>
      <c r="I192" s="31"/>
    </row>
    <row r="193" spans="1:10" s="2" customFormat="1" ht="15.75" customHeight="1" x14ac:dyDescent="0.3">
      <c r="A193" s="63">
        <f>A192+1</f>
        <v>2</v>
      </c>
      <c r="B193" s="64"/>
      <c r="C193" s="13" t="s">
        <v>182</v>
      </c>
      <c r="D193" s="13">
        <f>(42+0.75*(2.7+2.5+3+1.2))*10.764</f>
        <v>527.97419999999988</v>
      </c>
      <c r="E193" s="13">
        <v>0</v>
      </c>
      <c r="F193" s="13">
        <f t="shared" ref="F193:F199" si="16">D193*1.5</f>
        <v>791.96129999999982</v>
      </c>
      <c r="G193" s="160"/>
      <c r="H193" s="161"/>
      <c r="I193" s="31"/>
    </row>
    <row r="194" spans="1:10" s="2" customFormat="1" ht="15.75" customHeight="1" x14ac:dyDescent="0.3">
      <c r="A194" s="63">
        <f t="shared" ref="A194:A199" si="17">A193+1</f>
        <v>3</v>
      </c>
      <c r="B194" s="64"/>
      <c r="C194" s="13" t="s">
        <v>182</v>
      </c>
      <c r="D194" s="13">
        <f>(39.15+0.75*(1.2+3+2.5+2.7))*10.764</f>
        <v>497.29680000000002</v>
      </c>
      <c r="E194" s="13">
        <v>0</v>
      </c>
      <c r="F194" s="13">
        <f t="shared" si="16"/>
        <v>745.9452</v>
      </c>
      <c r="G194" s="160"/>
      <c r="H194" s="161"/>
      <c r="I194" s="31"/>
    </row>
    <row r="195" spans="1:10" s="2" customFormat="1" ht="15.75" customHeight="1" x14ac:dyDescent="0.3">
      <c r="A195" s="63">
        <f t="shared" si="17"/>
        <v>4</v>
      </c>
      <c r="B195" s="64"/>
      <c r="C195" s="63" t="s">
        <v>199</v>
      </c>
      <c r="D195" s="68"/>
      <c r="E195" s="68"/>
      <c r="F195" s="64"/>
      <c r="G195" s="160"/>
      <c r="H195" s="161"/>
      <c r="I195" s="31"/>
      <c r="J195" s="13">
        <v>10.763999999999999</v>
      </c>
    </row>
    <row r="196" spans="1:10" s="2" customFormat="1" ht="15.75" customHeight="1" x14ac:dyDescent="0.3">
      <c r="A196" s="63">
        <f t="shared" si="17"/>
        <v>5</v>
      </c>
      <c r="B196" s="64"/>
      <c r="C196" s="13" t="s">
        <v>181</v>
      </c>
      <c r="D196" s="13">
        <f>(29.95+0.75*(2.7+2.1+2.7))*10.764</f>
        <v>382.92930000000001</v>
      </c>
      <c r="E196" s="13">
        <v>0</v>
      </c>
      <c r="F196" s="13">
        <f t="shared" si="16"/>
        <v>574.39395000000002</v>
      </c>
      <c r="G196" s="160"/>
      <c r="H196" s="161"/>
      <c r="I196" s="31"/>
    </row>
    <row r="197" spans="1:10" s="2" customFormat="1" ht="15.75" customHeight="1" x14ac:dyDescent="0.3">
      <c r="A197" s="63">
        <f t="shared" si="17"/>
        <v>6</v>
      </c>
      <c r="B197" s="64"/>
      <c r="C197" s="13" t="s">
        <v>181</v>
      </c>
      <c r="D197" s="13">
        <f>(29.85+0.75*(2.7+2.1+2.5))*10.764</f>
        <v>380.23829999999998</v>
      </c>
      <c r="E197" s="13">
        <v>0</v>
      </c>
      <c r="F197" s="13">
        <f t="shared" si="16"/>
        <v>570.35744999999997</v>
      </c>
      <c r="G197" s="160"/>
      <c r="H197" s="161"/>
      <c r="I197" s="31"/>
    </row>
    <row r="198" spans="1:10" s="2" customFormat="1" ht="15.75" customHeight="1" x14ac:dyDescent="0.3">
      <c r="A198" s="63">
        <f t="shared" si="17"/>
        <v>7</v>
      </c>
      <c r="B198" s="64"/>
      <c r="C198" s="13" t="s">
        <v>181</v>
      </c>
      <c r="D198" s="13">
        <f>(31.55+0.75*(2.7+2.1+2.7))*10.764</f>
        <v>400.15170000000001</v>
      </c>
      <c r="E198" s="13">
        <v>0</v>
      </c>
      <c r="F198" s="13">
        <f t="shared" si="16"/>
        <v>600.22755000000006</v>
      </c>
      <c r="G198" s="160"/>
      <c r="H198" s="161"/>
      <c r="I198" s="31"/>
    </row>
    <row r="199" spans="1:10" s="2" customFormat="1" ht="15.75" customHeight="1" x14ac:dyDescent="0.3">
      <c r="A199" s="63">
        <f t="shared" si="17"/>
        <v>8</v>
      </c>
      <c r="B199" s="64"/>
      <c r="C199" s="13" t="s">
        <v>181</v>
      </c>
      <c r="D199" s="13">
        <f>(31+0.75*(2.7+2.1+2.7))*10.764</f>
        <v>394.23149999999998</v>
      </c>
      <c r="E199" s="13">
        <v>0</v>
      </c>
      <c r="F199" s="13">
        <f t="shared" si="16"/>
        <v>591.34725000000003</v>
      </c>
      <c r="G199" s="162"/>
      <c r="H199" s="163"/>
      <c r="I199" s="31"/>
    </row>
    <row r="200" spans="1:10" s="1" customFormat="1" x14ac:dyDescent="0.3">
      <c r="A200" s="129" t="s">
        <v>73</v>
      </c>
      <c r="B200" s="129"/>
      <c r="C200" s="129"/>
      <c r="D200" s="129"/>
      <c r="E200" s="129"/>
      <c r="F200" s="129"/>
      <c r="G200" s="129"/>
      <c r="H200" s="129"/>
    </row>
    <row r="201" spans="1:10" s="1" customFormat="1" x14ac:dyDescent="0.3">
      <c r="A201" s="44" t="s">
        <v>161</v>
      </c>
      <c r="B201" s="59" t="s">
        <v>204</v>
      </c>
      <c r="C201" s="60"/>
      <c r="D201" s="60"/>
      <c r="E201" s="60"/>
      <c r="F201" s="60"/>
      <c r="G201" s="60"/>
      <c r="H201" s="61"/>
    </row>
    <row r="202" spans="1:10" s="1" customFormat="1" x14ac:dyDescent="0.3">
      <c r="A202" s="44" t="s">
        <v>161</v>
      </c>
      <c r="B202" s="59" t="str">
        <f>(IF(F148="Saleable area Loading :","We have considered Saleable area of Flats as per our Calculation.","We considered Saleable area of Flat as per Builder area Sheet."))</f>
        <v>We considered Saleable area of Flat as per Builder area Sheet.</v>
      </c>
      <c r="C202" s="60"/>
      <c r="D202" s="60"/>
      <c r="E202" s="60"/>
      <c r="F202" s="60"/>
      <c r="G202" s="60"/>
      <c r="H202" s="61"/>
    </row>
    <row r="203" spans="1:10" s="1" customFormat="1" x14ac:dyDescent="0.3">
      <c r="A203" s="44" t="s">
        <v>161</v>
      </c>
      <c r="B203" s="59" t="str">
        <f>(IF(F118="Saleable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3" s="60"/>
      <c r="D203" s="60"/>
      <c r="E203" s="60"/>
      <c r="F203" s="60"/>
      <c r="G203" s="60"/>
      <c r="H203" s="61"/>
    </row>
    <row r="204" spans="1:10" s="1" customFormat="1" x14ac:dyDescent="0.3">
      <c r="A204" s="44" t="s">
        <v>161</v>
      </c>
      <c r="B204" s="59" t="s">
        <v>132</v>
      </c>
      <c r="C204" s="60"/>
      <c r="D204" s="60"/>
      <c r="E204" s="60"/>
      <c r="F204" s="60"/>
      <c r="G204" s="60"/>
      <c r="H204" s="61"/>
    </row>
    <row r="205" spans="1:10" s="1" customFormat="1" x14ac:dyDescent="0.3">
      <c r="A205" s="44" t="s">
        <v>161</v>
      </c>
      <c r="B205" s="59" t="s">
        <v>205</v>
      </c>
      <c r="C205" s="60"/>
      <c r="D205" s="60"/>
      <c r="E205" s="60"/>
      <c r="F205" s="60"/>
      <c r="G205" s="60"/>
      <c r="H205" s="61"/>
    </row>
    <row r="206" spans="1:10" s="1" customFormat="1" x14ac:dyDescent="0.3">
      <c r="A206" s="44" t="s">
        <v>161</v>
      </c>
      <c r="B206" s="59" t="s">
        <v>160</v>
      </c>
      <c r="C206" s="60"/>
      <c r="D206" s="60"/>
      <c r="E206" s="60"/>
      <c r="F206" s="60"/>
      <c r="G206" s="60"/>
      <c r="H206" s="61"/>
    </row>
    <row r="207" spans="1:10" s="1" customFormat="1" x14ac:dyDescent="0.3">
      <c r="A207" s="44" t="s">
        <v>161</v>
      </c>
      <c r="B207" s="59" t="s">
        <v>133</v>
      </c>
      <c r="C207" s="60"/>
      <c r="D207" s="60"/>
      <c r="E207" s="60"/>
      <c r="F207" s="60"/>
      <c r="G207" s="60"/>
      <c r="H207" s="61"/>
    </row>
    <row r="208" spans="1:10" s="1" customFormat="1" ht="32.25" customHeight="1" x14ac:dyDescent="0.3">
      <c r="A208" s="44" t="s">
        <v>161</v>
      </c>
      <c r="B208" s="59" t="s">
        <v>164</v>
      </c>
      <c r="C208" s="60"/>
      <c r="D208" s="60"/>
      <c r="E208" s="60"/>
      <c r="F208" s="60"/>
      <c r="G208" s="60"/>
      <c r="H208" s="61"/>
    </row>
    <row r="209" spans="1:8" s="1" customFormat="1" x14ac:dyDescent="0.3">
      <c r="A209" s="44" t="s">
        <v>161</v>
      </c>
      <c r="B209" s="59" t="s">
        <v>134</v>
      </c>
      <c r="C209" s="60"/>
      <c r="D209" s="60"/>
      <c r="E209" s="60"/>
      <c r="F209" s="60"/>
      <c r="G209" s="60"/>
      <c r="H209" s="61"/>
    </row>
    <row r="210" spans="1:8" s="1" customFormat="1" x14ac:dyDescent="0.3">
      <c r="A210" s="44" t="s">
        <v>161</v>
      </c>
      <c r="B210" s="59" t="s">
        <v>218</v>
      </c>
      <c r="C210" s="60"/>
      <c r="D210" s="60"/>
      <c r="E210" s="60"/>
      <c r="F210" s="60"/>
      <c r="G210" s="60"/>
      <c r="H210" s="61"/>
    </row>
    <row r="211" spans="1:8" s="1" customFormat="1" ht="32.25" customHeight="1" x14ac:dyDescent="0.3">
      <c r="A211" s="44" t="s">
        <v>161</v>
      </c>
      <c r="B211" s="59" t="s">
        <v>225</v>
      </c>
      <c r="C211" s="60"/>
      <c r="D211" s="60"/>
      <c r="E211" s="60"/>
      <c r="F211" s="60"/>
      <c r="G211" s="60"/>
      <c r="H211" s="61"/>
    </row>
    <row r="212" spans="1:8" s="1" customFormat="1" x14ac:dyDescent="0.3">
      <c r="A212" s="44" t="s">
        <v>161</v>
      </c>
      <c r="B212" s="59" t="s">
        <v>217</v>
      </c>
      <c r="C212" s="60"/>
      <c r="D212" s="60"/>
      <c r="E212" s="60"/>
      <c r="F212" s="60"/>
      <c r="G212" s="60"/>
      <c r="H212" s="61"/>
    </row>
    <row r="213" spans="1:8" s="1" customFormat="1" x14ac:dyDescent="0.3">
      <c r="A213" s="44" t="s">
        <v>161</v>
      </c>
      <c r="B213" s="59" t="s">
        <v>221</v>
      </c>
      <c r="C213" s="60"/>
      <c r="D213" s="60"/>
      <c r="E213" s="60"/>
      <c r="F213" s="60"/>
      <c r="G213" s="60"/>
      <c r="H213" s="61"/>
    </row>
    <row r="214" spans="1:8" s="1" customFormat="1" x14ac:dyDescent="0.3">
      <c r="A214" s="44" t="s">
        <v>161</v>
      </c>
      <c r="B214" s="59" t="s">
        <v>222</v>
      </c>
      <c r="C214" s="60"/>
      <c r="D214" s="60"/>
      <c r="E214" s="60"/>
      <c r="F214" s="60"/>
      <c r="G214" s="60"/>
      <c r="H214" s="61"/>
    </row>
    <row r="215" spans="1:8" x14ac:dyDescent="0.3">
      <c r="A215" s="115" t="s">
        <v>66</v>
      </c>
      <c r="B215" s="115"/>
      <c r="C215" s="115"/>
      <c r="D215" s="115"/>
      <c r="E215" s="115"/>
      <c r="F215" s="115"/>
      <c r="G215" s="115"/>
      <c r="H215" s="115"/>
    </row>
    <row r="216" spans="1:8" x14ac:dyDescent="0.3">
      <c r="A216" s="71" t="s">
        <v>67</v>
      </c>
      <c r="B216" s="71"/>
      <c r="C216" s="71"/>
      <c r="D216" s="71"/>
      <c r="E216" s="71"/>
      <c r="F216" s="71"/>
      <c r="G216" s="71"/>
      <c r="H216" s="71"/>
    </row>
    <row r="217" spans="1:8" ht="15.75" customHeight="1" x14ac:dyDescent="0.3">
      <c r="A217" s="73" t="s">
        <v>68</v>
      </c>
      <c r="B217" s="73"/>
      <c r="C217" s="73"/>
      <c r="D217" s="73"/>
      <c r="E217" s="73"/>
      <c r="F217" s="73"/>
      <c r="G217" s="73"/>
      <c r="H217" s="73"/>
    </row>
    <row r="218" spans="1:8" x14ac:dyDescent="0.3">
      <c r="A218" s="71" t="s">
        <v>69</v>
      </c>
      <c r="B218" s="71"/>
      <c r="C218" s="71"/>
      <c r="D218" s="71"/>
      <c r="E218" s="71"/>
      <c r="F218" s="71"/>
      <c r="G218" s="71"/>
      <c r="H218" s="71"/>
    </row>
    <row r="219" spans="1:8" x14ac:dyDescent="0.3">
      <c r="A219" s="71" t="s">
        <v>70</v>
      </c>
      <c r="B219" s="71"/>
      <c r="C219" s="71"/>
      <c r="D219" s="71"/>
      <c r="E219" s="71"/>
      <c r="F219" s="71"/>
      <c r="G219" s="71"/>
      <c r="H219" s="71"/>
    </row>
    <row r="220" spans="1:8" hidden="1" x14ac:dyDescent="0.3">
      <c r="A220" s="71" t="s">
        <v>135</v>
      </c>
      <c r="B220" s="71"/>
      <c r="C220" s="71"/>
      <c r="D220" s="71"/>
      <c r="E220" s="71"/>
      <c r="F220" s="71"/>
      <c r="G220" s="71"/>
      <c r="H220" s="71"/>
    </row>
    <row r="221" spans="1:8" ht="35.25" hidden="1" customHeight="1" x14ac:dyDescent="0.3">
      <c r="A221" s="106" t="s">
        <v>136</v>
      </c>
      <c r="B221" s="106"/>
      <c r="C221" s="106"/>
      <c r="D221" s="106"/>
      <c r="E221" s="106"/>
      <c r="F221" s="106"/>
      <c r="G221" s="106"/>
      <c r="H221" s="106"/>
    </row>
    <row r="222" spans="1:8" x14ac:dyDescent="0.3">
      <c r="A222" s="126" t="s">
        <v>83</v>
      </c>
      <c r="B222" s="126"/>
      <c r="C222" s="126" t="s">
        <v>215</v>
      </c>
      <c r="D222" s="126"/>
      <c r="E222" s="126" t="s">
        <v>113</v>
      </c>
      <c r="F222" s="126"/>
      <c r="G222" s="126" t="s">
        <v>224</v>
      </c>
      <c r="H222" s="126"/>
    </row>
    <row r="223" spans="1:8" x14ac:dyDescent="0.3">
      <c r="A223" s="125" t="s">
        <v>85</v>
      </c>
      <c r="B223" s="125"/>
      <c r="C223" s="125"/>
      <c r="D223" s="125"/>
      <c r="E223" s="125"/>
      <c r="F223" s="125"/>
      <c r="G223" s="125"/>
      <c r="H223" s="125"/>
    </row>
    <row r="224" spans="1:8" x14ac:dyDescent="0.3">
      <c r="A224" s="125"/>
      <c r="B224" s="125"/>
      <c r="C224" s="125"/>
      <c r="D224" s="125"/>
      <c r="E224" s="125"/>
      <c r="F224" s="125"/>
      <c r="G224" s="125"/>
      <c r="H224" s="125"/>
    </row>
    <row r="225" spans="1:8" x14ac:dyDescent="0.3">
      <c r="A225" s="125"/>
      <c r="B225" s="125"/>
      <c r="C225" s="125"/>
      <c r="D225" s="125"/>
      <c r="E225" s="125"/>
      <c r="F225" s="125"/>
      <c r="G225" s="125"/>
      <c r="H225" s="125"/>
    </row>
    <row r="226" spans="1:8" x14ac:dyDescent="0.3">
      <c r="A226" s="125"/>
      <c r="B226" s="125"/>
      <c r="C226" s="125"/>
      <c r="D226" s="125"/>
      <c r="E226" s="125"/>
      <c r="F226" s="125"/>
      <c r="G226" s="125"/>
      <c r="H226" s="125"/>
    </row>
    <row r="227" spans="1:8" x14ac:dyDescent="0.3">
      <c r="A227" s="8" t="s">
        <v>71</v>
      </c>
      <c r="B227" s="9"/>
      <c r="C227" s="9"/>
      <c r="D227" s="8" t="str">
        <f>E8</f>
        <v>Aleen Heights</v>
      </c>
      <c r="F227" s="9"/>
      <c r="G227" s="9"/>
      <c r="H227" s="9"/>
    </row>
    <row r="228" spans="1:8" x14ac:dyDescent="0.3">
      <c r="A228" s="9"/>
      <c r="B228" s="9"/>
      <c r="C228" s="9"/>
      <c r="D228" s="9"/>
      <c r="E228" s="9"/>
      <c r="F228" s="9"/>
      <c r="G228" s="9"/>
      <c r="H228" s="9"/>
    </row>
    <row r="229" spans="1:8" x14ac:dyDescent="0.3">
      <c r="A229" s="9"/>
      <c r="B229" s="9"/>
      <c r="C229" s="9"/>
      <c r="D229" s="9"/>
      <c r="E229" s="9"/>
      <c r="F229" s="9"/>
      <c r="G229" s="9"/>
      <c r="H229" s="9"/>
    </row>
    <row r="230" spans="1:8" ht="15" customHeight="1" x14ac:dyDescent="0.3"/>
    <row r="270" spans="1:1" x14ac:dyDescent="0.3">
      <c r="A270" s="11" t="s">
        <v>203</v>
      </c>
    </row>
    <row r="301" spans="1:1" x14ac:dyDescent="0.3">
      <c r="A301" s="11" t="s">
        <v>72</v>
      </c>
    </row>
  </sheetData>
  <mergeCells count="381">
    <mergeCell ref="B214:H214"/>
    <mergeCell ref="B212:H212"/>
    <mergeCell ref="A78:B78"/>
    <mergeCell ref="C78:H78"/>
    <mergeCell ref="A80:B80"/>
    <mergeCell ref="C80:H80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186:B186"/>
    <mergeCell ref="A187:B187"/>
    <mergeCell ref="A188:B188"/>
    <mergeCell ref="A191:H191"/>
    <mergeCell ref="L143:M143"/>
    <mergeCell ref="A144:B144"/>
    <mergeCell ref="L144:M144"/>
    <mergeCell ref="A145:B145"/>
    <mergeCell ref="L145:M145"/>
    <mergeCell ref="C195:F195"/>
    <mergeCell ref="C108:D108"/>
    <mergeCell ref="E108:F108"/>
    <mergeCell ref="G108:H108"/>
    <mergeCell ref="A107:A108"/>
    <mergeCell ref="C113:D113"/>
    <mergeCell ref="E113:F113"/>
    <mergeCell ref="G113:H113"/>
    <mergeCell ref="A112:A113"/>
    <mergeCell ref="C109:D109"/>
    <mergeCell ref="E109:F109"/>
    <mergeCell ref="G109:H109"/>
    <mergeCell ref="A109:B109"/>
    <mergeCell ref="C114:D114"/>
    <mergeCell ref="E114:F114"/>
    <mergeCell ref="G114:H114"/>
    <mergeCell ref="A114:B114"/>
    <mergeCell ref="A115:B115"/>
    <mergeCell ref="C115:D115"/>
    <mergeCell ref="L139:M139"/>
    <mergeCell ref="A140:B140"/>
    <mergeCell ref="L140:M140"/>
    <mergeCell ref="A141:B141"/>
    <mergeCell ref="L141:M141"/>
    <mergeCell ref="A184:B184"/>
    <mergeCell ref="A185:B185"/>
    <mergeCell ref="L173:M173"/>
    <mergeCell ref="A174:B174"/>
    <mergeCell ref="A175:B175"/>
    <mergeCell ref="A176:B176"/>
    <mergeCell ref="A177:B177"/>
    <mergeCell ref="A178:B178"/>
    <mergeCell ref="A179:B179"/>
    <mergeCell ref="A182:H182"/>
    <mergeCell ref="A180:B180"/>
    <mergeCell ref="A181:B181"/>
    <mergeCell ref="G174:H181"/>
    <mergeCell ref="L151:M151"/>
    <mergeCell ref="L146:M146"/>
    <mergeCell ref="G139:H146"/>
    <mergeCell ref="A142:B142"/>
    <mergeCell ref="L142:M142"/>
    <mergeCell ref="A143:B143"/>
    <mergeCell ref="A189:B189"/>
    <mergeCell ref="A190:B190"/>
    <mergeCell ref="G183:H190"/>
    <mergeCell ref="A192:B192"/>
    <mergeCell ref="G192:H199"/>
    <mergeCell ref="A193:B193"/>
    <mergeCell ref="A194:B194"/>
    <mergeCell ref="A195:B195"/>
    <mergeCell ref="A196:B196"/>
    <mergeCell ref="A197:B197"/>
    <mergeCell ref="A198:B198"/>
    <mergeCell ref="A199:B199"/>
    <mergeCell ref="A155:B155"/>
    <mergeCell ref="A162:B162"/>
    <mergeCell ref="A163:B163"/>
    <mergeCell ref="C112:D112"/>
    <mergeCell ref="E112:F112"/>
    <mergeCell ref="G112:H112"/>
    <mergeCell ref="F98:H98"/>
    <mergeCell ref="A93:E93"/>
    <mergeCell ref="A122:H122"/>
    <mergeCell ref="E118:E119"/>
    <mergeCell ref="G118:H119"/>
    <mergeCell ref="A120:H120"/>
    <mergeCell ref="A102:E102"/>
    <mergeCell ref="A97:E97"/>
    <mergeCell ref="A98:E98"/>
    <mergeCell ref="A100:E100"/>
    <mergeCell ref="A99:E99"/>
    <mergeCell ref="A138:H138"/>
    <mergeCell ref="A139:B139"/>
    <mergeCell ref="E115:F115"/>
    <mergeCell ref="G115:H115"/>
    <mergeCell ref="G123:H136"/>
    <mergeCell ref="A146:B146"/>
    <mergeCell ref="A137:H137"/>
    <mergeCell ref="A164:B164"/>
    <mergeCell ref="A156:B156"/>
    <mergeCell ref="A153:B153"/>
    <mergeCell ref="B205:H205"/>
    <mergeCell ref="A130:B130"/>
    <mergeCell ref="B203:H203"/>
    <mergeCell ref="A167:B167"/>
    <mergeCell ref="A170:B170"/>
    <mergeCell ref="A171:B171"/>
    <mergeCell ref="A169:B169"/>
    <mergeCell ref="A166:B166"/>
    <mergeCell ref="A149:H149"/>
    <mergeCell ref="C171:H171"/>
    <mergeCell ref="G152:H157"/>
    <mergeCell ref="G159:H164"/>
    <mergeCell ref="G166:H170"/>
    <mergeCell ref="A150:H150"/>
    <mergeCell ref="A172:H172"/>
    <mergeCell ref="A173:H173"/>
    <mergeCell ref="A183:B183"/>
    <mergeCell ref="A154:B154"/>
    <mergeCell ref="A159:B159"/>
    <mergeCell ref="A160:B160"/>
    <mergeCell ref="A161:B161"/>
    <mergeCell ref="F94:H94"/>
    <mergeCell ref="A94:E94"/>
    <mergeCell ref="D118:D119"/>
    <mergeCell ref="A95:E95"/>
    <mergeCell ref="A129:B129"/>
    <mergeCell ref="A123:B123"/>
    <mergeCell ref="A124:B124"/>
    <mergeCell ref="A125:B125"/>
    <mergeCell ref="A126:B126"/>
    <mergeCell ref="A127:B127"/>
    <mergeCell ref="A96:E96"/>
    <mergeCell ref="C111:D111"/>
    <mergeCell ref="G111:H111"/>
    <mergeCell ref="A121:H121"/>
    <mergeCell ref="L129:M129"/>
    <mergeCell ref="L128:M128"/>
    <mergeCell ref="L127:M127"/>
    <mergeCell ref="L126:M126"/>
    <mergeCell ref="L125:M125"/>
    <mergeCell ref="L124:M124"/>
    <mergeCell ref="L123:M123"/>
    <mergeCell ref="F96:H96"/>
    <mergeCell ref="F95:H95"/>
    <mergeCell ref="F101:H101"/>
    <mergeCell ref="F97:H97"/>
    <mergeCell ref="A116:H116"/>
    <mergeCell ref="A106:B106"/>
    <mergeCell ref="F99:H99"/>
    <mergeCell ref="C106:D106"/>
    <mergeCell ref="F102:H102"/>
    <mergeCell ref="F100:H100"/>
    <mergeCell ref="A117:H117"/>
    <mergeCell ref="G106:H106"/>
    <mergeCell ref="A101:E101"/>
    <mergeCell ref="C107:D107"/>
    <mergeCell ref="E107:F107"/>
    <mergeCell ref="B118:B119"/>
    <mergeCell ref="A118:A119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G67:H67"/>
    <mergeCell ref="A45:B45"/>
    <mergeCell ref="C45:H45"/>
    <mergeCell ref="E67:F67"/>
    <mergeCell ref="A50:B50"/>
    <mergeCell ref="C50:E5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223:H226"/>
    <mergeCell ref="A222:B222"/>
    <mergeCell ref="E222:F222"/>
    <mergeCell ref="C222:D222"/>
    <mergeCell ref="G222:H222"/>
    <mergeCell ref="A105:H105"/>
    <mergeCell ref="A103:E103"/>
    <mergeCell ref="F103:H103"/>
    <mergeCell ref="A104:E104"/>
    <mergeCell ref="F104:H104"/>
    <mergeCell ref="A151:H151"/>
    <mergeCell ref="A218:H218"/>
    <mergeCell ref="A110:H110"/>
    <mergeCell ref="A221:H221"/>
    <mergeCell ref="A219:H219"/>
    <mergeCell ref="A200:H200"/>
    <mergeCell ref="C118:C119"/>
    <mergeCell ref="A158:H158"/>
    <mergeCell ref="A128:B128"/>
    <mergeCell ref="B207:H207"/>
    <mergeCell ref="A215:H215"/>
    <mergeCell ref="A216:H216"/>
    <mergeCell ref="E111:F111"/>
    <mergeCell ref="E106:F106"/>
    <mergeCell ref="A47:B47"/>
    <mergeCell ref="A51:H51"/>
    <mergeCell ref="A52:C52"/>
    <mergeCell ref="A53:C53"/>
    <mergeCell ref="D53:H53"/>
    <mergeCell ref="G50:H50"/>
    <mergeCell ref="D54:H54"/>
    <mergeCell ref="A62:C62"/>
    <mergeCell ref="D62:H62"/>
    <mergeCell ref="A57:C57"/>
    <mergeCell ref="A58:C58"/>
    <mergeCell ref="D57:H57"/>
    <mergeCell ref="D58:H58"/>
    <mergeCell ref="G47:H47"/>
    <mergeCell ref="A48:B49"/>
    <mergeCell ref="C49:H49"/>
    <mergeCell ref="A68:B68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A60:C60"/>
    <mergeCell ref="D60:H60"/>
    <mergeCell ref="A63:C63"/>
    <mergeCell ref="D63:H63"/>
    <mergeCell ref="A61:C61"/>
    <mergeCell ref="D61:H61"/>
    <mergeCell ref="E68:F77"/>
    <mergeCell ref="G68:H77"/>
    <mergeCell ref="A76:B76"/>
    <mergeCell ref="A77:B77"/>
    <mergeCell ref="A74:B74"/>
    <mergeCell ref="A67:B67"/>
    <mergeCell ref="A70:B70"/>
    <mergeCell ref="A75:B75"/>
    <mergeCell ref="E39:H39"/>
    <mergeCell ref="A39:D39"/>
    <mergeCell ref="A220:H220"/>
    <mergeCell ref="A157:B157"/>
    <mergeCell ref="A217:H217"/>
    <mergeCell ref="A152:B152"/>
    <mergeCell ref="A111:B111"/>
    <mergeCell ref="G148:H148"/>
    <mergeCell ref="A73:B73"/>
    <mergeCell ref="F93:H93"/>
    <mergeCell ref="A92:H92"/>
    <mergeCell ref="G107:H107"/>
    <mergeCell ref="A46:B46"/>
    <mergeCell ref="C46:E46"/>
    <mergeCell ref="G46:H46"/>
    <mergeCell ref="G48:H48"/>
    <mergeCell ref="D52:H52"/>
    <mergeCell ref="C48:E48"/>
    <mergeCell ref="A134:B134"/>
    <mergeCell ref="D55:H55"/>
    <mergeCell ref="C47:E47"/>
    <mergeCell ref="A54:C54"/>
    <mergeCell ref="D56:H56"/>
    <mergeCell ref="A55:C56"/>
    <mergeCell ref="B213:H213"/>
    <mergeCell ref="B211:H211"/>
    <mergeCell ref="L134:M134"/>
    <mergeCell ref="A135:B135"/>
    <mergeCell ref="L135:M135"/>
    <mergeCell ref="A136:B136"/>
    <mergeCell ref="L136:M136"/>
    <mergeCell ref="L130:M130"/>
    <mergeCell ref="A131:B131"/>
    <mergeCell ref="L131:M131"/>
    <mergeCell ref="A132:B132"/>
    <mergeCell ref="L132:M132"/>
    <mergeCell ref="A133:B133"/>
    <mergeCell ref="L133:M133"/>
    <mergeCell ref="B209:H209"/>
    <mergeCell ref="B210:H210"/>
    <mergeCell ref="B208:H208"/>
    <mergeCell ref="B206:H206"/>
    <mergeCell ref="B204:H204"/>
    <mergeCell ref="B201:H201"/>
    <mergeCell ref="B202:H202"/>
    <mergeCell ref="A168:B168"/>
    <mergeCell ref="A165:H165"/>
    <mergeCell ref="A147:H147"/>
  </mergeCells>
  <hyperlinks>
    <hyperlink ref="C36" r:id="rId1" xr:uid="{00000000-0004-0000-0000-000000000000}"/>
    <hyperlink ref="I171" r:id="rId2" xr:uid="{00000000-0004-0000-0000-000001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3" max="16383" man="1"/>
    <brk id="226" max="16383" man="1"/>
    <brk id="269" max="16383" man="1"/>
    <brk id="300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7"/>
    <col min="2" max="2" width="22.109375" style="17" customWidth="1"/>
    <col min="3" max="3" width="37" style="17" customWidth="1"/>
    <col min="4" max="5" width="11.44140625" style="17" customWidth="1"/>
    <col min="6" max="6" width="14" style="17" customWidth="1"/>
    <col min="7" max="7" width="20" style="17" customWidth="1"/>
    <col min="8" max="8" width="16.44140625" style="17" customWidth="1"/>
    <col min="9" max="16384" width="8.6640625" style="17"/>
  </cols>
  <sheetData>
    <row r="1" spans="1:9" ht="15" customHeight="1" x14ac:dyDescent="0.3"/>
    <row r="2" spans="1:9" ht="15" customHeight="1" x14ac:dyDescent="0.3">
      <c r="A2" s="18"/>
      <c r="B2" s="18"/>
      <c r="C2" s="18"/>
      <c r="D2" s="18"/>
      <c r="E2" s="18"/>
      <c r="F2" s="18"/>
      <c r="G2" s="18"/>
      <c r="H2" s="18"/>
    </row>
    <row r="3" spans="1:9" ht="15.75" customHeight="1" x14ac:dyDescent="0.3">
      <c r="A3" s="18"/>
      <c r="B3" s="174" t="s">
        <v>114</v>
      </c>
      <c r="C3" s="174"/>
      <c r="D3" s="174"/>
      <c r="E3" s="174"/>
      <c r="F3" s="174"/>
      <c r="G3" s="174"/>
      <c r="H3" s="174"/>
    </row>
    <row r="4" spans="1:9" x14ac:dyDescent="0.3">
      <c r="A4" s="18"/>
      <c r="B4" s="19" t="s">
        <v>115</v>
      </c>
      <c r="C4" s="19" t="s">
        <v>116</v>
      </c>
      <c r="D4" s="19" t="s">
        <v>74</v>
      </c>
      <c r="E4" s="19" t="s">
        <v>117</v>
      </c>
      <c r="F4" s="19" t="s">
        <v>123</v>
      </c>
      <c r="G4" s="19" t="s">
        <v>124</v>
      </c>
      <c r="H4" s="19" t="s">
        <v>118</v>
      </c>
    </row>
    <row r="5" spans="1:9" ht="15" customHeight="1" x14ac:dyDescent="0.3">
      <c r="A5" s="18"/>
      <c r="B5" s="21" t="s">
        <v>119</v>
      </c>
      <c r="C5" s="22"/>
      <c r="D5" s="21"/>
      <c r="E5" s="21"/>
      <c r="F5" s="23">
        <f>E5*1.6</f>
        <v>0</v>
      </c>
      <c r="G5" s="23" t="e">
        <f>H5/F5</f>
        <v>#DIV/0!</v>
      </c>
      <c r="H5" s="24"/>
    </row>
    <row r="6" spans="1:9" x14ac:dyDescent="0.3">
      <c r="A6" s="18"/>
      <c r="B6" s="21" t="s">
        <v>119</v>
      </c>
      <c r="C6" s="25"/>
      <c r="D6" s="21"/>
      <c r="E6" s="21"/>
      <c r="F6" s="23">
        <f t="shared" ref="F6:F11" si="0">E6*1.6</f>
        <v>0</v>
      </c>
      <c r="G6" s="23" t="e">
        <f t="shared" ref="G6:G11" si="1">H6/F6</f>
        <v>#DIV/0!</v>
      </c>
      <c r="H6" s="24"/>
    </row>
    <row r="7" spans="1:9" ht="15" customHeight="1" x14ac:dyDescent="0.3">
      <c r="A7" s="18"/>
      <c r="B7" s="21" t="s">
        <v>119</v>
      </c>
      <c r="C7" s="22"/>
      <c r="D7" s="21"/>
      <c r="E7" s="21"/>
      <c r="F7" s="23">
        <f t="shared" si="0"/>
        <v>0</v>
      </c>
      <c r="G7" s="23" t="e">
        <f t="shared" si="1"/>
        <v>#DIV/0!</v>
      </c>
      <c r="H7" s="24"/>
    </row>
    <row r="8" spans="1:9" x14ac:dyDescent="0.3">
      <c r="A8" s="18"/>
      <c r="B8" s="21" t="s">
        <v>119</v>
      </c>
      <c r="C8" s="25"/>
      <c r="D8" s="21"/>
      <c r="E8" s="21"/>
      <c r="F8" s="23">
        <f t="shared" si="0"/>
        <v>0</v>
      </c>
      <c r="G8" s="23" t="e">
        <f t="shared" si="1"/>
        <v>#DIV/0!</v>
      </c>
      <c r="H8" s="24"/>
    </row>
    <row r="9" spans="1:9" ht="15" customHeight="1" x14ac:dyDescent="0.3">
      <c r="A9" s="18"/>
      <c r="B9" s="21" t="s">
        <v>119</v>
      </c>
      <c r="C9" s="25"/>
      <c r="D9" s="21"/>
      <c r="E9" s="21"/>
      <c r="F9" s="23">
        <f t="shared" si="0"/>
        <v>0</v>
      </c>
      <c r="G9" s="23" t="e">
        <f t="shared" si="1"/>
        <v>#DIV/0!</v>
      </c>
      <c r="H9" s="24"/>
    </row>
    <row r="10" spans="1:9" ht="15" customHeight="1" x14ac:dyDescent="0.3">
      <c r="A10" s="18"/>
      <c r="B10" s="21" t="s">
        <v>120</v>
      </c>
      <c r="C10" s="22"/>
      <c r="D10" s="21"/>
      <c r="E10" s="21"/>
      <c r="F10" s="23">
        <f t="shared" si="0"/>
        <v>0</v>
      </c>
      <c r="G10" s="23" t="e">
        <f t="shared" si="1"/>
        <v>#DIV/0!</v>
      </c>
      <c r="H10" s="24"/>
    </row>
    <row r="11" spans="1:9" ht="15" customHeight="1" x14ac:dyDescent="0.3">
      <c r="A11" s="18"/>
      <c r="B11" s="21" t="s">
        <v>120</v>
      </c>
      <c r="C11" s="22"/>
      <c r="D11" s="21"/>
      <c r="E11" s="21"/>
      <c r="F11" s="23">
        <f t="shared" si="0"/>
        <v>0</v>
      </c>
      <c r="G11" s="23" t="e">
        <f t="shared" si="1"/>
        <v>#DIV/0!</v>
      </c>
      <c r="H11" s="24"/>
    </row>
    <row r="12" spans="1:9" ht="15" customHeight="1" x14ac:dyDescent="0.3">
      <c r="A12" s="18"/>
      <c r="B12" s="26" t="s">
        <v>121</v>
      </c>
      <c r="C12" s="21"/>
      <c r="D12" s="21"/>
      <c r="E12" s="21"/>
      <c r="F12" s="21"/>
      <c r="G12" s="27" t="e">
        <f>AVERAGE(G5:G11)</f>
        <v>#DIV/0!</v>
      </c>
      <c r="H12" s="21"/>
    </row>
    <row r="13" spans="1:9" ht="15" customHeight="1" x14ac:dyDescent="0.3">
      <c r="B13" s="26" t="s">
        <v>122</v>
      </c>
      <c r="C13" s="21"/>
      <c r="D13" s="21"/>
      <c r="E13" s="21"/>
      <c r="F13" s="28"/>
      <c r="G13" s="26"/>
      <c r="H13" s="26"/>
      <c r="I13" s="20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2025-08-12T09:22:12Z</cp:lastPrinted>
  <dcterms:created xsi:type="dcterms:W3CDTF">2019-07-16T09:29:46Z</dcterms:created>
  <dcterms:modified xsi:type="dcterms:W3CDTF">2025-08-12T09:22:42Z</dcterms:modified>
</cp:coreProperties>
</file>