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99B52C05-71BC-4B25-9C84-2C9482321C28}"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1" l="1"/>
  <c r="C96" i="1" s="1"/>
  <c r="C80" i="1"/>
  <c r="C81" i="1" s="1"/>
  <c r="C95" i="1" l="1"/>
  <c r="C82" i="1"/>
  <c r="D187" i="1"/>
  <c r="F187" i="1" s="1"/>
  <c r="H187" i="1" s="1"/>
  <c r="D186" i="1"/>
  <c r="F186" i="1" s="1"/>
  <c r="H186" i="1" s="1"/>
  <c r="D184" i="1"/>
  <c r="F184" i="1" s="1"/>
  <c r="H184" i="1" s="1"/>
  <c r="D183" i="1"/>
  <c r="F183" i="1" s="1"/>
  <c r="H183" i="1" s="1"/>
  <c r="D182" i="1"/>
  <c r="F182" i="1" s="1"/>
  <c r="H182" i="1" s="1"/>
  <c r="D181" i="1"/>
  <c r="F181" i="1" s="1"/>
  <c r="H181" i="1" s="1"/>
  <c r="D180" i="1"/>
  <c r="F180" i="1" s="1"/>
  <c r="H180" i="1" s="1"/>
  <c r="A180" i="1"/>
  <c r="A181" i="1" s="1"/>
  <c r="A182" i="1" s="1"/>
  <c r="A183" i="1" s="1"/>
  <c r="A184" i="1" s="1"/>
  <c r="A185" i="1" s="1"/>
  <c r="A186" i="1" s="1"/>
  <c r="A187" i="1" s="1"/>
  <c r="D179" i="1"/>
  <c r="F179" i="1" s="1"/>
  <c r="H179" i="1" s="1"/>
  <c r="D157" i="1"/>
  <c r="F157" i="1" s="1"/>
  <c r="H157" i="1" s="1"/>
  <c r="D156" i="1"/>
  <c r="F156" i="1" s="1"/>
  <c r="H156" i="1" s="1"/>
  <c r="D155" i="1"/>
  <c r="F155" i="1" s="1"/>
  <c r="H155" i="1" s="1"/>
  <c r="D154" i="1"/>
  <c r="F154" i="1" s="1"/>
  <c r="H154" i="1" s="1"/>
  <c r="D153" i="1"/>
  <c r="F153" i="1" s="1"/>
  <c r="H153" i="1" s="1"/>
  <c r="D152" i="1"/>
  <c r="F152" i="1" s="1"/>
  <c r="H152" i="1" s="1"/>
  <c r="A152" i="1"/>
  <c r="A153" i="1" s="1"/>
  <c r="A154" i="1" s="1"/>
  <c r="A155" i="1" s="1"/>
  <c r="A156" i="1" s="1"/>
  <c r="A157" i="1" s="1"/>
  <c r="D151" i="1"/>
  <c r="F151" i="1" s="1"/>
  <c r="H151" i="1" s="1"/>
  <c r="D197" i="1" l="1"/>
  <c r="F197" i="1" s="1"/>
  <c r="H197" i="1" s="1"/>
  <c r="D196" i="1"/>
  <c r="F196" i="1" s="1"/>
  <c r="H196" i="1" s="1"/>
  <c r="D194" i="1"/>
  <c r="F194" i="1" s="1"/>
  <c r="H194" i="1" s="1"/>
  <c r="D193" i="1"/>
  <c r="F193" i="1" s="1"/>
  <c r="H193" i="1" s="1"/>
  <c r="D192" i="1"/>
  <c r="F192" i="1" s="1"/>
  <c r="H192" i="1" s="1"/>
  <c r="D191" i="1"/>
  <c r="F191" i="1" s="1"/>
  <c r="H191" i="1" s="1"/>
  <c r="D190" i="1"/>
  <c r="F190" i="1" s="1"/>
  <c r="H190" i="1" s="1"/>
  <c r="D189" i="1"/>
  <c r="F189" i="1" s="1"/>
  <c r="H189" i="1" s="1"/>
  <c r="D177" i="1"/>
  <c r="D176" i="1"/>
  <c r="D175" i="1"/>
  <c r="D174" i="1"/>
  <c r="F174" i="1" s="1"/>
  <c r="H174" i="1" s="1"/>
  <c r="D173" i="1"/>
  <c r="F173" i="1" s="1"/>
  <c r="H173" i="1" s="1"/>
  <c r="D172" i="1"/>
  <c r="F172" i="1" s="1"/>
  <c r="H172" i="1" s="1"/>
  <c r="D171" i="1"/>
  <c r="F171" i="1" s="1"/>
  <c r="H171" i="1" s="1"/>
  <c r="D170" i="1"/>
  <c r="F170" i="1" s="1"/>
  <c r="H170" i="1" s="1"/>
  <c r="D169" i="1"/>
  <c r="F169" i="1" s="1"/>
  <c r="D165" i="1"/>
  <c r="F165" i="1" s="1"/>
  <c r="H165" i="1" s="1"/>
  <c r="D164" i="1"/>
  <c r="F164" i="1" s="1"/>
  <c r="H164" i="1" s="1"/>
  <c r="D163" i="1"/>
  <c r="F163" i="1" s="1"/>
  <c r="H163" i="1" s="1"/>
  <c r="D162" i="1"/>
  <c r="F162" i="1" s="1"/>
  <c r="H162" i="1" s="1"/>
  <c r="D161" i="1"/>
  <c r="F161" i="1" s="1"/>
  <c r="H161" i="1" s="1"/>
  <c r="D160" i="1"/>
  <c r="F160" i="1" s="1"/>
  <c r="H160" i="1" s="1"/>
  <c r="D159" i="1"/>
  <c r="F159" i="1" s="1"/>
  <c r="H159" i="1" s="1"/>
  <c r="D149" i="1"/>
  <c r="F149" i="1" s="1"/>
  <c r="H149" i="1" s="1"/>
  <c r="D148" i="1"/>
  <c r="F148" i="1" s="1"/>
  <c r="H148" i="1" s="1"/>
  <c r="D147" i="1"/>
  <c r="F147" i="1" s="1"/>
  <c r="H147" i="1" s="1"/>
  <c r="D146" i="1"/>
  <c r="D145" i="1"/>
  <c r="D144" i="1"/>
  <c r="D143" i="1"/>
  <c r="A190" i="1"/>
  <c r="A191" i="1" s="1"/>
  <c r="A192" i="1" s="1"/>
  <c r="A193" i="1" s="1"/>
  <c r="A194" i="1" s="1"/>
  <c r="A195" i="1" s="1"/>
  <c r="A196" i="1" s="1"/>
  <c r="A197" i="1" s="1"/>
  <c r="A160" i="1"/>
  <c r="A161" i="1" s="1"/>
  <c r="A162" i="1" s="1"/>
  <c r="A163" i="1" s="1"/>
  <c r="A164" i="1" s="1"/>
  <c r="A165" i="1" s="1"/>
  <c r="A170" i="1"/>
  <c r="A171" i="1" s="1"/>
  <c r="A172" i="1" s="1"/>
  <c r="A173" i="1" s="1"/>
  <c r="A174" i="1" s="1"/>
  <c r="A175" i="1" s="1"/>
  <c r="A176" i="1" s="1"/>
  <c r="A177" i="1" s="1"/>
  <c r="I143" i="1"/>
  <c r="G51" i="1"/>
  <c r="G52" i="1" s="1"/>
  <c r="E8" i="1"/>
  <c r="H169" i="1" l="1"/>
  <c r="B201" i="1"/>
  <c r="F132" i="1" l="1"/>
  <c r="H132" i="1" s="1"/>
  <c r="F133" i="1"/>
  <c r="H133" i="1" s="1"/>
  <c r="F134" i="1"/>
  <c r="H134" i="1" s="1"/>
  <c r="F131" i="1"/>
  <c r="H131" i="1" s="1"/>
  <c r="G58" i="1" l="1"/>
  <c r="C58" i="1"/>
  <c r="G56" i="1"/>
  <c r="C56" i="1"/>
  <c r="C54" i="1"/>
  <c r="S33" i="1" l="1"/>
  <c r="F11" i="5" l="1"/>
  <c r="G11" i="5" s="1"/>
  <c r="F10" i="5"/>
  <c r="G10" i="5" s="1"/>
  <c r="F9" i="5"/>
  <c r="G9" i="5" s="1"/>
  <c r="F8" i="5"/>
  <c r="G8" i="5" s="1"/>
  <c r="F7" i="5"/>
  <c r="G7" i="5" s="1"/>
  <c r="G6" i="5"/>
  <c r="F6" i="5"/>
  <c r="F5" i="5"/>
  <c r="G5" i="5" s="1"/>
  <c r="G12" i="5" s="1"/>
  <c r="D224" i="1"/>
  <c r="B202" i="1"/>
  <c r="F177" i="1"/>
  <c r="H177" i="1" s="1"/>
  <c r="F176" i="1"/>
  <c r="H176" i="1" s="1"/>
  <c r="F175" i="1"/>
  <c r="F146" i="1"/>
  <c r="H146" i="1" s="1"/>
  <c r="F145" i="1"/>
  <c r="H145" i="1" s="1"/>
  <c r="F144" i="1"/>
  <c r="H144" i="1" s="1"/>
  <c r="A144" i="1"/>
  <c r="A145" i="1" s="1"/>
  <c r="A146" i="1" s="1"/>
  <c r="A147" i="1" s="1"/>
  <c r="A148" i="1" s="1"/>
  <c r="A149" i="1" s="1"/>
  <c r="F143" i="1"/>
  <c r="A132" i="1"/>
  <c r="A133" i="1" s="1"/>
  <c r="A134" i="1" s="1"/>
  <c r="F113" i="1"/>
  <c r="D67" i="1"/>
  <c r="C51" i="1"/>
  <c r="E44" i="1"/>
  <c r="E45" i="1" s="1"/>
  <c r="E31" i="1"/>
  <c r="E28" i="1"/>
  <c r="E26" i="1"/>
  <c r="C16" i="1"/>
  <c r="I15" i="1"/>
  <c r="Z13" i="1"/>
  <c r="E3" i="1"/>
  <c r="H74" i="1"/>
  <c r="H88" i="1"/>
  <c r="C123" i="1" l="1"/>
  <c r="E123" i="1"/>
  <c r="E122" i="1"/>
  <c r="C122" i="1"/>
  <c r="H175" i="1"/>
  <c r="G123" i="1" s="1"/>
  <c r="H143" i="1"/>
  <c r="G122" i="1" s="1"/>
  <c r="J73" i="1"/>
  <c r="J75" i="1" s="1"/>
  <c r="J76" i="1"/>
  <c r="J77" i="1"/>
  <c r="J78" i="1"/>
  <c r="C77" i="1" s="1"/>
  <c r="J92" i="1"/>
  <c r="C91" i="1" s="1"/>
  <c r="D96" i="1"/>
  <c r="D98" i="1"/>
  <c r="J91" i="1"/>
  <c r="D97" i="1"/>
  <c r="J87" i="1"/>
  <c r="J89" i="1" s="1"/>
  <c r="D95" i="1"/>
  <c r="J90" i="1"/>
  <c r="D94" i="1"/>
  <c r="D100" i="1"/>
  <c r="D99" i="1"/>
  <c r="D93" i="1"/>
  <c r="D81" i="1"/>
  <c r="D83" i="1"/>
  <c r="D82" i="1"/>
  <c r="D86" i="1"/>
  <c r="D80" i="1"/>
  <c r="D85" i="1"/>
  <c r="D79" i="1"/>
  <c r="D84" i="1"/>
  <c r="B88" i="1"/>
  <c r="B74" i="1"/>
  <c r="J79" i="1" s="1"/>
  <c r="C124" i="1" l="1"/>
  <c r="C125" i="1" s="1"/>
  <c r="E124" i="1"/>
  <c r="E125" i="1" s="1"/>
  <c r="G124" i="1"/>
  <c r="G125" i="1" s="1"/>
  <c r="D91" i="1"/>
  <c r="D77" i="1"/>
  <c r="J98" i="1"/>
  <c r="J95" i="1"/>
  <c r="J97" i="1"/>
  <c r="J96" i="1"/>
  <c r="J93" i="1"/>
  <c r="J94" i="1" s="1"/>
  <c r="J83" i="1"/>
  <c r="J81" i="1"/>
  <c r="J82" i="1"/>
  <c r="J80" i="1"/>
  <c r="J85" i="1" s="1"/>
  <c r="J86" i="1" s="1"/>
  <c r="C78" i="1" s="1"/>
  <c r="J84" i="1"/>
  <c r="J74" i="1" l="1"/>
  <c r="J99" i="1"/>
  <c r="J100" i="1" s="1"/>
  <c r="E77" i="1"/>
  <c r="D78" i="1"/>
  <c r="I74" i="1" s="1"/>
  <c r="G77" i="1"/>
  <c r="D71" i="1" s="1"/>
  <c r="C92" i="1" l="1"/>
  <c r="J88" i="1" s="1"/>
  <c r="F72" i="1"/>
  <c r="D72" i="1"/>
  <c r="I75" i="1"/>
  <c r="I73" i="1" s="1"/>
  <c r="C75" i="1" s="1"/>
  <c r="E91" i="1" l="1"/>
  <c r="D92" i="1"/>
  <c r="I88" i="1" s="1"/>
  <c r="I89" i="1" s="1"/>
  <c r="G91" i="1"/>
  <c r="I87" i="1" l="1"/>
  <c r="C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H137"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<sst xmlns="http://schemas.openxmlformats.org/spreadsheetml/2006/main" count="626" uniqueCount="359">
  <si>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</si>
  <si>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</si>
  <si>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</si>
  <si>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</si>
  <si>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</si>
  <si>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</si>
  <si>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</si>
  <si>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</si>
  <si>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</si>
  <si>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</si>
  <si>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</si>
  <si>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</si>
  <si>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</si>
  <si>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</si>
  <si>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</si>
  <si>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</si>
  <si>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</si>
  <si>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</si>
  <si>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</si>
  <si>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</si>
  <si>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</si>
  <si>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</si>
  <si>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</si>
  <si>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</si>
  <si>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</si>
  <si>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</si>
  <si>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</si>
  <si>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</si>
  <si>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</si>
  <si>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</si>
  <si>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</si>
  <si>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</si>
  <si>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</si>
  <si>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</si>
  <si>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</si>
  <si>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</si>
  <si>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</si>
  <si>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</si>
  <si>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</si>
  <si>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</si>
  <si>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</si>
  <si>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</si>
  <si>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</si>
  <si>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</si>
  <si>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</si>
  <si>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</si>
  <si>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</si>
  <si>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</si>
  <si>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</si>
  <si>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</si>
  <si>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</si>
  <si>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</si>
  <si>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</si>
  <si>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</si>
  <si>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</si>
  <si>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</si>
  <si>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</si>
  <si>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</si>
  <si>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</si>
  <si>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</si>
  <si>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</si>
  <si>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</si>
  <si>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</si>
  <si>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</si>
  <si>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</si>
  <si>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</si>
  <si>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</si>
  <si>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</si>
  <si>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</si>
  <si>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</si>
  <si>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</si>
  <si>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</si>
  <si>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</si>
  <si>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</si>
  <si>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</si>
  <si>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</si>
  <si>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</si>
  <si>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</si>
  <si>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</si>
  <si>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</si>
  <si>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</si>
  <si>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</si>
  <si>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</si>
  <si>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</si>
  <si>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</si>
  <si>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</si>
  <si>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</si>
  <si>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</si>
  <si>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</si>
  <si>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</si>
  <si>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</si>
  <si>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</si>
  <si>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</si>
  <si>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</si>
  <si>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</si>
  <si>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</si>
  <si>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</si>
  <si>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</si>
  <si>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</si>
  <si>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</si>
  <si>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</si>
  <si>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</si>
  <si>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</si>
  <si>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</si>
  <si>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</si>
  <si>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</si>
  <si>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</si>
  <si>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</si>
  <si>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</si>
  <si>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</si>
  <si>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</si>
  <si>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</si>
  <si>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</si>
  <si>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</si>
  <si>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</si>
  <si>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</si>
  <si>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</si>
  <si>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</si>
  <si>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</si>
  <si>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</si>
  <si>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</si>
  <si>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</si>
  <si>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</si>
  <si>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</si>
  <si>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</si>
  <si>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</si>
  <si>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</si>
  <si>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</si>
  <si>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</si>
  <si>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</si>
  <si>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</si>
  <si>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</si>
  <si>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</si>
  <si>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</si>
  <si>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</si>
  <si>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</si>
  <si>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</si>
  <si>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</si>
  <si>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</si>
  <si>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</si>
  <si>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</si>
  <si>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</si>
  <si>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</si>
  <si>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</si>
  <si>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</si>
  <si>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</si>
  <si>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</si>
  <si>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</si>
  <si>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</si>
  <si>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</si>
  <si>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</si>
  <si>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</si>
  <si>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</si>
  <si>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</si>
  <si>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</si>
  <si>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</si>
  <si>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</si>
  <si>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</si>
  <si>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</si>
  <si>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</si>
  <si>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</si>
  <si>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</si>
  <si>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</si>
  <si>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</si>
  <si>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</si>
  <si>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</si>
  <si>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</si>
  <si>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</si>
  <si>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</si>
  <si>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</si>
  <si>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</si>
  <si>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</si>
  <si>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</si>
  <si>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</si>
  <si>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</si>
  <si>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</si>
  <si>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</si>
  <si>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</si>
  <si>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</si>
  <si>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</si>
  <si>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</si>
  <si>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</si>
  <si>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</si>
  <si>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</si>
  <si>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</si>
  <si>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</si>
  <si>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</si>
  <si>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</si>
  <si>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</si>
  <si>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</si>
  <si>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</si>
  <si>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</si>
  <si>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</si>
  <si>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</si>
  <si>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</si>
  <si>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</si>
  <si>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</si>
  <si>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</si>
  <si>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</si>
  <si>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</si>
  <si>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</si>
  <si>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</si>
  <si>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</si>
  <si>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</si>
  <si>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</si>
  <si>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</si>
  <si>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</si>
  <si>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</si>
  <si>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</si>
  <si>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</si>
  <si>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</si>
  <si>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</si>
  <si>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</si>
  <si>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</si>
  <si>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</si>
  <si>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</si>
  <si>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</si>
  <si>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</si>
  <si>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</si>
  <si>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</si>
  <si>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</si>
  <si>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</si>
  <si>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</si>
  <si>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</si>
  <si>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</si>
  <si>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</si>
  <si>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</si>
  <si>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</si>
  <si>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</si>
  <si>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</si>
  <si>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</si>
  <si>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</si>
  <si>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</si>
  <si>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</si>
  <si>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</si>
  <si>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</si>
  <si>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</si>
  <si>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</si>
  <si>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</si>
  <si>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</si>
  <si>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</si>
  <si>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</si>
  <si>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</si>
  <si>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</si>
  <si>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</si>
  <si>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</si>
  <si>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</si>
  <si>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</si>
  <si>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</si>
  <si>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</si>
  <si>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</si>
  <si>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</si>
  <si>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</si>
  <si>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</si>
  <si>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</si>
  <si>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</si>
  <si>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</si>
  <si>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</si>
  <si>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</si>
  <si>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</si>
  <si>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</si>
  <si>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</si>
  <si>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</si>
  <si>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</si>
  <si>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</si>
  <si>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</si>
  <si>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</si>
  <si>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</si>
  <si>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</si>
  <si>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</si>
  <si>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</si>
  <si>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</si>
  <si>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</si>
  <si>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</si>
  <si>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</si>
  <si>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</si>
  <si>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</si>
  <si>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</si>
  <si>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</si>
  <si>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</si>
  <si>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</si>
  <si>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</si>
  <si>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</si>
  <si>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</si>
  <si>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</si>
  <si>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</si>
  <si>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</si>
  <si>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</si>
  <si>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</si>
  <si>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</si>
  <si>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</si>
  <si>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</si>
  <si>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</si>
  <si>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</si>
  <si>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</si>
  <si>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Macrotech Developers Limited</t>
  </si>
  <si>
    <t>Crown Dombivli 3</t>
  </si>
  <si>
    <t>Mr. Rajendra Giri  9820248856</t>
  </si>
  <si>
    <t>Approved Plans &amp; CC</t>
  </si>
  <si>
    <t>P51700053191</t>
  </si>
  <si>
    <t>65/5E (Pt), 65/5 EE (Pt), 65/5F (Pt), 65/5G (Pt), 65/5H (Pt)</t>
  </si>
  <si>
    <t>Survey No</t>
  </si>
  <si>
    <t>02 Wings</t>
  </si>
  <si>
    <t>Sector O / Cluster 15.07 (Wing D &amp; E) = Gr + 1st to 14th Floor</t>
  </si>
  <si>
    <t>Ekatmikrut Nagarvasahat/Mauje Antarli, Khoni, Hedutane, Kole, Gharivali, Katai &amp; Mangaon Tal. Kalyan &amp; Mauje Umbroli, Tal Ambernath SSThane/5059</t>
  </si>
  <si>
    <t>Ekatmikrut Nagarvasahat/Mau.Antarli, Khoni &amp; Other/Sector " B, D, I1, I2, O, P &amp; R "/SSThane/5059</t>
  </si>
  <si>
    <t>As per RERA - 31/08/2027</t>
  </si>
  <si>
    <t>Sector O / Cluster 15.07</t>
  </si>
  <si>
    <t>Wing D</t>
  </si>
  <si>
    <t>Ground Floor For Entrance Lobby, Meter Room, Society Office &amp; Parking</t>
  </si>
  <si>
    <t>Wing E</t>
  </si>
  <si>
    <t>Ground Floor For Entrance Lobby, Meter Room &amp; Parking</t>
  </si>
  <si>
    <t>1BHK</t>
  </si>
  <si>
    <t xml:space="preserve">We considered Gross carpet area = Net carpet </t>
  </si>
  <si>
    <t>Refuge Area</t>
  </si>
  <si>
    <t xml:space="preserve">Details of Residential in Building   </t>
  </si>
  <si>
    <t>Flats - 222</t>
  </si>
  <si>
    <t>Approved Builtup Area of Sector O / Cluster 15.07 (Building Type RBY2) Wing D &amp; E (Sq.Mt)</t>
  </si>
  <si>
    <r>
      <t xml:space="preserve">Proposed Amenities :                                                                                                                                                                                                                         </t>
    </r>
    <r>
      <rPr>
        <b/>
        <sz val="12"/>
        <rFont val="Times New Roman"/>
        <family val="1"/>
      </rPr>
      <t xml:space="preserve">                                               </t>
    </r>
  </si>
  <si>
    <t>19.182667,73.096250</t>
  </si>
  <si>
    <t>https://maps.app.goo.gl/QNcjkjxoyykbCKLs9</t>
  </si>
  <si>
    <t>4.8 KM from Dombivli Railway Station</t>
  </si>
  <si>
    <t>Dombivli East</t>
  </si>
  <si>
    <t>Casa Liana &amp; Lodha Codename Premier</t>
  </si>
  <si>
    <t>Internal Road</t>
  </si>
  <si>
    <t>Open Plot</t>
  </si>
  <si>
    <t>24.00 M.W. Road</t>
  </si>
  <si>
    <t>Other Plot</t>
  </si>
  <si>
    <t>Cluster 15.09 (Building Type AMB) Wing A &amp; B</t>
  </si>
  <si>
    <t>Total land area of the project (Sector - O) in Sq. Mt.</t>
  </si>
  <si>
    <t>Sonarpada</t>
  </si>
  <si>
    <t>Ocean Heights</t>
  </si>
  <si>
    <t>https://housing.com/in/buy/projects/page/312280-macrotech-crown-dombivli-3-by-macrotech-developers-limited-in-khandad</t>
  </si>
  <si>
    <t>Club House, Temple, Outdoor Sports Court, Internal Roads, Community Buildings, Gymnasium, Game Zone, Kids Play Area, Sitting Lounge, Landscape Garden, Meter Room, Society Office, Society Office, Parking, Water Conservation, Rain water Harvesting etc.</t>
  </si>
  <si>
    <t>8th Floor</t>
  </si>
  <si>
    <t>13th Floor (14th Floor as per Builder)</t>
  </si>
  <si>
    <t>1st to 7th, 9th to 12th 
14th Floor  (15th Floor as per Builder) For Residential</t>
  </si>
  <si>
    <t>8th Floor (Part Refuge Area)</t>
  </si>
  <si>
    <t>13th Floor (14th Floor as per Builder) (Part Refuge Area)</t>
  </si>
  <si>
    <t>Sector O / Cluster 15.07 
Ruby Wing D &amp; E</t>
  </si>
  <si>
    <t>Cluster 15.07 Ruby Wing A, B &amp; C</t>
  </si>
  <si>
    <t>Cluster 15.07 Ruby Wing D &amp; E = Gr + 1st to 14th Floor</t>
  </si>
  <si>
    <t>Ruby</t>
  </si>
  <si>
    <t>Sector O</t>
  </si>
  <si>
    <t>Cluster 15.07 Ruby</t>
  </si>
  <si>
    <t>Total Approved Builtup area of the project
(Sector - O) (Sq.Mt)</t>
  </si>
  <si>
    <t>Provisional Building Common Area Maintenance (CAM) Charges for 18 months*</t>
  </si>
  <si>
    <t>City management charges for 60 months*</t>
  </si>
  <si>
    <t>Utility Connection &amp; Related Expenses*</t>
  </si>
  <si>
    <t>Land Under Construction (LUC) Reimbursement Charges*</t>
  </si>
  <si>
    <t>Construction work is in process at the time of  visit. (Internal photographs not allowed.)
Construction work is the same as last visit (dtd.09/08/2024), but work is in process at the time of the visit. (Slow Speed)
Construction details were collected from Mr.Rajendra Giri.</t>
  </si>
  <si>
    <t>Cluster 15.07 Ruby Wing D = Gr + 1st to 14th Floor</t>
  </si>
  <si>
    <t>Cluster 15.07 Ruby Wing E = Gr + 1st to 14th Floor</t>
  </si>
  <si>
    <t>Kunal Kadam</t>
  </si>
  <si>
    <t>Krishna Kambali</t>
  </si>
  <si>
    <t>7000 to 7500</t>
  </si>
  <si>
    <t xml:space="preserve">Smith </t>
  </si>
  <si>
    <t>Cost Sheet</t>
  </si>
  <si>
    <t>Recommended Rates / Other charges of the Property have been revised on 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</si>
</sst>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5" fillId="2" borderId="28" xfId="0" applyFont="1" applyFill="1" applyBorder="1"/>
    <xf numFmtId="0" fontId="26" fillId="0" borderId="29"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3" xfId="0" applyBorder="1"/>
    <xf numFmtId="0" fontId="0" fillId="0" borderId="7" xfId="0" applyBorder="1"/>
    <xf numFmtId="0" fontId="0" fillId="0" borderId="1" xfId="0" applyBorder="1" applyAlignment="1">
      <alignmen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27" fillId="0" borderId="0" xfId="10" applyAlignment="1">
      <alignment wrapText="1"/>
    </xf>
    <xf numFmtId="1" fontId="12" fillId="0" borderId="1" xfId="1" applyNumberFormat="1" applyFont="1" applyBorder="1" applyAlignment="1" applyProtection="1">
      <alignment horizontal="center" vertical="top" wrapText="1"/>
      <protection locked="0"/>
    </xf>
    <xf numFmtId="1" fontId="7" fillId="0" borderId="8" xfId="1" applyNumberFormat="1" applyFont="1" applyBorder="1" applyAlignment="1">
      <alignment horizontal="center" vertical="center"/>
    </xf>
    <xf numFmtId="1" fontId="8"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6"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12" fillId="0" borderId="16"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17" fillId="0" borderId="1"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4" fillId="0" borderId="1" xfId="1" applyNumberFormat="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protection locked="0"/>
    </xf>
    <xf numFmtId="0" fontId="12" fillId="0" borderId="7"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0" fontId="12" fillId="0" borderId="7"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14" fontId="6" fillId="0" borderId="7"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0" fontId="8" fillId="0" borderId="15"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23"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2</xdr:col>
      <xdr:colOff>169592</xdr:colOff>
      <xdr:row>265</xdr:row>
      <xdr:rowOff>152400</xdr:rowOff>
    </xdr:from>
    <xdr:to>
      <xdr:col>5</xdr:col>
      <xdr:colOff>294682</xdr:colOff>
      <xdr:row>284</xdr:row>
      <xdr:rowOff>21314</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731692" y="49882425"/>
          <a:ext cx="2668265" cy="3669390"/>
        </a:xfrm>
        <a:prstGeom prst="rect">
          <a:avLst/>
        </a:prstGeom>
        <a:ln w="3175">
          <a:solidFill>
            <a:schemeClr val="tx1"/>
          </a:solidFill>
        </a:ln>
      </xdr:spPr>
    </xdr:pic>
    <xdr:clientData/>
  </xdr:twoCellAnchor>
  <xdr:twoCellAnchor editAs="oneCell">
    <xdr:from>
      <xdr:col>8</xdr:col>
      <xdr:colOff>861172</xdr:colOff>
      <xdr:row>46</xdr:row>
      <xdr:rowOff>10804</xdr:rowOff>
    </xdr:from>
    <xdr:to>
      <xdr:col>15</xdr:col>
      <xdr:colOff>29135</xdr:colOff>
      <xdr:row>51</xdr:row>
      <xdr:rowOff>293319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stretch>
          <a:fillRect/>
        </a:stretch>
      </xdr:blipFill>
      <xdr:spPr>
        <a:xfrm>
          <a:off x="7176247" y="11450329"/>
          <a:ext cx="5159188" cy="2739964"/>
        </a:xfrm>
        <a:prstGeom prst="rect">
          <a:avLst/>
        </a:prstGeom>
      </xdr:spPr>
    </xdr:pic>
    <xdr:clientData/>
  </xdr:twoCellAnchor>
  <xdr:twoCellAnchor editAs="oneCell">
    <xdr:from>
      <xdr:col>0</xdr:col>
      <xdr:colOff>599856</xdr:colOff>
      <xdr:row>308</xdr:row>
      <xdr:rowOff>116032</xdr:rowOff>
    </xdr:from>
    <xdr:to>
      <xdr:col>7</xdr:col>
      <xdr:colOff>57340</xdr:colOff>
      <xdr:row>325</xdr:row>
      <xdr:rowOff>33384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stretch>
          <a:fillRect/>
        </a:stretch>
      </xdr:blipFill>
      <xdr:spPr>
        <a:xfrm>
          <a:off x="599856" y="58494757"/>
          <a:ext cx="5039134" cy="3317777"/>
        </a:xfrm>
        <a:prstGeom prst="rect">
          <a:avLst/>
        </a:prstGeom>
        <a:ln w="3175">
          <a:solidFill>
            <a:srgbClr val="000000"/>
          </a:solidFill>
        </a:ln>
      </xdr:spPr>
    </xdr:pic>
    <xdr:clientData/>
  </xdr:twoCellAnchor>
  <xdr:twoCellAnchor editAs="oneCell">
    <xdr:from>
      <xdr:col>8</xdr:col>
      <xdr:colOff>447339</xdr:colOff>
      <xdr:row>15</xdr:row>
      <xdr:rowOff>24765</xdr:rowOff>
    </xdr:from>
    <xdr:to>
      <xdr:col>15</xdr:col>
      <xdr:colOff>638702</xdr:colOff>
      <xdr:row>16</xdr:row>
      <xdr:rowOff>165395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4"/>
        <a:stretch>
          <a:fillRect/>
        </a:stretch>
      </xdr:blipFill>
      <xdr:spPr>
        <a:xfrm>
          <a:off x="6962439" y="3369945"/>
          <a:ext cx="6348323" cy="773090"/>
        </a:xfrm>
        <a:prstGeom prst="rect">
          <a:avLst/>
        </a:prstGeom>
      </xdr:spPr>
    </xdr:pic>
    <xdr:clientData/>
  </xdr:twoCellAnchor>
  <xdr:twoCellAnchor>
    <xdr:from>
      <xdr:col>1</xdr:col>
      <xdr:colOff>321231</xdr:colOff>
      <xdr:row>284</xdr:row>
      <xdr:rowOff>152399</xdr:rowOff>
    </xdr:from>
    <xdr:to>
      <xdr:col>6</xdr:col>
      <xdr:colOff>396241</xdr:colOff>
      <xdr:row>305</xdr:row>
      <xdr:rowOff>74070</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1106091" y="57355739"/>
          <a:ext cx="4296490" cy="4082191"/>
          <a:chOff x="969223" y="52918226"/>
          <a:chExt cx="4239630" cy="4391130"/>
        </a:xfrm>
      </xdr:grpSpPr>
      <xdr:grpSp>
        <xdr:nvGrpSpPr>
          <xdr:cNvPr id="66" name="Group 65">
            <a:extLst>
              <a:ext uri="{FF2B5EF4-FFF2-40B4-BE49-F238E27FC236}">
                <a16:creationId xmlns:a16="http://schemas.microsoft.com/office/drawing/2014/main" id="{00000000-0008-0000-0000-000042000000}"/>
              </a:ext>
            </a:extLst>
          </xdr:cNvPr>
          <xdr:cNvGrpSpPr/>
        </xdr:nvGrpSpPr>
        <xdr:grpSpPr>
          <a:xfrm>
            <a:off x="969223" y="52918226"/>
            <a:ext cx="4239630" cy="4391130"/>
            <a:chOff x="775792" y="53314613"/>
            <a:chExt cx="4237432" cy="4441686"/>
          </a:xfrm>
        </xdr:grpSpPr>
        <xdr:grpSp>
          <xdr:nvGrpSpPr>
            <xdr:cNvPr id="9" name="Group 8">
              <a:extLst>
                <a:ext uri="{FF2B5EF4-FFF2-40B4-BE49-F238E27FC236}">
                  <a16:creationId xmlns:a16="http://schemas.microsoft.com/office/drawing/2014/main" id="{00000000-0008-0000-0000-000009000000}"/>
                </a:ext>
              </a:extLst>
            </xdr:cNvPr>
            <xdr:cNvGrpSpPr/>
          </xdr:nvGrpSpPr>
          <xdr:grpSpPr>
            <a:xfrm>
              <a:off x="775792" y="53314613"/>
              <a:ext cx="4237432" cy="4441686"/>
              <a:chOff x="907677" y="52846423"/>
              <a:chExt cx="4239630" cy="4393328"/>
            </a:xfrm>
          </xdr:grpSpPr>
          <xdr:grpSp>
            <xdr:nvGrpSpPr>
              <xdr:cNvPr id="13" name="Group 12">
                <a:extLst>
                  <a:ext uri="{FF2B5EF4-FFF2-40B4-BE49-F238E27FC236}">
                    <a16:creationId xmlns:a16="http://schemas.microsoft.com/office/drawing/2014/main" id="{00000000-0008-0000-0000-00000D000000}"/>
                  </a:ext>
                </a:extLst>
              </xdr:cNvPr>
              <xdr:cNvGrpSpPr/>
            </xdr:nvGrpSpPr>
            <xdr:grpSpPr>
              <a:xfrm>
                <a:off x="907677" y="52846423"/>
                <a:ext cx="4239630" cy="4393328"/>
                <a:chOff x="0" y="3809525"/>
                <a:chExt cx="4245119" cy="4681326"/>
              </a:xfrm>
            </xdr:grpSpPr>
            <xdr:grpSp>
              <xdr:nvGrpSpPr>
                <xdr:cNvPr id="14" name="Group 13">
                  <a:extLst>
                    <a:ext uri="{FF2B5EF4-FFF2-40B4-BE49-F238E27FC236}">
                      <a16:creationId xmlns:a16="http://schemas.microsoft.com/office/drawing/2014/main" id="{00000000-0008-0000-0000-00000E000000}"/>
                    </a:ext>
                  </a:extLst>
                </xdr:cNvPr>
                <xdr:cNvGrpSpPr/>
              </xdr:nvGrpSpPr>
              <xdr:grpSpPr>
                <a:xfrm>
                  <a:off x="0" y="3809525"/>
                  <a:ext cx="4245119" cy="4681326"/>
                  <a:chOff x="0" y="3809525"/>
                  <a:chExt cx="4245119" cy="4681326"/>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a:stretch>
                    <a:fillRect/>
                  </a:stretch>
                </xdr:blipFill>
                <xdr:spPr>
                  <a:xfrm>
                    <a:off x="0" y="3809525"/>
                    <a:ext cx="4245119" cy="4681326"/>
                  </a:xfrm>
                  <a:prstGeom prst="rect">
                    <a:avLst/>
                  </a:prstGeom>
                  <a:ln w="3175">
                    <a:solidFill>
                      <a:schemeClr val="tx1"/>
                    </a:solidFill>
                  </a:ln>
                </xdr:spPr>
              </xdr:pic>
              <xdr:sp macro="" textlink="">
                <xdr:nvSpPr>
                  <xdr:cNvPr id="18" name="Freeform 17">
                    <a:extLst>
                      <a:ext uri="{FF2B5EF4-FFF2-40B4-BE49-F238E27FC236}">
                        <a16:creationId xmlns:a16="http://schemas.microsoft.com/office/drawing/2014/main" id="{00000000-0008-0000-0000-000012000000}"/>
                      </a:ext>
                    </a:extLst>
                  </xdr:cNvPr>
                  <xdr:cNvSpPr/>
                </xdr:nvSpPr>
                <xdr:spPr>
                  <a:xfrm rot="21361056">
                    <a:off x="2465941" y="4398471"/>
                    <a:ext cx="425565" cy="301721"/>
                  </a:xfrm>
                  <a:custGeom>
                    <a:avLst/>
                    <a:gdLst>
                      <a:gd name="connsiteX0" fmla="*/ 0 w 419100"/>
                      <a:gd name="connsiteY0" fmla="*/ 190500 h 273050"/>
                      <a:gd name="connsiteX1" fmla="*/ 393700 w 419100"/>
                      <a:gd name="connsiteY1" fmla="*/ 0 h 273050"/>
                      <a:gd name="connsiteX2" fmla="*/ 419100 w 419100"/>
                      <a:gd name="connsiteY2" fmla="*/ 44450 h 273050"/>
                      <a:gd name="connsiteX3" fmla="*/ 247650 w 419100"/>
                      <a:gd name="connsiteY3" fmla="*/ 139700 h 273050"/>
                      <a:gd name="connsiteX4" fmla="*/ 260350 w 419100"/>
                      <a:gd name="connsiteY4" fmla="*/ 190500 h 273050"/>
                      <a:gd name="connsiteX5" fmla="*/ 57150 w 419100"/>
                      <a:gd name="connsiteY5" fmla="*/ 273050 h 273050"/>
                      <a:gd name="connsiteX6" fmla="*/ 0 w 419100"/>
                      <a:gd name="connsiteY6" fmla="*/ 190500 h 273050"/>
                      <a:gd name="connsiteX0" fmla="*/ 0 w 419100"/>
                      <a:gd name="connsiteY0" fmla="*/ 190500 h 294430"/>
                      <a:gd name="connsiteX1" fmla="*/ 393700 w 419100"/>
                      <a:gd name="connsiteY1" fmla="*/ 0 h 294430"/>
                      <a:gd name="connsiteX2" fmla="*/ 419100 w 419100"/>
                      <a:gd name="connsiteY2" fmla="*/ 44450 h 294430"/>
                      <a:gd name="connsiteX3" fmla="*/ 247650 w 419100"/>
                      <a:gd name="connsiteY3" fmla="*/ 139700 h 294430"/>
                      <a:gd name="connsiteX4" fmla="*/ 260350 w 419100"/>
                      <a:gd name="connsiteY4" fmla="*/ 190500 h 294430"/>
                      <a:gd name="connsiteX5" fmla="*/ 55662 w 419100"/>
                      <a:gd name="connsiteY5" fmla="*/ 294430 h 294430"/>
                      <a:gd name="connsiteX6" fmla="*/ 0 w 419100"/>
                      <a:gd name="connsiteY6" fmla="*/ 190500 h 294430"/>
                      <a:gd name="connsiteX0" fmla="*/ 0 w 425565"/>
                      <a:gd name="connsiteY0" fmla="*/ 190500 h 294430"/>
                      <a:gd name="connsiteX1" fmla="*/ 393700 w 425565"/>
                      <a:gd name="connsiteY1" fmla="*/ 0 h 294430"/>
                      <a:gd name="connsiteX2" fmla="*/ 425565 w 425565"/>
                      <a:gd name="connsiteY2" fmla="*/ 54448 h 294430"/>
                      <a:gd name="connsiteX3" fmla="*/ 247650 w 425565"/>
                      <a:gd name="connsiteY3" fmla="*/ 139700 h 294430"/>
                      <a:gd name="connsiteX4" fmla="*/ 260350 w 425565"/>
                      <a:gd name="connsiteY4" fmla="*/ 190500 h 294430"/>
                      <a:gd name="connsiteX5" fmla="*/ 55662 w 425565"/>
                      <a:gd name="connsiteY5" fmla="*/ 294430 h 294430"/>
                      <a:gd name="connsiteX6" fmla="*/ 0 w 425565"/>
                      <a:gd name="connsiteY6" fmla="*/ 190500 h 294430"/>
                      <a:gd name="connsiteX0" fmla="*/ 0 w 425565"/>
                      <a:gd name="connsiteY0" fmla="*/ 190500 h 294430"/>
                      <a:gd name="connsiteX1" fmla="*/ 393700 w 425565"/>
                      <a:gd name="connsiteY1" fmla="*/ 0 h 294430"/>
                      <a:gd name="connsiteX2" fmla="*/ 425565 w 425565"/>
                      <a:gd name="connsiteY2" fmla="*/ 54448 h 294430"/>
                      <a:gd name="connsiteX3" fmla="*/ 247650 w 425565"/>
                      <a:gd name="connsiteY3" fmla="*/ 139700 h 294430"/>
                      <a:gd name="connsiteX4" fmla="*/ 260350 w 425565"/>
                      <a:gd name="connsiteY4" fmla="*/ 190500 h 294430"/>
                      <a:gd name="connsiteX5" fmla="*/ 55662 w 425565"/>
                      <a:gd name="connsiteY5" fmla="*/ 294430 h 294430"/>
                      <a:gd name="connsiteX6" fmla="*/ 0 w 425565"/>
                      <a:gd name="connsiteY6" fmla="*/ 190500 h 294430"/>
                      <a:gd name="connsiteX0" fmla="*/ 0 w 425565"/>
                      <a:gd name="connsiteY0" fmla="*/ 190500 h 294430"/>
                      <a:gd name="connsiteX1" fmla="*/ 393700 w 425565"/>
                      <a:gd name="connsiteY1" fmla="*/ 0 h 294430"/>
                      <a:gd name="connsiteX2" fmla="*/ 425565 w 425565"/>
                      <a:gd name="connsiteY2" fmla="*/ 54448 h 294430"/>
                      <a:gd name="connsiteX3" fmla="*/ 247650 w 425565"/>
                      <a:gd name="connsiteY3" fmla="*/ 139700 h 294430"/>
                      <a:gd name="connsiteX4" fmla="*/ 270181 w 425565"/>
                      <a:gd name="connsiteY4" fmla="*/ 186410 h 294430"/>
                      <a:gd name="connsiteX5" fmla="*/ 55662 w 425565"/>
                      <a:gd name="connsiteY5" fmla="*/ 294430 h 294430"/>
                      <a:gd name="connsiteX6" fmla="*/ 0 w 425565"/>
                      <a:gd name="connsiteY6" fmla="*/ 190500 h 294430"/>
                      <a:gd name="connsiteX0" fmla="*/ 0 w 425565"/>
                      <a:gd name="connsiteY0" fmla="*/ 197791 h 301721"/>
                      <a:gd name="connsiteX1" fmla="*/ 391821 w 425565"/>
                      <a:gd name="connsiteY1" fmla="*/ 0 h 301721"/>
                      <a:gd name="connsiteX2" fmla="*/ 425565 w 425565"/>
                      <a:gd name="connsiteY2" fmla="*/ 61739 h 301721"/>
                      <a:gd name="connsiteX3" fmla="*/ 247650 w 425565"/>
                      <a:gd name="connsiteY3" fmla="*/ 146991 h 301721"/>
                      <a:gd name="connsiteX4" fmla="*/ 270181 w 425565"/>
                      <a:gd name="connsiteY4" fmla="*/ 193701 h 301721"/>
                      <a:gd name="connsiteX5" fmla="*/ 55662 w 425565"/>
                      <a:gd name="connsiteY5" fmla="*/ 301721 h 301721"/>
                      <a:gd name="connsiteX6" fmla="*/ 0 w 425565"/>
                      <a:gd name="connsiteY6" fmla="*/ 197791 h 3017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25565" h="301721">
                        <a:moveTo>
                          <a:pt x="0" y="197791"/>
                        </a:moveTo>
                        <a:lnTo>
                          <a:pt x="391821" y="0"/>
                        </a:lnTo>
                        <a:lnTo>
                          <a:pt x="425565" y="61739"/>
                        </a:lnTo>
                        <a:lnTo>
                          <a:pt x="247650" y="146991"/>
                        </a:lnTo>
                        <a:lnTo>
                          <a:pt x="270181" y="193701"/>
                        </a:lnTo>
                        <a:lnTo>
                          <a:pt x="55662" y="301721"/>
                        </a:lnTo>
                        <a:lnTo>
                          <a:pt x="0" y="197791"/>
                        </a:lnTo>
                        <a:close/>
                      </a:path>
                    </a:pathLst>
                  </a:cu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Freeform 18">
                    <a:extLst>
                      <a:ext uri="{FF2B5EF4-FFF2-40B4-BE49-F238E27FC236}">
                        <a16:creationId xmlns:a16="http://schemas.microsoft.com/office/drawing/2014/main" id="{00000000-0008-0000-0000-000013000000}"/>
                      </a:ext>
                    </a:extLst>
                  </xdr:cNvPr>
                  <xdr:cNvSpPr/>
                </xdr:nvSpPr>
                <xdr:spPr>
                  <a:xfrm>
                    <a:off x="2751210" y="4482205"/>
                    <a:ext cx="225425" cy="330200"/>
                  </a:xfrm>
                  <a:custGeom>
                    <a:avLst/>
                    <a:gdLst>
                      <a:gd name="connsiteX0" fmla="*/ 0 w 225425"/>
                      <a:gd name="connsiteY0" fmla="*/ 107950 h 320675"/>
                      <a:gd name="connsiteX1" fmla="*/ 44450 w 225425"/>
                      <a:gd name="connsiteY1" fmla="*/ 82550 h 320675"/>
                      <a:gd name="connsiteX2" fmla="*/ 22225 w 225425"/>
                      <a:gd name="connsiteY2" fmla="*/ 34925 h 320675"/>
                      <a:gd name="connsiteX3" fmla="*/ 79375 w 225425"/>
                      <a:gd name="connsiteY3" fmla="*/ 0 h 320675"/>
                      <a:gd name="connsiteX4" fmla="*/ 225425 w 225425"/>
                      <a:gd name="connsiteY4" fmla="*/ 276225 h 320675"/>
                      <a:gd name="connsiteX5" fmla="*/ 130175 w 225425"/>
                      <a:gd name="connsiteY5" fmla="*/ 320675 h 320675"/>
                      <a:gd name="connsiteX6" fmla="*/ 0 w 225425"/>
                      <a:gd name="connsiteY6" fmla="*/ 107950 h 320675"/>
                      <a:gd name="connsiteX0" fmla="*/ 0 w 225425"/>
                      <a:gd name="connsiteY0" fmla="*/ 107950 h 330200"/>
                      <a:gd name="connsiteX1" fmla="*/ 44450 w 225425"/>
                      <a:gd name="connsiteY1" fmla="*/ 82550 h 330200"/>
                      <a:gd name="connsiteX2" fmla="*/ 22225 w 225425"/>
                      <a:gd name="connsiteY2" fmla="*/ 34925 h 330200"/>
                      <a:gd name="connsiteX3" fmla="*/ 79375 w 225425"/>
                      <a:gd name="connsiteY3" fmla="*/ 0 h 330200"/>
                      <a:gd name="connsiteX4" fmla="*/ 225425 w 225425"/>
                      <a:gd name="connsiteY4" fmla="*/ 276225 h 330200"/>
                      <a:gd name="connsiteX5" fmla="*/ 120650 w 225425"/>
                      <a:gd name="connsiteY5" fmla="*/ 330200 h 330200"/>
                      <a:gd name="connsiteX6" fmla="*/ 0 w 225425"/>
                      <a:gd name="connsiteY6" fmla="*/ 107950 h 33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425" h="330200">
                        <a:moveTo>
                          <a:pt x="0" y="107950"/>
                        </a:moveTo>
                        <a:lnTo>
                          <a:pt x="44450" y="82550"/>
                        </a:lnTo>
                        <a:lnTo>
                          <a:pt x="22225" y="34925"/>
                        </a:lnTo>
                        <a:lnTo>
                          <a:pt x="79375" y="0"/>
                        </a:lnTo>
                        <a:lnTo>
                          <a:pt x="225425" y="276225"/>
                        </a:lnTo>
                        <a:lnTo>
                          <a:pt x="120650" y="330200"/>
                        </a:lnTo>
                        <a:lnTo>
                          <a:pt x="0" y="107950"/>
                        </a:lnTo>
                        <a:close/>
                      </a:path>
                    </a:pathLst>
                  </a:cu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15" name="TextBox 8">
                  <a:extLst>
                    <a:ext uri="{FF2B5EF4-FFF2-40B4-BE49-F238E27FC236}">
                      <a16:creationId xmlns:a16="http://schemas.microsoft.com/office/drawing/2014/main" id="{00000000-0008-0000-0000-00000F000000}"/>
                    </a:ext>
                  </a:extLst>
                </xdr:cNvPr>
                <xdr:cNvSpPr txBox="1"/>
              </xdr:nvSpPr>
              <xdr:spPr>
                <a:xfrm rot="19955816">
                  <a:off x="1870751" y="3989350"/>
                  <a:ext cx="1194041" cy="498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800" b="1">
                      <a:solidFill>
                        <a:srgbClr val="0000FF"/>
                      </a:solidFill>
                    </a:rPr>
                    <a:t>Sector O / Cluster 15.07 (Building Type RBY2)</a:t>
                  </a:r>
                  <a:r>
                    <a:rPr lang="pt-BR" sz="800" b="1" baseline="0">
                      <a:solidFill>
                        <a:srgbClr val="0000FF"/>
                      </a:solidFill>
                    </a:rPr>
                    <a:t> </a:t>
                  </a:r>
                  <a:r>
                    <a:rPr lang="pt-BR" sz="800" b="1">
                      <a:solidFill>
                        <a:srgbClr val="0000FF"/>
                      </a:solidFill>
                    </a:rPr>
                    <a:t>Wing E</a:t>
                  </a:r>
                  <a:endParaRPr lang="en-IN" sz="800" b="1">
                    <a:solidFill>
                      <a:srgbClr val="0000FF"/>
                    </a:solidFill>
                  </a:endParaRPr>
                </a:p>
              </xdr:txBody>
            </xdr:sp>
            <xdr:sp macro="" textlink="">
              <xdr:nvSpPr>
                <xdr:cNvPr id="16" name="TextBox 19">
                  <a:extLst>
                    <a:ext uri="{FF2B5EF4-FFF2-40B4-BE49-F238E27FC236}">
                      <a16:creationId xmlns:a16="http://schemas.microsoft.com/office/drawing/2014/main" id="{00000000-0008-0000-0000-000010000000}"/>
                    </a:ext>
                  </a:extLst>
                </xdr:cNvPr>
                <xdr:cNvSpPr txBox="1"/>
              </xdr:nvSpPr>
              <xdr:spPr>
                <a:xfrm rot="19598980">
                  <a:off x="2771077" y="4109612"/>
                  <a:ext cx="1211549" cy="49869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800" b="1">
                      <a:solidFill>
                        <a:srgbClr val="CC0000"/>
                      </a:solidFill>
                    </a:rPr>
                    <a:t>Sector O / Cluster 15.07 (Building Type RBY2)                 Wing D</a:t>
                  </a:r>
                  <a:endParaRPr lang="en-IN" sz="800" b="1">
                    <a:solidFill>
                      <a:srgbClr val="CC0000"/>
                    </a:solidFill>
                  </a:endParaRPr>
                </a:p>
              </xdr:txBody>
            </xdr:sp>
          </xdr:grpSp>
          <xdr:sp macro="" textlink="">
            <xdr:nvSpPr>
              <xdr:cNvPr id="3" name="Freeform 2">
                <a:extLst>
                  <a:ext uri="{FF2B5EF4-FFF2-40B4-BE49-F238E27FC236}">
                    <a16:creationId xmlns:a16="http://schemas.microsoft.com/office/drawing/2014/main" id="{00000000-0008-0000-0000-000003000000}"/>
                  </a:ext>
                </a:extLst>
              </xdr:cNvPr>
              <xdr:cNvSpPr/>
            </xdr:nvSpPr>
            <xdr:spPr>
              <a:xfrm>
                <a:off x="3292709" y="53306494"/>
                <a:ext cx="659423" cy="483578"/>
              </a:xfrm>
              <a:custGeom>
                <a:avLst/>
                <a:gdLst>
                  <a:gd name="connsiteX0" fmla="*/ 0 w 659423"/>
                  <a:gd name="connsiteY0" fmla="*/ 241789 h 520212"/>
                  <a:gd name="connsiteX1" fmla="*/ 483577 w 659423"/>
                  <a:gd name="connsiteY1" fmla="*/ 0 h 520212"/>
                  <a:gd name="connsiteX2" fmla="*/ 659423 w 659423"/>
                  <a:gd name="connsiteY2" fmla="*/ 461596 h 520212"/>
                  <a:gd name="connsiteX3" fmla="*/ 512885 w 659423"/>
                  <a:gd name="connsiteY3" fmla="*/ 520212 h 520212"/>
                  <a:gd name="connsiteX4" fmla="*/ 153866 w 659423"/>
                  <a:gd name="connsiteY4" fmla="*/ 483577 h 520212"/>
                  <a:gd name="connsiteX5" fmla="*/ 0 w 659423"/>
                  <a:gd name="connsiteY5" fmla="*/ 241789 h 5202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9423" h="520212">
                    <a:moveTo>
                      <a:pt x="0" y="241789"/>
                    </a:moveTo>
                    <a:lnTo>
                      <a:pt x="483577" y="0"/>
                    </a:lnTo>
                    <a:lnTo>
                      <a:pt x="659423" y="461596"/>
                    </a:lnTo>
                    <a:lnTo>
                      <a:pt x="512885" y="520212"/>
                    </a:lnTo>
                    <a:lnTo>
                      <a:pt x="153866" y="483577"/>
                    </a:lnTo>
                    <a:lnTo>
                      <a:pt x="0" y="241789"/>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495786" y="53288712"/>
                <a:ext cx="1090618" cy="2098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900" b="1"/>
                  <a:t>Crown Dombivli 3</a:t>
                </a:r>
              </a:p>
            </xdr:txBody>
          </xdr:sp>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3921327" y="54805386"/>
                <a:ext cx="1024346" cy="19469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900" b="0"/>
                  <a:t>Crown Dombivli</a:t>
                </a:r>
                <a:r>
                  <a:rPr lang="en-IN" sz="900" b="0" baseline="0"/>
                  <a:t> 1</a:t>
                </a:r>
                <a:endParaRPr lang="en-IN" sz="900" b="0"/>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rot="19351451">
                <a:off x="2019542" y="54504119"/>
                <a:ext cx="1076712" cy="19269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900" b="0"/>
                  <a:t>Crown Dombivli </a:t>
                </a:r>
                <a:r>
                  <a:rPr lang="en-IN" sz="900" b="0" baseline="0"/>
                  <a:t>2</a:t>
                </a:r>
                <a:endParaRPr lang="en-IN" sz="900" b="0"/>
              </a:p>
            </xdr:txBody>
          </xdr:sp>
        </xdr:grpSp>
        <xdr:sp macro="" textlink="">
          <xdr:nvSpPr>
            <xdr:cNvPr id="11" name="Rectangle 10">
              <a:extLst>
                <a:ext uri="{FF2B5EF4-FFF2-40B4-BE49-F238E27FC236}">
                  <a16:creationId xmlns:a16="http://schemas.microsoft.com/office/drawing/2014/main" id="{00000000-0008-0000-0000-00000B000000}"/>
                </a:ext>
              </a:extLst>
            </xdr:cNvPr>
            <xdr:cNvSpPr/>
          </xdr:nvSpPr>
          <xdr:spPr>
            <a:xfrm>
              <a:off x="3276600" y="55673625"/>
              <a:ext cx="454269" cy="145146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ln w="19050">
                  <a:solidFill>
                    <a:schemeClr val="tx1"/>
                  </a:solidFill>
                </a:ln>
              </a:endParaRPr>
            </a:p>
          </xdr:txBody>
        </xdr:sp>
        <xdr:sp macro="" textlink="">
          <xdr:nvSpPr>
            <xdr:cNvPr id="36" name="Rectangle 35">
              <a:extLst>
                <a:ext uri="{FF2B5EF4-FFF2-40B4-BE49-F238E27FC236}">
                  <a16:creationId xmlns:a16="http://schemas.microsoft.com/office/drawing/2014/main" id="{00000000-0008-0000-0000-000024000000}"/>
                </a:ext>
              </a:extLst>
            </xdr:cNvPr>
            <xdr:cNvSpPr/>
          </xdr:nvSpPr>
          <xdr:spPr>
            <a:xfrm rot="18222808">
              <a:off x="2865430" y="55022887"/>
              <a:ext cx="1031200" cy="24764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43" name="Straight Arrow Connector 42">
              <a:extLst>
                <a:ext uri="{FF2B5EF4-FFF2-40B4-BE49-F238E27FC236}">
                  <a16:creationId xmlns:a16="http://schemas.microsoft.com/office/drawing/2014/main" id="{00000000-0008-0000-0000-00002B000000}"/>
                </a:ext>
              </a:extLst>
            </xdr:cNvPr>
            <xdr:cNvCxnSpPr>
              <a:stCxn id="3" idx="0"/>
            </xdr:cNvCxnSpPr>
          </xdr:nvCxnSpPr>
          <xdr:spPr>
            <a:xfrm flipH="1" flipV="1">
              <a:off x="2442063" y="53876322"/>
              <a:ext cx="718038" cy="1317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a:extLst>
                <a:ext uri="{FF2B5EF4-FFF2-40B4-BE49-F238E27FC236}">
                  <a16:creationId xmlns:a16="http://schemas.microsoft.com/office/drawing/2014/main" id="{00000000-0008-0000-0000-00002C000000}"/>
                </a:ext>
              </a:extLst>
            </xdr:cNvPr>
            <xdr:cNvCxnSpPr/>
          </xdr:nvCxnSpPr>
          <xdr:spPr>
            <a:xfrm flipH="1">
              <a:off x="2842113" y="54444167"/>
              <a:ext cx="402983" cy="30260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a:extLst>
                <a:ext uri="{FF2B5EF4-FFF2-40B4-BE49-F238E27FC236}">
                  <a16:creationId xmlns:a16="http://schemas.microsoft.com/office/drawing/2014/main" id="{00000000-0008-0000-0000-000030000000}"/>
                </a:ext>
              </a:extLst>
            </xdr:cNvPr>
            <xdr:cNvCxnSpPr>
              <a:stCxn id="36" idx="0"/>
            </xdr:cNvCxnSpPr>
          </xdr:nvCxnSpPr>
          <xdr:spPr>
            <a:xfrm flipH="1" flipV="1">
              <a:off x="2834789" y="54746771"/>
              <a:ext cx="443244" cy="330384"/>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a:extLst>
                <a:ext uri="{FF2B5EF4-FFF2-40B4-BE49-F238E27FC236}">
                  <a16:creationId xmlns:a16="http://schemas.microsoft.com/office/drawing/2014/main" id="{00000000-0008-0000-0000-000036000000}"/>
                </a:ext>
              </a:extLst>
            </xdr:cNvPr>
            <xdr:cNvCxnSpPr>
              <a:endCxn id="29" idx="2"/>
            </xdr:cNvCxnSpPr>
          </xdr:nvCxnSpPr>
          <xdr:spPr>
            <a:xfrm flipV="1">
              <a:off x="3752117" y="55491973"/>
              <a:ext cx="547671" cy="2004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35" name="Rectangle 34">
            <a:extLst>
              <a:ext uri="{FF2B5EF4-FFF2-40B4-BE49-F238E27FC236}">
                <a16:creationId xmlns:a16="http://schemas.microsoft.com/office/drawing/2014/main" id="{00000000-0008-0000-0000-000023000000}"/>
              </a:ext>
            </a:extLst>
          </xdr:cNvPr>
          <xdr:cNvSpPr/>
        </xdr:nvSpPr>
        <xdr:spPr>
          <a:xfrm rot="639657">
            <a:off x="3105400" y="53870291"/>
            <a:ext cx="928640" cy="17576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189540</xdr:colOff>
      <xdr:row>325</xdr:row>
      <xdr:rowOff>180581</xdr:rowOff>
    </xdr:from>
    <xdr:to>
      <xdr:col>7</xdr:col>
      <xdr:colOff>373085</xdr:colOff>
      <xdr:row>348</xdr:row>
      <xdr:rowOff>50874</xdr:rowOff>
    </xdr:to>
    <xdr:grpSp>
      <xdr:nvGrpSpPr>
        <xdr:cNvPr id="73" name="Group 72">
          <a:extLst>
            <a:ext uri="{FF2B5EF4-FFF2-40B4-BE49-F238E27FC236}">
              <a16:creationId xmlns:a16="http://schemas.microsoft.com/office/drawing/2014/main" id="{00000000-0008-0000-0000-000049000000}"/>
            </a:ext>
          </a:extLst>
        </xdr:cNvPr>
        <xdr:cNvGrpSpPr/>
      </xdr:nvGrpSpPr>
      <xdr:grpSpPr>
        <a:xfrm>
          <a:off x="189540" y="65506841"/>
          <a:ext cx="5944265" cy="4376179"/>
          <a:chOff x="184984" y="61621728"/>
          <a:chExt cx="5766023" cy="4442293"/>
        </a:xfrm>
      </xdr:grpSpPr>
      <xdr:grpSp>
        <xdr:nvGrpSpPr>
          <xdr:cNvPr id="65" name="Group 64">
            <a:extLst>
              <a:ext uri="{FF2B5EF4-FFF2-40B4-BE49-F238E27FC236}">
                <a16:creationId xmlns:a16="http://schemas.microsoft.com/office/drawing/2014/main" id="{00000000-0008-0000-0000-000041000000}"/>
              </a:ext>
            </a:extLst>
          </xdr:cNvPr>
          <xdr:cNvGrpSpPr/>
        </xdr:nvGrpSpPr>
        <xdr:grpSpPr>
          <a:xfrm>
            <a:off x="184984" y="61621728"/>
            <a:ext cx="5766023" cy="4442293"/>
            <a:chOff x="155887" y="62440058"/>
            <a:chExt cx="5764074" cy="4509528"/>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6"/>
            <a:srcRect t="1426" r="9952" b="-1"/>
            <a:stretch/>
          </xdr:blipFill>
          <xdr:spPr>
            <a:xfrm>
              <a:off x="155887" y="62440058"/>
              <a:ext cx="5764074" cy="4509528"/>
            </a:xfrm>
            <a:prstGeom prst="rect">
              <a:avLst/>
            </a:prstGeom>
            <a:ln w="3175">
              <a:solidFill>
                <a:schemeClr val="tx1"/>
              </a:solidFill>
            </a:ln>
          </xdr:spPr>
        </xdr:pic>
        <xdr:sp macro="" textlink="">
          <xdr:nvSpPr>
            <xdr:cNvPr id="59" name="Rectangle 58">
              <a:extLst>
                <a:ext uri="{FF2B5EF4-FFF2-40B4-BE49-F238E27FC236}">
                  <a16:creationId xmlns:a16="http://schemas.microsoft.com/office/drawing/2014/main" id="{00000000-0008-0000-0000-00003B000000}"/>
                </a:ext>
              </a:extLst>
            </xdr:cNvPr>
            <xdr:cNvSpPr/>
          </xdr:nvSpPr>
          <xdr:spPr>
            <a:xfrm rot="18917702">
              <a:off x="3016778" y="64989159"/>
              <a:ext cx="168815" cy="371726"/>
            </a:xfrm>
            <a:prstGeom prst="rect">
              <a:avLst/>
            </a:prstGeom>
            <a:no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nvGrpSpPr>
            <xdr:cNvPr id="63" name="Group 62">
              <a:extLst>
                <a:ext uri="{FF2B5EF4-FFF2-40B4-BE49-F238E27FC236}">
                  <a16:creationId xmlns:a16="http://schemas.microsoft.com/office/drawing/2014/main" id="{00000000-0008-0000-0000-00003F000000}"/>
                </a:ext>
              </a:extLst>
            </xdr:cNvPr>
            <xdr:cNvGrpSpPr/>
          </xdr:nvGrpSpPr>
          <xdr:grpSpPr>
            <a:xfrm>
              <a:off x="1559794" y="64573208"/>
              <a:ext cx="2774035" cy="666712"/>
              <a:chOff x="1568503" y="63791023"/>
              <a:chExt cx="2752593" cy="655907"/>
            </a:xfrm>
          </xdr:grpSpPr>
          <xdr:sp macro="" textlink="">
            <xdr:nvSpPr>
              <xdr:cNvPr id="56" name="TextBox 55">
                <a:extLst>
                  <a:ext uri="{FF2B5EF4-FFF2-40B4-BE49-F238E27FC236}">
                    <a16:creationId xmlns:a16="http://schemas.microsoft.com/office/drawing/2014/main" id="{00000000-0008-0000-0000-000038000000}"/>
                  </a:ext>
                </a:extLst>
              </xdr:cNvPr>
              <xdr:cNvSpPr txBox="1"/>
            </xdr:nvSpPr>
            <xdr:spPr>
              <a:xfrm rot="20281345">
                <a:off x="1568503" y="63791023"/>
                <a:ext cx="1021547" cy="20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FF00"/>
                    </a:solidFill>
                  </a:rPr>
                  <a:t>Crown Dombivli 3</a:t>
                </a:r>
              </a:p>
            </xdr:txBody>
          </xdr:sp>
          <xdr:sp macro="" textlink="">
            <xdr:nvSpPr>
              <xdr:cNvPr id="57" name="Rectangle 56">
                <a:extLst>
                  <a:ext uri="{FF2B5EF4-FFF2-40B4-BE49-F238E27FC236}">
                    <a16:creationId xmlns:a16="http://schemas.microsoft.com/office/drawing/2014/main" id="{00000000-0008-0000-0000-000039000000}"/>
                  </a:ext>
                </a:extLst>
              </xdr:cNvPr>
              <xdr:cNvSpPr/>
            </xdr:nvSpPr>
            <xdr:spPr>
              <a:xfrm rot="20601639">
                <a:off x="2524023" y="63829457"/>
                <a:ext cx="325775" cy="99613"/>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8" name="TextBox 57">
                <a:extLst>
                  <a:ext uri="{FF2B5EF4-FFF2-40B4-BE49-F238E27FC236}">
                    <a16:creationId xmlns:a16="http://schemas.microsoft.com/office/drawing/2014/main" id="{00000000-0008-0000-0000-00003A000000}"/>
                  </a:ext>
                </a:extLst>
              </xdr:cNvPr>
              <xdr:cNvSpPr txBox="1"/>
            </xdr:nvSpPr>
            <xdr:spPr>
              <a:xfrm rot="20647790">
                <a:off x="1752012" y="64067376"/>
                <a:ext cx="1086216" cy="20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00B0F0"/>
                    </a:solidFill>
                  </a:rPr>
                  <a:t>Crown Dombivli 2</a:t>
                </a:r>
              </a:p>
            </xdr:txBody>
          </xdr:sp>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3234880" y="64245917"/>
                <a:ext cx="1086216" cy="20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chemeClr val="bg1"/>
                    </a:solidFill>
                  </a:rPr>
                  <a:t>Crown Dombivli 1</a:t>
                </a:r>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rot="16894389">
                <a:off x="2553742" y="64121060"/>
                <a:ext cx="394305" cy="78952"/>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sp macro="" textlink="">
        <xdr:nvSpPr>
          <xdr:cNvPr id="72" name="Freeform 71">
            <a:extLst>
              <a:ext uri="{FF2B5EF4-FFF2-40B4-BE49-F238E27FC236}">
                <a16:creationId xmlns:a16="http://schemas.microsoft.com/office/drawing/2014/main" id="{00000000-0008-0000-0000-000048000000}"/>
              </a:ext>
            </a:extLst>
          </xdr:cNvPr>
          <xdr:cNvSpPr/>
        </xdr:nvSpPr>
        <xdr:spPr>
          <a:xfrm rot="20400724">
            <a:off x="2564834" y="63470049"/>
            <a:ext cx="336854" cy="247642"/>
          </a:xfrm>
          <a:custGeom>
            <a:avLst/>
            <a:gdLst>
              <a:gd name="connsiteX0" fmla="*/ 0 w 659423"/>
              <a:gd name="connsiteY0" fmla="*/ 241789 h 520212"/>
              <a:gd name="connsiteX1" fmla="*/ 483577 w 659423"/>
              <a:gd name="connsiteY1" fmla="*/ 0 h 520212"/>
              <a:gd name="connsiteX2" fmla="*/ 659423 w 659423"/>
              <a:gd name="connsiteY2" fmla="*/ 461596 h 520212"/>
              <a:gd name="connsiteX3" fmla="*/ 512885 w 659423"/>
              <a:gd name="connsiteY3" fmla="*/ 520212 h 520212"/>
              <a:gd name="connsiteX4" fmla="*/ 153866 w 659423"/>
              <a:gd name="connsiteY4" fmla="*/ 483577 h 520212"/>
              <a:gd name="connsiteX5" fmla="*/ 0 w 659423"/>
              <a:gd name="connsiteY5" fmla="*/ 241789 h 5202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59423" h="520212">
                <a:moveTo>
                  <a:pt x="0" y="241789"/>
                </a:moveTo>
                <a:lnTo>
                  <a:pt x="483577" y="0"/>
                </a:lnTo>
                <a:lnTo>
                  <a:pt x="659423" y="461596"/>
                </a:lnTo>
                <a:lnTo>
                  <a:pt x="512885" y="520212"/>
                </a:lnTo>
                <a:lnTo>
                  <a:pt x="153866" y="483577"/>
                </a:lnTo>
                <a:lnTo>
                  <a:pt x="0" y="241789"/>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8</xdr:col>
      <xdr:colOff>834390</xdr:colOff>
      <xdr:row>222</xdr:row>
      <xdr:rowOff>72390</xdr:rowOff>
    </xdr:from>
    <xdr:to>
      <xdr:col>14</xdr:col>
      <xdr:colOff>90791</xdr:colOff>
      <xdr:row>259</xdr:row>
      <xdr:rowOff>126726</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349490" y="44992290"/>
          <a:ext cx="4575161" cy="7384776"/>
          <a:chOff x="895350" y="42449750"/>
          <a:chExt cx="4639931" cy="7337786"/>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895350" y="47627536"/>
            <a:ext cx="2877333"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405265" y="42449750"/>
            <a:ext cx="3791814" cy="504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910218" y="47627536"/>
            <a:ext cx="1625063" cy="2160000"/>
          </a:xfrm>
          <a:prstGeom prst="rect">
            <a:avLst/>
          </a:prstGeom>
          <a:ln>
            <a:solidFill>
              <a:schemeClr val="tx1"/>
            </a:solidFill>
          </a:ln>
        </xdr:spPr>
      </xdr:pic>
    </xdr:grpSp>
    <xdr:clientData/>
  </xdr:twoCellAnchor>
  <xdr:twoCellAnchor>
    <xdr:from>
      <xdr:col>0</xdr:col>
      <xdr:colOff>327660</xdr:colOff>
      <xdr:row>225</xdr:row>
      <xdr:rowOff>7621</xdr:rowOff>
    </xdr:from>
    <xdr:to>
      <xdr:col>7</xdr:col>
      <xdr:colOff>449579</xdr:colOff>
      <xdr:row>263</xdr:row>
      <xdr:rowOff>160021</xdr:rowOff>
    </xdr:to>
    <xdr:grpSp>
      <xdr:nvGrpSpPr>
        <xdr:cNvPr id="2" name="Group 1">
          <a:extLst>
            <a:ext uri="{FF2B5EF4-FFF2-40B4-BE49-F238E27FC236}">
              <a16:creationId xmlns:a16="http://schemas.microsoft.com/office/drawing/2014/main" id="{F64612FA-942D-F105-A503-80D0612868F0}"/>
            </a:ext>
          </a:extLst>
        </xdr:cNvPr>
        <xdr:cNvGrpSpPr/>
      </xdr:nvGrpSpPr>
      <xdr:grpSpPr>
        <a:xfrm>
          <a:off x="327660" y="45521881"/>
          <a:ext cx="5882639" cy="7680960"/>
          <a:chOff x="169239" y="231646"/>
          <a:chExt cx="5929239" cy="8350741"/>
        </a:xfrm>
      </xdr:grpSpPr>
      <xdr:pic>
        <xdr:nvPicPr>
          <xdr:cNvPr id="5" name="Picture 4">
            <a:extLst>
              <a:ext uri="{FF2B5EF4-FFF2-40B4-BE49-F238E27FC236}">
                <a16:creationId xmlns:a16="http://schemas.microsoft.com/office/drawing/2014/main" id="{5FCD6E19-CB75-7F14-98AF-87141692CF0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61208" y="4259019"/>
            <a:ext cx="1888031" cy="2520000"/>
          </a:xfrm>
          <a:prstGeom prst="rect">
            <a:avLst/>
          </a:prstGeom>
          <a:ln>
            <a:solidFill>
              <a:schemeClr val="tx1"/>
            </a:solidFill>
          </a:ln>
        </xdr:spPr>
      </xdr:pic>
      <xdr:pic>
        <xdr:nvPicPr>
          <xdr:cNvPr id="6" name="Picture 5">
            <a:extLst>
              <a:ext uri="{FF2B5EF4-FFF2-40B4-BE49-F238E27FC236}">
                <a16:creationId xmlns:a16="http://schemas.microsoft.com/office/drawing/2014/main" id="{56D561A0-7C9C-49BE-47CB-1C6C624FA6E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18478" y="4259019"/>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B9AAE917-537C-3DE4-49A0-58294418B0F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9239" y="231646"/>
            <a:ext cx="2880000" cy="3844005"/>
          </a:xfrm>
          <a:prstGeom prst="rect">
            <a:avLst/>
          </a:prstGeom>
          <a:ln>
            <a:solidFill>
              <a:schemeClr val="tx1"/>
            </a:solidFill>
          </a:ln>
        </xdr:spPr>
      </xdr:pic>
      <xdr:pic>
        <xdr:nvPicPr>
          <xdr:cNvPr id="10" name="Picture 9">
            <a:extLst>
              <a:ext uri="{FF2B5EF4-FFF2-40B4-BE49-F238E27FC236}">
                <a16:creationId xmlns:a16="http://schemas.microsoft.com/office/drawing/2014/main" id="{48270FF7-257A-3F86-A62A-8A5B2F234FC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218478" y="231646"/>
            <a:ext cx="2880000" cy="3844005"/>
          </a:xfrm>
          <a:prstGeom prst="rect">
            <a:avLst/>
          </a:prstGeom>
          <a:ln>
            <a:solidFill>
              <a:schemeClr val="tx1"/>
            </a:solidFill>
          </a:ln>
        </xdr:spPr>
      </xdr:pic>
      <xdr:pic>
        <xdr:nvPicPr>
          <xdr:cNvPr id="21" name="Picture 20">
            <a:extLst>
              <a:ext uri="{FF2B5EF4-FFF2-40B4-BE49-F238E27FC236}">
                <a16:creationId xmlns:a16="http://schemas.microsoft.com/office/drawing/2014/main" id="{FA42AB2F-8309-41CA-2776-E135D8E5C14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218478" y="6962387"/>
            <a:ext cx="2158000" cy="1620000"/>
          </a:xfrm>
          <a:prstGeom prst="rect">
            <a:avLst/>
          </a:prstGeom>
          <a:ln>
            <a:solidFill>
              <a:schemeClr val="tx1"/>
            </a:solidFill>
          </a:ln>
        </xdr:spPr>
      </xdr:pic>
      <xdr:pic>
        <xdr:nvPicPr>
          <xdr:cNvPr id="22" name="Picture 21">
            <a:extLst>
              <a:ext uri="{FF2B5EF4-FFF2-40B4-BE49-F238E27FC236}">
                <a16:creationId xmlns:a16="http://schemas.microsoft.com/office/drawing/2014/main" id="{6FF1E2CF-09BA-A03D-6429-6ED246B791E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91239" y="6962387"/>
            <a:ext cx="2158000" cy="1620000"/>
          </a:xfrm>
          <a:prstGeom prst="rect">
            <a:avLst/>
          </a:prstGeom>
          <a:ln>
            <a:solidFill>
              <a:schemeClr val="tx1"/>
            </a:solidFill>
          </a:ln>
        </xdr:spPr>
      </xdr:pic>
      <xdr:sp macro="" textlink="">
        <xdr:nvSpPr>
          <xdr:cNvPr id="23" name="TextBox 18">
            <a:extLst>
              <a:ext uri="{FF2B5EF4-FFF2-40B4-BE49-F238E27FC236}">
                <a16:creationId xmlns:a16="http://schemas.microsoft.com/office/drawing/2014/main" id="{6D71E349-E5A9-40FA-DEBE-CE5A7DD75604}"/>
              </a:ext>
            </a:extLst>
          </xdr:cNvPr>
          <xdr:cNvSpPr txBox="1"/>
        </xdr:nvSpPr>
        <xdr:spPr>
          <a:xfrm>
            <a:off x="3776505" y="409694"/>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E</a:t>
            </a:r>
            <a:endParaRPr lang="en-IN" b="1"/>
          </a:p>
        </xdr:txBody>
      </xdr:sp>
      <xdr:sp macro="" textlink="">
        <xdr:nvSpPr>
          <xdr:cNvPr id="24" name="TextBox 19">
            <a:extLst>
              <a:ext uri="{FF2B5EF4-FFF2-40B4-BE49-F238E27FC236}">
                <a16:creationId xmlns:a16="http://schemas.microsoft.com/office/drawing/2014/main" id="{3EBC7100-514A-AEDC-CF9C-08D20B8992AD}"/>
              </a:ext>
            </a:extLst>
          </xdr:cNvPr>
          <xdr:cNvSpPr txBox="1"/>
        </xdr:nvSpPr>
        <xdr:spPr>
          <a:xfrm>
            <a:off x="600384" y="779026"/>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D</a:t>
            </a:r>
            <a:endParaRPr lang="en-IN" b="1"/>
          </a:p>
        </xdr:txBody>
      </xdr:sp>
      <xdr:sp macro="" textlink="">
        <xdr:nvSpPr>
          <xdr:cNvPr id="25" name="TextBox 20">
            <a:extLst>
              <a:ext uri="{FF2B5EF4-FFF2-40B4-BE49-F238E27FC236}">
                <a16:creationId xmlns:a16="http://schemas.microsoft.com/office/drawing/2014/main" id="{06032BE3-2C2D-5409-6705-AAFAA7368FAD}"/>
              </a:ext>
            </a:extLst>
          </xdr:cNvPr>
          <xdr:cNvSpPr txBox="1"/>
        </xdr:nvSpPr>
        <xdr:spPr>
          <a:xfrm>
            <a:off x="1205954" y="4754880"/>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D</a:t>
            </a:r>
            <a:endParaRPr lang="en-IN" b="1"/>
          </a:p>
        </xdr:txBody>
      </xdr:sp>
      <xdr:sp macro="" textlink="">
        <xdr:nvSpPr>
          <xdr:cNvPr id="26" name="TextBox 21">
            <a:extLst>
              <a:ext uri="{FF2B5EF4-FFF2-40B4-BE49-F238E27FC236}">
                <a16:creationId xmlns:a16="http://schemas.microsoft.com/office/drawing/2014/main" id="{9AFD6FE7-9981-9317-12BD-C158076215B8}"/>
              </a:ext>
            </a:extLst>
          </xdr:cNvPr>
          <xdr:cNvSpPr txBox="1"/>
        </xdr:nvSpPr>
        <xdr:spPr>
          <a:xfrm>
            <a:off x="4217491" y="4754880"/>
            <a:ext cx="84830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E</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312280-macrotech-crown-dombivli-3-by-macrotech-developers-limited-in-khandad" TargetMode="External"/><Relationship Id="rId1" Type="http://schemas.openxmlformats.org/officeDocument/2006/relationships/hyperlink" Target="https://maps.app.goo.gl/QNcjkjxoyykbCKLs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49"/>
  <sheetViews>
    <sheetView tabSelected="1" view="pageBreakPreview" topLeftCell="A230" zoomScaleNormal="100" zoomScaleSheetLayoutView="100" zoomScalePageLayoutView="85" workbookViewId="0">
      <selection activeCell="M207" sqref="L207:M207"/>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8" width="11"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57" t="s">
        <v>156</v>
      </c>
      <c r="B1" s="157"/>
      <c r="C1" s="157"/>
      <c r="D1" s="157"/>
      <c r="E1" s="157"/>
      <c r="F1" s="157"/>
      <c r="G1" s="157"/>
      <c r="H1" s="157"/>
    </row>
    <row r="2" spans="1:26" ht="16.5" customHeight="1" x14ac:dyDescent="0.3">
      <c r="A2" s="158" t="s">
        <v>0</v>
      </c>
      <c r="B2" s="158"/>
      <c r="C2" s="158"/>
      <c r="D2" s="158"/>
      <c r="E2" s="158"/>
      <c r="F2" s="158"/>
      <c r="G2" s="158"/>
      <c r="H2" s="158"/>
    </row>
    <row r="3" spans="1:26" x14ac:dyDescent="0.3">
      <c r="A3" s="130" t="s">
        <v>1</v>
      </c>
      <c r="B3" s="130"/>
      <c r="C3" s="130"/>
      <c r="D3" s="130"/>
      <c r="E3" s="130" t="str">
        <f ca="1">TEXT(TODAY(),"DD/MM/YYYY")</f>
        <v>17/09/2025</v>
      </c>
      <c r="F3" s="130"/>
      <c r="G3" s="130"/>
      <c r="H3" s="130"/>
      <c r="K3" s="49" t="s">
        <v>229</v>
      </c>
      <c r="L3" s="48" t="s">
        <v>227</v>
      </c>
      <c r="M3" s="48" t="s">
        <v>232</v>
      </c>
      <c r="N3" s="48" t="s">
        <v>230</v>
      </c>
      <c r="O3" s="48" t="s">
        <v>231</v>
      </c>
      <c r="P3" s="48" t="s">
        <v>233</v>
      </c>
    </row>
    <row r="4" spans="1:26" ht="15" customHeight="1" x14ac:dyDescent="0.3">
      <c r="A4" s="130" t="s">
        <v>226</v>
      </c>
      <c r="B4" s="130"/>
      <c r="C4" s="130"/>
      <c r="D4" s="130"/>
      <c r="E4" s="130" t="s">
        <v>227</v>
      </c>
      <c r="F4" s="130"/>
      <c r="G4" s="130"/>
      <c r="H4" s="130"/>
      <c r="K4" s="47" t="s">
        <v>228</v>
      </c>
      <c r="L4" s="48" t="s">
        <v>162</v>
      </c>
      <c r="M4" s="48" t="s">
        <v>237</v>
      </c>
      <c r="N4" s="48" t="s">
        <v>239</v>
      </c>
      <c r="O4" s="48" t="s">
        <v>241</v>
      </c>
      <c r="P4" s="48"/>
    </row>
    <row r="5" spans="1:26" ht="15" customHeight="1" x14ac:dyDescent="0.3">
      <c r="A5" s="130" t="s">
        <v>2</v>
      </c>
      <c r="B5" s="130"/>
      <c r="C5" s="130"/>
      <c r="D5" s="130"/>
      <c r="E5" s="130" t="s">
        <v>234</v>
      </c>
      <c r="F5" s="130"/>
      <c r="G5" s="130"/>
      <c r="H5" s="130"/>
      <c r="K5" s="47"/>
      <c r="L5" s="48" t="s">
        <v>234</v>
      </c>
      <c r="M5" s="48" t="s">
        <v>238</v>
      </c>
      <c r="N5" s="48" t="s">
        <v>240</v>
      </c>
      <c r="O5" s="48" t="s">
        <v>242</v>
      </c>
      <c r="P5" s="48"/>
    </row>
    <row r="6" spans="1:26" x14ac:dyDescent="0.3">
      <c r="A6" s="130" t="s">
        <v>3</v>
      </c>
      <c r="B6" s="130"/>
      <c r="C6" s="130"/>
      <c r="D6" s="130"/>
      <c r="E6" s="159">
        <v>45880</v>
      </c>
      <c r="F6" s="130"/>
      <c r="G6" s="130"/>
      <c r="H6" s="130"/>
      <c r="K6" s="47"/>
      <c r="L6" s="48" t="s">
        <v>235</v>
      </c>
      <c r="M6" s="48"/>
      <c r="N6" s="48"/>
      <c r="O6" s="48" t="s">
        <v>243</v>
      </c>
      <c r="P6" s="48"/>
    </row>
    <row r="7" spans="1:26" ht="16.5" customHeight="1" x14ac:dyDescent="0.3">
      <c r="A7" s="130" t="s">
        <v>4</v>
      </c>
      <c r="B7" s="130"/>
      <c r="C7" s="130"/>
      <c r="D7" s="130"/>
      <c r="E7" s="130" t="s">
        <v>295</v>
      </c>
      <c r="F7" s="130"/>
      <c r="G7" s="130"/>
      <c r="H7" s="130"/>
      <c r="K7" s="47"/>
      <c r="L7" s="48" t="s">
        <v>236</v>
      </c>
      <c r="M7" s="48"/>
      <c r="N7" s="48"/>
      <c r="O7" s="48" t="s">
        <v>243</v>
      </c>
      <c r="P7" s="48"/>
    </row>
    <row r="8" spans="1:26" ht="15" customHeight="1" x14ac:dyDescent="0.3">
      <c r="A8" s="130" t="s">
        <v>5</v>
      </c>
      <c r="B8" s="130"/>
      <c r="C8" s="130"/>
      <c r="D8" s="130"/>
      <c r="E8" s="130" t="str">
        <f>E7</f>
        <v>Macrotech Developers Limited</v>
      </c>
      <c r="F8" s="130"/>
      <c r="G8" s="130"/>
      <c r="H8" s="130"/>
      <c r="K8" s="47"/>
      <c r="L8" s="48"/>
      <c r="M8" s="48"/>
      <c r="N8" s="48"/>
      <c r="O8" s="48" t="s">
        <v>244</v>
      </c>
      <c r="P8" s="48"/>
    </row>
    <row r="9" spans="1:26" x14ac:dyDescent="0.3">
      <c r="A9" s="130" t="s">
        <v>6</v>
      </c>
      <c r="B9" s="130"/>
      <c r="C9" s="130"/>
      <c r="D9" s="130"/>
      <c r="E9" s="115" t="s">
        <v>296</v>
      </c>
      <c r="F9" s="115"/>
      <c r="G9" s="115"/>
      <c r="H9" s="115"/>
      <c r="K9" s="47"/>
      <c r="L9" s="48"/>
      <c r="M9" s="48"/>
      <c r="N9" s="48"/>
      <c r="O9" s="48" t="s">
        <v>245</v>
      </c>
      <c r="P9" s="48"/>
    </row>
    <row r="10" spans="1:26" x14ac:dyDescent="0.3">
      <c r="A10" s="130" t="s">
        <v>159</v>
      </c>
      <c r="B10" s="130"/>
      <c r="C10" s="130"/>
      <c r="D10" s="130"/>
      <c r="E10" s="130" t="s">
        <v>297</v>
      </c>
      <c r="F10" s="130"/>
      <c r="G10" s="130"/>
      <c r="H10" s="130"/>
      <c r="K10" s="47"/>
      <c r="L10" s="48"/>
      <c r="M10" s="48"/>
      <c r="N10" s="48"/>
      <c r="O10" s="48"/>
      <c r="P10" s="48"/>
    </row>
    <row r="11" spans="1:26" hidden="1" x14ac:dyDescent="0.3">
      <c r="A11" s="130" t="s">
        <v>160</v>
      </c>
      <c r="B11" s="130"/>
      <c r="C11" s="130"/>
      <c r="D11" s="130"/>
      <c r="E11" s="130" t="s">
        <v>297</v>
      </c>
      <c r="F11" s="130"/>
      <c r="G11" s="130"/>
      <c r="H11" s="130"/>
    </row>
    <row r="12" spans="1:26" ht="30.75" customHeight="1" x14ac:dyDescent="0.3">
      <c r="A12" s="130" t="s">
        <v>7</v>
      </c>
      <c r="B12" s="130"/>
      <c r="C12" s="130"/>
      <c r="D12" s="130"/>
      <c r="E12" s="123" t="s">
        <v>339</v>
      </c>
      <c r="F12" s="130"/>
      <c r="G12" s="130"/>
      <c r="H12" s="130"/>
    </row>
    <row r="13" spans="1:26" x14ac:dyDescent="0.3">
      <c r="A13" s="130" t="s">
        <v>163</v>
      </c>
      <c r="B13" s="130"/>
      <c r="C13" s="130"/>
      <c r="D13" s="130"/>
      <c r="E13" s="130" t="s">
        <v>28</v>
      </c>
      <c r="F13" s="130"/>
      <c r="G13" s="130"/>
      <c r="H13" s="130"/>
      <c r="S13" s="48" t="s">
        <v>170</v>
      </c>
      <c r="T13" s="48" t="s">
        <v>180</v>
      </c>
      <c r="U13" s="48" t="s">
        <v>164</v>
      </c>
      <c r="V13" s="48" t="s">
        <v>185</v>
      </c>
      <c r="W13" s="48" t="s">
        <v>203</v>
      </c>
      <c r="X13"/>
      <c r="Y13" t="s">
        <v>185</v>
      </c>
      <c r="Z13" t="e">
        <f ca="1">OFFSET($S$13,1,MATCH($G20,$S$13:$W$13,0)-1,15,1)</f>
        <v>#VALUE!</v>
      </c>
    </row>
    <row r="14" spans="1:26" x14ac:dyDescent="0.3">
      <c r="A14" s="85" t="s">
        <v>272</v>
      </c>
      <c r="B14" s="85"/>
      <c r="C14" s="85"/>
      <c r="D14" s="85"/>
      <c r="E14" s="123" t="s">
        <v>298</v>
      </c>
      <c r="F14" s="123"/>
      <c r="G14" s="123"/>
      <c r="H14" s="123"/>
      <c r="S14" s="48" t="s">
        <v>171</v>
      </c>
      <c r="T14" s="48" t="s">
        <v>178</v>
      </c>
      <c r="U14" s="48" t="s">
        <v>200</v>
      </c>
      <c r="V14" s="48" t="s">
        <v>186</v>
      </c>
      <c r="W14" s="48" t="s">
        <v>204</v>
      </c>
      <c r="X14"/>
      <c r="Y14"/>
      <c r="Z14"/>
    </row>
    <row r="15" spans="1:26" x14ac:dyDescent="0.3">
      <c r="A15" s="85" t="s">
        <v>8</v>
      </c>
      <c r="B15" s="85"/>
      <c r="C15" s="85"/>
      <c r="D15" s="85"/>
      <c r="E15" s="123" t="s">
        <v>299</v>
      </c>
      <c r="F15" s="130"/>
      <c r="G15" s="130"/>
      <c r="H15" s="130"/>
      <c r="I15" s="185" t="e">
        <f ca="1">OFFSET($D$5,1,MATCH($J13,$D$5:$H$5,0)-1,15,1)</f>
        <v>#N/A</v>
      </c>
      <c r="J15" s="186"/>
      <c r="K15" s="186"/>
      <c r="L15" s="186"/>
      <c r="M15" s="186"/>
      <c r="N15" s="186"/>
      <c r="O15" s="186"/>
      <c r="P15" s="186"/>
      <c r="S15" s="48" t="s">
        <v>172</v>
      </c>
      <c r="T15" s="48" t="s">
        <v>179</v>
      </c>
      <c r="U15" s="48" t="s">
        <v>201</v>
      </c>
      <c r="V15" s="48" t="s">
        <v>187</v>
      </c>
      <c r="W15" s="48" t="s">
        <v>217</v>
      </c>
      <c r="X15"/>
      <c r="Y15"/>
      <c r="Z15"/>
    </row>
    <row r="16" spans="1:26" ht="50.25" customHeight="1" x14ac:dyDescent="0.3">
      <c r="A16" s="80" t="s">
        <v>9</v>
      </c>
      <c r="B16" s="80"/>
      <c r="C16" s="80" t="str">
        <f>CONCATENATE((IF(OR(E9="",E9="NA"),"",E9)),", ",(IF(OR(A17="",A17="NA"),"",A17)),".",(IF(OR(C17="",C17="NA"),"",C17)),", near ",(IF(OR(C22="",C22="NA"),"",C22)),", ",(IF(OR(C19="",C19="NA"),"",C19)),", ",(IF(OR(C18="",C18="NA"),"",C18)),", ",(IF(OR(G19="",G19="NA"),"",G19)),", ",(IF(OR(C20="",C20="NA"),"",C20)),", ",(IF(OR(C21="",C21="NA"),"",C21)),", ",(IF(OR(G20="",G20="NA"),"",G20))," - ",(IF(OR(G21="",G21="NA"),"",G21)),".")</f>
        <v>Crown Dombivli 3, Survey No.65/5E (Pt), 65/5 EE (Pt), 65/5F (Pt), 65/5G (Pt), 65/5H (Pt), near Ocean Heights, Internal Road, Sonarpada, Mangaon, Dombivli East, Kalyan, Thane  - 421203.</v>
      </c>
      <c r="D16" s="80"/>
      <c r="E16" s="80"/>
      <c r="F16" s="80"/>
      <c r="G16" s="80"/>
      <c r="H16" s="80"/>
      <c r="S16" s="48" t="s">
        <v>173</v>
      </c>
      <c r="T16" s="48" t="s">
        <v>181</v>
      </c>
      <c r="U16" s="48" t="s">
        <v>202</v>
      </c>
      <c r="V16" s="48" t="s">
        <v>188</v>
      </c>
      <c r="W16" s="48" t="s">
        <v>205</v>
      </c>
      <c r="X16"/>
      <c r="Y16"/>
      <c r="Z16"/>
    </row>
    <row r="17" spans="1:26" ht="16.5" customHeight="1" x14ac:dyDescent="0.3">
      <c r="A17" s="123" t="s">
        <v>301</v>
      </c>
      <c r="B17" s="123"/>
      <c r="C17" s="123" t="s">
        <v>300</v>
      </c>
      <c r="D17" s="123"/>
      <c r="E17" s="123"/>
      <c r="F17" s="123"/>
      <c r="G17" s="123"/>
      <c r="H17" s="123"/>
      <c r="S17" s="48" t="s">
        <v>174</v>
      </c>
      <c r="T17" s="48" t="s">
        <v>182</v>
      </c>
      <c r="U17" s="48" t="s">
        <v>164</v>
      </c>
      <c r="V17" s="48" t="s">
        <v>189</v>
      </c>
      <c r="W17" s="48" t="s">
        <v>206</v>
      </c>
      <c r="X17"/>
      <c r="Y17"/>
      <c r="Z17"/>
    </row>
    <row r="18" spans="1:26" ht="15.75" customHeight="1" x14ac:dyDescent="0.3">
      <c r="A18" s="123" t="s">
        <v>154</v>
      </c>
      <c r="B18" s="123"/>
      <c r="C18" s="123" t="s">
        <v>330</v>
      </c>
      <c r="D18" s="123"/>
      <c r="E18" s="123"/>
      <c r="F18" s="123"/>
      <c r="G18" s="123"/>
      <c r="H18" s="123"/>
      <c r="S18" s="48" t="s">
        <v>175</v>
      </c>
      <c r="T18" s="48" t="s">
        <v>180</v>
      </c>
      <c r="U18" s="48"/>
      <c r="V18" s="48" t="s">
        <v>190</v>
      </c>
      <c r="W18" s="48" t="s">
        <v>207</v>
      </c>
      <c r="X18"/>
      <c r="Y18"/>
      <c r="Z18"/>
    </row>
    <row r="19" spans="1:26" ht="15.75" customHeight="1" x14ac:dyDescent="0.3">
      <c r="A19" s="80" t="s">
        <v>10</v>
      </c>
      <c r="B19" s="80"/>
      <c r="C19" s="130" t="s">
        <v>324</v>
      </c>
      <c r="D19" s="130"/>
      <c r="E19" s="80" t="s">
        <v>69</v>
      </c>
      <c r="F19" s="80"/>
      <c r="G19" s="123" t="s">
        <v>195</v>
      </c>
      <c r="H19" s="123"/>
      <c r="S19" s="48" t="s">
        <v>176</v>
      </c>
      <c r="T19" s="48" t="s">
        <v>183</v>
      </c>
      <c r="U19" s="48"/>
      <c r="V19" s="48" t="s">
        <v>191</v>
      </c>
      <c r="W19" s="48" t="s">
        <v>208</v>
      </c>
      <c r="X19"/>
      <c r="Y19"/>
      <c r="Z19"/>
    </row>
    <row r="20" spans="1:26" x14ac:dyDescent="0.3">
      <c r="A20" s="85" t="s">
        <v>12</v>
      </c>
      <c r="B20" s="85"/>
      <c r="C20" s="123" t="s">
        <v>322</v>
      </c>
      <c r="D20" s="123"/>
      <c r="E20" s="123" t="s">
        <v>11</v>
      </c>
      <c r="F20" s="123"/>
      <c r="G20" s="156" t="s">
        <v>170</v>
      </c>
      <c r="H20" s="156"/>
      <c r="S20" s="48" t="s">
        <v>177</v>
      </c>
      <c r="T20" s="48" t="s">
        <v>184</v>
      </c>
      <c r="U20" s="48"/>
      <c r="V20" s="48" t="s">
        <v>192</v>
      </c>
      <c r="W20" s="48" t="s">
        <v>209</v>
      </c>
      <c r="X20"/>
      <c r="Y20"/>
      <c r="Z20"/>
    </row>
    <row r="21" spans="1:26" x14ac:dyDescent="0.3">
      <c r="A21" s="85" t="s">
        <v>70</v>
      </c>
      <c r="B21" s="85"/>
      <c r="C21" s="123" t="s">
        <v>173</v>
      </c>
      <c r="D21" s="123"/>
      <c r="E21" s="123" t="s">
        <v>13</v>
      </c>
      <c r="F21" s="123"/>
      <c r="G21" s="123">
        <v>421203</v>
      </c>
      <c r="H21" s="123"/>
      <c r="S21" s="48"/>
      <c r="T21" s="48"/>
      <c r="U21" s="48"/>
      <c r="V21" s="48" t="s">
        <v>193</v>
      </c>
      <c r="W21" s="48" t="s">
        <v>210</v>
      </c>
      <c r="X21"/>
      <c r="Y21"/>
      <c r="Z21"/>
    </row>
    <row r="22" spans="1:26" ht="31.8" customHeight="1" x14ac:dyDescent="0.3">
      <c r="A22" s="85" t="s">
        <v>113</v>
      </c>
      <c r="B22" s="85"/>
      <c r="C22" s="123" t="s">
        <v>331</v>
      </c>
      <c r="D22" s="123"/>
      <c r="E22" s="80" t="s">
        <v>14</v>
      </c>
      <c r="F22" s="80"/>
      <c r="G22" s="123" t="s">
        <v>321</v>
      </c>
      <c r="H22" s="123"/>
      <c r="I22" s="19" t="s">
        <v>113</v>
      </c>
      <c r="J22" s="19"/>
      <c r="K22" s="19" t="s">
        <v>323</v>
      </c>
      <c r="L22" s="19"/>
      <c r="M22" s="19"/>
      <c r="N22" s="19"/>
      <c r="S22" s="48"/>
      <c r="T22" s="48"/>
      <c r="U22" s="48"/>
      <c r="V22" s="48" t="s">
        <v>194</v>
      </c>
      <c r="W22" s="48" t="s">
        <v>211</v>
      </c>
      <c r="X22"/>
      <c r="Y22"/>
      <c r="Z22"/>
    </row>
    <row r="23" spans="1:26" ht="15" customHeight="1" x14ac:dyDescent="0.3">
      <c r="A23" s="80" t="s">
        <v>72</v>
      </c>
      <c r="B23" s="80"/>
      <c r="C23" s="80"/>
      <c r="D23" s="80"/>
      <c r="E23" s="130" t="s">
        <v>15</v>
      </c>
      <c r="F23" s="130"/>
      <c r="G23" s="130"/>
      <c r="H23" s="130"/>
      <c r="S23" s="48"/>
      <c r="T23" s="48"/>
      <c r="U23" s="48"/>
      <c r="V23" s="48" t="s">
        <v>195</v>
      </c>
      <c r="W23" s="48" t="s">
        <v>212</v>
      </c>
      <c r="X23"/>
      <c r="Y23"/>
      <c r="Z23"/>
    </row>
    <row r="24" spans="1:26" ht="18.75" customHeight="1" x14ac:dyDescent="0.3">
      <c r="A24" s="80"/>
      <c r="B24" s="80"/>
      <c r="C24" s="80"/>
      <c r="D24" s="80"/>
      <c r="E24" s="130"/>
      <c r="F24" s="130"/>
      <c r="G24" s="130"/>
      <c r="H24" s="130"/>
      <c r="S24" s="48"/>
      <c r="T24" s="48"/>
      <c r="U24" s="48"/>
      <c r="V24" s="48" t="s">
        <v>196</v>
      </c>
      <c r="W24" s="48" t="s">
        <v>213</v>
      </c>
      <c r="X24"/>
      <c r="Y24"/>
      <c r="Z24"/>
    </row>
    <row r="25" spans="1:26" ht="15" customHeight="1" x14ac:dyDescent="0.3">
      <c r="A25" s="80" t="s">
        <v>16</v>
      </c>
      <c r="B25" s="80"/>
      <c r="C25" s="80"/>
      <c r="D25" s="80"/>
      <c r="E25" s="123" t="s">
        <v>17</v>
      </c>
      <c r="F25" s="123"/>
      <c r="G25" s="123"/>
      <c r="H25" s="123"/>
      <c r="S25" s="48"/>
      <c r="T25" s="48"/>
      <c r="U25" s="48"/>
      <c r="V25" s="48" t="s">
        <v>197</v>
      </c>
      <c r="W25" s="48" t="s">
        <v>214</v>
      </c>
      <c r="X25"/>
      <c r="Y25"/>
      <c r="Z25"/>
    </row>
    <row r="26" spans="1:26" ht="15" customHeight="1" x14ac:dyDescent="0.3">
      <c r="A26" s="85" t="s">
        <v>18</v>
      </c>
      <c r="B26" s="85"/>
      <c r="C26" s="85"/>
      <c r="D26" s="85"/>
      <c r="E26" s="123" t="str">
        <f>IF(AND(G20="Mumbai"),"Upper Class","Middle Class")</f>
        <v>Middle Class</v>
      </c>
      <c r="F26" s="123"/>
      <c r="G26" s="123"/>
      <c r="H26" s="123"/>
      <c r="S26" s="48"/>
      <c r="T26" s="48"/>
      <c r="U26" s="48"/>
      <c r="V26" s="48" t="s">
        <v>198</v>
      </c>
      <c r="W26" s="48" t="s">
        <v>215</v>
      </c>
      <c r="X26"/>
      <c r="Y26"/>
      <c r="Z26"/>
    </row>
    <row r="27" spans="1:26" x14ac:dyDescent="0.3">
      <c r="A27" s="85" t="s">
        <v>19</v>
      </c>
      <c r="B27" s="85"/>
      <c r="C27" s="85"/>
      <c r="D27" s="85"/>
      <c r="E27" s="123" t="s">
        <v>20</v>
      </c>
      <c r="F27" s="123"/>
      <c r="G27" s="123"/>
      <c r="H27" s="123"/>
      <c r="S27" s="48"/>
      <c r="T27" s="48"/>
      <c r="U27" s="48"/>
      <c r="V27" s="48" t="s">
        <v>199</v>
      </c>
      <c r="W27" s="48" t="s">
        <v>216</v>
      </c>
      <c r="X27"/>
      <c r="Y27"/>
      <c r="Z27"/>
    </row>
    <row r="28" spans="1:26" ht="15.75" customHeight="1" x14ac:dyDescent="0.3">
      <c r="A28" s="85" t="s">
        <v>21</v>
      </c>
      <c r="B28" s="85"/>
      <c r="C28" s="85"/>
      <c r="D28" s="85"/>
      <c r="E28" s="123" t="str">
        <f>IF(AND(G20="Mumbai"),"Developed","Developing")</f>
        <v>Developing</v>
      </c>
      <c r="F28" s="123"/>
      <c r="G28" s="123"/>
      <c r="H28" s="123"/>
    </row>
    <row r="29" spans="1:26" x14ac:dyDescent="0.3">
      <c r="A29" s="85" t="s">
        <v>22</v>
      </c>
      <c r="B29" s="85"/>
      <c r="C29" s="85"/>
      <c r="D29" s="85"/>
      <c r="E29" s="123" t="s">
        <v>23</v>
      </c>
      <c r="F29" s="123"/>
      <c r="G29" s="123"/>
      <c r="H29" s="123"/>
    </row>
    <row r="30" spans="1:26" ht="15.75" customHeight="1" x14ac:dyDescent="0.3">
      <c r="A30" s="85" t="s">
        <v>77</v>
      </c>
      <c r="B30" s="85"/>
      <c r="C30" s="85"/>
      <c r="D30" s="85"/>
      <c r="E30" s="123" t="s">
        <v>78</v>
      </c>
      <c r="F30" s="123"/>
      <c r="G30" s="123"/>
      <c r="H30" s="123"/>
    </row>
    <row r="31" spans="1:26" ht="15" customHeight="1" x14ac:dyDescent="0.3">
      <c r="A31" s="85" t="s">
        <v>30</v>
      </c>
      <c r="B31" s="85"/>
      <c r="C31" s="85"/>
      <c r="D31" s="85"/>
      <c r="E31" s="12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3"/>
      <c r="G31" s="123"/>
      <c r="H31" s="123"/>
    </row>
    <row r="32" spans="1:26" ht="15.75" customHeight="1" x14ac:dyDescent="0.3">
      <c r="A32" s="85" t="s">
        <v>87</v>
      </c>
      <c r="B32" s="85"/>
      <c r="C32" s="85"/>
      <c r="D32" s="85"/>
      <c r="E32" s="123" t="s">
        <v>31</v>
      </c>
      <c r="F32" s="123"/>
      <c r="G32" s="123"/>
      <c r="H32" s="123"/>
    </row>
    <row r="33" spans="1:19" s="19" customFormat="1" x14ac:dyDescent="0.3">
      <c r="A33" s="154" t="s">
        <v>88</v>
      </c>
      <c r="B33" s="154"/>
      <c r="C33" s="153" t="s">
        <v>165</v>
      </c>
      <c r="D33" s="153"/>
      <c r="E33" s="153"/>
      <c r="F33" s="153" t="s">
        <v>29</v>
      </c>
      <c r="G33" s="153"/>
      <c r="H33" s="153"/>
      <c r="S33" s="19" t="e">
        <f ca="1">OFFSET($S$13,1,MATCH($G20,$S$13:$W$13,0)-1,15,1)</f>
        <v>#VALUE!</v>
      </c>
    </row>
    <row r="34" spans="1:19" s="19" customFormat="1" x14ac:dyDescent="0.3">
      <c r="A34" s="136" t="s">
        <v>24</v>
      </c>
      <c r="B34" s="136" t="s">
        <v>28</v>
      </c>
      <c r="C34" s="155" t="s">
        <v>326</v>
      </c>
      <c r="D34" s="155"/>
      <c r="E34" s="155"/>
      <c r="F34" s="136" t="s">
        <v>324</v>
      </c>
      <c r="G34" s="136"/>
      <c r="H34" s="136"/>
    </row>
    <row r="35" spans="1:19" ht="37.5" customHeight="1" x14ac:dyDescent="0.3">
      <c r="A35" s="136" t="s">
        <v>25</v>
      </c>
      <c r="B35" s="136" t="s">
        <v>28</v>
      </c>
      <c r="C35" s="155" t="s">
        <v>328</v>
      </c>
      <c r="D35" s="155"/>
      <c r="E35" s="155"/>
      <c r="F35" s="136" t="s">
        <v>325</v>
      </c>
      <c r="G35" s="136"/>
      <c r="H35" s="136"/>
    </row>
    <row r="36" spans="1:19" s="19" customFormat="1" x14ac:dyDescent="0.3">
      <c r="A36" s="149" t="s">
        <v>27</v>
      </c>
      <c r="B36" s="149" t="s">
        <v>28</v>
      </c>
      <c r="C36" s="150" t="s">
        <v>327</v>
      </c>
      <c r="D36" s="151"/>
      <c r="E36" s="152"/>
      <c r="F36" s="150" t="s">
        <v>331</v>
      </c>
      <c r="G36" s="151"/>
      <c r="H36" s="152"/>
    </row>
    <row r="37" spans="1:19" x14ac:dyDescent="0.3">
      <c r="A37" s="136" t="s">
        <v>26</v>
      </c>
      <c r="B37" s="136" t="s">
        <v>28</v>
      </c>
      <c r="C37" s="137" t="s">
        <v>340</v>
      </c>
      <c r="D37" s="138"/>
      <c r="E37" s="139"/>
      <c r="F37" s="145" t="s">
        <v>325</v>
      </c>
      <c r="G37" s="146"/>
      <c r="H37" s="147"/>
    </row>
    <row r="38" spans="1:19" x14ac:dyDescent="0.3">
      <c r="A38" s="85" t="s">
        <v>273</v>
      </c>
      <c r="B38" s="85"/>
      <c r="C38" s="85"/>
      <c r="D38" s="85"/>
      <c r="E38" s="85"/>
      <c r="F38" s="85"/>
      <c r="G38" s="85"/>
      <c r="H38" s="85"/>
    </row>
    <row r="39" spans="1:19" ht="15.75" customHeight="1" x14ac:dyDescent="0.3">
      <c r="A39" s="85" t="s">
        <v>157</v>
      </c>
      <c r="B39" s="85"/>
      <c r="C39" s="128" t="s">
        <v>319</v>
      </c>
      <c r="D39" s="128"/>
      <c r="E39" s="128"/>
      <c r="F39" s="128"/>
      <c r="G39" s="128"/>
      <c r="H39" s="128"/>
    </row>
    <row r="40" spans="1:19" x14ac:dyDescent="0.3">
      <c r="A40" s="85" t="s">
        <v>153</v>
      </c>
      <c r="B40" s="85"/>
      <c r="C40" s="122" t="s">
        <v>320</v>
      </c>
      <c r="D40" s="123"/>
      <c r="E40" s="123"/>
      <c r="F40" s="123"/>
      <c r="G40" s="123"/>
      <c r="H40" s="123"/>
    </row>
    <row r="41" spans="1:19" x14ac:dyDescent="0.3">
      <c r="A41" s="128" t="s">
        <v>32</v>
      </c>
      <c r="B41" s="128"/>
      <c r="C41" s="128"/>
      <c r="D41" s="128"/>
      <c r="E41" s="128"/>
      <c r="F41" s="128"/>
      <c r="G41" s="128"/>
      <c r="H41" s="128"/>
    </row>
    <row r="42" spans="1:19" x14ac:dyDescent="0.3">
      <c r="A42" s="80" t="s">
        <v>329</v>
      </c>
      <c r="B42" s="80"/>
      <c r="C42" s="80"/>
      <c r="D42" s="80"/>
      <c r="E42" s="140">
        <v>134781.95000000001</v>
      </c>
      <c r="F42" s="140"/>
      <c r="G42" s="140"/>
      <c r="H42" s="140"/>
    </row>
    <row r="43" spans="1:19" x14ac:dyDescent="0.3">
      <c r="A43" s="85" t="s">
        <v>33</v>
      </c>
      <c r="B43" s="85"/>
      <c r="C43" s="85"/>
      <c r="D43" s="85"/>
      <c r="E43" s="142">
        <v>1.8</v>
      </c>
      <c r="F43" s="142"/>
      <c r="G43" s="142"/>
      <c r="H43" s="142"/>
    </row>
    <row r="44" spans="1:19" x14ac:dyDescent="0.3">
      <c r="A44" s="85" t="s">
        <v>34</v>
      </c>
      <c r="B44" s="85"/>
      <c r="C44" s="85"/>
      <c r="D44" s="85"/>
      <c r="E44" s="142">
        <f>E46/E42-E43</f>
        <v>1.8247455983534884</v>
      </c>
      <c r="F44" s="142"/>
      <c r="G44" s="142"/>
      <c r="H44" s="142"/>
    </row>
    <row r="45" spans="1:19" x14ac:dyDescent="0.3">
      <c r="A45" s="85" t="s">
        <v>35</v>
      </c>
      <c r="B45" s="85"/>
      <c r="C45" s="85"/>
      <c r="D45" s="85"/>
      <c r="E45" s="142">
        <f>E43+E44</f>
        <v>3.6247455983534884</v>
      </c>
      <c r="F45" s="142"/>
      <c r="G45" s="142"/>
      <c r="H45" s="142"/>
    </row>
    <row r="46" spans="1:19" ht="34.5" customHeight="1" x14ac:dyDescent="0.3">
      <c r="A46" s="80" t="s">
        <v>345</v>
      </c>
      <c r="B46" s="85"/>
      <c r="C46" s="85"/>
      <c r="D46" s="85"/>
      <c r="E46" s="143">
        <v>488550.28</v>
      </c>
      <c r="F46" s="143"/>
      <c r="G46" s="143"/>
      <c r="H46" s="143"/>
    </row>
    <row r="47" spans="1:19" x14ac:dyDescent="0.3">
      <c r="A47" s="130" t="s">
        <v>36</v>
      </c>
      <c r="B47" s="130"/>
      <c r="C47" s="130"/>
      <c r="D47" s="130"/>
      <c r="E47" s="130" t="s">
        <v>302</v>
      </c>
      <c r="F47" s="130"/>
      <c r="G47" s="130"/>
      <c r="H47" s="130"/>
    </row>
    <row r="48" spans="1:19" x14ac:dyDescent="0.3">
      <c r="A48" s="128" t="s">
        <v>37</v>
      </c>
      <c r="B48" s="128"/>
      <c r="C48" s="128"/>
      <c r="D48" s="128"/>
      <c r="E48" s="128"/>
      <c r="F48" s="128"/>
      <c r="G48" s="128"/>
      <c r="H48" s="128"/>
    </row>
    <row r="49" spans="1:24" ht="33.75" customHeight="1" x14ac:dyDescent="0.3">
      <c r="A49" s="97" t="s">
        <v>142</v>
      </c>
      <c r="B49" s="98"/>
      <c r="C49" s="99" t="s">
        <v>256</v>
      </c>
      <c r="D49" s="100"/>
      <c r="E49" s="100"/>
      <c r="F49" s="100"/>
      <c r="G49" s="100"/>
      <c r="H49" s="101"/>
      <c r="R49" t="s">
        <v>246</v>
      </c>
      <c r="S49" t="s">
        <v>164</v>
      </c>
      <c r="T49" t="s">
        <v>170</v>
      </c>
      <c r="U49" t="s">
        <v>185</v>
      </c>
      <c r="V49" t="s">
        <v>180</v>
      </c>
    </row>
    <row r="50" spans="1:24" ht="62.25" customHeight="1" x14ac:dyDescent="0.3">
      <c r="A50" s="97" t="s">
        <v>38</v>
      </c>
      <c r="B50" s="98"/>
      <c r="C50" s="97" t="s">
        <v>304</v>
      </c>
      <c r="D50" s="144"/>
      <c r="E50" s="98"/>
      <c r="F50" s="17" t="s">
        <v>39</v>
      </c>
      <c r="G50" s="148">
        <v>45069</v>
      </c>
      <c r="H50" s="98"/>
      <c r="R50"/>
      <c r="S50" t="s">
        <v>247</v>
      </c>
      <c r="T50" t="s">
        <v>252</v>
      </c>
      <c r="U50" t="s">
        <v>263</v>
      </c>
      <c r="V50" t="s">
        <v>268</v>
      </c>
    </row>
    <row r="51" spans="1:24" ht="66" customHeight="1" x14ac:dyDescent="0.3">
      <c r="A51" s="97" t="s">
        <v>40</v>
      </c>
      <c r="B51" s="98"/>
      <c r="C51" s="97" t="str">
        <f>C50</f>
        <v>Ekatmikrut Nagarvasahat/Mauje Antarli, Khoni, Hedutane, Kole, Gharivali, Katai &amp; Mangaon Tal. Kalyan &amp; Mauje Umbroli, Tal Ambernath SSThane/5059</v>
      </c>
      <c r="D51" s="144"/>
      <c r="E51" s="98"/>
      <c r="F51" s="17" t="s">
        <v>39</v>
      </c>
      <c r="G51" s="148">
        <f>G50</f>
        <v>45069</v>
      </c>
      <c r="H51" s="98"/>
      <c r="R51"/>
      <c r="S51" t="s">
        <v>248</v>
      </c>
      <c r="T51" t="s">
        <v>253</v>
      </c>
      <c r="U51" t="s">
        <v>261</v>
      </c>
      <c r="V51" t="s">
        <v>269</v>
      </c>
    </row>
    <row r="52" spans="1:24" s="20" customFormat="1" ht="51.75" customHeight="1" x14ac:dyDescent="0.3">
      <c r="A52" s="181" t="s">
        <v>146</v>
      </c>
      <c r="B52" s="182"/>
      <c r="C52" s="97" t="s">
        <v>305</v>
      </c>
      <c r="D52" s="144"/>
      <c r="E52" s="98"/>
      <c r="F52" s="17" t="s">
        <v>39</v>
      </c>
      <c r="G52" s="148">
        <f>G51</f>
        <v>45069</v>
      </c>
      <c r="H52" s="98"/>
      <c r="R52"/>
      <c r="S52" t="s">
        <v>249</v>
      </c>
      <c r="T52" t="s">
        <v>254</v>
      </c>
      <c r="U52" t="s">
        <v>251</v>
      </c>
      <c r="V52" t="s">
        <v>270</v>
      </c>
    </row>
    <row r="53" spans="1:24" s="20" customFormat="1" x14ac:dyDescent="0.3">
      <c r="A53" s="183"/>
      <c r="B53" s="184"/>
      <c r="C53" s="97" t="s">
        <v>303</v>
      </c>
      <c r="D53" s="144"/>
      <c r="E53" s="144"/>
      <c r="F53" s="144"/>
      <c r="G53" s="144"/>
      <c r="H53" s="98"/>
      <c r="R53"/>
      <c r="S53" t="s">
        <v>250</v>
      </c>
      <c r="T53" t="s">
        <v>257</v>
      </c>
      <c r="U53" t="s">
        <v>264</v>
      </c>
    </row>
    <row r="54" spans="1:24" s="20" customFormat="1" hidden="1" x14ac:dyDescent="0.3">
      <c r="A54" s="177" t="s">
        <v>274</v>
      </c>
      <c r="B54" s="178"/>
      <c r="C54" s="97" t="str">
        <f>C53</f>
        <v>Sector O / Cluster 15.07 (Wing D &amp; E) = Gr + 1st to 14th Floor</v>
      </c>
      <c r="D54" s="144"/>
      <c r="E54" s="98"/>
      <c r="F54" s="17" t="s">
        <v>39</v>
      </c>
      <c r="G54" s="97"/>
      <c r="H54" s="98"/>
      <c r="R54"/>
      <c r="S54" t="s">
        <v>249</v>
      </c>
      <c r="T54" t="s">
        <v>254</v>
      </c>
      <c r="U54" t="s">
        <v>251</v>
      </c>
      <c r="V54" t="s">
        <v>270</v>
      </c>
    </row>
    <row r="55" spans="1:24" s="20" customFormat="1" ht="32.25" hidden="1" customHeight="1" x14ac:dyDescent="0.3">
      <c r="A55" s="179"/>
      <c r="B55" s="180"/>
      <c r="C55" s="125"/>
      <c r="D55" s="126"/>
      <c r="E55" s="126"/>
      <c r="F55" s="126"/>
      <c r="G55" s="126"/>
      <c r="H55" s="127"/>
      <c r="R55"/>
      <c r="S55" t="s">
        <v>251</v>
      </c>
      <c r="T55" t="s">
        <v>255</v>
      </c>
      <c r="U55" t="s">
        <v>265</v>
      </c>
      <c r="V55" s="18"/>
      <c r="W55" s="18"/>
      <c r="X55" s="18"/>
    </row>
    <row r="56" spans="1:24" s="20" customFormat="1" ht="34.5" hidden="1" customHeight="1" x14ac:dyDescent="0.3">
      <c r="A56" s="177" t="s">
        <v>275</v>
      </c>
      <c r="B56" s="178"/>
      <c r="C56" s="97">
        <f>C55</f>
        <v>0</v>
      </c>
      <c r="D56" s="144"/>
      <c r="E56" s="98"/>
      <c r="F56" s="17" t="s">
        <v>39</v>
      </c>
      <c r="G56" s="97">
        <f>G55</f>
        <v>0</v>
      </c>
      <c r="H56" s="98"/>
      <c r="R56"/>
      <c r="S56" s="18"/>
      <c r="T56" t="s">
        <v>256</v>
      </c>
      <c r="U56" t="s">
        <v>266</v>
      </c>
      <c r="V56" s="18"/>
      <c r="W56" s="18"/>
      <c r="X56" s="18"/>
    </row>
    <row r="57" spans="1:24" s="20" customFormat="1" ht="41.25" hidden="1" customHeight="1" x14ac:dyDescent="0.3">
      <c r="A57" s="179"/>
      <c r="B57" s="180"/>
      <c r="C57" s="97"/>
      <c r="D57" s="144"/>
      <c r="E57" s="144"/>
      <c r="F57" s="144"/>
      <c r="G57" s="144"/>
      <c r="H57" s="98"/>
      <c r="R57"/>
      <c r="S57" s="18"/>
      <c r="T57" t="s">
        <v>258</v>
      </c>
      <c r="U57" t="s">
        <v>267</v>
      </c>
      <c r="V57" s="18"/>
      <c r="W57" s="18"/>
      <c r="X57" s="18"/>
    </row>
    <row r="58" spans="1:24" s="20" customFormat="1" ht="15.75" hidden="1" customHeight="1" x14ac:dyDescent="0.3">
      <c r="A58" s="177" t="s">
        <v>276</v>
      </c>
      <c r="B58" s="178"/>
      <c r="C58" s="97">
        <f>C57</f>
        <v>0</v>
      </c>
      <c r="D58" s="144"/>
      <c r="E58" s="98"/>
      <c r="F58" s="17" t="s">
        <v>39</v>
      </c>
      <c r="G58" s="97">
        <f>G57</f>
        <v>0</v>
      </c>
      <c r="H58" s="98"/>
      <c r="R58"/>
      <c r="S58" s="18"/>
      <c r="T58" t="s">
        <v>259</v>
      </c>
      <c r="U58" s="18" t="s">
        <v>290</v>
      </c>
      <c r="V58" s="18"/>
      <c r="W58" s="18"/>
      <c r="X58" s="18"/>
    </row>
    <row r="59" spans="1:24" s="20" customFormat="1" ht="33.75" hidden="1" customHeight="1" x14ac:dyDescent="0.3">
      <c r="A59" s="179"/>
      <c r="B59" s="180"/>
      <c r="C59" s="97"/>
      <c r="D59" s="144"/>
      <c r="E59" s="144"/>
      <c r="F59" s="144"/>
      <c r="G59" s="144"/>
      <c r="H59" s="98"/>
      <c r="R59"/>
      <c r="S59" s="18"/>
      <c r="T59" t="s">
        <v>260</v>
      </c>
      <c r="U59" s="18"/>
      <c r="V59" s="18"/>
      <c r="W59" s="18"/>
      <c r="X59" s="18"/>
    </row>
    <row r="60" spans="1:24" x14ac:dyDescent="0.3">
      <c r="A60" s="187" t="s">
        <v>41</v>
      </c>
      <c r="B60" s="188"/>
      <c r="C60" s="187" t="s">
        <v>96</v>
      </c>
      <c r="D60" s="189"/>
      <c r="E60" s="188"/>
      <c r="F60" s="40" t="s">
        <v>39</v>
      </c>
      <c r="G60" s="175" t="s">
        <v>28</v>
      </c>
      <c r="H60" s="176"/>
      <c r="R60"/>
      <c r="T60" t="s">
        <v>262</v>
      </c>
    </row>
    <row r="61" spans="1:24" x14ac:dyDescent="0.3">
      <c r="A61" s="166" t="s">
        <v>43</v>
      </c>
      <c r="B61" s="166"/>
      <c r="C61" s="166"/>
      <c r="D61" s="166"/>
      <c r="E61" s="166"/>
      <c r="F61" s="166"/>
      <c r="G61" s="166"/>
      <c r="H61" s="166"/>
      <c r="T61" t="s">
        <v>271</v>
      </c>
    </row>
    <row r="62" spans="1:24" ht="48.75" customHeight="1" x14ac:dyDescent="0.3">
      <c r="A62" s="80" t="s">
        <v>317</v>
      </c>
      <c r="B62" s="80"/>
      <c r="C62" s="80"/>
      <c r="D62" s="85">
        <v>9548.25</v>
      </c>
      <c r="E62" s="85"/>
      <c r="F62" s="85"/>
      <c r="G62" s="85"/>
      <c r="H62" s="85"/>
      <c r="R62"/>
    </row>
    <row r="63" spans="1:24" x14ac:dyDescent="0.3">
      <c r="A63" s="123" t="s">
        <v>44</v>
      </c>
      <c r="B63" s="130"/>
      <c r="C63" s="130"/>
      <c r="D63" s="130" t="s">
        <v>316</v>
      </c>
      <c r="E63" s="130"/>
      <c r="F63" s="130"/>
      <c r="G63" s="130"/>
      <c r="H63" s="130"/>
      <c r="I63" s="21"/>
      <c r="R63"/>
    </row>
    <row r="64" spans="1:24" x14ac:dyDescent="0.3">
      <c r="A64" s="123" t="s">
        <v>45</v>
      </c>
      <c r="B64" s="123"/>
      <c r="C64" s="123"/>
      <c r="D64" s="123" t="s">
        <v>341</v>
      </c>
      <c r="E64" s="130"/>
      <c r="F64" s="130"/>
      <c r="G64" s="130"/>
      <c r="H64" s="130"/>
      <c r="R64"/>
    </row>
    <row r="65" spans="1:19" x14ac:dyDescent="0.3">
      <c r="A65" s="123" t="s">
        <v>85</v>
      </c>
      <c r="B65" s="123"/>
      <c r="C65" s="123"/>
      <c r="D65" s="123" t="s">
        <v>341</v>
      </c>
      <c r="E65" s="130"/>
      <c r="F65" s="130"/>
      <c r="G65" s="130"/>
      <c r="H65" s="130"/>
      <c r="R65"/>
    </row>
    <row r="66" spans="1:19" ht="15.75" customHeight="1" x14ac:dyDescent="0.3">
      <c r="A66" s="85" t="s">
        <v>42</v>
      </c>
      <c r="B66" s="85"/>
      <c r="C66" s="85"/>
      <c r="D66" s="80" t="s">
        <v>306</v>
      </c>
      <c r="E66" s="80"/>
      <c r="F66" s="80"/>
      <c r="G66" s="80"/>
      <c r="H66" s="80"/>
      <c r="J66" s="22"/>
      <c r="K66" s="21"/>
      <c r="N66" s="21"/>
      <c r="S66"/>
    </row>
    <row r="67" spans="1:19" ht="15.75" customHeight="1" x14ac:dyDescent="0.3">
      <c r="A67" s="85" t="s">
        <v>83</v>
      </c>
      <c r="B67" s="85"/>
      <c r="C67" s="85"/>
      <c r="D67" s="141" t="str">
        <f>(IF(G60="NA","60 Years After Completion",IF(G60&lt;&gt;"NA",""&amp;60-ROUNDDOWN((E3-G60)/360,0)&amp;" Years"," ")))</f>
        <v>60 Years After Completion</v>
      </c>
      <c r="E67" s="141"/>
      <c r="F67" s="141"/>
      <c r="G67" s="141"/>
      <c r="H67" s="141"/>
      <c r="N67" s="21"/>
      <c r="S67"/>
    </row>
    <row r="68" spans="1:19" ht="15.75" customHeight="1" x14ac:dyDescent="0.3">
      <c r="A68" s="85" t="s">
        <v>84</v>
      </c>
      <c r="B68" s="85"/>
      <c r="C68" s="85"/>
      <c r="D68" s="80" t="s">
        <v>23</v>
      </c>
      <c r="E68" s="80"/>
      <c r="F68" s="80"/>
      <c r="G68" s="80"/>
      <c r="H68" s="80"/>
      <c r="J68" s="23"/>
      <c r="K68" s="23"/>
      <c r="S68"/>
    </row>
    <row r="69" spans="1:19" ht="81.75" customHeight="1" x14ac:dyDescent="0.3">
      <c r="A69" s="130" t="s">
        <v>318</v>
      </c>
      <c r="B69" s="130"/>
      <c r="C69" s="130"/>
      <c r="D69" s="123" t="s">
        <v>333</v>
      </c>
      <c r="E69" s="123"/>
      <c r="F69" s="123"/>
      <c r="G69" s="123"/>
      <c r="H69" s="123"/>
      <c r="I69" s="61" t="s">
        <v>332</v>
      </c>
      <c r="S69"/>
    </row>
    <row r="70" spans="1:19" x14ac:dyDescent="0.3">
      <c r="A70" s="80" t="s">
        <v>139</v>
      </c>
      <c r="B70" s="80"/>
      <c r="C70" s="80"/>
      <c r="D70" s="80" t="s">
        <v>28</v>
      </c>
      <c r="E70" s="80"/>
      <c r="F70" s="80"/>
      <c r="G70" s="80"/>
      <c r="H70" s="80"/>
      <c r="I70" s="24"/>
      <c r="J70" s="24"/>
      <c r="K70" s="24"/>
      <c r="L70" s="24"/>
      <c r="M70" s="24"/>
      <c r="N70" s="24"/>
    </row>
    <row r="71" spans="1:19" ht="15.75" customHeight="1" x14ac:dyDescent="0.3">
      <c r="A71" s="190" t="s">
        <v>82</v>
      </c>
      <c r="B71" s="190"/>
      <c r="C71" s="190"/>
      <c r="D71" s="162" t="str">
        <f ca="1">(IF(G77&gt;95%,"Nothing",IF(G77&gt;0%,"Cement, Aggregate, Steel, etc",IF(G77=0%,"Work not yet Started"))))</f>
        <v>Cement, Aggregate, Steel, etc</v>
      </c>
      <c r="E71" s="162"/>
      <c r="F71" s="162"/>
      <c r="G71" s="162"/>
      <c r="H71" s="162"/>
      <c r="J71" s="23"/>
      <c r="S71"/>
    </row>
    <row r="72" spans="1:19" ht="33.75" customHeight="1" thickBot="1" x14ac:dyDescent="0.35">
      <c r="A72" s="161" t="s">
        <v>109</v>
      </c>
      <c r="B72" s="161"/>
      <c r="C72" s="161"/>
      <c r="D72" s="162" t="str">
        <f ca="1">(IF(D71="Nothing","Yes",IF(D71="Cement, Aggregate, Steel, etc","Under Construction",IF(D71="Work not yet Started","Work not yet Started"))))</f>
        <v>Under Construction</v>
      </c>
      <c r="E72" s="162"/>
      <c r="F72" s="162" t="str">
        <f ca="1">(IF(D71="Nothing","Yes",IF(D71="Cement, Aggregate, Steel, etc","Under Construction",IF(D71="Work not yet Started","Work not yet Started"))))</f>
        <v>Under Construction</v>
      </c>
      <c r="G72" s="162"/>
      <c r="H72" s="162"/>
      <c r="S72"/>
    </row>
    <row r="73" spans="1:19" x14ac:dyDescent="0.3">
      <c r="A73" s="116" t="s">
        <v>131</v>
      </c>
      <c r="B73" s="117"/>
      <c r="C73" s="118" t="s">
        <v>351</v>
      </c>
      <c r="D73" s="119"/>
      <c r="E73" s="119"/>
      <c r="F73" s="119"/>
      <c r="G73" s="119"/>
      <c r="H73" s="120"/>
      <c r="I73" s="43" t="str">
        <f ca="1">IF(D86=100%,"All work Completed. Possession granted to the Building.",IF(D85=100%,"All work Completed, Waiting for OC",I74&amp;""&amp;I75&amp;""&amp;J74&amp;""&amp;J73&amp;" "&amp;J75))</f>
        <v>Excavation, Plinth Completed, RCC upto 8 Slab, Brickwork upto 7 Floor, Internal Plaster upto 5.25 Floor, External Plaster upto 4.9 Floor Completed</v>
      </c>
      <c r="J73" s="44"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8 Slab, Brickwork upto 7 Floor, Internal Plaster upto 5.25 Floor, External Plaster upto 4.9 Floor</v>
      </c>
      <c r="S73"/>
    </row>
    <row r="74" spans="1:19" x14ac:dyDescent="0.3">
      <c r="A74" s="15" t="s">
        <v>133</v>
      </c>
      <c r="B74" s="42">
        <f>IF(AND(ISNUMBER(SEARCH("1B",C73))),1,IF(AND(ISNUMBER(SEARCH("2B",C73))),2,IF(AND(ISNUMBER(SEARCH("3B",C73))),3,IF(AND(ISNUMBER(SEARCH("4B",C73))),4,IF(ISNUMBER(SEARCH("5B",C73)),5,0)))))</f>
        <v>0</v>
      </c>
      <c r="C74" s="42" t="s">
        <v>68</v>
      </c>
      <c r="D74" s="42">
        <v>1</v>
      </c>
      <c r="E74" s="42" t="s">
        <v>67</v>
      </c>
      <c r="F74" s="42">
        <v>0</v>
      </c>
      <c r="G74" s="42" t="s">
        <v>76</v>
      </c>
      <c r="H74" s="16">
        <f ca="1">--TRIM(RIGHT(SUBSTITUTE(LEFT(C73,_xlfn.AGGREGATE(16,6,FIND({0,1,2,3,4,5,6,7,8,9},C73,ROW(INDIRECT("1:"&amp;LEN(C73)))),1))," ",REPT(" ",LEN(C73))),LEN(C73)))</f>
        <v>14</v>
      </c>
      <c r="I74" s="45" t="str">
        <f ca="1">IF(D77=100%,"Excavation","")&amp;IF(D78=100%,", Plinth","")&amp;IF(D79=100%,", RCC Slab","")&amp;IF(D80=100%,", Brickwork","")&amp;IF(D81=100%,", Internal Plaster","")&amp;IF(D82=100%,", External Plaster","")&amp;IF(D83=100%,", Flooring","")&amp;IF(D84=100%,", Painting","")&amp;IF(D85=100%,", Building common Amenities","")</f>
        <v>Excavation, Plinth</v>
      </c>
      <c r="J74" s="46"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6" customHeight="1" x14ac:dyDescent="0.3">
      <c r="A75" s="114" t="s">
        <v>86</v>
      </c>
      <c r="B75" s="115"/>
      <c r="C75" s="131" t="str">
        <f ca="1">I73</f>
        <v>Excavation, Plinth Completed, RCC upto 8 Slab, Brickwork upto 7 Floor, Internal Plaster upto 5.25 Floor, External Plaster upto 4.9 Floor Completed</v>
      </c>
      <c r="D75" s="131"/>
      <c r="E75" s="131"/>
      <c r="F75" s="131"/>
      <c r="G75" s="131"/>
      <c r="H75" s="132"/>
      <c r="I75" s="45" t="str">
        <f ca="1">IF(I74&lt;&gt;""," Completed","")</f>
        <v xml:space="preserve"> Completed</v>
      </c>
      <c r="J75" s="46" t="str">
        <f ca="1">IF(J73&lt;&gt;"","Completed","")</f>
        <v>Completed</v>
      </c>
      <c r="S75"/>
    </row>
    <row r="76" spans="1:19" ht="15.75" customHeight="1" x14ac:dyDescent="0.3">
      <c r="A76" s="108" t="s">
        <v>46</v>
      </c>
      <c r="B76" s="109"/>
      <c r="C76" s="56" t="s">
        <v>130</v>
      </c>
      <c r="D76" s="56" t="s">
        <v>79</v>
      </c>
      <c r="E76" s="160" t="s">
        <v>81</v>
      </c>
      <c r="F76" s="160"/>
      <c r="G76" s="160" t="s">
        <v>80</v>
      </c>
      <c r="H76" s="163"/>
      <c r="I76" s="13" t="s">
        <v>132</v>
      </c>
      <c r="J76" s="25">
        <f ca="1">H74*25%</f>
        <v>3.5</v>
      </c>
      <c r="S76"/>
    </row>
    <row r="77" spans="1:19" x14ac:dyDescent="0.3">
      <c r="A77" s="108" t="s">
        <v>119</v>
      </c>
      <c r="B77" s="109"/>
      <c r="C77" s="56">
        <f ca="1">J78</f>
        <v>14</v>
      </c>
      <c r="D77" s="57">
        <f ca="1">((100/H74)*C77)/100</f>
        <v>1</v>
      </c>
      <c r="E77" s="102">
        <f ca="1">(((C78/H74*10)+(40/(D74+F74+H74)*C79)+(7.5/(H74)*C80)+(7.5/(H74)*C81)+(10/H74*C82)+(10/H74*C83)+(5/H74*C84)+(5/H74*C85)+(5/H74*C86))/100)</f>
        <v>0.41395833333333326</v>
      </c>
      <c r="F77" s="133"/>
      <c r="G77" s="102">
        <f ca="1">((((C77/H74)*20)+((C78/H74)*25)+(30/(H74+F74+D74)*C79)+(5/H74*C80)+(5/H74*C81)+(5/H74*C82)+(5/H74*C83)+(0/H74*C84)+(0/H74*C85)+(5/H74*C86))/100)</f>
        <v>0.67125000000000001</v>
      </c>
      <c r="H77" s="103"/>
      <c r="I77" s="13" t="s">
        <v>91</v>
      </c>
      <c r="J77" s="26">
        <f ca="1">H74*50%</f>
        <v>7</v>
      </c>
    </row>
    <row r="78" spans="1:19" x14ac:dyDescent="0.3">
      <c r="A78" s="108" t="s">
        <v>47</v>
      </c>
      <c r="B78" s="109"/>
      <c r="C78" s="62">
        <f ca="1">J86</f>
        <v>14</v>
      </c>
      <c r="D78" s="57">
        <f ca="1">((100/H74)*C78)/100</f>
        <v>1</v>
      </c>
      <c r="E78" s="104"/>
      <c r="F78" s="134"/>
      <c r="G78" s="104"/>
      <c r="H78" s="105"/>
      <c r="I78" s="13" t="s">
        <v>92</v>
      </c>
      <c r="J78" s="26">
        <f ca="1">H74</f>
        <v>14</v>
      </c>
      <c r="S78"/>
    </row>
    <row r="79" spans="1:19" ht="15.75" customHeight="1" x14ac:dyDescent="0.3">
      <c r="A79" s="108" t="s">
        <v>120</v>
      </c>
      <c r="B79" s="109"/>
      <c r="C79" s="56">
        <v>8</v>
      </c>
      <c r="D79" s="57">
        <f ca="1">((100/(D74+F74+H74))*C79)/100</f>
        <v>0.53333333333333333</v>
      </c>
      <c r="E79" s="104"/>
      <c r="F79" s="134"/>
      <c r="G79" s="104"/>
      <c r="H79" s="105"/>
      <c r="I79" s="13" t="s">
        <v>93</v>
      </c>
      <c r="J79" s="27">
        <f ca="1">(IF(B74&gt;1,(H74/(B74+2)),H74/4))</f>
        <v>3.5</v>
      </c>
      <c r="S79"/>
    </row>
    <row r="80" spans="1:19" ht="15.75" customHeight="1" x14ac:dyDescent="0.3">
      <c r="A80" s="108" t="s">
        <v>127</v>
      </c>
      <c r="B80" s="109" t="s">
        <v>121</v>
      </c>
      <c r="C80" s="56">
        <f>C79-1</f>
        <v>7</v>
      </c>
      <c r="D80" s="57">
        <f ca="1">((100/H74)*C80)/100</f>
        <v>0.5</v>
      </c>
      <c r="E80" s="104"/>
      <c r="F80" s="134"/>
      <c r="G80" s="104"/>
      <c r="H80" s="105"/>
      <c r="I80" s="13" t="s">
        <v>94</v>
      </c>
      <c r="J80" s="27">
        <f ca="1">(IF(B74&gt;1,(H74/(B74+2)+J79),H74/4+J79))</f>
        <v>7</v>
      </c>
    </row>
    <row r="81" spans="1:10" ht="15.75" customHeight="1" x14ac:dyDescent="0.3">
      <c r="A81" s="108" t="s">
        <v>128</v>
      </c>
      <c r="B81" s="109" t="s">
        <v>121</v>
      </c>
      <c r="C81" s="62">
        <f>C80*0.75</f>
        <v>5.25</v>
      </c>
      <c r="D81" s="57">
        <f ca="1">((100/H74)*C81)/100</f>
        <v>0.375</v>
      </c>
      <c r="E81" s="104"/>
      <c r="F81" s="134"/>
      <c r="G81" s="104"/>
      <c r="H81" s="105"/>
      <c r="I81" s="13" t="s">
        <v>137</v>
      </c>
      <c r="J81" s="27">
        <f>(IF(B74&gt;1,(H74/(B74+2)+J80),0))</f>
        <v>0</v>
      </c>
    </row>
    <row r="82" spans="1:10" ht="15" customHeight="1" x14ac:dyDescent="0.3">
      <c r="A82" s="108" t="s">
        <v>126</v>
      </c>
      <c r="B82" s="109" t="s">
        <v>123</v>
      </c>
      <c r="C82" s="62">
        <f>C80*0.7</f>
        <v>4.8999999999999995</v>
      </c>
      <c r="D82" s="57">
        <f ca="1">((100/(H74))*C82)/100</f>
        <v>0.35</v>
      </c>
      <c r="E82" s="104"/>
      <c r="F82" s="134"/>
      <c r="G82" s="104"/>
      <c r="H82" s="105"/>
      <c r="I82" s="13" t="s">
        <v>134</v>
      </c>
      <c r="J82" s="27">
        <f>(IF(B74&gt;2,(H74/(B74+2)+J81),0))</f>
        <v>0</v>
      </c>
    </row>
    <row r="83" spans="1:10" ht="15.75" customHeight="1" x14ac:dyDescent="0.3">
      <c r="A83" s="108" t="s">
        <v>122</v>
      </c>
      <c r="B83" s="109" t="s">
        <v>122</v>
      </c>
      <c r="C83" s="56">
        <v>0</v>
      </c>
      <c r="D83" s="57">
        <f ca="1">((100/H74)*C83)/100</f>
        <v>0</v>
      </c>
      <c r="E83" s="104"/>
      <c r="F83" s="134"/>
      <c r="G83" s="104"/>
      <c r="H83" s="105"/>
      <c r="I83" s="13" t="s">
        <v>135</v>
      </c>
      <c r="J83" s="28">
        <f>(IF(B74&gt;3,(H74/(B74+2)+J82),0))</f>
        <v>0</v>
      </c>
    </row>
    <row r="84" spans="1:10" ht="15.75" customHeight="1" x14ac:dyDescent="0.3">
      <c r="A84" s="108" t="s">
        <v>129</v>
      </c>
      <c r="B84" s="109"/>
      <c r="C84" s="56">
        <v>0</v>
      </c>
      <c r="D84" s="57">
        <f ca="1">((100/H74)*C84)/100</f>
        <v>0</v>
      </c>
      <c r="E84" s="104"/>
      <c r="F84" s="134"/>
      <c r="G84" s="104"/>
      <c r="H84" s="105"/>
      <c r="I84" s="13" t="s">
        <v>136</v>
      </c>
      <c r="J84" s="27">
        <f>(IF(B74&gt;4,(H74/(B74+2)+J83),0))</f>
        <v>0</v>
      </c>
    </row>
    <row r="85" spans="1:10" ht="15.75" customHeight="1" x14ac:dyDescent="0.3">
      <c r="A85" s="108" t="s">
        <v>124</v>
      </c>
      <c r="B85" s="109" t="s">
        <v>124</v>
      </c>
      <c r="C85" s="56">
        <v>0</v>
      </c>
      <c r="D85" s="57">
        <f ca="1">((100/(H74))*C85)/100</f>
        <v>0</v>
      </c>
      <c r="E85" s="104"/>
      <c r="F85" s="134"/>
      <c r="G85" s="104"/>
      <c r="H85" s="105"/>
      <c r="I85" s="13" t="s">
        <v>138</v>
      </c>
      <c r="J85" s="27">
        <f ca="1">(IF(B74=1,(H74/(B74+3)+J80),IF(B74=0,(H74/4+J80),IF(B74&gt;1,0))))</f>
        <v>10.5</v>
      </c>
    </row>
    <row r="86" spans="1:10" ht="16.2" thickBot="1" x14ac:dyDescent="0.35">
      <c r="A86" s="81" t="s">
        <v>125</v>
      </c>
      <c r="B86" s="82"/>
      <c r="C86" s="58">
        <v>0</v>
      </c>
      <c r="D86" s="59">
        <f ca="1">((100/(H74))*C86)/100</f>
        <v>0</v>
      </c>
      <c r="E86" s="106"/>
      <c r="F86" s="135"/>
      <c r="G86" s="106"/>
      <c r="H86" s="107"/>
      <c r="I86" s="14" t="s">
        <v>95</v>
      </c>
      <c r="J86" s="29">
        <f ca="1">(IF(B74&gt;1.5,(H74/(B74+2)+J80+MAX(0,J81-J80)+MAX(0,J82-J81)+MAX(0,J83-J82)+MAX(0,J84-J83)+MAX(0,J85-J84)),IF(B74=1,(H74/(B74+3)+J85),IF(B74=0,H74/4+J85))))</f>
        <v>14</v>
      </c>
    </row>
    <row r="87" spans="1:10" ht="15.75" customHeight="1" x14ac:dyDescent="0.3">
      <c r="A87" s="116" t="s">
        <v>131</v>
      </c>
      <c r="B87" s="117"/>
      <c r="C87" s="118" t="s">
        <v>352</v>
      </c>
      <c r="D87" s="119"/>
      <c r="E87" s="119"/>
      <c r="F87" s="119"/>
      <c r="G87" s="119"/>
      <c r="H87" s="120"/>
      <c r="I87" s="43" t="str">
        <f ca="1">IF(D100=100%,"All work Completed. Possession granted to the Building.",IF(D99=100%,"All work Completed, Waiting for OC",I88&amp;""&amp;I89&amp;""&amp;J88&amp;""&amp;J87&amp;" "&amp;J89))</f>
        <v>Excavation, Plinth Completed, RCC upto 7 Slab, Brickwork upto 6 Floor, Internal Plaster upto 4.5 Floor, External Plaster upto 4.2 Floor Completed</v>
      </c>
      <c r="J87" s="44"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7 Slab, Brickwork upto 6 Floor, Internal Plaster upto 4.5 Floor, External Plaster upto 4.2 Floor</v>
      </c>
    </row>
    <row r="88" spans="1:10" x14ac:dyDescent="0.3">
      <c r="A88" s="15" t="s">
        <v>133</v>
      </c>
      <c r="B88" s="42">
        <f>IF(AND(ISNUMBER(SEARCH("1B",C87))),1,IF(AND(ISNUMBER(SEARCH("2B",C87))),2,IF(AND(ISNUMBER(SEARCH("3B",C87))),3,IF(AND(ISNUMBER(SEARCH("4B",C87))),4,IF(ISNUMBER(SEARCH("5B",C87)),5,0)))))</f>
        <v>0</v>
      </c>
      <c r="C88" s="42" t="s">
        <v>68</v>
      </c>
      <c r="D88" s="42">
        <v>1</v>
      </c>
      <c r="E88" s="42" t="s">
        <v>67</v>
      </c>
      <c r="F88" s="42">
        <v>0</v>
      </c>
      <c r="G88" s="42" t="s">
        <v>76</v>
      </c>
      <c r="H88" s="16">
        <f ca="1">--TRIM(RIGHT(SUBSTITUTE(LEFT(C87,_xlfn.AGGREGATE(16,6,FIND({0,1,2,3,4,5,6,7,8,9},C87,ROW(INDIRECT("1:"&amp;LEN(C87)))),1))," ",REPT(" ",LEN(C87))),LEN(C87)))</f>
        <v>14</v>
      </c>
      <c r="I88" s="45" t="str">
        <f ca="1">IF(D91=100%,"Excavation","")&amp;IF(D92=100%,", Plinth","")&amp;IF(D93=100%,", RCC Slab","")&amp;IF(D94=100%,", Brickwork","")&amp;IF(D95=100%,", Internal Plaster","")&amp;IF(D96=100%,", External Plaster","")&amp;IF(D97=100%,", Flooring","")&amp;IF(D98=100%,", Painting","")&amp;IF(D99=100%,", Building common Amenities","")</f>
        <v>Excavation, Plinth</v>
      </c>
      <c r="J88" s="46"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row>
    <row r="89" spans="1:10" ht="34.200000000000003" customHeight="1" x14ac:dyDescent="0.3">
      <c r="A89" s="114" t="s">
        <v>86</v>
      </c>
      <c r="B89" s="115"/>
      <c r="C89" s="131" t="str">
        <f ca="1">(IF($G$60="NA",I87,"All work Completed. OC Received."))</f>
        <v>Excavation, Plinth Completed, RCC upto 7 Slab, Brickwork upto 6 Floor, Internal Plaster upto 4.5 Floor, External Plaster upto 4.2 Floor Completed</v>
      </c>
      <c r="D89" s="131"/>
      <c r="E89" s="131"/>
      <c r="F89" s="131"/>
      <c r="G89" s="131"/>
      <c r="H89" s="132"/>
      <c r="I89" s="45" t="str">
        <f ca="1">IF(I88&lt;&gt;""," Completed","")</f>
        <v xml:space="preserve"> Completed</v>
      </c>
      <c r="J89" s="46" t="str">
        <f ca="1">IF(J87&lt;&gt;"","Completed","")</f>
        <v>Completed</v>
      </c>
    </row>
    <row r="90" spans="1:10" ht="15.75" customHeight="1" x14ac:dyDescent="0.3">
      <c r="A90" s="108" t="s">
        <v>46</v>
      </c>
      <c r="B90" s="109"/>
      <c r="C90" s="56" t="s">
        <v>130</v>
      </c>
      <c r="D90" s="56" t="s">
        <v>79</v>
      </c>
      <c r="E90" s="160" t="s">
        <v>81</v>
      </c>
      <c r="F90" s="160"/>
      <c r="G90" s="160" t="s">
        <v>80</v>
      </c>
      <c r="H90" s="163"/>
      <c r="I90" s="13" t="s">
        <v>132</v>
      </c>
      <c r="J90" s="25">
        <f ca="1">H88*25%</f>
        <v>3.5</v>
      </c>
    </row>
    <row r="91" spans="1:10" x14ac:dyDescent="0.3">
      <c r="A91" s="108" t="s">
        <v>119</v>
      </c>
      <c r="B91" s="109"/>
      <c r="C91" s="56">
        <f ca="1">J92</f>
        <v>14</v>
      </c>
      <c r="D91" s="57">
        <f ca="1">((100/H88)*C91)/100</f>
        <v>1</v>
      </c>
      <c r="E91" s="102">
        <f ca="1">(((C92/H88*10)+(40/(D88+F88+H88)*C93)+(7.5/(H88)*C94)+(7.5/(H88)*C95)+(10/H88*C96)+(10/H88*C97)+(5/H88*C98)+(5/H88*C99)+(5/H88*C100))/100)</f>
        <v>0.37291666666666662</v>
      </c>
      <c r="F91" s="133"/>
      <c r="G91" s="102">
        <f ca="1">((((C91/H88)*20)+((C92/H88)*25)+(30/(H88+F88+D88)*C93)+(5/H88*C94)+(5/H88*C95)+(5/H88*C96)+(5/H88*C97)+(0/H88*C98)+(0/H88*C99)+(5/H88*C100))/100)</f>
        <v>0.64249999999999996</v>
      </c>
      <c r="H91" s="103"/>
      <c r="I91" s="13" t="s">
        <v>91</v>
      </c>
      <c r="J91" s="26">
        <f ca="1">H88*50%</f>
        <v>7</v>
      </c>
    </row>
    <row r="92" spans="1:10" x14ac:dyDescent="0.3">
      <c r="A92" s="108" t="s">
        <v>47</v>
      </c>
      <c r="B92" s="109"/>
      <c r="C92" s="62">
        <f ca="1">J100</f>
        <v>14</v>
      </c>
      <c r="D92" s="57">
        <f ca="1">((100/H88)*C92)/100</f>
        <v>1</v>
      </c>
      <c r="E92" s="104"/>
      <c r="F92" s="134"/>
      <c r="G92" s="104"/>
      <c r="H92" s="105"/>
      <c r="I92" s="13" t="s">
        <v>92</v>
      </c>
      <c r="J92" s="26">
        <f ca="1">H88</f>
        <v>14</v>
      </c>
    </row>
    <row r="93" spans="1:10" ht="15.75" customHeight="1" x14ac:dyDescent="0.3">
      <c r="A93" s="108" t="s">
        <v>120</v>
      </c>
      <c r="B93" s="109"/>
      <c r="C93" s="56">
        <v>7</v>
      </c>
      <c r="D93" s="57">
        <f ca="1">((100/(D88+F88+H88))*C93)/100</f>
        <v>0.46666666666666673</v>
      </c>
      <c r="E93" s="104"/>
      <c r="F93" s="134"/>
      <c r="G93" s="104"/>
      <c r="H93" s="105"/>
      <c r="I93" s="13" t="s">
        <v>93</v>
      </c>
      <c r="J93" s="27">
        <f ca="1">(IF(B88&gt;1,(H88/(B88+2)),H88/4))</f>
        <v>3.5</v>
      </c>
    </row>
    <row r="94" spans="1:10" ht="15.75" customHeight="1" x14ac:dyDescent="0.3">
      <c r="A94" s="108" t="s">
        <v>127</v>
      </c>
      <c r="B94" s="109" t="s">
        <v>121</v>
      </c>
      <c r="C94" s="56">
        <f>C93-1</f>
        <v>6</v>
      </c>
      <c r="D94" s="57">
        <f ca="1">((100/H88)*C94)/100</f>
        <v>0.4285714285714286</v>
      </c>
      <c r="E94" s="104"/>
      <c r="F94" s="134"/>
      <c r="G94" s="104"/>
      <c r="H94" s="105"/>
      <c r="I94" s="13" t="s">
        <v>94</v>
      </c>
      <c r="J94" s="27">
        <f ca="1">(IF(B88&gt;1,(H88/(B88+2)+J93),H88/4+J93))</f>
        <v>7</v>
      </c>
    </row>
    <row r="95" spans="1:10" ht="15.75" customHeight="1" x14ac:dyDescent="0.3">
      <c r="A95" s="108" t="s">
        <v>128</v>
      </c>
      <c r="B95" s="109" t="s">
        <v>121</v>
      </c>
      <c r="C95" s="62">
        <f>C94*0.75</f>
        <v>4.5</v>
      </c>
      <c r="D95" s="57">
        <f ca="1">((100/H88)*C95)/100</f>
        <v>0.32142857142857145</v>
      </c>
      <c r="E95" s="104"/>
      <c r="F95" s="134"/>
      <c r="G95" s="104"/>
      <c r="H95" s="105"/>
      <c r="I95" s="13" t="s">
        <v>137</v>
      </c>
      <c r="J95" s="27">
        <f>(IF(B88&gt;1,(H88/(B88+2)+J94),0))</f>
        <v>0</v>
      </c>
    </row>
    <row r="96" spans="1:10" ht="15" customHeight="1" x14ac:dyDescent="0.3">
      <c r="A96" s="108" t="s">
        <v>126</v>
      </c>
      <c r="B96" s="109" t="s">
        <v>123</v>
      </c>
      <c r="C96" s="62">
        <f>C94*0.7</f>
        <v>4.1999999999999993</v>
      </c>
      <c r="D96" s="57">
        <f ca="1">((100/(H88))*C96)/100</f>
        <v>0.3</v>
      </c>
      <c r="E96" s="104"/>
      <c r="F96" s="134"/>
      <c r="G96" s="104"/>
      <c r="H96" s="105"/>
      <c r="I96" s="13" t="s">
        <v>134</v>
      </c>
      <c r="J96" s="27">
        <f>(IF(B88&gt;2,(H88/(B88+2)+J95),0))</f>
        <v>0</v>
      </c>
    </row>
    <row r="97" spans="1:22" ht="15.75" customHeight="1" x14ac:dyDescent="0.3">
      <c r="A97" s="108" t="s">
        <v>122</v>
      </c>
      <c r="B97" s="109" t="s">
        <v>122</v>
      </c>
      <c r="C97" s="56">
        <v>0</v>
      </c>
      <c r="D97" s="57">
        <f ca="1">((100/H88)*C97)/100</f>
        <v>0</v>
      </c>
      <c r="E97" s="104"/>
      <c r="F97" s="134"/>
      <c r="G97" s="104"/>
      <c r="H97" s="105"/>
      <c r="I97" s="13" t="s">
        <v>135</v>
      </c>
      <c r="J97" s="28">
        <f>(IF(B88&gt;3,(H88/(B88+2)+J96),0))</f>
        <v>0</v>
      </c>
    </row>
    <row r="98" spans="1:22" ht="15.75" customHeight="1" x14ac:dyDescent="0.3">
      <c r="A98" s="108" t="s">
        <v>129</v>
      </c>
      <c r="B98" s="109"/>
      <c r="C98" s="56">
        <v>0</v>
      </c>
      <c r="D98" s="57">
        <f ca="1">((100/H88)*C98)/100</f>
        <v>0</v>
      </c>
      <c r="E98" s="104"/>
      <c r="F98" s="134"/>
      <c r="G98" s="104"/>
      <c r="H98" s="105"/>
      <c r="I98" s="13" t="s">
        <v>136</v>
      </c>
      <c r="J98" s="27">
        <f>(IF(B88&gt;4,(H88/(B88+2)+J97),0))</f>
        <v>0</v>
      </c>
    </row>
    <row r="99" spans="1:22" ht="15.75" customHeight="1" x14ac:dyDescent="0.3">
      <c r="A99" s="108" t="s">
        <v>124</v>
      </c>
      <c r="B99" s="109" t="s">
        <v>124</v>
      </c>
      <c r="C99" s="56">
        <v>0</v>
      </c>
      <c r="D99" s="57">
        <f ca="1">((100/(H88))*C99)/100</f>
        <v>0</v>
      </c>
      <c r="E99" s="104"/>
      <c r="F99" s="134"/>
      <c r="G99" s="104"/>
      <c r="H99" s="105"/>
      <c r="I99" s="13" t="s">
        <v>138</v>
      </c>
      <c r="J99" s="27">
        <f ca="1">(IF(B88=1,(H88/(B88+3)+J94),IF(B88=0,(H88/4+J94),IF(B88&gt;1,0))))</f>
        <v>10.5</v>
      </c>
    </row>
    <row r="100" spans="1:22" ht="16.2" thickBot="1" x14ac:dyDescent="0.35">
      <c r="A100" s="81" t="s">
        <v>125</v>
      </c>
      <c r="B100" s="82"/>
      <c r="C100" s="58">
        <v>0</v>
      </c>
      <c r="D100" s="59">
        <f ca="1">((100/(H88))*C100)/100</f>
        <v>0</v>
      </c>
      <c r="E100" s="106"/>
      <c r="F100" s="135"/>
      <c r="G100" s="106"/>
      <c r="H100" s="107"/>
      <c r="I100" s="14" t="s">
        <v>95</v>
      </c>
      <c r="J100" s="29">
        <f ca="1">(IF(B88&gt;1.5,(H88/(B88+2)+J94+MAX(0,J95-J94)+MAX(0,J96-J95)+MAX(0,J97-J96)+MAX(0,J98-J97)+MAX(0,J99-J98)),IF(B88=1,(H88/(B88+3)+J99),IF(B88=0,H88/4+J99))))</f>
        <v>14</v>
      </c>
    </row>
    <row r="101" spans="1:22" x14ac:dyDescent="0.3">
      <c r="A101" s="112" t="s">
        <v>148</v>
      </c>
      <c r="B101" s="112"/>
      <c r="C101" s="112"/>
      <c r="D101" s="112"/>
      <c r="E101" s="112"/>
      <c r="F101" s="168" t="s">
        <v>152</v>
      </c>
      <c r="G101" s="168"/>
      <c r="H101" s="168"/>
      <c r="R101" t="s">
        <v>246</v>
      </c>
      <c r="S101" t="s">
        <v>164</v>
      </c>
      <c r="T101" t="s">
        <v>170</v>
      </c>
      <c r="U101" t="s">
        <v>185</v>
      </c>
      <c r="V101" t="s">
        <v>180</v>
      </c>
    </row>
    <row r="102" spans="1:22" x14ac:dyDescent="0.3">
      <c r="A102" s="85" t="s">
        <v>150</v>
      </c>
      <c r="B102" s="85"/>
      <c r="C102" s="85"/>
      <c r="D102" s="85"/>
      <c r="E102" s="85"/>
      <c r="F102" s="110">
        <v>7500</v>
      </c>
      <c r="G102" s="110"/>
      <c r="H102" s="110"/>
      <c r="I102" s="18" t="s">
        <v>355</v>
      </c>
      <c r="J102" s="18" t="s">
        <v>356</v>
      </c>
      <c r="K102" s="18" t="s">
        <v>357</v>
      </c>
      <c r="R102"/>
      <c r="S102">
        <v>800000</v>
      </c>
      <c r="T102">
        <v>150000</v>
      </c>
      <c r="U102">
        <v>100000</v>
      </c>
      <c r="V102">
        <v>100000</v>
      </c>
    </row>
    <row r="103" spans="1:22" hidden="1" x14ac:dyDescent="0.3">
      <c r="A103" s="85" t="s">
        <v>149</v>
      </c>
      <c r="B103" s="85"/>
      <c r="C103" s="85"/>
      <c r="D103" s="85"/>
      <c r="E103" s="85"/>
      <c r="F103" s="110"/>
      <c r="G103" s="110"/>
      <c r="H103" s="110"/>
      <c r="R103"/>
      <c r="S103">
        <v>900000</v>
      </c>
      <c r="T103">
        <v>200000</v>
      </c>
      <c r="U103">
        <v>150000</v>
      </c>
      <c r="V103">
        <v>150000</v>
      </c>
    </row>
    <row r="104" spans="1:22" hidden="1" x14ac:dyDescent="0.3">
      <c r="A104" s="85" t="s">
        <v>151</v>
      </c>
      <c r="B104" s="85"/>
      <c r="C104" s="85"/>
      <c r="D104" s="85"/>
      <c r="E104" s="85"/>
      <c r="F104" s="110"/>
      <c r="G104" s="110"/>
      <c r="H104" s="110"/>
      <c r="R104"/>
      <c r="S104">
        <v>1000000</v>
      </c>
      <c r="T104">
        <v>250000</v>
      </c>
      <c r="U104">
        <v>200000</v>
      </c>
      <c r="V104">
        <v>200000</v>
      </c>
    </row>
    <row r="105" spans="1:22" s="30" customFormat="1" hidden="1" x14ac:dyDescent="0.3">
      <c r="A105" s="85" t="s">
        <v>166</v>
      </c>
      <c r="B105" s="85"/>
      <c r="C105" s="85"/>
      <c r="D105" s="85"/>
      <c r="E105" s="85"/>
      <c r="F105" s="110"/>
      <c r="G105" s="110"/>
      <c r="H105" s="110"/>
      <c r="R105"/>
      <c r="S105">
        <v>1100000</v>
      </c>
      <c r="T105">
        <v>300000</v>
      </c>
      <c r="U105">
        <v>250000</v>
      </c>
      <c r="V105" s="20">
        <v>250000</v>
      </c>
    </row>
    <row r="106" spans="1:22" s="30" customFormat="1" ht="33.75" customHeight="1" x14ac:dyDescent="0.3">
      <c r="A106" s="80" t="s">
        <v>346</v>
      </c>
      <c r="B106" s="80"/>
      <c r="C106" s="80"/>
      <c r="D106" s="80"/>
      <c r="E106" s="80"/>
      <c r="F106" s="110">
        <v>90000</v>
      </c>
      <c r="G106" s="110"/>
      <c r="H106" s="110"/>
      <c r="R106"/>
      <c r="S106">
        <v>1200000</v>
      </c>
      <c r="T106">
        <v>350000</v>
      </c>
      <c r="U106">
        <v>300000</v>
      </c>
      <c r="V106">
        <v>300000</v>
      </c>
    </row>
    <row r="107" spans="1:22" s="30" customFormat="1" x14ac:dyDescent="0.3">
      <c r="A107" s="85" t="s">
        <v>347</v>
      </c>
      <c r="B107" s="85"/>
      <c r="C107" s="85"/>
      <c r="D107" s="85"/>
      <c r="E107" s="85"/>
      <c r="F107" s="110">
        <v>140000</v>
      </c>
      <c r="G107" s="110"/>
      <c r="H107" s="110"/>
      <c r="R107"/>
      <c r="S107">
        <v>1300000</v>
      </c>
      <c r="T107">
        <v>400000</v>
      </c>
      <c r="U107">
        <v>350000</v>
      </c>
      <c r="V107" s="20">
        <v>400000</v>
      </c>
    </row>
    <row r="108" spans="1:22" s="30" customFormat="1" x14ac:dyDescent="0.3">
      <c r="A108" s="85" t="s">
        <v>348</v>
      </c>
      <c r="B108" s="85"/>
      <c r="C108" s="85"/>
      <c r="D108" s="85"/>
      <c r="E108" s="85"/>
      <c r="F108" s="110">
        <v>150000</v>
      </c>
      <c r="G108" s="110"/>
      <c r="H108" s="110"/>
      <c r="R108"/>
      <c r="S108">
        <v>1400000</v>
      </c>
      <c r="T108">
        <v>500000</v>
      </c>
      <c r="U108">
        <v>400000</v>
      </c>
      <c r="V108"/>
    </row>
    <row r="109" spans="1:22" s="30" customFormat="1" x14ac:dyDescent="0.3">
      <c r="A109" s="85" t="s">
        <v>349</v>
      </c>
      <c r="B109" s="85"/>
      <c r="C109" s="85"/>
      <c r="D109" s="85"/>
      <c r="E109" s="85"/>
      <c r="F109" s="110">
        <v>20000</v>
      </c>
      <c r="G109" s="110"/>
      <c r="H109" s="110"/>
      <c r="R109"/>
      <c r="S109">
        <v>1500000</v>
      </c>
      <c r="T109">
        <v>600000</v>
      </c>
      <c r="U109">
        <v>500000</v>
      </c>
      <c r="V109" s="20"/>
    </row>
    <row r="110" spans="1:22" s="30" customFormat="1" hidden="1" x14ac:dyDescent="0.3">
      <c r="A110" s="85" t="s">
        <v>89</v>
      </c>
      <c r="B110" s="85"/>
      <c r="C110" s="85"/>
      <c r="D110" s="85"/>
      <c r="E110" s="85"/>
      <c r="F110" s="110"/>
      <c r="G110" s="110"/>
      <c r="H110" s="110"/>
      <c r="R110"/>
      <c r="S110">
        <v>1600000</v>
      </c>
      <c r="T110">
        <v>700000</v>
      </c>
      <c r="U110">
        <v>600000</v>
      </c>
      <c r="V110"/>
    </row>
    <row r="111" spans="1:22" s="30" customFormat="1" hidden="1" x14ac:dyDescent="0.3">
      <c r="A111" s="85" t="s">
        <v>90</v>
      </c>
      <c r="B111" s="85"/>
      <c r="C111" s="85"/>
      <c r="D111" s="85"/>
      <c r="E111" s="85"/>
      <c r="F111" s="110"/>
      <c r="G111" s="110"/>
      <c r="H111" s="110"/>
      <c r="R111"/>
      <c r="S111">
        <v>1700000</v>
      </c>
      <c r="T111">
        <v>800000</v>
      </c>
      <c r="U111"/>
      <c r="V111" s="20"/>
    </row>
    <row r="112" spans="1:22" x14ac:dyDescent="0.3">
      <c r="A112" s="85" t="s">
        <v>48</v>
      </c>
      <c r="B112" s="85"/>
      <c r="C112" s="85"/>
      <c r="D112" s="85"/>
      <c r="E112" s="85"/>
      <c r="F112" s="110">
        <v>400000</v>
      </c>
      <c r="G112" s="110"/>
      <c r="H112" s="110"/>
      <c r="R112"/>
      <c r="S112">
        <v>1800000</v>
      </c>
      <c r="T112">
        <v>900000</v>
      </c>
      <c r="U112"/>
    </row>
    <row r="113" spans="1:22" s="31" customFormat="1" x14ac:dyDescent="0.3">
      <c r="A113" s="128" t="s">
        <v>49</v>
      </c>
      <c r="B113" s="128"/>
      <c r="C113" s="128"/>
      <c r="D113" s="128"/>
      <c r="E113" s="128"/>
      <c r="F113" s="110">
        <f>F102*0.8</f>
        <v>6000</v>
      </c>
      <c r="G113" s="110"/>
      <c r="H113" s="110"/>
      <c r="R113" s="18"/>
      <c r="S113" s="18"/>
      <c r="T113">
        <v>1000000</v>
      </c>
      <c r="U113"/>
      <c r="V113" s="18"/>
    </row>
    <row r="114" spans="1:22" s="32" customFormat="1" ht="15.75" hidden="1" customHeight="1" x14ac:dyDescent="0.3">
      <c r="A114" s="83" t="s">
        <v>71</v>
      </c>
      <c r="B114" s="83"/>
      <c r="C114" s="83"/>
      <c r="D114" s="83"/>
      <c r="E114" s="83"/>
      <c r="F114" s="83"/>
      <c r="G114" s="83"/>
      <c r="H114" s="83"/>
      <c r="R114"/>
      <c r="S114" s="18"/>
      <c r="T114"/>
      <c r="U114"/>
      <c r="V114" s="18"/>
    </row>
    <row r="115" spans="1:22" s="32" customFormat="1" ht="15.75" hidden="1" customHeight="1" x14ac:dyDescent="0.3">
      <c r="A115" s="86" t="s">
        <v>50</v>
      </c>
      <c r="B115" s="86"/>
      <c r="C115" s="90" t="s">
        <v>74</v>
      </c>
      <c r="D115" s="90"/>
      <c r="E115" s="91" t="s">
        <v>51</v>
      </c>
      <c r="F115" s="91"/>
      <c r="G115" s="86" t="s">
        <v>52</v>
      </c>
      <c r="H115" s="86"/>
      <c r="R115"/>
      <c r="S115" s="18"/>
      <c r="T115"/>
      <c r="U115" s="18"/>
      <c r="V115" s="18"/>
    </row>
    <row r="116" spans="1:22" s="32" customFormat="1" hidden="1" x14ac:dyDescent="0.3">
      <c r="A116" s="94"/>
      <c r="B116" s="94"/>
      <c r="C116" s="87"/>
      <c r="D116" s="87"/>
      <c r="E116" s="88"/>
      <c r="F116" s="88"/>
      <c r="G116" s="89"/>
      <c r="H116" s="89"/>
      <c r="R116"/>
      <c r="S116" s="18"/>
      <c r="T116"/>
      <c r="U116" s="18"/>
      <c r="V116" s="18"/>
    </row>
    <row r="117" spans="1:22" s="32" customFormat="1" hidden="1" x14ac:dyDescent="0.3">
      <c r="A117" s="94"/>
      <c r="B117" s="94"/>
      <c r="C117" s="87"/>
      <c r="D117" s="87"/>
      <c r="E117" s="88"/>
      <c r="F117" s="88"/>
      <c r="G117" s="89"/>
      <c r="H117" s="89"/>
      <c r="R117"/>
      <c r="S117" s="18"/>
      <c r="T117"/>
      <c r="U117" s="18"/>
      <c r="V117" s="18"/>
    </row>
    <row r="118" spans="1:22" s="32" customFormat="1" hidden="1" x14ac:dyDescent="0.3">
      <c r="A118" s="83" t="s">
        <v>141</v>
      </c>
      <c r="B118" s="83"/>
      <c r="C118" s="90"/>
      <c r="D118" s="90"/>
      <c r="E118" s="91"/>
      <c r="F118" s="91"/>
      <c r="G118" s="86"/>
      <c r="H118" s="86"/>
      <c r="R118"/>
      <c r="S118" s="18"/>
      <c r="T118"/>
      <c r="U118" s="18"/>
      <c r="V118" s="18"/>
    </row>
    <row r="119" spans="1:22" s="32" customFormat="1" x14ac:dyDescent="0.3">
      <c r="A119" s="83" t="s">
        <v>307</v>
      </c>
      <c r="B119" s="83"/>
      <c r="C119" s="83"/>
      <c r="D119" s="83"/>
      <c r="E119" s="83"/>
      <c r="F119" s="83"/>
      <c r="G119" s="83"/>
      <c r="H119" s="83"/>
      <c r="R119"/>
      <c r="S119" s="18"/>
      <c r="T119"/>
      <c r="U119" s="18"/>
      <c r="V119" s="18"/>
    </row>
    <row r="120" spans="1:22" s="32" customFormat="1" x14ac:dyDescent="0.3">
      <c r="A120" s="83" t="s">
        <v>66</v>
      </c>
      <c r="B120" s="83"/>
      <c r="C120" s="83"/>
      <c r="D120" s="83"/>
      <c r="E120" s="83"/>
      <c r="F120" s="83"/>
      <c r="G120" s="83"/>
      <c r="H120" s="83"/>
      <c r="T120"/>
    </row>
    <row r="121" spans="1:22" s="32" customFormat="1" ht="15.75" customHeight="1" x14ac:dyDescent="0.3">
      <c r="A121" s="86" t="s">
        <v>50</v>
      </c>
      <c r="B121" s="86"/>
      <c r="C121" s="90" t="s">
        <v>74</v>
      </c>
      <c r="D121" s="90"/>
      <c r="E121" s="91" t="s">
        <v>51</v>
      </c>
      <c r="F121" s="91"/>
      <c r="G121" s="86" t="s">
        <v>52</v>
      </c>
      <c r="H121" s="86"/>
      <c r="T121"/>
    </row>
    <row r="122" spans="1:22" s="32" customFormat="1" x14ac:dyDescent="0.3">
      <c r="A122" s="94" t="s">
        <v>342</v>
      </c>
      <c r="B122" s="41" t="s">
        <v>308</v>
      </c>
      <c r="C122" s="92">
        <f>COUNT(F143:F149)*12+COUNT(F151:F157)+COUNT(F159:F165)</f>
        <v>98</v>
      </c>
      <c r="D122" s="92"/>
      <c r="E122" s="93">
        <f>SUM(F143:F149)*12+SUM(F151:F157)+SUM(F159:F165)</f>
        <v>31572.318960000001</v>
      </c>
      <c r="F122" s="93"/>
      <c r="G122" s="93">
        <f>SUM(H143:H149)*12+SUM(H151:H157)+SUM(H159:H165)</f>
        <v>47358.478440000006</v>
      </c>
      <c r="H122" s="93"/>
      <c r="T122"/>
    </row>
    <row r="123" spans="1:22" s="32" customFormat="1" x14ac:dyDescent="0.3">
      <c r="A123" s="95"/>
      <c r="B123" s="41" t="s">
        <v>310</v>
      </c>
      <c r="C123" s="92">
        <f>COUNT(F169:F177)*12+COUNT(F179:F184,F186:F187)+COUNT(F189:F194,F196:F197)</f>
        <v>124</v>
      </c>
      <c r="D123" s="92"/>
      <c r="E123" s="93">
        <f>SUM(F169:F177)*12+SUM(F179:F184,F186:F187)+SUM(F189:F194,F196:F197)</f>
        <v>39948.648479999989</v>
      </c>
      <c r="F123" s="93"/>
      <c r="G123" s="93">
        <f>SUM(H169:H177)*12+SUM(H179:H184,H186:H187)+SUM(H189:H194,H196:H197)</f>
        <v>59922.972720000005</v>
      </c>
      <c r="H123" s="93"/>
      <c r="T123"/>
    </row>
    <row r="124" spans="1:22" s="32" customFormat="1" x14ac:dyDescent="0.3">
      <c r="A124" s="83" t="s">
        <v>141</v>
      </c>
      <c r="B124" s="83"/>
      <c r="C124" s="171">
        <f>SUM(C122:D123)</f>
        <v>222</v>
      </c>
      <c r="D124" s="90"/>
      <c r="E124" s="84">
        <f t="shared" ref="E124:G124" si="0">SUM(E122:F123)</f>
        <v>71520.967439999993</v>
      </c>
      <c r="F124" s="84"/>
      <c r="G124" s="86">
        <f t="shared" si="0"/>
        <v>107281.45116000001</v>
      </c>
      <c r="H124" s="86"/>
      <c r="T124"/>
    </row>
    <row r="125" spans="1:22" s="32" customFormat="1" hidden="1" x14ac:dyDescent="0.3">
      <c r="A125" s="83" t="s">
        <v>158</v>
      </c>
      <c r="B125" s="83"/>
      <c r="C125" s="90">
        <f>C118+C124</f>
        <v>222</v>
      </c>
      <c r="D125" s="90"/>
      <c r="E125" s="84">
        <f>E118+E124</f>
        <v>71520.967439999993</v>
      </c>
      <c r="F125" s="84"/>
      <c r="G125" s="86">
        <f>G118+G124</f>
        <v>107281.45116000001</v>
      </c>
      <c r="H125" s="86"/>
      <c r="T125"/>
    </row>
    <row r="126" spans="1:22" s="31" customFormat="1" x14ac:dyDescent="0.3">
      <c r="A126" s="158" t="s">
        <v>53</v>
      </c>
      <c r="B126" s="158"/>
      <c r="C126" s="158"/>
      <c r="D126" s="158"/>
      <c r="E126" s="158"/>
      <c r="F126" s="158"/>
      <c r="G126" s="158"/>
      <c r="H126" s="158"/>
      <c r="T126" s="32"/>
    </row>
    <row r="127" spans="1:22" x14ac:dyDescent="0.3">
      <c r="A127" s="153" t="s">
        <v>315</v>
      </c>
      <c r="B127" s="153"/>
      <c r="C127" s="153"/>
      <c r="D127" s="153"/>
      <c r="E127" s="153"/>
      <c r="F127" s="153"/>
      <c r="G127" s="153"/>
      <c r="H127" s="153"/>
      <c r="T127" s="32"/>
    </row>
    <row r="128" spans="1:22" ht="47.25" hidden="1" customHeight="1" x14ac:dyDescent="0.3">
      <c r="A128" s="124" t="s">
        <v>111</v>
      </c>
      <c r="B128" s="124" t="s">
        <v>167</v>
      </c>
      <c r="C128" s="124" t="s">
        <v>54</v>
      </c>
      <c r="D128" s="111" t="s">
        <v>224</v>
      </c>
      <c r="E128" s="113" t="s">
        <v>147</v>
      </c>
      <c r="F128" s="124" t="s">
        <v>55</v>
      </c>
      <c r="G128" s="113" t="s">
        <v>56</v>
      </c>
      <c r="H128" s="65" t="s">
        <v>140</v>
      </c>
      <c r="T128" s="32"/>
    </row>
    <row r="129" spans="1:20" s="34" customFormat="1" hidden="1" x14ac:dyDescent="0.3">
      <c r="A129" s="124"/>
      <c r="B129" s="124"/>
      <c r="C129" s="124"/>
      <c r="D129" s="111"/>
      <c r="E129" s="113"/>
      <c r="F129" s="124"/>
      <c r="G129" s="113"/>
      <c r="H129" s="66">
        <v>0.45</v>
      </c>
      <c r="T129" s="32"/>
    </row>
    <row r="130" spans="1:20" s="34" customFormat="1" hidden="1" x14ac:dyDescent="0.3">
      <c r="A130" s="129" t="s">
        <v>110</v>
      </c>
      <c r="B130" s="129"/>
      <c r="C130" s="129"/>
      <c r="D130" s="129"/>
      <c r="E130" s="129"/>
      <c r="F130" s="129"/>
      <c r="G130" s="129"/>
      <c r="H130" s="129"/>
      <c r="J130" s="33"/>
      <c r="T130" s="32"/>
    </row>
    <row r="131" spans="1:20" s="34" customFormat="1" ht="15.75" hidden="1" customHeight="1" x14ac:dyDescent="0.3">
      <c r="A131" s="96">
        <v>1</v>
      </c>
      <c r="B131" s="96"/>
      <c r="C131" s="39"/>
      <c r="D131" s="39">
        <v>0</v>
      </c>
      <c r="E131" s="39">
        <v>0</v>
      </c>
      <c r="F131" s="39">
        <f>D131+(IF(E131&lt;201,E131,IF(E131&lt;301,E131/2,E131/3)))</f>
        <v>0</v>
      </c>
      <c r="G131" s="39">
        <v>0</v>
      </c>
      <c r="H131" s="39">
        <f>(F131+(IF(G131&lt;101,G131,IF(G131&lt;201,G131/2,IF(G131&lt;=301,G131/3,G131/4)))))*(($H$129)+1)</f>
        <v>0</v>
      </c>
      <c r="I131" s="33"/>
      <c r="L131" s="121"/>
      <c r="M131" s="121"/>
      <c r="N131" s="33"/>
      <c r="T131" s="32"/>
    </row>
    <row r="132" spans="1:20" s="34" customFormat="1" ht="15.75" hidden="1" customHeight="1" x14ac:dyDescent="0.3">
      <c r="A132" s="96">
        <f>A131+1</f>
        <v>2</v>
      </c>
      <c r="B132" s="96"/>
      <c r="C132" s="39"/>
      <c r="D132" s="39"/>
      <c r="E132" s="39">
        <v>0</v>
      </c>
      <c r="F132" s="39">
        <f t="shared" ref="F132:F134" si="1">D132+(IF(E132&lt;201,E132,IF(E132&lt;301,E132/2,E132/3)))</f>
        <v>0</v>
      </c>
      <c r="G132" s="39">
        <v>0</v>
      </c>
      <c r="H132" s="39">
        <f t="shared" ref="H132:H134" si="2">(F132+(IF(G132&lt;101,G132,IF(G132&lt;201,G132/2,IF(G132&lt;=301,G132/3,G132/4)))))*(($H$129)+1)</f>
        <v>0</v>
      </c>
      <c r="I132" s="33"/>
      <c r="L132" s="121"/>
      <c r="M132" s="121"/>
      <c r="N132" s="33"/>
      <c r="T132" s="31"/>
    </row>
    <row r="133" spans="1:20" s="34" customFormat="1" ht="15.75" hidden="1" customHeight="1" x14ac:dyDescent="0.3">
      <c r="A133" s="96">
        <f>A132+1</f>
        <v>3</v>
      </c>
      <c r="B133" s="96"/>
      <c r="C133" s="39"/>
      <c r="D133" s="39"/>
      <c r="E133" s="39">
        <v>0</v>
      </c>
      <c r="F133" s="39">
        <f t="shared" si="1"/>
        <v>0</v>
      </c>
      <c r="G133" s="39">
        <v>0</v>
      </c>
      <c r="H133" s="39">
        <f t="shared" si="2"/>
        <v>0</v>
      </c>
      <c r="I133" s="33"/>
      <c r="L133" s="121"/>
      <c r="M133" s="121"/>
      <c r="N133" s="33"/>
      <c r="T133" s="18"/>
    </row>
    <row r="134" spans="1:20" s="34" customFormat="1" ht="15.75" hidden="1" customHeight="1" x14ac:dyDescent="0.3">
      <c r="A134" s="96">
        <f>A133+1</f>
        <v>4</v>
      </c>
      <c r="B134" s="96"/>
      <c r="C134" s="39"/>
      <c r="D134" s="39"/>
      <c r="E134" s="39">
        <v>0</v>
      </c>
      <c r="F134" s="39">
        <f t="shared" si="1"/>
        <v>0</v>
      </c>
      <c r="G134" s="39">
        <v>0</v>
      </c>
      <c r="H134" s="39">
        <f t="shared" si="2"/>
        <v>0</v>
      </c>
      <c r="I134" s="33"/>
      <c r="L134" s="121"/>
      <c r="M134" s="121"/>
      <c r="N134" s="33"/>
      <c r="T134" s="18"/>
    </row>
    <row r="135" spans="1:20" s="34" customFormat="1" x14ac:dyDescent="0.3">
      <c r="A135" s="96"/>
      <c r="B135" s="96"/>
      <c r="C135" s="96"/>
      <c r="D135" s="96"/>
      <c r="E135" s="96"/>
      <c r="F135" s="96"/>
      <c r="G135" s="96"/>
      <c r="H135" s="96"/>
      <c r="I135" s="33"/>
      <c r="N135" s="33"/>
    </row>
    <row r="136" spans="1:20" ht="47.25" customHeight="1" x14ac:dyDescent="0.3">
      <c r="A136" s="124" t="s">
        <v>112</v>
      </c>
      <c r="B136" s="124" t="s">
        <v>168</v>
      </c>
      <c r="C136" s="124" t="s">
        <v>54</v>
      </c>
      <c r="D136" s="170" t="s">
        <v>224</v>
      </c>
      <c r="E136" s="124" t="s">
        <v>223</v>
      </c>
      <c r="F136" s="124" t="s">
        <v>55</v>
      </c>
      <c r="G136" s="113" t="s">
        <v>56</v>
      </c>
      <c r="H136" s="64" t="s">
        <v>140</v>
      </c>
      <c r="I136" s="33"/>
      <c r="T136" s="34"/>
    </row>
    <row r="137" spans="1:20" s="34" customFormat="1" x14ac:dyDescent="0.3">
      <c r="A137" s="124"/>
      <c r="B137" s="124"/>
      <c r="C137" s="124"/>
      <c r="D137" s="170"/>
      <c r="E137" s="124"/>
      <c r="F137" s="124"/>
      <c r="G137" s="113"/>
      <c r="H137" s="67">
        <v>0.5</v>
      </c>
      <c r="I137" s="63">
        <v>10.763999999999999</v>
      </c>
    </row>
    <row r="138" spans="1:20" s="34" customFormat="1" x14ac:dyDescent="0.3">
      <c r="A138" s="71" t="s">
        <v>343</v>
      </c>
      <c r="B138" s="72"/>
      <c r="C138" s="72"/>
      <c r="D138" s="72"/>
      <c r="E138" s="72"/>
      <c r="F138" s="72"/>
      <c r="G138" s="72"/>
      <c r="H138" s="73"/>
      <c r="J138" s="33"/>
    </row>
    <row r="139" spans="1:20" s="34" customFormat="1" x14ac:dyDescent="0.3">
      <c r="A139" s="71" t="s">
        <v>344</v>
      </c>
      <c r="B139" s="72"/>
      <c r="C139" s="72"/>
      <c r="D139" s="72"/>
      <c r="E139" s="72"/>
      <c r="F139" s="72"/>
      <c r="G139" s="72"/>
      <c r="H139" s="73"/>
      <c r="J139" s="33"/>
    </row>
    <row r="140" spans="1:20" s="34" customFormat="1" ht="15.75" customHeight="1" x14ac:dyDescent="0.3">
      <c r="A140" s="71" t="s">
        <v>308</v>
      </c>
      <c r="B140" s="72"/>
      <c r="C140" s="72"/>
      <c r="D140" s="72"/>
      <c r="E140" s="72"/>
      <c r="F140" s="72"/>
      <c r="G140" s="72"/>
      <c r="H140" s="73"/>
      <c r="I140" s="33"/>
      <c r="L140" s="121"/>
      <c r="M140" s="121"/>
      <c r="N140" s="33"/>
    </row>
    <row r="141" spans="1:20" s="34" customFormat="1" ht="15.75" customHeight="1" x14ac:dyDescent="0.3">
      <c r="A141" s="71" t="s">
        <v>309</v>
      </c>
      <c r="B141" s="72"/>
      <c r="C141" s="72"/>
      <c r="D141" s="72"/>
      <c r="E141" s="72"/>
      <c r="F141" s="72"/>
      <c r="G141" s="72"/>
      <c r="H141" s="73"/>
      <c r="I141" s="33"/>
      <c r="L141" s="121"/>
      <c r="M141" s="121"/>
      <c r="N141" s="33"/>
    </row>
    <row r="142" spans="1:20" s="34" customFormat="1" ht="36.75" customHeight="1" x14ac:dyDescent="0.3">
      <c r="A142" s="71" t="s">
        <v>336</v>
      </c>
      <c r="B142" s="72"/>
      <c r="C142" s="72"/>
      <c r="D142" s="72"/>
      <c r="E142" s="72"/>
      <c r="F142" s="72"/>
      <c r="G142" s="72"/>
      <c r="H142" s="73"/>
      <c r="I142" s="33"/>
      <c r="L142" s="121"/>
      <c r="M142" s="121"/>
      <c r="N142" s="33"/>
    </row>
    <row r="143" spans="1:20" s="34" customFormat="1" ht="15.75" customHeight="1" x14ac:dyDescent="0.3">
      <c r="A143" s="74">
        <v>1</v>
      </c>
      <c r="B143" s="75"/>
      <c r="C143" s="39" t="s">
        <v>312</v>
      </c>
      <c r="D143" s="60">
        <f t="shared" ref="D143:D149" si="3">(29.93)*10.764</f>
        <v>322.16651999999999</v>
      </c>
      <c r="E143" s="39">
        <v>0</v>
      </c>
      <c r="F143" s="39">
        <f t="shared" ref="F143:F149" si="4">D143+E143</f>
        <v>322.16651999999999</v>
      </c>
      <c r="G143" s="39">
        <v>0</v>
      </c>
      <c r="H143" s="39">
        <f t="shared" ref="H143:H149" si="5">F143*(($H$137)+1)+(IF(G143&lt;101,G143,IF(G143&lt;201,G143/2,IF(G143&lt;=301,G143/3,G143/4))))</f>
        <v>483.24977999999999</v>
      </c>
      <c r="I143" s="33">
        <f>3.05*3.44+1.98*1.37+1.35*0.6+2.75*2.82+1.25*0.6+1.28*1.05+1.2*1.97+1.05*2.07</f>
        <v>28.401100000000003</v>
      </c>
      <c r="L143" s="121"/>
      <c r="M143" s="121"/>
      <c r="N143" s="33"/>
      <c r="T143" s="18"/>
    </row>
    <row r="144" spans="1:20" s="34" customFormat="1" x14ac:dyDescent="0.3">
      <c r="A144" s="74">
        <f t="shared" ref="A144:A149" si="6">A143+1</f>
        <v>2</v>
      </c>
      <c r="B144" s="75"/>
      <c r="C144" s="39" t="s">
        <v>312</v>
      </c>
      <c r="D144" s="60">
        <f t="shared" si="3"/>
        <v>322.16651999999999</v>
      </c>
      <c r="E144" s="39">
        <v>0</v>
      </c>
      <c r="F144" s="39">
        <f t="shared" si="4"/>
        <v>322.16651999999999</v>
      </c>
      <c r="G144" s="39">
        <v>0</v>
      </c>
      <c r="H144" s="39">
        <f t="shared" si="5"/>
        <v>483.24977999999999</v>
      </c>
      <c r="I144" s="33"/>
      <c r="L144" s="121"/>
      <c r="M144" s="121"/>
    </row>
    <row r="145" spans="1:20" s="34" customFormat="1" x14ac:dyDescent="0.3">
      <c r="A145" s="74">
        <f t="shared" si="6"/>
        <v>3</v>
      </c>
      <c r="B145" s="75"/>
      <c r="C145" s="39" t="s">
        <v>312</v>
      </c>
      <c r="D145" s="60">
        <f t="shared" si="3"/>
        <v>322.16651999999999</v>
      </c>
      <c r="E145" s="39">
        <v>0</v>
      </c>
      <c r="F145" s="39">
        <f t="shared" si="4"/>
        <v>322.16651999999999</v>
      </c>
      <c r="G145" s="39">
        <v>0</v>
      </c>
      <c r="H145" s="39">
        <f t="shared" si="5"/>
        <v>483.24977999999999</v>
      </c>
      <c r="I145" s="33"/>
      <c r="N145" s="33"/>
    </row>
    <row r="146" spans="1:20" s="34" customFormat="1" x14ac:dyDescent="0.3">
      <c r="A146" s="74">
        <f t="shared" si="6"/>
        <v>4</v>
      </c>
      <c r="B146" s="75"/>
      <c r="C146" s="39" t="s">
        <v>312</v>
      </c>
      <c r="D146" s="60">
        <f t="shared" si="3"/>
        <v>322.16651999999999</v>
      </c>
      <c r="E146" s="39">
        <v>0</v>
      </c>
      <c r="F146" s="39">
        <f t="shared" si="4"/>
        <v>322.16651999999999</v>
      </c>
      <c r="G146" s="39">
        <v>0</v>
      </c>
      <c r="H146" s="39">
        <f t="shared" si="5"/>
        <v>483.24977999999999</v>
      </c>
      <c r="I146" s="33"/>
      <c r="N146" s="33"/>
    </row>
    <row r="147" spans="1:20" s="34" customFormat="1" x14ac:dyDescent="0.3">
      <c r="A147" s="74">
        <f t="shared" si="6"/>
        <v>5</v>
      </c>
      <c r="B147" s="75"/>
      <c r="C147" s="39" t="s">
        <v>312</v>
      </c>
      <c r="D147" s="60">
        <f t="shared" si="3"/>
        <v>322.16651999999999</v>
      </c>
      <c r="E147" s="39">
        <v>0</v>
      </c>
      <c r="F147" s="39">
        <f t="shared" si="4"/>
        <v>322.16651999999999</v>
      </c>
      <c r="G147" s="39">
        <v>0</v>
      </c>
      <c r="H147" s="39">
        <f t="shared" si="5"/>
        <v>483.24977999999999</v>
      </c>
      <c r="I147" s="33"/>
      <c r="N147" s="33"/>
    </row>
    <row r="148" spans="1:20" s="34" customFormat="1" x14ac:dyDescent="0.3">
      <c r="A148" s="74">
        <f t="shared" si="6"/>
        <v>6</v>
      </c>
      <c r="B148" s="75"/>
      <c r="C148" s="39" t="s">
        <v>312</v>
      </c>
      <c r="D148" s="60">
        <f t="shared" si="3"/>
        <v>322.16651999999999</v>
      </c>
      <c r="E148" s="39">
        <v>0</v>
      </c>
      <c r="F148" s="39">
        <f t="shared" si="4"/>
        <v>322.16651999999999</v>
      </c>
      <c r="G148" s="39">
        <v>0</v>
      </c>
      <c r="H148" s="39">
        <f t="shared" si="5"/>
        <v>483.24977999999999</v>
      </c>
      <c r="I148" s="33"/>
      <c r="N148" s="33"/>
    </row>
    <row r="149" spans="1:20" s="34" customFormat="1" x14ac:dyDescent="0.3">
      <c r="A149" s="74">
        <f t="shared" si="6"/>
        <v>7</v>
      </c>
      <c r="B149" s="75"/>
      <c r="C149" s="39" t="s">
        <v>312</v>
      </c>
      <c r="D149" s="60">
        <f t="shared" si="3"/>
        <v>322.16651999999999</v>
      </c>
      <c r="E149" s="39">
        <v>0</v>
      </c>
      <c r="F149" s="39">
        <f t="shared" si="4"/>
        <v>322.16651999999999</v>
      </c>
      <c r="G149" s="39">
        <v>0</v>
      </c>
      <c r="H149" s="39">
        <f t="shared" si="5"/>
        <v>483.24977999999999</v>
      </c>
      <c r="I149" s="33"/>
      <c r="N149" s="33"/>
    </row>
    <row r="150" spans="1:20" s="34" customFormat="1" ht="15.75" customHeight="1" x14ac:dyDescent="0.3">
      <c r="A150" s="71" t="s">
        <v>334</v>
      </c>
      <c r="B150" s="72"/>
      <c r="C150" s="72"/>
      <c r="D150" s="72"/>
      <c r="E150" s="72"/>
      <c r="F150" s="72"/>
      <c r="G150" s="72"/>
      <c r="H150" s="73"/>
      <c r="I150" s="33"/>
      <c r="N150" s="33"/>
    </row>
    <row r="151" spans="1:20" s="34" customFormat="1" ht="15.75" customHeight="1" x14ac:dyDescent="0.3">
      <c r="A151" s="74">
        <v>1</v>
      </c>
      <c r="B151" s="75"/>
      <c r="C151" s="39" t="s">
        <v>312</v>
      </c>
      <c r="D151" s="60">
        <f t="shared" ref="D151:D157" si="7">(29.93)*10.764</f>
        <v>322.16651999999999</v>
      </c>
      <c r="E151" s="39">
        <v>0</v>
      </c>
      <c r="F151" s="39">
        <f t="shared" ref="F151:F157" si="8">D151+E151</f>
        <v>322.16651999999999</v>
      </c>
      <c r="G151" s="39">
        <v>0</v>
      </c>
      <c r="H151" s="39">
        <f t="shared" ref="H151:H157" si="9">F151*(($H$137)+1)+(IF(G151&lt;101,G151,IF(G151&lt;201,G151/2,IF(G151&lt;=301,G151/3,G151/4))))</f>
        <v>483.24977999999999</v>
      </c>
      <c r="I151" s="33"/>
    </row>
    <row r="152" spans="1:20" s="34" customFormat="1" ht="15.75" customHeight="1" x14ac:dyDescent="0.3">
      <c r="A152" s="74">
        <f t="shared" ref="A152:A157" si="10">A151+1</f>
        <v>2</v>
      </c>
      <c r="B152" s="75"/>
      <c r="C152" s="39" t="s">
        <v>312</v>
      </c>
      <c r="D152" s="60">
        <f t="shared" si="7"/>
        <v>322.16651999999999</v>
      </c>
      <c r="E152" s="39">
        <v>0</v>
      </c>
      <c r="F152" s="39">
        <f t="shared" si="8"/>
        <v>322.16651999999999</v>
      </c>
      <c r="G152" s="39">
        <v>0</v>
      </c>
      <c r="H152" s="39">
        <f t="shared" si="9"/>
        <v>483.24977999999999</v>
      </c>
      <c r="I152" s="33"/>
    </row>
    <row r="153" spans="1:20" s="34" customFormat="1" ht="15.75" customHeight="1" x14ac:dyDescent="0.3">
      <c r="A153" s="74">
        <f t="shared" si="10"/>
        <v>3</v>
      </c>
      <c r="B153" s="75"/>
      <c r="C153" s="39" t="s">
        <v>312</v>
      </c>
      <c r="D153" s="60">
        <f t="shared" si="7"/>
        <v>322.16651999999999</v>
      </c>
      <c r="E153" s="39">
        <v>0</v>
      </c>
      <c r="F153" s="39">
        <f t="shared" si="8"/>
        <v>322.16651999999999</v>
      </c>
      <c r="G153" s="39">
        <v>0</v>
      </c>
      <c r="H153" s="39">
        <f t="shared" si="9"/>
        <v>483.24977999999999</v>
      </c>
      <c r="I153" s="33"/>
    </row>
    <row r="154" spans="1:20" s="34" customFormat="1" ht="15.75" customHeight="1" x14ac:dyDescent="0.3">
      <c r="A154" s="74">
        <f t="shared" si="10"/>
        <v>4</v>
      </c>
      <c r="B154" s="75"/>
      <c r="C154" s="39" t="s">
        <v>312</v>
      </c>
      <c r="D154" s="60">
        <f t="shared" si="7"/>
        <v>322.16651999999999</v>
      </c>
      <c r="E154" s="39">
        <v>0</v>
      </c>
      <c r="F154" s="39">
        <f t="shared" si="8"/>
        <v>322.16651999999999</v>
      </c>
      <c r="G154" s="39">
        <v>0</v>
      </c>
      <c r="H154" s="39">
        <f t="shared" si="9"/>
        <v>483.24977999999999</v>
      </c>
      <c r="I154" s="33"/>
    </row>
    <row r="155" spans="1:20" s="34" customFormat="1" ht="15.75" customHeight="1" x14ac:dyDescent="0.3">
      <c r="A155" s="74">
        <f t="shared" si="10"/>
        <v>5</v>
      </c>
      <c r="B155" s="75"/>
      <c r="C155" s="39" t="s">
        <v>312</v>
      </c>
      <c r="D155" s="60">
        <f t="shared" si="7"/>
        <v>322.16651999999999</v>
      </c>
      <c r="E155" s="39">
        <v>0</v>
      </c>
      <c r="F155" s="39">
        <f t="shared" si="8"/>
        <v>322.16651999999999</v>
      </c>
      <c r="G155" s="39">
        <v>0</v>
      </c>
      <c r="H155" s="39">
        <f t="shared" si="9"/>
        <v>483.24977999999999</v>
      </c>
      <c r="I155" s="33"/>
    </row>
    <row r="156" spans="1:20" s="34" customFormat="1" ht="15.75" customHeight="1" x14ac:dyDescent="0.3">
      <c r="A156" s="74">
        <f t="shared" si="10"/>
        <v>6</v>
      </c>
      <c r="B156" s="75"/>
      <c r="C156" s="39" t="s">
        <v>312</v>
      </c>
      <c r="D156" s="60">
        <f t="shared" si="7"/>
        <v>322.16651999999999</v>
      </c>
      <c r="E156" s="39">
        <v>0</v>
      </c>
      <c r="F156" s="39">
        <f t="shared" si="8"/>
        <v>322.16651999999999</v>
      </c>
      <c r="G156" s="39">
        <v>0</v>
      </c>
      <c r="H156" s="39">
        <f t="shared" si="9"/>
        <v>483.24977999999999</v>
      </c>
      <c r="I156" s="33"/>
    </row>
    <row r="157" spans="1:20" s="34" customFormat="1" ht="15.75" customHeight="1" x14ac:dyDescent="0.3">
      <c r="A157" s="74">
        <f t="shared" si="10"/>
        <v>7</v>
      </c>
      <c r="B157" s="75"/>
      <c r="C157" s="39" t="s">
        <v>312</v>
      </c>
      <c r="D157" s="60">
        <f t="shared" si="7"/>
        <v>322.16651999999999</v>
      </c>
      <c r="E157" s="39">
        <v>0</v>
      </c>
      <c r="F157" s="39">
        <f t="shared" si="8"/>
        <v>322.16651999999999</v>
      </c>
      <c r="G157" s="39">
        <v>0</v>
      </c>
      <c r="H157" s="39">
        <f t="shared" si="9"/>
        <v>483.24977999999999</v>
      </c>
      <c r="I157" s="33"/>
    </row>
    <row r="158" spans="1:20" s="34" customFormat="1" ht="15.75" customHeight="1" x14ac:dyDescent="0.3">
      <c r="A158" s="71" t="s">
        <v>335</v>
      </c>
      <c r="B158" s="72"/>
      <c r="C158" s="72"/>
      <c r="D158" s="72"/>
      <c r="E158" s="72"/>
      <c r="F158" s="72"/>
      <c r="G158" s="72"/>
      <c r="H158" s="73"/>
      <c r="I158" s="33"/>
    </row>
    <row r="159" spans="1:20" s="32" customFormat="1" x14ac:dyDescent="0.3">
      <c r="A159" s="74">
        <v>1</v>
      </c>
      <c r="B159" s="75"/>
      <c r="C159" s="39" t="s">
        <v>312</v>
      </c>
      <c r="D159" s="60">
        <f t="shared" ref="D159:D165" si="11">(29.93)*10.764</f>
        <v>322.16651999999999</v>
      </c>
      <c r="E159" s="39">
        <v>0</v>
      </c>
      <c r="F159" s="39">
        <f t="shared" ref="F159:F165" si="12">D159+E159</f>
        <v>322.16651999999999</v>
      </c>
      <c r="G159" s="39">
        <v>0</v>
      </c>
      <c r="H159" s="39">
        <f t="shared" ref="H159:H165" si="13">F159*(($H$137)+1)+(IF(G159&lt;101,G159,IF(G159&lt;201,G159/2,IF(G159&lt;=301,G159/3,G159/4))))</f>
        <v>483.24977999999999</v>
      </c>
      <c r="T159" s="34"/>
    </row>
    <row r="160" spans="1:20" s="32" customFormat="1" x14ac:dyDescent="0.3">
      <c r="A160" s="74">
        <f t="shared" ref="A160:A165" si="14">A159+1</f>
        <v>2</v>
      </c>
      <c r="B160" s="75"/>
      <c r="C160" s="39" t="s">
        <v>312</v>
      </c>
      <c r="D160" s="60">
        <f t="shared" si="11"/>
        <v>322.16651999999999</v>
      </c>
      <c r="E160" s="39">
        <v>0</v>
      </c>
      <c r="F160" s="39">
        <f t="shared" si="12"/>
        <v>322.16651999999999</v>
      </c>
      <c r="G160" s="39">
        <v>0</v>
      </c>
      <c r="H160" s="39">
        <f t="shared" si="13"/>
        <v>483.24977999999999</v>
      </c>
      <c r="T160" s="34"/>
    </row>
    <row r="161" spans="1:20" s="32" customFormat="1" x14ac:dyDescent="0.3">
      <c r="A161" s="74">
        <f t="shared" si="14"/>
        <v>3</v>
      </c>
      <c r="B161" s="75"/>
      <c r="C161" s="39" t="s">
        <v>312</v>
      </c>
      <c r="D161" s="60">
        <f t="shared" si="11"/>
        <v>322.16651999999999</v>
      </c>
      <c r="E161" s="39">
        <v>0</v>
      </c>
      <c r="F161" s="39">
        <f t="shared" si="12"/>
        <v>322.16651999999999</v>
      </c>
      <c r="G161" s="39">
        <v>0</v>
      </c>
      <c r="H161" s="39">
        <f t="shared" si="13"/>
        <v>483.24977999999999</v>
      </c>
      <c r="T161" s="34"/>
    </row>
    <row r="162" spans="1:20" s="32" customFormat="1" x14ac:dyDescent="0.3">
      <c r="A162" s="74">
        <f t="shared" si="14"/>
        <v>4</v>
      </c>
      <c r="B162" s="75"/>
      <c r="C162" s="39" t="s">
        <v>312</v>
      </c>
      <c r="D162" s="60">
        <f t="shared" si="11"/>
        <v>322.16651999999999</v>
      </c>
      <c r="E162" s="39">
        <v>0</v>
      </c>
      <c r="F162" s="39">
        <f t="shared" si="12"/>
        <v>322.16651999999999</v>
      </c>
      <c r="G162" s="39">
        <v>0</v>
      </c>
      <c r="H162" s="39">
        <f t="shared" si="13"/>
        <v>483.24977999999999</v>
      </c>
      <c r="T162" s="34"/>
    </row>
    <row r="163" spans="1:20" s="32" customFormat="1" x14ac:dyDescent="0.3">
      <c r="A163" s="74">
        <f t="shared" si="14"/>
        <v>5</v>
      </c>
      <c r="B163" s="75"/>
      <c r="C163" s="39" t="s">
        <v>312</v>
      </c>
      <c r="D163" s="60">
        <f t="shared" si="11"/>
        <v>322.16651999999999</v>
      </c>
      <c r="E163" s="39">
        <v>0</v>
      </c>
      <c r="F163" s="39">
        <f t="shared" si="12"/>
        <v>322.16651999999999</v>
      </c>
      <c r="G163" s="39">
        <v>0</v>
      </c>
      <c r="H163" s="39">
        <f t="shared" si="13"/>
        <v>483.24977999999999</v>
      </c>
      <c r="T163" s="34"/>
    </row>
    <row r="164" spans="1:20" s="32" customFormat="1" x14ac:dyDescent="0.3">
      <c r="A164" s="74">
        <f t="shared" si="14"/>
        <v>6</v>
      </c>
      <c r="B164" s="75"/>
      <c r="C164" s="39" t="s">
        <v>312</v>
      </c>
      <c r="D164" s="60">
        <f t="shared" si="11"/>
        <v>322.16651999999999</v>
      </c>
      <c r="E164" s="39">
        <v>0</v>
      </c>
      <c r="F164" s="39">
        <f t="shared" si="12"/>
        <v>322.16651999999999</v>
      </c>
      <c r="G164" s="39">
        <v>0</v>
      </c>
      <c r="H164" s="39">
        <f t="shared" si="13"/>
        <v>483.24977999999999</v>
      </c>
      <c r="T164" s="34"/>
    </row>
    <row r="165" spans="1:20" s="32" customFormat="1" x14ac:dyDescent="0.3">
      <c r="A165" s="74">
        <f t="shared" si="14"/>
        <v>7</v>
      </c>
      <c r="B165" s="75"/>
      <c r="C165" s="39" t="s">
        <v>312</v>
      </c>
      <c r="D165" s="60">
        <f t="shared" si="11"/>
        <v>322.16651999999999</v>
      </c>
      <c r="E165" s="39">
        <v>0</v>
      </c>
      <c r="F165" s="39">
        <f t="shared" si="12"/>
        <v>322.16651999999999</v>
      </c>
      <c r="G165" s="39">
        <v>0</v>
      </c>
      <c r="H165" s="39">
        <f t="shared" si="13"/>
        <v>483.24977999999999</v>
      </c>
    </row>
    <row r="166" spans="1:20" s="32" customFormat="1" x14ac:dyDescent="0.3">
      <c r="A166" s="71" t="s">
        <v>310</v>
      </c>
      <c r="B166" s="72"/>
      <c r="C166" s="72"/>
      <c r="D166" s="72"/>
      <c r="E166" s="72"/>
      <c r="F166" s="72"/>
      <c r="G166" s="72"/>
      <c r="H166" s="73"/>
    </row>
    <row r="167" spans="1:20" s="32" customFormat="1" x14ac:dyDescent="0.3">
      <c r="A167" s="71" t="s">
        <v>311</v>
      </c>
      <c r="B167" s="72"/>
      <c r="C167" s="72"/>
      <c r="D167" s="72"/>
      <c r="E167" s="72"/>
      <c r="F167" s="72"/>
      <c r="G167" s="72"/>
      <c r="H167" s="73"/>
    </row>
    <row r="168" spans="1:20" s="32" customFormat="1" ht="29.25" customHeight="1" x14ac:dyDescent="0.3">
      <c r="A168" s="129" t="s">
        <v>336</v>
      </c>
      <c r="B168" s="129"/>
      <c r="C168" s="129"/>
      <c r="D168" s="129"/>
      <c r="E168" s="129"/>
      <c r="F168" s="129"/>
      <c r="G168" s="129"/>
      <c r="H168" s="129"/>
    </row>
    <row r="169" spans="1:20" s="32" customFormat="1" x14ac:dyDescent="0.3">
      <c r="A169" s="96">
        <v>1</v>
      </c>
      <c r="B169" s="96"/>
      <c r="C169" s="39" t="s">
        <v>312</v>
      </c>
      <c r="D169" s="60">
        <f t="shared" ref="D169:D177" si="15">(29.93)*10.764</f>
        <v>322.16651999999999</v>
      </c>
      <c r="E169" s="39">
        <v>0</v>
      </c>
      <c r="F169" s="39">
        <f t="shared" ref="F169:F177" si="16">D169+E169</f>
        <v>322.16651999999999</v>
      </c>
      <c r="G169" s="39">
        <v>0</v>
      </c>
      <c r="H169" s="39">
        <f t="shared" ref="H169:H177" si="17">F169*(($H$137)+1)+(IF(G169&lt;101,G169,IF(G169&lt;201,G169/2,IF(G169&lt;=301,G169/3,G169/4))))</f>
        <v>483.24977999999999</v>
      </c>
    </row>
    <row r="170" spans="1:20" s="32" customFormat="1" ht="15.75" customHeight="1" x14ac:dyDescent="0.3">
      <c r="A170" s="96">
        <f t="shared" ref="A170:A177" si="18">A169+1</f>
        <v>2</v>
      </c>
      <c r="B170" s="96"/>
      <c r="C170" s="39" t="s">
        <v>312</v>
      </c>
      <c r="D170" s="60">
        <f t="shared" si="15"/>
        <v>322.16651999999999</v>
      </c>
      <c r="E170" s="39">
        <v>0</v>
      </c>
      <c r="F170" s="39">
        <f t="shared" si="16"/>
        <v>322.16651999999999</v>
      </c>
      <c r="G170" s="39">
        <v>0</v>
      </c>
      <c r="H170" s="39">
        <f t="shared" si="17"/>
        <v>483.24977999999999</v>
      </c>
    </row>
    <row r="171" spans="1:20" x14ac:dyDescent="0.3">
      <c r="A171" s="96">
        <f t="shared" si="18"/>
        <v>3</v>
      </c>
      <c r="B171" s="96"/>
      <c r="C171" s="39" t="s">
        <v>312</v>
      </c>
      <c r="D171" s="60">
        <f t="shared" si="15"/>
        <v>322.16651999999999</v>
      </c>
      <c r="E171" s="39">
        <v>0</v>
      </c>
      <c r="F171" s="39">
        <f t="shared" si="16"/>
        <v>322.16651999999999</v>
      </c>
      <c r="G171" s="39">
        <v>0</v>
      </c>
      <c r="H171" s="39">
        <f t="shared" si="17"/>
        <v>483.24977999999999</v>
      </c>
      <c r="T171" s="32"/>
    </row>
    <row r="172" spans="1:20" x14ac:dyDescent="0.3">
      <c r="A172" s="96">
        <f t="shared" si="18"/>
        <v>4</v>
      </c>
      <c r="B172" s="96"/>
      <c r="C172" s="39" t="s">
        <v>312</v>
      </c>
      <c r="D172" s="60">
        <f t="shared" si="15"/>
        <v>322.16651999999999</v>
      </c>
      <c r="E172" s="39">
        <v>0</v>
      </c>
      <c r="F172" s="39">
        <f t="shared" si="16"/>
        <v>322.16651999999999</v>
      </c>
      <c r="G172" s="39">
        <v>0</v>
      </c>
      <c r="H172" s="39">
        <f t="shared" si="17"/>
        <v>483.24977999999999</v>
      </c>
      <c r="T172" s="32"/>
    </row>
    <row r="173" spans="1:20" ht="15.75" customHeight="1" x14ac:dyDescent="0.3">
      <c r="A173" s="96">
        <f t="shared" si="18"/>
        <v>5</v>
      </c>
      <c r="B173" s="96"/>
      <c r="C173" s="39" t="s">
        <v>312</v>
      </c>
      <c r="D173" s="60">
        <f t="shared" si="15"/>
        <v>322.16651999999999</v>
      </c>
      <c r="E173" s="39">
        <v>0</v>
      </c>
      <c r="F173" s="39">
        <f t="shared" si="16"/>
        <v>322.16651999999999</v>
      </c>
      <c r="G173" s="39">
        <v>0</v>
      </c>
      <c r="H173" s="39">
        <f t="shared" si="17"/>
        <v>483.24977999999999</v>
      </c>
      <c r="T173" s="32"/>
    </row>
    <row r="174" spans="1:20" x14ac:dyDescent="0.3">
      <c r="A174" s="96">
        <f t="shared" si="18"/>
        <v>6</v>
      </c>
      <c r="B174" s="96"/>
      <c r="C174" s="39" t="s">
        <v>312</v>
      </c>
      <c r="D174" s="60">
        <f t="shared" si="15"/>
        <v>322.16651999999999</v>
      </c>
      <c r="E174" s="39">
        <v>0</v>
      </c>
      <c r="F174" s="39">
        <f t="shared" si="16"/>
        <v>322.16651999999999</v>
      </c>
      <c r="G174" s="39">
        <v>0</v>
      </c>
      <c r="H174" s="39">
        <f t="shared" si="17"/>
        <v>483.24977999999999</v>
      </c>
      <c r="T174" s="32"/>
    </row>
    <row r="175" spans="1:20" x14ac:dyDescent="0.3">
      <c r="A175" s="96">
        <f t="shared" si="18"/>
        <v>7</v>
      </c>
      <c r="B175" s="96"/>
      <c r="C175" s="39" t="s">
        <v>312</v>
      </c>
      <c r="D175" s="60">
        <f t="shared" si="15"/>
        <v>322.16651999999999</v>
      </c>
      <c r="E175" s="39">
        <v>0</v>
      </c>
      <c r="F175" s="39">
        <f t="shared" si="16"/>
        <v>322.16651999999999</v>
      </c>
      <c r="G175" s="39">
        <v>0</v>
      </c>
      <c r="H175" s="39">
        <f t="shared" si="17"/>
        <v>483.24977999999999</v>
      </c>
      <c r="T175" s="32"/>
    </row>
    <row r="176" spans="1:20" x14ac:dyDescent="0.3">
      <c r="A176" s="96">
        <f t="shared" si="18"/>
        <v>8</v>
      </c>
      <c r="B176" s="96"/>
      <c r="C176" s="39" t="s">
        <v>312</v>
      </c>
      <c r="D176" s="60">
        <f t="shared" si="15"/>
        <v>322.16651999999999</v>
      </c>
      <c r="E176" s="39">
        <v>0</v>
      </c>
      <c r="F176" s="39">
        <f t="shared" si="16"/>
        <v>322.16651999999999</v>
      </c>
      <c r="G176" s="39">
        <v>0</v>
      </c>
      <c r="H176" s="39">
        <f t="shared" si="17"/>
        <v>483.24977999999999</v>
      </c>
      <c r="T176" s="32"/>
    </row>
    <row r="177" spans="1:8" x14ac:dyDescent="0.3">
      <c r="A177" s="74">
        <f t="shared" si="18"/>
        <v>9</v>
      </c>
      <c r="B177" s="75"/>
      <c r="C177" s="39" t="s">
        <v>312</v>
      </c>
      <c r="D177" s="60">
        <f t="shared" si="15"/>
        <v>322.16651999999999</v>
      </c>
      <c r="E177" s="39">
        <v>0</v>
      </c>
      <c r="F177" s="39">
        <f t="shared" si="16"/>
        <v>322.16651999999999</v>
      </c>
      <c r="G177" s="39">
        <v>0</v>
      </c>
      <c r="H177" s="39">
        <f t="shared" si="17"/>
        <v>483.24977999999999</v>
      </c>
    </row>
    <row r="178" spans="1:8" ht="15.75" customHeight="1" x14ac:dyDescent="0.3">
      <c r="A178" s="71" t="s">
        <v>337</v>
      </c>
      <c r="B178" s="72"/>
      <c r="C178" s="72"/>
      <c r="D178" s="72"/>
      <c r="E178" s="72"/>
      <c r="F178" s="72"/>
      <c r="G178" s="72"/>
      <c r="H178" s="73"/>
    </row>
    <row r="179" spans="1:8" x14ac:dyDescent="0.3">
      <c r="A179" s="74">
        <v>1</v>
      </c>
      <c r="B179" s="75"/>
      <c r="C179" s="39" t="s">
        <v>312</v>
      </c>
      <c r="D179" s="60">
        <f t="shared" ref="D179:D184" si="19">(29.93)*10.764</f>
        <v>322.16651999999999</v>
      </c>
      <c r="E179" s="39">
        <v>0</v>
      </c>
      <c r="F179" s="39">
        <f t="shared" ref="F179:F184" si="20">D179+E179</f>
        <v>322.16651999999999</v>
      </c>
      <c r="G179" s="39">
        <v>0</v>
      </c>
      <c r="H179" s="39">
        <f t="shared" ref="H179:H184" si="21">F179*(($H$137)+1)+(IF(G179&lt;101,G179,IF(G179&lt;201,G179/2,IF(G179&lt;=301,G179/3,G179/4))))</f>
        <v>483.24977999999999</v>
      </c>
    </row>
    <row r="180" spans="1:8" x14ac:dyDescent="0.3">
      <c r="A180" s="74">
        <f t="shared" ref="A180:A187" si="22">A179+1</f>
        <v>2</v>
      </c>
      <c r="B180" s="75"/>
      <c r="C180" s="39" t="s">
        <v>312</v>
      </c>
      <c r="D180" s="60">
        <f t="shared" si="19"/>
        <v>322.16651999999999</v>
      </c>
      <c r="E180" s="39">
        <v>0</v>
      </c>
      <c r="F180" s="39">
        <f t="shared" si="20"/>
        <v>322.16651999999999</v>
      </c>
      <c r="G180" s="39">
        <v>0</v>
      </c>
      <c r="H180" s="39">
        <f t="shared" si="21"/>
        <v>483.24977999999999</v>
      </c>
    </row>
    <row r="181" spans="1:8" x14ac:dyDescent="0.3">
      <c r="A181" s="74">
        <f t="shared" si="22"/>
        <v>3</v>
      </c>
      <c r="B181" s="75"/>
      <c r="C181" s="39" t="s">
        <v>312</v>
      </c>
      <c r="D181" s="60">
        <f t="shared" si="19"/>
        <v>322.16651999999999</v>
      </c>
      <c r="E181" s="39">
        <v>0</v>
      </c>
      <c r="F181" s="39">
        <f t="shared" si="20"/>
        <v>322.16651999999999</v>
      </c>
      <c r="G181" s="39">
        <v>0</v>
      </c>
      <c r="H181" s="39">
        <f t="shared" si="21"/>
        <v>483.24977999999999</v>
      </c>
    </row>
    <row r="182" spans="1:8" x14ac:dyDescent="0.3">
      <c r="A182" s="74">
        <f t="shared" si="22"/>
        <v>4</v>
      </c>
      <c r="B182" s="75"/>
      <c r="C182" s="39" t="s">
        <v>312</v>
      </c>
      <c r="D182" s="60">
        <f t="shared" si="19"/>
        <v>322.16651999999999</v>
      </c>
      <c r="E182" s="39">
        <v>0</v>
      </c>
      <c r="F182" s="39">
        <f t="shared" si="20"/>
        <v>322.16651999999999</v>
      </c>
      <c r="G182" s="39">
        <v>0</v>
      </c>
      <c r="H182" s="39">
        <f t="shared" si="21"/>
        <v>483.24977999999999</v>
      </c>
    </row>
    <row r="183" spans="1:8" x14ac:dyDescent="0.3">
      <c r="A183" s="74">
        <f t="shared" si="22"/>
        <v>5</v>
      </c>
      <c r="B183" s="75"/>
      <c r="C183" s="39" t="s">
        <v>312</v>
      </c>
      <c r="D183" s="60">
        <f t="shared" si="19"/>
        <v>322.16651999999999</v>
      </c>
      <c r="E183" s="39">
        <v>0</v>
      </c>
      <c r="F183" s="39">
        <f t="shared" si="20"/>
        <v>322.16651999999999</v>
      </c>
      <c r="G183" s="39">
        <v>0</v>
      </c>
      <c r="H183" s="39">
        <f t="shared" si="21"/>
        <v>483.24977999999999</v>
      </c>
    </row>
    <row r="184" spans="1:8" ht="15.75" customHeight="1" x14ac:dyDescent="0.3">
      <c r="A184" s="74">
        <f t="shared" si="22"/>
        <v>6</v>
      </c>
      <c r="B184" s="75"/>
      <c r="C184" s="39" t="s">
        <v>312</v>
      </c>
      <c r="D184" s="60">
        <f t="shared" si="19"/>
        <v>322.16651999999999</v>
      </c>
      <c r="E184" s="39">
        <v>0</v>
      </c>
      <c r="F184" s="39">
        <f t="shared" si="20"/>
        <v>322.16651999999999</v>
      </c>
      <c r="G184" s="39">
        <v>0</v>
      </c>
      <c r="H184" s="39">
        <f t="shared" si="21"/>
        <v>483.24977999999999</v>
      </c>
    </row>
    <row r="185" spans="1:8" x14ac:dyDescent="0.3">
      <c r="A185" s="74">
        <f t="shared" si="22"/>
        <v>7</v>
      </c>
      <c r="B185" s="75"/>
      <c r="C185" s="74" t="s">
        <v>314</v>
      </c>
      <c r="D185" s="76"/>
      <c r="E185" s="76"/>
      <c r="F185" s="76"/>
      <c r="G185" s="76"/>
      <c r="H185" s="75"/>
    </row>
    <row r="186" spans="1:8" ht="15" customHeight="1" x14ac:dyDescent="0.3">
      <c r="A186" s="74">
        <f t="shared" si="22"/>
        <v>8</v>
      </c>
      <c r="B186" s="75"/>
      <c r="C186" s="39" t="s">
        <v>312</v>
      </c>
      <c r="D186" s="60">
        <f>(29.93)*10.764</f>
        <v>322.16651999999999</v>
      </c>
      <c r="E186" s="39">
        <v>0</v>
      </c>
      <c r="F186" s="39">
        <f>D186+E186</f>
        <v>322.16651999999999</v>
      </c>
      <c r="G186" s="39">
        <v>0</v>
      </c>
      <c r="H186" s="39">
        <f>F186*(($H$137)+1)+(IF(G186&lt;101,G186,IF(G186&lt;201,G186/2,IF(G186&lt;=301,G186/3,G186/4))))</f>
        <v>483.24977999999999</v>
      </c>
    </row>
    <row r="187" spans="1:8" x14ac:dyDescent="0.3">
      <c r="A187" s="74">
        <f t="shared" si="22"/>
        <v>9</v>
      </c>
      <c r="B187" s="75"/>
      <c r="C187" s="39" t="s">
        <v>312</v>
      </c>
      <c r="D187" s="60">
        <f>(29.93)*10.764</f>
        <v>322.16651999999999</v>
      </c>
      <c r="E187" s="39">
        <v>0</v>
      </c>
      <c r="F187" s="39">
        <f>D187+E187</f>
        <v>322.16651999999999</v>
      </c>
      <c r="G187" s="39">
        <v>0</v>
      </c>
      <c r="H187" s="39">
        <f>F187*(($H$137)+1)+(IF(G187&lt;101,G187,IF(G187&lt;201,G187/2,IF(G187&lt;=301,G187/3,G187/4))))</f>
        <v>483.24977999999999</v>
      </c>
    </row>
    <row r="188" spans="1:8" x14ac:dyDescent="0.3">
      <c r="A188" s="71" t="s">
        <v>338</v>
      </c>
      <c r="B188" s="72"/>
      <c r="C188" s="72"/>
      <c r="D188" s="72"/>
      <c r="E188" s="72"/>
      <c r="F188" s="72"/>
      <c r="G188" s="72"/>
      <c r="H188" s="73"/>
    </row>
    <row r="189" spans="1:8" x14ac:dyDescent="0.3">
      <c r="A189" s="74">
        <v>1</v>
      </c>
      <c r="B189" s="75"/>
      <c r="C189" s="39" t="s">
        <v>312</v>
      </c>
      <c r="D189" s="60">
        <f t="shared" ref="D189:D194" si="23">(29.93)*10.764</f>
        <v>322.16651999999999</v>
      </c>
      <c r="E189" s="39">
        <v>0</v>
      </c>
      <c r="F189" s="39">
        <f t="shared" ref="F189:F194" si="24">D189+E189</f>
        <v>322.16651999999999</v>
      </c>
      <c r="G189" s="39">
        <v>0</v>
      </c>
      <c r="H189" s="39">
        <f t="shared" ref="H189:H194" si="25">F189*(($H$137)+1)+(IF(G189&lt;101,G189,IF(G189&lt;201,G189/2,IF(G189&lt;=301,G189/3,G189/4))))</f>
        <v>483.24977999999999</v>
      </c>
    </row>
    <row r="190" spans="1:8" x14ac:dyDescent="0.3">
      <c r="A190" s="74">
        <f t="shared" ref="A190:A197" si="26">A189+1</f>
        <v>2</v>
      </c>
      <c r="B190" s="75"/>
      <c r="C190" s="39" t="s">
        <v>312</v>
      </c>
      <c r="D190" s="60">
        <f t="shared" si="23"/>
        <v>322.16651999999999</v>
      </c>
      <c r="E190" s="39">
        <v>0</v>
      </c>
      <c r="F190" s="39">
        <f t="shared" si="24"/>
        <v>322.16651999999999</v>
      </c>
      <c r="G190" s="39">
        <v>0</v>
      </c>
      <c r="H190" s="39">
        <f t="shared" si="25"/>
        <v>483.24977999999999</v>
      </c>
    </row>
    <row r="191" spans="1:8" hidden="1" x14ac:dyDescent="0.3">
      <c r="A191" s="74">
        <f t="shared" si="26"/>
        <v>3</v>
      </c>
      <c r="B191" s="75"/>
      <c r="C191" s="39" t="s">
        <v>312</v>
      </c>
      <c r="D191" s="60">
        <f t="shared" si="23"/>
        <v>322.16651999999999</v>
      </c>
      <c r="E191" s="39">
        <v>0</v>
      </c>
      <c r="F191" s="39">
        <f t="shared" si="24"/>
        <v>322.16651999999999</v>
      </c>
      <c r="G191" s="39">
        <v>0</v>
      </c>
      <c r="H191" s="39">
        <f t="shared" si="25"/>
        <v>483.24977999999999</v>
      </c>
    </row>
    <row r="192" spans="1:8" hidden="1" x14ac:dyDescent="0.3">
      <c r="A192" s="74">
        <f t="shared" si="26"/>
        <v>4</v>
      </c>
      <c r="B192" s="75"/>
      <c r="C192" s="39" t="s">
        <v>312</v>
      </c>
      <c r="D192" s="60">
        <f t="shared" si="23"/>
        <v>322.16651999999999</v>
      </c>
      <c r="E192" s="39">
        <v>0</v>
      </c>
      <c r="F192" s="39">
        <f t="shared" si="24"/>
        <v>322.16651999999999</v>
      </c>
      <c r="G192" s="39">
        <v>0</v>
      </c>
      <c r="H192" s="39">
        <f t="shared" si="25"/>
        <v>483.24977999999999</v>
      </c>
    </row>
    <row r="193" spans="1:8" x14ac:dyDescent="0.3">
      <c r="A193" s="74">
        <f t="shared" si="26"/>
        <v>5</v>
      </c>
      <c r="B193" s="75"/>
      <c r="C193" s="39" t="s">
        <v>312</v>
      </c>
      <c r="D193" s="60">
        <f t="shared" si="23"/>
        <v>322.16651999999999</v>
      </c>
      <c r="E193" s="39">
        <v>0</v>
      </c>
      <c r="F193" s="39">
        <f t="shared" si="24"/>
        <v>322.16651999999999</v>
      </c>
      <c r="G193" s="39">
        <v>0</v>
      </c>
      <c r="H193" s="39">
        <f t="shared" si="25"/>
        <v>483.24977999999999</v>
      </c>
    </row>
    <row r="194" spans="1:8" x14ac:dyDescent="0.3">
      <c r="A194" s="74">
        <f t="shared" si="26"/>
        <v>6</v>
      </c>
      <c r="B194" s="75"/>
      <c r="C194" s="39" t="s">
        <v>312</v>
      </c>
      <c r="D194" s="60">
        <f t="shared" si="23"/>
        <v>322.16651999999999</v>
      </c>
      <c r="E194" s="39">
        <v>0</v>
      </c>
      <c r="F194" s="39">
        <f t="shared" si="24"/>
        <v>322.16651999999999</v>
      </c>
      <c r="G194" s="39">
        <v>0</v>
      </c>
      <c r="H194" s="39">
        <f t="shared" si="25"/>
        <v>483.24977999999999</v>
      </c>
    </row>
    <row r="195" spans="1:8" x14ac:dyDescent="0.3">
      <c r="A195" s="74">
        <f t="shared" si="26"/>
        <v>7</v>
      </c>
      <c r="B195" s="75"/>
      <c r="C195" s="74" t="s">
        <v>314</v>
      </c>
      <c r="D195" s="76"/>
      <c r="E195" s="76"/>
      <c r="F195" s="76"/>
      <c r="G195" s="76"/>
      <c r="H195" s="75"/>
    </row>
    <row r="196" spans="1:8" x14ac:dyDescent="0.3">
      <c r="A196" s="74">
        <f t="shared" si="26"/>
        <v>8</v>
      </c>
      <c r="B196" s="75"/>
      <c r="C196" s="39" t="s">
        <v>312</v>
      </c>
      <c r="D196" s="60">
        <f>(29.93)*10.764</f>
        <v>322.16651999999999</v>
      </c>
      <c r="E196" s="39">
        <v>0</v>
      </c>
      <c r="F196" s="39">
        <f>D196+E196</f>
        <v>322.16651999999999</v>
      </c>
      <c r="G196" s="39">
        <v>0</v>
      </c>
      <c r="H196" s="39">
        <f>F196*(($H$137)+1)+(IF(G196&lt;101,G196,IF(G196&lt;201,G196/2,IF(G196&lt;=301,G196/3,G196/4))))</f>
        <v>483.24977999999999</v>
      </c>
    </row>
    <row r="197" spans="1:8" x14ac:dyDescent="0.3">
      <c r="A197" s="74">
        <f t="shared" si="26"/>
        <v>9</v>
      </c>
      <c r="B197" s="75"/>
      <c r="C197" s="39" t="s">
        <v>312</v>
      </c>
      <c r="D197" s="60">
        <f>(29.93)*10.764</f>
        <v>322.16651999999999</v>
      </c>
      <c r="E197" s="39">
        <v>0</v>
      </c>
      <c r="F197" s="39">
        <f>D197+E197</f>
        <v>322.16651999999999</v>
      </c>
      <c r="G197" s="39">
        <v>0</v>
      </c>
      <c r="H197" s="39">
        <f>F197*(($H$137)+1)+(IF(G197&lt;101,G197,IF(G197&lt;201,G197/2,IF(G197&lt;=301,G197/3,G197/4))))</f>
        <v>483.24977999999999</v>
      </c>
    </row>
    <row r="198" spans="1:8" x14ac:dyDescent="0.3">
      <c r="A198" s="74"/>
      <c r="B198" s="76"/>
      <c r="C198" s="76"/>
      <c r="D198" s="76"/>
      <c r="E198" s="76"/>
      <c r="F198" s="76"/>
      <c r="G198" s="76"/>
      <c r="H198" s="75"/>
    </row>
    <row r="199" spans="1:8" x14ac:dyDescent="0.3">
      <c r="A199" s="167" t="s">
        <v>64</v>
      </c>
      <c r="B199" s="167"/>
      <c r="C199" s="167"/>
      <c r="D199" s="167"/>
      <c r="E199" s="167"/>
      <c r="F199" s="167"/>
      <c r="G199" s="167"/>
      <c r="H199" s="167"/>
    </row>
    <row r="200" spans="1:8" ht="18" customHeight="1" x14ac:dyDescent="0.3">
      <c r="A200" s="41" t="s">
        <v>144</v>
      </c>
      <c r="B200" s="172" t="s">
        <v>350</v>
      </c>
      <c r="C200" s="173"/>
      <c r="D200" s="173"/>
      <c r="E200" s="173"/>
      <c r="F200" s="173"/>
      <c r="G200" s="173"/>
      <c r="H200" s="174"/>
    </row>
    <row r="201" spans="1:8" x14ac:dyDescent="0.3">
      <c r="A201" s="41" t="s">
        <v>144</v>
      </c>
      <c r="B201" s="172" t="str">
        <f>(IF(H136="Saleable area Loading :","We have considered Saleable area of Flats as per our Calculation.","We considered Saleable area of Flat as per Builder area Sheet."))</f>
        <v>We have considered Saleable area of Flats as per our Calculation.</v>
      </c>
      <c r="C201" s="173"/>
      <c r="D201" s="173"/>
      <c r="E201" s="173"/>
      <c r="F201" s="173"/>
      <c r="G201" s="173"/>
      <c r="H201" s="174"/>
    </row>
    <row r="202" spans="1:8" hidden="1" x14ac:dyDescent="0.3">
      <c r="A202" s="41" t="s">
        <v>144</v>
      </c>
      <c r="B202" s="172" t="str">
        <f>(IF(H128="Saleable area Loading :","We have considered Saleable area of Commercial as per our Calculation.","We considered Saleable area of Commercial as per Builder area Sheet."))</f>
        <v>We have considered Saleable area of Commercial as per our Calculation.</v>
      </c>
      <c r="C202" s="173"/>
      <c r="D202" s="173"/>
      <c r="E202" s="173"/>
      <c r="F202" s="173"/>
      <c r="G202" s="173"/>
      <c r="H202" s="174"/>
    </row>
    <row r="203" spans="1:8" x14ac:dyDescent="0.3">
      <c r="A203" s="41" t="s">
        <v>144</v>
      </c>
      <c r="B203" s="68" t="s">
        <v>114</v>
      </c>
      <c r="C203" s="69"/>
      <c r="D203" s="69"/>
      <c r="E203" s="69"/>
      <c r="F203" s="69"/>
      <c r="G203" s="69"/>
      <c r="H203" s="70"/>
    </row>
    <row r="204" spans="1:8" x14ac:dyDescent="0.3">
      <c r="A204" s="41" t="s">
        <v>144</v>
      </c>
      <c r="B204" s="68" t="s">
        <v>313</v>
      </c>
      <c r="C204" s="69"/>
      <c r="D204" s="69"/>
      <c r="E204" s="69"/>
      <c r="F204" s="69"/>
      <c r="G204" s="69"/>
      <c r="H204" s="70"/>
    </row>
    <row r="205" spans="1:8" x14ac:dyDescent="0.3">
      <c r="A205" s="41" t="s">
        <v>144</v>
      </c>
      <c r="B205" s="68" t="s">
        <v>143</v>
      </c>
      <c r="C205" s="69"/>
      <c r="D205" s="69"/>
      <c r="E205" s="69"/>
      <c r="F205" s="69"/>
      <c r="G205" s="69"/>
      <c r="H205" s="70"/>
    </row>
    <row r="206" spans="1:8" x14ac:dyDescent="0.3">
      <c r="A206" s="41" t="s">
        <v>144</v>
      </c>
      <c r="B206" s="68" t="s">
        <v>115</v>
      </c>
      <c r="C206" s="69"/>
      <c r="D206" s="69"/>
      <c r="E206" s="69"/>
      <c r="F206" s="69"/>
      <c r="G206" s="69"/>
      <c r="H206" s="70"/>
    </row>
    <row r="207" spans="1:8" ht="31.5" customHeight="1" x14ac:dyDescent="0.3">
      <c r="A207" s="41" t="s">
        <v>144</v>
      </c>
      <c r="B207" s="68" t="s">
        <v>145</v>
      </c>
      <c r="C207" s="69"/>
      <c r="D207" s="69"/>
      <c r="E207" s="69"/>
      <c r="F207" s="69"/>
      <c r="G207" s="69"/>
      <c r="H207" s="70"/>
    </row>
    <row r="208" spans="1:8" x14ac:dyDescent="0.3">
      <c r="A208" s="41" t="s">
        <v>144</v>
      </c>
      <c r="B208" s="68" t="s">
        <v>116</v>
      </c>
      <c r="C208" s="69"/>
      <c r="D208" s="69"/>
      <c r="E208" s="69"/>
      <c r="F208" s="69"/>
      <c r="G208" s="69"/>
      <c r="H208" s="70"/>
    </row>
    <row r="209" spans="1:8" hidden="1" x14ac:dyDescent="0.3">
      <c r="A209" s="41" t="s">
        <v>144</v>
      </c>
      <c r="B209" s="77" t="s">
        <v>169</v>
      </c>
      <c r="C209" s="78"/>
      <c r="D209" s="78"/>
      <c r="E209" s="78"/>
      <c r="F209" s="78"/>
      <c r="G209" s="78"/>
      <c r="H209" s="79"/>
    </row>
    <row r="210" spans="1:8" hidden="1" x14ac:dyDescent="0.3">
      <c r="A210" s="41" t="s">
        <v>144</v>
      </c>
      <c r="B210" s="77" t="s">
        <v>225</v>
      </c>
      <c r="C210" s="78"/>
      <c r="D210" s="78"/>
      <c r="E210" s="78"/>
      <c r="F210" s="78"/>
      <c r="G210" s="78"/>
      <c r="H210" s="79"/>
    </row>
    <row r="211" spans="1:8" x14ac:dyDescent="0.3">
      <c r="A211" s="41" t="s">
        <v>144</v>
      </c>
      <c r="B211" s="68" t="s">
        <v>358</v>
      </c>
      <c r="C211" s="69"/>
      <c r="D211" s="69"/>
      <c r="E211" s="69"/>
      <c r="F211" s="69"/>
      <c r="G211" s="69"/>
      <c r="H211" s="70"/>
    </row>
    <row r="212" spans="1:8" x14ac:dyDescent="0.3">
      <c r="A212" s="166" t="s">
        <v>57</v>
      </c>
      <c r="B212" s="166"/>
      <c r="C212" s="166"/>
      <c r="D212" s="166"/>
      <c r="E212" s="166"/>
      <c r="F212" s="166"/>
      <c r="G212" s="166"/>
      <c r="H212" s="166"/>
    </row>
    <row r="213" spans="1:8" x14ac:dyDescent="0.3">
      <c r="A213" s="85" t="s">
        <v>58</v>
      </c>
      <c r="B213" s="85"/>
      <c r="C213" s="85"/>
      <c r="D213" s="85"/>
      <c r="E213" s="85"/>
      <c r="F213" s="85"/>
      <c r="G213" s="85"/>
      <c r="H213" s="85"/>
    </row>
    <row r="214" spans="1:8" x14ac:dyDescent="0.3">
      <c r="A214" s="169" t="s">
        <v>59</v>
      </c>
      <c r="B214" s="169"/>
      <c r="C214" s="169"/>
      <c r="D214" s="169"/>
      <c r="E214" s="169"/>
      <c r="F214" s="169"/>
      <c r="G214" s="169"/>
      <c r="H214" s="169"/>
    </row>
    <row r="215" spans="1:8" x14ac:dyDescent="0.3">
      <c r="A215" s="85" t="s">
        <v>60</v>
      </c>
      <c r="B215" s="85"/>
      <c r="C215" s="85"/>
      <c r="D215" s="85"/>
      <c r="E215" s="85"/>
      <c r="F215" s="85"/>
      <c r="G215" s="85"/>
      <c r="H215" s="85"/>
    </row>
    <row r="216" spans="1:8" x14ac:dyDescent="0.3">
      <c r="A216" s="85" t="s">
        <v>61</v>
      </c>
      <c r="B216" s="85"/>
      <c r="C216" s="85"/>
      <c r="D216" s="85"/>
      <c r="E216" s="85"/>
      <c r="F216" s="85"/>
      <c r="G216" s="85"/>
      <c r="H216" s="85"/>
    </row>
    <row r="217" spans="1:8" x14ac:dyDescent="0.3">
      <c r="A217" s="85" t="s">
        <v>117</v>
      </c>
      <c r="B217" s="85"/>
      <c r="C217" s="85"/>
      <c r="D217" s="85"/>
      <c r="E217" s="85"/>
      <c r="F217" s="85"/>
      <c r="G217" s="85"/>
      <c r="H217" s="85"/>
    </row>
    <row r="218" spans="1:8" x14ac:dyDescent="0.3">
      <c r="A218" s="80" t="s">
        <v>118</v>
      </c>
      <c r="B218" s="80"/>
      <c r="C218" s="80"/>
      <c r="D218" s="80"/>
      <c r="E218" s="80"/>
      <c r="F218" s="80"/>
      <c r="G218" s="80"/>
      <c r="H218" s="80"/>
    </row>
    <row r="219" spans="1:8" x14ac:dyDescent="0.3">
      <c r="A219" s="165" t="s">
        <v>73</v>
      </c>
      <c r="B219" s="165"/>
      <c r="C219" s="165" t="s">
        <v>354</v>
      </c>
      <c r="D219" s="165"/>
      <c r="E219" s="165" t="s">
        <v>97</v>
      </c>
      <c r="F219" s="165"/>
      <c r="G219" s="165" t="s">
        <v>353</v>
      </c>
      <c r="H219" s="165"/>
    </row>
    <row r="220" spans="1:8" x14ac:dyDescent="0.3">
      <c r="A220" s="164" t="s">
        <v>75</v>
      </c>
      <c r="B220" s="164"/>
      <c r="C220" s="164"/>
      <c r="D220" s="164"/>
      <c r="E220" s="164"/>
      <c r="F220" s="164"/>
      <c r="G220" s="164"/>
      <c r="H220" s="164"/>
    </row>
    <row r="221" spans="1:8" x14ac:dyDescent="0.3">
      <c r="A221" s="164"/>
      <c r="B221" s="164"/>
      <c r="C221" s="164"/>
      <c r="D221" s="164"/>
      <c r="E221" s="164"/>
      <c r="F221" s="164"/>
      <c r="G221" s="164"/>
      <c r="H221" s="164"/>
    </row>
    <row r="222" spans="1:8" x14ac:dyDescent="0.3">
      <c r="A222" s="164"/>
      <c r="B222" s="164"/>
      <c r="C222" s="164"/>
      <c r="D222" s="164"/>
      <c r="E222" s="164"/>
      <c r="F222" s="164"/>
      <c r="G222" s="164"/>
      <c r="H222" s="164"/>
    </row>
    <row r="223" spans="1:8" x14ac:dyDescent="0.3">
      <c r="A223" s="164"/>
      <c r="B223" s="164"/>
      <c r="C223" s="164"/>
      <c r="D223" s="164"/>
      <c r="E223" s="164"/>
      <c r="F223" s="164"/>
      <c r="G223" s="164"/>
      <c r="H223" s="164"/>
    </row>
    <row r="224" spans="1:8" x14ac:dyDescent="0.3">
      <c r="A224" s="35" t="s">
        <v>62</v>
      </c>
      <c r="B224" s="36"/>
      <c r="C224" s="36"/>
      <c r="D224" s="35" t="str">
        <f>E9</f>
        <v>Crown Dombivli 3</v>
      </c>
      <c r="F224" s="36"/>
      <c r="G224" s="36"/>
      <c r="H224" s="36"/>
    </row>
    <row r="225" spans="1:8" x14ac:dyDescent="0.3">
      <c r="A225" s="36"/>
      <c r="B225" s="36"/>
      <c r="C225" s="36"/>
      <c r="D225" s="36"/>
      <c r="E225" s="36"/>
      <c r="F225" s="36"/>
      <c r="G225" s="36"/>
      <c r="H225" s="36"/>
    </row>
    <row r="226" spans="1:8" x14ac:dyDescent="0.3">
      <c r="A226" s="36"/>
      <c r="B226" s="36"/>
      <c r="C226" s="36"/>
      <c r="D226" s="36"/>
      <c r="E226" s="36"/>
      <c r="F226" s="36"/>
      <c r="G226" s="36"/>
      <c r="H226" s="36"/>
    </row>
    <row r="266" spans="1:1" x14ac:dyDescent="0.3">
      <c r="A266" s="38" t="s">
        <v>155</v>
      </c>
    </row>
    <row r="308" spans="1:1" x14ac:dyDescent="0.3">
      <c r="A308" s="38" t="s">
        <v>63</v>
      </c>
    </row>
    <row r="349" hidden="1" x14ac:dyDescent="0.3"/>
  </sheetData>
  <mergeCells count="374">
    <mergeCell ref="A187:B187"/>
    <mergeCell ref="A179:B179"/>
    <mergeCell ref="A180:B180"/>
    <mergeCell ref="A181:B181"/>
    <mergeCell ref="A182:B182"/>
    <mergeCell ref="A183:B183"/>
    <mergeCell ref="A184:B184"/>
    <mergeCell ref="A185:B185"/>
    <mergeCell ref="C185:H185"/>
    <mergeCell ref="A186:B186"/>
    <mergeCell ref="I15:P15"/>
    <mergeCell ref="F111:H111"/>
    <mergeCell ref="F109:H109"/>
    <mergeCell ref="A127:H127"/>
    <mergeCell ref="G115:H115"/>
    <mergeCell ref="A110:E110"/>
    <mergeCell ref="A132:B132"/>
    <mergeCell ref="A60:B60"/>
    <mergeCell ref="C60:E60"/>
    <mergeCell ref="D62:H62"/>
    <mergeCell ref="F110:H110"/>
    <mergeCell ref="E115:F115"/>
    <mergeCell ref="A115:B115"/>
    <mergeCell ref="A117:B117"/>
    <mergeCell ref="C121:D121"/>
    <mergeCell ref="D70:H70"/>
    <mergeCell ref="A71:C71"/>
    <mergeCell ref="E43:H43"/>
    <mergeCell ref="A43:D43"/>
    <mergeCell ref="A87:B87"/>
    <mergeCell ref="C87:H87"/>
    <mergeCell ref="A82:B82"/>
    <mergeCell ref="A50:B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217:H217"/>
    <mergeCell ref="A214:H214"/>
    <mergeCell ref="A159:B159"/>
    <mergeCell ref="A121:B121"/>
    <mergeCell ref="D136:D137"/>
    <mergeCell ref="E136:E137"/>
    <mergeCell ref="A95:B95"/>
    <mergeCell ref="A96:B96"/>
    <mergeCell ref="A97:B97"/>
    <mergeCell ref="F102:H102"/>
    <mergeCell ref="G116:H116"/>
    <mergeCell ref="F108:H108"/>
    <mergeCell ref="C115:D115"/>
    <mergeCell ref="C124:D124"/>
    <mergeCell ref="A138:H138"/>
    <mergeCell ref="B206:H206"/>
    <mergeCell ref="B202:H202"/>
    <mergeCell ref="A176:B176"/>
    <mergeCell ref="A166:H166"/>
    <mergeCell ref="A175:B175"/>
    <mergeCell ref="A177:B177"/>
    <mergeCell ref="B200:H200"/>
    <mergeCell ref="B201:H201"/>
    <mergeCell ref="B203:H203"/>
    <mergeCell ref="B204:H204"/>
    <mergeCell ref="A199:H199"/>
    <mergeCell ref="F101:H101"/>
    <mergeCell ref="F106:H106"/>
    <mergeCell ref="A143:B143"/>
    <mergeCell ref="A134:B134"/>
    <mergeCell ref="A133:B133"/>
    <mergeCell ref="E90:F90"/>
    <mergeCell ref="G90:H90"/>
    <mergeCell ref="A107:E107"/>
    <mergeCell ref="F107:H107"/>
    <mergeCell ref="A109:E109"/>
    <mergeCell ref="F104:H104"/>
    <mergeCell ref="A108:E108"/>
    <mergeCell ref="E91:F100"/>
    <mergeCell ref="A98:B98"/>
    <mergeCell ref="A99:B99"/>
    <mergeCell ref="A135:H135"/>
    <mergeCell ref="E121:F121"/>
    <mergeCell ref="A126:H126"/>
    <mergeCell ref="A136:A137"/>
    <mergeCell ref="F136:F137"/>
    <mergeCell ref="A131:B131"/>
    <mergeCell ref="A125:B125"/>
    <mergeCell ref="C125:D125"/>
    <mergeCell ref="E125:F125"/>
    <mergeCell ref="A220:H223"/>
    <mergeCell ref="A219:B219"/>
    <mergeCell ref="E219:F219"/>
    <mergeCell ref="C219:D219"/>
    <mergeCell ref="G219:H219"/>
    <mergeCell ref="A114:H114"/>
    <mergeCell ref="A112:E112"/>
    <mergeCell ref="F112:H112"/>
    <mergeCell ref="A113:E113"/>
    <mergeCell ref="F113:H113"/>
    <mergeCell ref="A158:H158"/>
    <mergeCell ref="A165:B165"/>
    <mergeCell ref="A116:B116"/>
    <mergeCell ref="A215:H215"/>
    <mergeCell ref="A120:H120"/>
    <mergeCell ref="A218:H218"/>
    <mergeCell ref="A216:H216"/>
    <mergeCell ref="A212:H212"/>
    <mergeCell ref="G121:H121"/>
    <mergeCell ref="C128:C129"/>
    <mergeCell ref="B136:B137"/>
    <mergeCell ref="A213:H213"/>
    <mergeCell ref="B209:H209"/>
    <mergeCell ref="B208:H208"/>
    <mergeCell ref="D68:H68"/>
    <mergeCell ref="C75:H75"/>
    <mergeCell ref="A78:B78"/>
    <mergeCell ref="A80:B80"/>
    <mergeCell ref="E76:F76"/>
    <mergeCell ref="A69:C69"/>
    <mergeCell ref="D69:H69"/>
    <mergeCell ref="A72:C72"/>
    <mergeCell ref="D72:H72"/>
    <mergeCell ref="A70:C70"/>
    <mergeCell ref="D71:H71"/>
    <mergeCell ref="A77:B77"/>
    <mergeCell ref="G76:H76"/>
    <mergeCell ref="A147:B147"/>
    <mergeCell ref="A148:B148"/>
    <mergeCell ref="A168:H168"/>
    <mergeCell ref="A169:B169"/>
    <mergeCell ref="A170:B170"/>
    <mergeCell ref="A173:B173"/>
    <mergeCell ref="A174:B174"/>
    <mergeCell ref="A198:H198"/>
    <mergeCell ref="A164:B16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77:F86"/>
    <mergeCell ref="G77:H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A76:B76"/>
    <mergeCell ref="A85:B85"/>
    <mergeCell ref="A39:B39"/>
    <mergeCell ref="C39:H39"/>
    <mergeCell ref="A46:D46"/>
    <mergeCell ref="L134:M134"/>
    <mergeCell ref="L133:M133"/>
    <mergeCell ref="L132:M132"/>
    <mergeCell ref="L131:M131"/>
    <mergeCell ref="A84:B84"/>
    <mergeCell ref="C122:D122"/>
    <mergeCell ref="E122:F122"/>
    <mergeCell ref="G122:H122"/>
    <mergeCell ref="A102:E102"/>
    <mergeCell ref="A130:H130"/>
    <mergeCell ref="E128:E129"/>
    <mergeCell ref="A91:B91"/>
    <mergeCell ref="A47:D47"/>
    <mergeCell ref="A48:H48"/>
    <mergeCell ref="D64:H64"/>
    <mergeCell ref="A64:C64"/>
    <mergeCell ref="A83:B83"/>
    <mergeCell ref="C89:H89"/>
    <mergeCell ref="A45:D45"/>
    <mergeCell ref="A81:B81"/>
    <mergeCell ref="A68:C68"/>
    <mergeCell ref="L144:M144"/>
    <mergeCell ref="A163:B163"/>
    <mergeCell ref="A160:B160"/>
    <mergeCell ref="A161:B161"/>
    <mergeCell ref="A40:B40"/>
    <mergeCell ref="C40:H40"/>
    <mergeCell ref="F128:F129"/>
    <mergeCell ref="C116:D116"/>
    <mergeCell ref="E116:F116"/>
    <mergeCell ref="B128:B129"/>
    <mergeCell ref="A128:A129"/>
    <mergeCell ref="C136:C137"/>
    <mergeCell ref="G136:G137"/>
    <mergeCell ref="L143:M143"/>
    <mergeCell ref="L140:M140"/>
    <mergeCell ref="A144:B144"/>
    <mergeCell ref="G125:H125"/>
    <mergeCell ref="L141:M141"/>
    <mergeCell ref="A145:B145"/>
    <mergeCell ref="L142:M142"/>
    <mergeCell ref="C55:H55"/>
    <mergeCell ref="A146:B146"/>
    <mergeCell ref="A171:B171"/>
    <mergeCell ref="A172:B172"/>
    <mergeCell ref="A49:B49"/>
    <mergeCell ref="C49:H49"/>
    <mergeCell ref="B205:H205"/>
    <mergeCell ref="G91:H100"/>
    <mergeCell ref="A92:B92"/>
    <mergeCell ref="A93:B93"/>
    <mergeCell ref="A94:B94"/>
    <mergeCell ref="F103:H103"/>
    <mergeCell ref="A103:E103"/>
    <mergeCell ref="D128:D129"/>
    <mergeCell ref="A105:E105"/>
    <mergeCell ref="A104:E104"/>
    <mergeCell ref="A101:E101"/>
    <mergeCell ref="F105:H105"/>
    <mergeCell ref="G128:G129"/>
    <mergeCell ref="A79:B79"/>
    <mergeCell ref="A86:B86"/>
    <mergeCell ref="A90:B90"/>
    <mergeCell ref="A89:B89"/>
    <mergeCell ref="A75:B75"/>
    <mergeCell ref="A73:B73"/>
    <mergeCell ref="C73:H73"/>
    <mergeCell ref="A157:B157"/>
    <mergeCell ref="A178:H178"/>
    <mergeCell ref="B210:H210"/>
    <mergeCell ref="A106:E106"/>
    <mergeCell ref="A100:B100"/>
    <mergeCell ref="A124:B124"/>
    <mergeCell ref="E124:F124"/>
    <mergeCell ref="A111:E111"/>
    <mergeCell ref="G124:H124"/>
    <mergeCell ref="C117:D117"/>
    <mergeCell ref="E117:F117"/>
    <mergeCell ref="G117:H117"/>
    <mergeCell ref="A118:B118"/>
    <mergeCell ref="C118:D118"/>
    <mergeCell ref="E118:F118"/>
    <mergeCell ref="G118:H118"/>
    <mergeCell ref="C123:D123"/>
    <mergeCell ref="E123:F123"/>
    <mergeCell ref="G123:H123"/>
    <mergeCell ref="B207:H207"/>
    <mergeCell ref="A162:B162"/>
    <mergeCell ref="A119:H119"/>
    <mergeCell ref="A122:A123"/>
    <mergeCell ref="A149:B149"/>
    <mergeCell ref="B211:H211"/>
    <mergeCell ref="A139:H139"/>
    <mergeCell ref="A197:B197"/>
    <mergeCell ref="C195:H195"/>
    <mergeCell ref="A140:H140"/>
    <mergeCell ref="A141:H141"/>
    <mergeCell ref="A167:H167"/>
    <mergeCell ref="A142:H142"/>
    <mergeCell ref="A188:H188"/>
    <mergeCell ref="A189:B189"/>
    <mergeCell ref="A190:B190"/>
    <mergeCell ref="A191:B191"/>
    <mergeCell ref="A192:B192"/>
    <mergeCell ref="A193:B193"/>
    <mergeCell ref="A194:B194"/>
    <mergeCell ref="A195:B195"/>
    <mergeCell ref="A196:B196"/>
    <mergeCell ref="A150:H150"/>
    <mergeCell ref="A151:B151"/>
    <mergeCell ref="A152:B152"/>
    <mergeCell ref="A153:B153"/>
    <mergeCell ref="A154:B154"/>
    <mergeCell ref="A155:B155"/>
    <mergeCell ref="A156:B156"/>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8:E129" xr:uid="{00000000-0002-0000-0000-000003000000}">
      <formula1>"Attached Loft area,Attached Otla area,Attached Mezzanine area"</formula1>
    </dataValidation>
    <dataValidation type="list" allowBlank="1" showInputMessage="1" showErrorMessage="1" sqref="G219:H219" xr:uid="{00000000-0002-0000-0000-000004000000}">
      <formula1>"Kunal Kadam,Pranita Mhatre,Shruti Fule,Pooja Kawale,Neha Dhokale,Shruti Tathare, Hitakshi Mhatre, Sachin Sawant"</formula1>
    </dataValidation>
    <dataValidation type="list" allowBlank="1" showInputMessage="1" showErrorMessage="1" sqref="F101:H101" xr:uid="{00000000-0002-0000-0000-000005000000}">
      <formula1>"On Saleable Area,On Builtup Area,On Carpet Area,On Plot Area"</formula1>
    </dataValidation>
    <dataValidation type="list" allowBlank="1" showInputMessage="1" showErrorMessage="1" sqref="B128:B129" xr:uid="{00000000-0002-0000-0000-000006000000}">
      <formula1>"Shop No. (Sale Plan),Sale / Rehab,Sale / Mhada"</formula1>
    </dataValidation>
    <dataValidation type="list" allowBlank="1" showInputMessage="1" showErrorMessage="1" sqref="B136:B137"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36:E137" xr:uid="{00000000-0002-0000-0000-00000A000000}">
      <formula1>"Fungible area,Balcony Area,Chajja Area,Cornice Area,AP Area,WS Area"</formula1>
    </dataValidation>
    <dataValidation type="list" allowBlank="1" showInputMessage="1" showErrorMessage="1" sqref="H129 H137"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H128 H136" xr:uid="{00000000-0002-0000-0000-00000D000000}">
      <formula1>"Saleable area Loading :,Builder Saleable Area"</formula1>
    </dataValidation>
    <dataValidation type="list" allowBlank="1" showInputMessage="1" showErrorMessage="1" sqref="D128:D129 D136:D137" xr:uid="{00000000-0002-0000-0000-00000E000000}">
      <formula1>"Carpet area,RERA Carpet area"</formula1>
    </dataValidation>
    <dataValidation type="list" allowBlank="1" showInputMessage="1" showErrorMessage="1" sqref="F112:H112" xr:uid="{00000000-0002-0000-0000-00000F000000}">
      <formula1>OFFSET($S$101,1,MATCH($G20,$S$101:$W$101,0)-1,15,1)</formula1>
    </dataValidation>
    <dataValidation type="list" allowBlank="1" showInputMessage="1" showErrorMessage="1" sqref="C49:H49" xr:uid="{00000000-0002-0000-0000-000010000000}">
      <formula1>OFFSET($S$49,1,MATCH($G20,$S$49:$W$49,0)-1,15,1)</formula1>
    </dataValidation>
  </dataValidations>
  <hyperlinks>
    <hyperlink ref="C40" r:id="rId1" xr:uid="{00000000-0004-0000-0000-000000000000}"/>
    <hyperlink ref="I69"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00" max="7" man="1"/>
    <brk id="223" max="7" man="1"/>
    <brk id="265" max="7" man="1"/>
    <brk id="307"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91" t="s">
        <v>98</v>
      </c>
      <c r="C3" s="191"/>
      <c r="D3" s="191"/>
      <c r="E3" s="191"/>
      <c r="F3" s="191"/>
      <c r="G3" s="191"/>
      <c r="H3" s="191"/>
    </row>
    <row r="4" spans="1:9" x14ac:dyDescent="0.3">
      <c r="A4" s="2"/>
      <c r="B4" s="3" t="s">
        <v>99</v>
      </c>
      <c r="C4" s="3" t="s">
        <v>100</v>
      </c>
      <c r="D4" s="3" t="s">
        <v>65</v>
      </c>
      <c r="E4" s="3" t="s">
        <v>101</v>
      </c>
      <c r="F4" s="3" t="s">
        <v>107</v>
      </c>
      <c r="G4" s="3" t="s">
        <v>108</v>
      </c>
      <c r="H4" s="3" t="s">
        <v>102</v>
      </c>
    </row>
    <row r="5" spans="1:9" ht="15" customHeight="1" x14ac:dyDescent="0.3">
      <c r="A5" s="2"/>
      <c r="B5" s="5" t="s">
        <v>103</v>
      </c>
      <c r="C5" s="6"/>
      <c r="D5" s="5"/>
      <c r="E5" s="5"/>
      <c r="F5" s="7">
        <f>E5*1.6</f>
        <v>0</v>
      </c>
      <c r="G5" s="7" t="e">
        <f>H5/F5</f>
        <v>#DIV/0!</v>
      </c>
      <c r="H5" s="8"/>
    </row>
    <row r="6" spans="1:9" x14ac:dyDescent="0.3">
      <c r="A6" s="2"/>
      <c r="B6" s="5" t="s">
        <v>103</v>
      </c>
      <c r="C6" s="9"/>
      <c r="D6" s="5"/>
      <c r="E6" s="5"/>
      <c r="F6" s="7">
        <f t="shared" ref="F6:F11" si="0">E6*1.6</f>
        <v>0</v>
      </c>
      <c r="G6" s="7" t="e">
        <f t="shared" ref="G6:G11" si="1">H6/F6</f>
        <v>#DIV/0!</v>
      </c>
      <c r="H6" s="8"/>
    </row>
    <row r="7" spans="1:9" ht="15" customHeight="1" x14ac:dyDescent="0.3">
      <c r="A7" s="2"/>
      <c r="B7" s="5" t="s">
        <v>103</v>
      </c>
      <c r="C7" s="6"/>
      <c r="D7" s="5"/>
      <c r="E7" s="5"/>
      <c r="F7" s="7">
        <f t="shared" si="0"/>
        <v>0</v>
      </c>
      <c r="G7" s="7" t="e">
        <f t="shared" si="1"/>
        <v>#DIV/0!</v>
      </c>
      <c r="H7" s="8"/>
    </row>
    <row r="8" spans="1:9" x14ac:dyDescent="0.3">
      <c r="A8" s="2"/>
      <c r="B8" s="5" t="s">
        <v>103</v>
      </c>
      <c r="C8" s="9"/>
      <c r="D8" s="5"/>
      <c r="E8" s="5"/>
      <c r="F8" s="7">
        <f t="shared" si="0"/>
        <v>0</v>
      </c>
      <c r="G8" s="7" t="e">
        <f t="shared" si="1"/>
        <v>#DIV/0!</v>
      </c>
      <c r="H8" s="8"/>
    </row>
    <row r="9" spans="1:9" ht="15" customHeight="1" x14ac:dyDescent="0.3">
      <c r="A9" s="2"/>
      <c r="B9" s="5" t="s">
        <v>103</v>
      </c>
      <c r="C9" s="9"/>
      <c r="D9" s="5"/>
      <c r="E9" s="5"/>
      <c r="F9" s="7">
        <f t="shared" si="0"/>
        <v>0</v>
      </c>
      <c r="G9" s="7" t="e">
        <f t="shared" si="1"/>
        <v>#DIV/0!</v>
      </c>
      <c r="H9" s="8"/>
    </row>
    <row r="10" spans="1:9" ht="15" customHeight="1" x14ac:dyDescent="0.3">
      <c r="A10" s="2"/>
      <c r="B10" s="5" t="s">
        <v>104</v>
      </c>
      <c r="C10" s="6"/>
      <c r="D10" s="5"/>
      <c r="E10" s="5"/>
      <c r="F10" s="7">
        <f t="shared" si="0"/>
        <v>0</v>
      </c>
      <c r="G10" s="7" t="e">
        <f t="shared" si="1"/>
        <v>#DIV/0!</v>
      </c>
      <c r="H10" s="8"/>
    </row>
    <row r="11" spans="1:9" ht="15" customHeight="1" x14ac:dyDescent="0.3">
      <c r="A11" s="2"/>
      <c r="B11" s="5" t="s">
        <v>104</v>
      </c>
      <c r="C11" s="6"/>
      <c r="D11" s="5"/>
      <c r="E11" s="5"/>
      <c r="F11" s="7">
        <f t="shared" si="0"/>
        <v>0</v>
      </c>
      <c r="G11" s="7" t="e">
        <f t="shared" si="1"/>
        <v>#DIV/0!</v>
      </c>
      <c r="H11" s="8"/>
    </row>
    <row r="12" spans="1:9" ht="15" customHeight="1" x14ac:dyDescent="0.3">
      <c r="A12" s="2"/>
      <c r="B12" s="10" t="s">
        <v>105</v>
      </c>
      <c r="C12" s="5"/>
      <c r="D12" s="5"/>
      <c r="E12" s="5"/>
      <c r="F12" s="5"/>
      <c r="G12" s="11" t="e">
        <f>AVERAGE(G5:G11)</f>
        <v>#DIV/0!</v>
      </c>
      <c r="H12" s="5"/>
    </row>
    <row r="13" spans="1:9" ht="15" customHeight="1" x14ac:dyDescent="0.3">
      <c r="B13" s="10" t="s">
        <v>106</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7"/>
      <c r="C4" s="47" t="s">
        <v>11</v>
      </c>
      <c r="D4" s="48" t="s">
        <v>170</v>
      </c>
      <c r="E4" s="48" t="s">
        <v>180</v>
      </c>
      <c r="F4" s="48" t="s">
        <v>164</v>
      </c>
      <c r="G4" s="48" t="s">
        <v>185</v>
      </c>
      <c r="H4" s="48" t="s">
        <v>203</v>
      </c>
      <c r="J4" t="s">
        <v>185</v>
      </c>
      <c r="K4" t="s">
        <v>201</v>
      </c>
    </row>
    <row r="5" spans="2:11" x14ac:dyDescent="0.3">
      <c r="B5" s="47"/>
      <c r="C5" s="47"/>
      <c r="D5" s="48" t="s">
        <v>171</v>
      </c>
      <c r="E5" s="48" t="s">
        <v>178</v>
      </c>
      <c r="F5" s="48" t="s">
        <v>200</v>
      </c>
      <c r="G5" s="48" t="s">
        <v>186</v>
      </c>
      <c r="H5" s="48" t="s">
        <v>204</v>
      </c>
    </row>
    <row r="6" spans="2:11" x14ac:dyDescent="0.3">
      <c r="B6" s="47"/>
      <c r="C6" s="47"/>
      <c r="D6" s="48" t="s">
        <v>172</v>
      </c>
      <c r="E6" s="48" t="s">
        <v>179</v>
      </c>
      <c r="F6" s="48" t="s">
        <v>201</v>
      </c>
      <c r="G6" s="48" t="s">
        <v>187</v>
      </c>
      <c r="H6" s="48" t="s">
        <v>217</v>
      </c>
    </row>
    <row r="7" spans="2:11" x14ac:dyDescent="0.3">
      <c r="B7" s="47"/>
      <c r="C7" s="47"/>
      <c r="D7" s="48" t="s">
        <v>173</v>
      </c>
      <c r="E7" s="48" t="s">
        <v>181</v>
      </c>
      <c r="F7" s="48" t="s">
        <v>202</v>
      </c>
      <c r="G7" s="48" t="s">
        <v>188</v>
      </c>
      <c r="H7" s="48" t="s">
        <v>205</v>
      </c>
    </row>
    <row r="8" spans="2:11" x14ac:dyDescent="0.3">
      <c r="B8" s="47"/>
      <c r="C8" s="47"/>
      <c r="D8" s="48" t="s">
        <v>174</v>
      </c>
      <c r="E8" s="48" t="s">
        <v>182</v>
      </c>
      <c r="F8" s="48"/>
      <c r="G8" s="48" t="s">
        <v>189</v>
      </c>
      <c r="H8" s="48" t="s">
        <v>206</v>
      </c>
    </row>
    <row r="9" spans="2:11" x14ac:dyDescent="0.3">
      <c r="B9" s="47"/>
      <c r="C9" s="47"/>
      <c r="D9" s="48" t="s">
        <v>175</v>
      </c>
      <c r="E9" s="48" t="s">
        <v>180</v>
      </c>
      <c r="F9" s="48"/>
      <c r="G9" s="48" t="s">
        <v>190</v>
      </c>
      <c r="H9" s="48" t="s">
        <v>207</v>
      </c>
    </row>
    <row r="10" spans="2:11" x14ac:dyDescent="0.3">
      <c r="B10" s="47"/>
      <c r="C10" s="47"/>
      <c r="D10" s="48" t="s">
        <v>176</v>
      </c>
      <c r="E10" s="48" t="s">
        <v>183</v>
      </c>
      <c r="F10" s="48"/>
      <c r="G10" s="48" t="s">
        <v>191</v>
      </c>
      <c r="H10" s="48" t="s">
        <v>208</v>
      </c>
    </row>
    <row r="11" spans="2:11" x14ac:dyDescent="0.3">
      <c r="B11" s="47"/>
      <c r="C11" s="47"/>
      <c r="D11" s="48" t="s">
        <v>177</v>
      </c>
      <c r="E11" s="48" t="s">
        <v>184</v>
      </c>
      <c r="F11" s="48"/>
      <c r="G11" s="48" t="s">
        <v>192</v>
      </c>
      <c r="H11" s="48" t="s">
        <v>209</v>
      </c>
    </row>
    <row r="12" spans="2:11" x14ac:dyDescent="0.3">
      <c r="B12" s="47"/>
      <c r="C12" s="47"/>
      <c r="D12" s="48"/>
      <c r="E12" s="48"/>
      <c r="F12" s="48"/>
      <c r="G12" s="48" t="s">
        <v>193</v>
      </c>
      <c r="H12" s="48" t="s">
        <v>210</v>
      </c>
    </row>
    <row r="13" spans="2:11" x14ac:dyDescent="0.3">
      <c r="B13" s="47"/>
      <c r="C13" s="47"/>
      <c r="D13" s="48"/>
      <c r="E13" s="48"/>
      <c r="F13" s="48"/>
      <c r="G13" s="48" t="s">
        <v>194</v>
      </c>
      <c r="H13" s="48" t="s">
        <v>211</v>
      </c>
    </row>
    <row r="14" spans="2:11" x14ac:dyDescent="0.3">
      <c r="B14" s="47"/>
      <c r="C14" s="47"/>
      <c r="D14" s="48"/>
      <c r="E14" s="48"/>
      <c r="F14" s="48"/>
      <c r="G14" s="48" t="s">
        <v>195</v>
      </c>
      <c r="H14" s="48" t="s">
        <v>212</v>
      </c>
    </row>
    <row r="15" spans="2:11" x14ac:dyDescent="0.3">
      <c r="B15" s="47"/>
      <c r="C15" s="47"/>
      <c r="D15" s="48"/>
      <c r="E15" s="48"/>
      <c r="F15" s="48"/>
      <c r="G15" s="48" t="s">
        <v>196</v>
      </c>
      <c r="H15" s="48" t="s">
        <v>213</v>
      </c>
    </row>
    <row r="16" spans="2:11" x14ac:dyDescent="0.3">
      <c r="B16" s="47"/>
      <c r="C16" s="47"/>
      <c r="D16" s="48"/>
      <c r="E16" s="48"/>
      <c r="F16" s="48"/>
      <c r="G16" s="48" t="s">
        <v>197</v>
      </c>
      <c r="H16" s="48" t="s">
        <v>214</v>
      </c>
    </row>
    <row r="17" spans="2:8" x14ac:dyDescent="0.3">
      <c r="B17" s="47"/>
      <c r="C17" s="47"/>
      <c r="D17" s="48"/>
      <c r="E17" s="48"/>
      <c r="F17" s="48"/>
      <c r="G17" s="48" t="s">
        <v>198</v>
      </c>
      <c r="H17" s="48" t="s">
        <v>215</v>
      </c>
    </row>
    <row r="18" spans="2:8" x14ac:dyDescent="0.3">
      <c r="B18" s="47"/>
      <c r="C18" s="47"/>
      <c r="D18" s="48"/>
      <c r="E18" s="48"/>
      <c r="F18" s="48"/>
      <c r="G18" s="48" t="s">
        <v>199</v>
      </c>
      <c r="H18" s="48" t="s">
        <v>216</v>
      </c>
    </row>
    <row r="24" spans="2:8" x14ac:dyDescent="0.3">
      <c r="C24" t="s">
        <v>161</v>
      </c>
    </row>
    <row r="25" spans="2:8" x14ac:dyDescent="0.3">
      <c r="C25" t="s">
        <v>218</v>
      </c>
    </row>
    <row r="26" spans="2:8" x14ac:dyDescent="0.3">
      <c r="C26" t="s">
        <v>219</v>
      </c>
    </row>
    <row r="27" spans="2:8" x14ac:dyDescent="0.3">
      <c r="C27" t="s">
        <v>220</v>
      </c>
    </row>
    <row r="28" spans="2:8" x14ac:dyDescent="0.3">
      <c r="C28" t="s">
        <v>221</v>
      </c>
    </row>
    <row r="29" spans="2:8" x14ac:dyDescent="0.3">
      <c r="C29" t="s">
        <v>222</v>
      </c>
    </row>
    <row r="30" spans="2:8" x14ac:dyDescent="0.3">
      <c r="C30" t="s">
        <v>161</v>
      </c>
    </row>
    <row r="33" spans="3:11" x14ac:dyDescent="0.3">
      <c r="J33">
        <v>1</v>
      </c>
      <c r="K33">
        <v>2</v>
      </c>
    </row>
    <row r="34" spans="3:11" x14ac:dyDescent="0.3">
      <c r="C34" s="49" t="s">
        <v>229</v>
      </c>
      <c r="D34" s="48" t="s">
        <v>227</v>
      </c>
      <c r="E34" s="48" t="s">
        <v>232</v>
      </c>
      <c r="F34" s="48" t="s">
        <v>230</v>
      </c>
      <c r="G34" s="48" t="s">
        <v>231</v>
      </c>
      <c r="H34" s="48" t="s">
        <v>233</v>
      </c>
      <c r="J34" t="s">
        <v>185</v>
      </c>
      <c r="K34" t="s">
        <v>201</v>
      </c>
    </row>
    <row r="35" spans="3:11" x14ac:dyDescent="0.3">
      <c r="C35" s="47" t="s">
        <v>228</v>
      </c>
      <c r="D35" s="48" t="s">
        <v>162</v>
      </c>
      <c r="E35" s="48" t="s">
        <v>237</v>
      </c>
      <c r="F35" s="48" t="s">
        <v>239</v>
      </c>
      <c r="G35" s="48" t="s">
        <v>241</v>
      </c>
      <c r="H35" s="48"/>
    </row>
    <row r="36" spans="3:11" x14ac:dyDescent="0.3">
      <c r="C36" s="47"/>
      <c r="D36" s="48" t="s">
        <v>234</v>
      </c>
      <c r="E36" s="48" t="s">
        <v>238</v>
      </c>
      <c r="F36" s="48" t="s">
        <v>240</v>
      </c>
      <c r="G36" s="48" t="s">
        <v>242</v>
      </c>
      <c r="H36" s="48"/>
    </row>
    <row r="37" spans="3:11" x14ac:dyDescent="0.3">
      <c r="C37" s="47"/>
      <c r="D37" s="48" t="s">
        <v>235</v>
      </c>
      <c r="E37" s="48"/>
      <c r="F37" s="48"/>
      <c r="G37" s="48" t="s">
        <v>243</v>
      </c>
      <c r="H37" s="48"/>
    </row>
    <row r="38" spans="3:11" x14ac:dyDescent="0.3">
      <c r="C38" s="47"/>
      <c r="D38" s="48" t="s">
        <v>236</v>
      </c>
      <c r="E38" s="48"/>
      <c r="F38" s="48"/>
      <c r="G38" s="48" t="s">
        <v>243</v>
      </c>
      <c r="H38" s="48"/>
    </row>
    <row r="39" spans="3:11" x14ac:dyDescent="0.3">
      <c r="C39" s="47"/>
      <c r="D39" s="48"/>
      <c r="E39" s="48"/>
      <c r="F39" s="48"/>
      <c r="G39" s="48" t="s">
        <v>244</v>
      </c>
      <c r="H39" s="48"/>
    </row>
    <row r="40" spans="3:11" x14ac:dyDescent="0.3">
      <c r="C40" s="47"/>
      <c r="D40" s="48"/>
      <c r="E40" s="48"/>
      <c r="F40" s="48"/>
      <c r="G40" s="48" t="s">
        <v>245</v>
      </c>
      <c r="H40" s="48"/>
    </row>
    <row r="41" spans="3:11" x14ac:dyDescent="0.3">
      <c r="C41" s="47"/>
      <c r="D41" s="48"/>
      <c r="E41" s="48"/>
      <c r="F41" s="48"/>
      <c r="G41" s="48"/>
      <c r="H41" s="48"/>
    </row>
    <row r="43" spans="3:11" x14ac:dyDescent="0.3">
      <c r="C43" t="s">
        <v>246</v>
      </c>
    </row>
    <row r="44" spans="3:11" x14ac:dyDescent="0.3">
      <c r="C44" t="s">
        <v>164</v>
      </c>
      <c r="D44" t="s">
        <v>247</v>
      </c>
    </row>
    <row r="45" spans="3:11" x14ac:dyDescent="0.3">
      <c r="D45" t="s">
        <v>248</v>
      </c>
    </row>
    <row r="46" spans="3:11" x14ac:dyDescent="0.3">
      <c r="D46" t="s">
        <v>249</v>
      </c>
    </row>
    <row r="47" spans="3:11" x14ac:dyDescent="0.3">
      <c r="D47" t="s">
        <v>250</v>
      </c>
    </row>
    <row r="48" spans="3:11" x14ac:dyDescent="0.3">
      <c r="D48" t="s">
        <v>251</v>
      </c>
    </row>
    <row r="49" spans="3:4" x14ac:dyDescent="0.3">
      <c r="C49" t="s">
        <v>170</v>
      </c>
      <c r="D49" t="s">
        <v>252</v>
      </c>
    </row>
    <row r="50" spans="3:4" x14ac:dyDescent="0.3">
      <c r="D50" t="s">
        <v>253</v>
      </c>
    </row>
    <row r="51" spans="3:4" x14ac:dyDescent="0.3">
      <c r="D51" t="s">
        <v>254</v>
      </c>
    </row>
    <row r="52" spans="3:4" x14ac:dyDescent="0.3">
      <c r="D52" t="s">
        <v>257</v>
      </c>
    </row>
    <row r="53" spans="3:4" x14ac:dyDescent="0.3">
      <c r="D53" t="s">
        <v>255</v>
      </c>
    </row>
    <row r="54" spans="3:4" x14ac:dyDescent="0.3">
      <c r="D54" t="s">
        <v>256</v>
      </c>
    </row>
    <row r="55" spans="3:4" x14ac:dyDescent="0.3">
      <c r="D55" t="s">
        <v>258</v>
      </c>
    </row>
    <row r="56" spans="3:4" x14ac:dyDescent="0.3">
      <c r="D56" t="s">
        <v>259</v>
      </c>
    </row>
    <row r="57" spans="3:4" x14ac:dyDescent="0.3">
      <c r="D57" t="s">
        <v>260</v>
      </c>
    </row>
    <row r="58" spans="3:4" x14ac:dyDescent="0.3">
      <c r="D58" t="s">
        <v>262</v>
      </c>
    </row>
    <row r="59" spans="3:4" x14ac:dyDescent="0.3">
      <c r="D59" t="s">
        <v>271</v>
      </c>
    </row>
    <row r="60" spans="3:4" x14ac:dyDescent="0.3">
      <c r="C60" t="s">
        <v>185</v>
      </c>
      <c r="D60" t="s">
        <v>263</v>
      </c>
    </row>
    <row r="61" spans="3:4" x14ac:dyDescent="0.3">
      <c r="D61" t="s">
        <v>261</v>
      </c>
    </row>
    <row r="62" spans="3:4" x14ac:dyDescent="0.3">
      <c r="D62" t="s">
        <v>251</v>
      </c>
    </row>
    <row r="63" spans="3:4" x14ac:dyDescent="0.3">
      <c r="D63" t="s">
        <v>264</v>
      </c>
    </row>
    <row r="64" spans="3:4" x14ac:dyDescent="0.3">
      <c r="D64" t="s">
        <v>265</v>
      </c>
    </row>
    <row r="65" spans="3:4" x14ac:dyDescent="0.3">
      <c r="D65" t="s">
        <v>266</v>
      </c>
    </row>
    <row r="66" spans="3:4" x14ac:dyDescent="0.3">
      <c r="D66" t="s">
        <v>267</v>
      </c>
    </row>
    <row r="67" spans="3:4" x14ac:dyDescent="0.3">
      <c r="C67" t="s">
        <v>180</v>
      </c>
      <c r="D67" t="s">
        <v>268</v>
      </c>
    </row>
    <row r="68" spans="3:4" x14ac:dyDescent="0.3">
      <c r="D68" t="s">
        <v>269</v>
      </c>
    </row>
    <row r="69" spans="3:4" x14ac:dyDescent="0.3">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4.4" x14ac:dyDescent="0.3"/>
  <cols>
    <col min="2" max="2" width="3" bestFit="1" customWidth="1"/>
    <col min="3" max="3" width="130" customWidth="1"/>
  </cols>
  <sheetData>
    <row r="2" spans="2:3" ht="15" customHeight="1" x14ac:dyDescent="0.3">
      <c r="B2" s="50">
        <v>1</v>
      </c>
      <c r="C2" s="52" t="s">
        <v>277</v>
      </c>
    </row>
    <row r="3" spans="2:3" x14ac:dyDescent="0.3">
      <c r="B3" s="50">
        <v>2</v>
      </c>
      <c r="C3" s="51" t="s">
        <v>278</v>
      </c>
    </row>
    <row r="4" spans="2:3" x14ac:dyDescent="0.3">
      <c r="B4" s="50">
        <v>3</v>
      </c>
      <c r="C4" s="50" t="s">
        <v>279</v>
      </c>
    </row>
    <row r="5" spans="2:3" x14ac:dyDescent="0.3">
      <c r="B5" s="50">
        <v>4</v>
      </c>
      <c r="C5" s="51" t="s">
        <v>280</v>
      </c>
    </row>
    <row r="6" spans="2:3" x14ac:dyDescent="0.3">
      <c r="B6" s="50">
        <v>5</v>
      </c>
      <c r="C6" s="50" t="s">
        <v>281</v>
      </c>
    </row>
    <row r="7" spans="2:3" ht="28.8" x14ac:dyDescent="0.3">
      <c r="B7" s="50">
        <v>6</v>
      </c>
      <c r="C7" s="51" t="s">
        <v>282</v>
      </c>
    </row>
    <row r="8" spans="2:3" ht="72" x14ac:dyDescent="0.3">
      <c r="B8" s="50">
        <v>7</v>
      </c>
      <c r="C8" s="51" t="s">
        <v>283</v>
      </c>
    </row>
    <row r="9" spans="2:3" x14ac:dyDescent="0.3">
      <c r="B9" s="50">
        <v>8</v>
      </c>
      <c r="C9" s="50" t="s">
        <v>284</v>
      </c>
    </row>
    <row r="10" spans="2:3" x14ac:dyDescent="0.3">
      <c r="B10" s="50">
        <v>9</v>
      </c>
      <c r="C10" s="50" t="s">
        <v>285</v>
      </c>
    </row>
    <row r="11" spans="2:3" x14ac:dyDescent="0.3">
      <c r="B11" s="50">
        <v>10</v>
      </c>
      <c r="C11" s="50" t="s">
        <v>286</v>
      </c>
    </row>
    <row r="12" spans="2:3" x14ac:dyDescent="0.3">
      <c r="B12" s="50">
        <v>11</v>
      </c>
      <c r="C12" s="50" t="s">
        <v>287</v>
      </c>
    </row>
    <row r="13" spans="2:3" x14ac:dyDescent="0.3">
      <c r="B13" s="50">
        <v>12</v>
      </c>
      <c r="C13" s="50" t="s">
        <v>288</v>
      </c>
    </row>
    <row r="14" spans="2:3" x14ac:dyDescent="0.3">
      <c r="B14" s="50">
        <v>13</v>
      </c>
      <c r="C14" s="50" t="s">
        <v>289</v>
      </c>
    </row>
    <row r="15" spans="2:3" x14ac:dyDescent="0.3">
      <c r="B15" s="50">
        <v>14</v>
      </c>
      <c r="C15" s="50" t="s">
        <v>279</v>
      </c>
    </row>
    <row r="16" spans="2:3" x14ac:dyDescent="0.3">
      <c r="B16" s="50">
        <v>15</v>
      </c>
      <c r="C16" s="50" t="s">
        <v>291</v>
      </c>
    </row>
    <row r="17" spans="2:3" ht="31.5" customHeight="1" x14ac:dyDescent="0.3">
      <c r="B17" s="53">
        <v>16</v>
      </c>
      <c r="C17" s="55" t="s">
        <v>292</v>
      </c>
    </row>
    <row r="18" spans="2:3" x14ac:dyDescent="0.3">
      <c r="B18" s="54">
        <v>17</v>
      </c>
      <c r="C18" s="55" t="s">
        <v>293</v>
      </c>
    </row>
    <row r="19" spans="2:3" x14ac:dyDescent="0.3">
      <c r="B19" s="53">
        <v>18</v>
      </c>
      <c r="C19" s="50" t="s">
        <v>294</v>
      </c>
    </row>
    <row r="20" spans="2:3" x14ac:dyDescent="0.3">
      <c r="B20" s="54">
        <v>19</v>
      </c>
      <c r="C20" s="50"/>
    </row>
    <row r="21" spans="2:3" x14ac:dyDescent="0.3">
      <c r="B21" s="50">
        <v>20</v>
      </c>
      <c r="C21" s="50"/>
    </row>
    <row r="22" spans="2:3" x14ac:dyDescent="0.3">
      <c r="B22" s="50"/>
      <c r="C22" s="50"/>
    </row>
    <row r="23" spans="2:3" x14ac:dyDescent="0.3">
      <c r="B23" s="50"/>
      <c r="C23" s="50"/>
    </row>
    <row r="24" spans="2:3" x14ac:dyDescent="0.3">
      <c r="B24" s="50"/>
      <c r="C24" s="50"/>
    </row>
    <row r="25" spans="2:3" x14ac:dyDescent="0.3">
      <c r="B25" s="50"/>
      <c r="C25" s="50"/>
    </row>
    <row r="26" spans="2:3" x14ac:dyDescent="0.3">
      <c r="B26" s="50"/>
      <c r="C26" s="5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2025-09-17T11:52:30Z</cp:lastPrinted>
  <dcterms:created xsi:type="dcterms:W3CDTF">2019-07-16T09:29:46Z</dcterms:created>
  <dcterms:modified xsi:type="dcterms:W3CDTF">2025-09-17T11:53:20Z</dcterms:modified>
</cp:coreProperties>
</file>