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Aug 25\Axis\Dump\"/>
    </mc:Choice>
  </mc:AlternateContent>
  <xr:revisionPtr revIDLastSave="0" documentId="13_ncr:1_{FB468F5F-286D-4085-818A-2EA152C87780}"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Flat detail" sheetId="3" r:id="rId2"/>
    <sheet name="valuation" sheetId="5" r:id="rId3"/>
    <sheet name="Note" sheetId="4" r:id="rId4"/>
  </sheets>
  <definedNames>
    <definedName name="_xlnm.Print_Area" localSheetId="0">Report!$A$1:$H$335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 i="1" l="1"/>
  <c r="J55" i="1"/>
  <c r="I55" i="1"/>
  <c r="D184" i="1" l="1"/>
  <c r="D183" i="1"/>
  <c r="D182" i="1"/>
  <c r="D181" i="1"/>
  <c r="D180" i="1"/>
  <c r="D176" i="1"/>
  <c r="F176" i="1" s="1"/>
  <c r="D175" i="1"/>
  <c r="F175" i="1" s="1"/>
  <c r="D174" i="1"/>
  <c r="F174" i="1" s="1"/>
  <c r="D173" i="1"/>
  <c r="F173" i="1" s="1"/>
  <c r="D172" i="1"/>
  <c r="F172" i="1" s="1"/>
  <c r="D171" i="1"/>
  <c r="F171" i="1" s="1"/>
  <c r="D147" i="1"/>
  <c r="F147" i="1" s="1"/>
  <c r="D146" i="1"/>
  <c r="F146" i="1" s="1"/>
  <c r="A146" i="1"/>
  <c r="A147" i="1" s="1"/>
  <c r="A148" i="1" s="1"/>
  <c r="G145" i="1"/>
  <c r="D145" i="1"/>
  <c r="F145" i="1" s="1"/>
  <c r="A142" i="1"/>
  <c r="A143" i="1" s="1"/>
  <c r="I130" i="1"/>
  <c r="L75" i="1" l="1"/>
  <c r="C14" i="1"/>
  <c r="C89" i="1" l="1"/>
  <c r="C69" i="1" l="1"/>
  <c r="E3" i="1" l="1"/>
  <c r="F184" i="1" l="1"/>
  <c r="F183" i="1"/>
  <c r="F182" i="1"/>
  <c r="F181" i="1"/>
  <c r="F180" i="1"/>
  <c r="G179" i="1"/>
  <c r="D179" i="1"/>
  <c r="F179" i="1" s="1"/>
  <c r="D163" i="1"/>
  <c r="D169" i="1"/>
  <c r="D168" i="1"/>
  <c r="D167" i="1"/>
  <c r="D166" i="1"/>
  <c r="D165" i="1"/>
  <c r="D164" i="1"/>
  <c r="D161" i="1"/>
  <c r="F161" i="1" s="1"/>
  <c r="D160" i="1"/>
  <c r="D138" i="1"/>
  <c r="D137" i="1"/>
  <c r="D136" i="1"/>
  <c r="D135" i="1"/>
  <c r="D133" i="1"/>
  <c r="F133" i="1" s="1"/>
  <c r="D132" i="1"/>
  <c r="I132" i="1"/>
  <c r="D141" i="1"/>
  <c r="D140" i="1"/>
  <c r="D131" i="1"/>
  <c r="D130" i="1"/>
  <c r="F160" i="1" l="1"/>
  <c r="E117" i="1"/>
  <c r="C117" i="1"/>
  <c r="E116" i="1"/>
  <c r="E118" i="1" s="1"/>
  <c r="C116" i="1"/>
  <c r="O176" i="1"/>
  <c r="O177" i="1" s="1"/>
  <c r="F167" i="1"/>
  <c r="F166" i="1"/>
  <c r="F165" i="1"/>
  <c r="F164" i="1"/>
  <c r="F163" i="1"/>
  <c r="F169" i="1"/>
  <c r="F168" i="1"/>
  <c r="O172" i="1"/>
  <c r="O173" i="1" s="1"/>
  <c r="G171" i="1"/>
  <c r="G163" i="1"/>
  <c r="G155" i="1"/>
  <c r="F141" i="1"/>
  <c r="F140" i="1"/>
  <c r="G140" i="1"/>
  <c r="F138" i="1"/>
  <c r="F137" i="1"/>
  <c r="F136" i="1"/>
  <c r="A136" i="1"/>
  <c r="A137" i="1" s="1"/>
  <c r="A138" i="1" s="1"/>
  <c r="G135" i="1"/>
  <c r="F135" i="1"/>
  <c r="P175" i="1"/>
  <c r="P171" i="1"/>
  <c r="P140" i="1"/>
  <c r="C118" i="1" l="1"/>
  <c r="G117" i="1"/>
  <c r="N175" i="1"/>
  <c r="P176" i="1"/>
  <c r="P177" i="1" s="1"/>
  <c r="N177" i="1" s="1"/>
  <c r="P172" i="1"/>
  <c r="N171" i="1"/>
  <c r="O174" i="1"/>
  <c r="N140" i="1"/>
  <c r="O141" i="1"/>
  <c r="P141" i="1"/>
  <c r="D66" i="1"/>
  <c r="N176" i="1" l="1"/>
  <c r="P173" i="1"/>
  <c r="N172" i="1"/>
  <c r="N141" i="1"/>
  <c r="C83" i="1"/>
  <c r="J94" i="1"/>
  <c r="J93" i="1"/>
  <c r="J80" i="1"/>
  <c r="J79" i="1"/>
  <c r="H84" i="1"/>
  <c r="H70" i="1"/>
  <c r="C90" i="1" l="1"/>
  <c r="C91" i="1" s="1"/>
  <c r="C92" i="1" s="1"/>
  <c r="D92" i="1" s="1"/>
  <c r="P174" i="1"/>
  <c r="N174" i="1" s="1"/>
  <c r="N173" i="1"/>
  <c r="J87" i="1"/>
  <c r="J89" i="1"/>
  <c r="J90" i="1" s="1"/>
  <c r="J95" i="1" s="1"/>
  <c r="D96" i="1"/>
  <c r="J88" i="1"/>
  <c r="J86" i="1"/>
  <c r="D94" i="1"/>
  <c r="D93" i="1"/>
  <c r="D95" i="1"/>
  <c r="D75" i="1"/>
  <c r="D81" i="1"/>
  <c r="J73" i="1"/>
  <c r="D82" i="1"/>
  <c r="D78" i="1"/>
  <c r="J74" i="1"/>
  <c r="C73" i="1" s="1"/>
  <c r="D73" i="1" s="1"/>
  <c r="J72" i="1"/>
  <c r="D77" i="1"/>
  <c r="D80" i="1"/>
  <c r="D76" i="1"/>
  <c r="J75" i="1"/>
  <c r="J76" i="1" s="1"/>
  <c r="J81" i="1" s="1"/>
  <c r="D79" i="1"/>
  <c r="G47" i="1"/>
  <c r="D90" i="1" l="1"/>
  <c r="D89" i="1"/>
  <c r="D91" i="1"/>
  <c r="C87" i="1"/>
  <c r="D87" i="1" s="1"/>
  <c r="J91" i="1"/>
  <c r="J77" i="1"/>
  <c r="A188" i="1"/>
  <c r="A189" i="1" s="1"/>
  <c r="A190" i="1" s="1"/>
  <c r="A191" i="1" s="1"/>
  <c r="A192" i="1" s="1"/>
  <c r="A193" i="1" s="1"/>
  <c r="A194" i="1" s="1"/>
  <c r="A195" i="1" s="1"/>
  <c r="A196" i="1" l="1"/>
  <c r="A197" i="1" s="1"/>
  <c r="A198" i="1" s="1"/>
  <c r="J78" i="1"/>
  <c r="J82" i="1" s="1"/>
  <c r="C74" i="1" s="1"/>
  <c r="J92" i="1"/>
  <c r="J96" i="1" s="1"/>
  <c r="C88" i="1" s="1"/>
  <c r="A131" i="1"/>
  <c r="A132" i="1" s="1"/>
  <c r="A133" i="1" s="1"/>
  <c r="E87" i="1" l="1"/>
  <c r="I83" i="1" s="1"/>
  <c r="C85" i="1" s="1"/>
  <c r="D88" i="1"/>
  <c r="G87" i="1"/>
  <c r="E73" i="1"/>
  <c r="I69" i="1" s="1"/>
  <c r="C71" i="1" s="1"/>
  <c r="D74" i="1"/>
  <c r="G73" i="1"/>
  <c r="D68" i="1" l="1"/>
  <c r="F97" i="1" s="1"/>
  <c r="E41" i="1" l="1"/>
  <c r="E42" i="1" s="1"/>
  <c r="F131" i="1" l="1"/>
  <c r="F132" i="1"/>
  <c r="F130" i="1"/>
  <c r="G116" i="1" s="1"/>
  <c r="G118" i="1" s="1"/>
  <c r="G130" i="1" l="1"/>
  <c r="E25" i="1"/>
  <c r="E23" i="1"/>
  <c r="E7" i="1" l="1"/>
  <c r="D211" i="1" l="1"/>
  <c r="F113" i="1"/>
  <c r="C47" i="1"/>
  <c r="D60"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53" authorId="0" shapeId="0" xr:uid="{00000000-0006-0000-0000-000001000000}">
      <text>
        <r>
          <rPr>
            <b/>
            <sz val="9"/>
            <color indexed="81"/>
            <rFont val="Tahoma"/>
            <family val="2"/>
          </rPr>
          <t>SACHIN:</t>
        </r>
        <r>
          <rPr>
            <sz val="9"/>
            <color indexed="81"/>
            <rFont val="Tahoma"/>
            <family val="2"/>
          </rPr>
          <t xml:space="preserve">
Floor with height</t>
        </r>
      </text>
    </comment>
    <comment ref="C55" authorId="0" shapeId="0" xr:uid="{00000000-0006-0000-0000-000002000000}">
      <text>
        <r>
          <rPr>
            <b/>
            <sz val="9"/>
            <color indexed="81"/>
            <rFont val="Tahoma"/>
            <family val="2"/>
          </rPr>
          <t>SACHIN:</t>
        </r>
        <r>
          <rPr>
            <sz val="9"/>
            <color indexed="81"/>
            <rFont val="Tahoma"/>
            <family val="2"/>
          </rPr>
          <t xml:space="preserve">
Survey Nos.</t>
        </r>
      </text>
    </comment>
    <comment ref="C57" authorId="0" shapeId="0" xr:uid="{00000000-0006-0000-0000-000003000000}">
      <text>
        <r>
          <rPr>
            <b/>
            <sz val="9"/>
            <color indexed="81"/>
            <rFont val="Tahoma"/>
            <family val="2"/>
          </rPr>
          <t>SACHIN:</t>
        </r>
        <r>
          <rPr>
            <sz val="9"/>
            <color indexed="81"/>
            <rFont val="Tahoma"/>
            <family val="2"/>
          </rPr>
          <t xml:space="preserve">
Height from AMSL</t>
        </r>
      </text>
    </comment>
  </commentList>
</comments>
</file>

<file path=xl/sharedStrings.xml><?xml version="1.0" encoding="utf-8"?>
<sst xmlns="http://schemas.openxmlformats.org/spreadsheetml/2006/main" count="393" uniqueCount="267">
  <si>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</si>
  <si>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</si>
  <si>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</si>
  <si>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</si>
  <si>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</si>
  <si>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</si>
  <si>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</si>
  <si>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</si>
  <si>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</si>
  <si>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</si>
  <si>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</si>
  <si>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</si>
  <si>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</si>
  <si>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</si>
  <si>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</si>
  <si>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</si>
  <si>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</si>
  <si>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</si>
  <si>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</si>
  <si>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</si>
  <si>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</si>
  <si>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</si>
  <si>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</si>
  <si>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</si>
  <si>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</si>
  <si>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</si>
  <si>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</si>
  <si>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</si>
  <si>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</si>
  <si>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</si>
  <si>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</si>
  <si>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</si>
  <si>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</si>
  <si>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</si>
  <si>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</si>
  <si>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</si>
  <si>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</si>
  <si>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</si>
  <si>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</si>
  <si>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</si>
  <si>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</si>
  <si>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</si>
  <si>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</si>
  <si>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</si>
  <si>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</si>
  <si>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</si>
  <si>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</si>
  <si>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</si>
  <si>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</si>
  <si>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</si>
  <si>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</si>
  <si>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</si>
  <si>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</si>
  <si>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</si>
  <si>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</si>
  <si>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</si>
  <si>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</si>
  <si>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</si>
  <si>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</si>
  <si>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</si>
  <si>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</si>
  <si>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</si>
  <si>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</si>
  <si>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</si>
  <si>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</si>
  <si>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</si>
  <si>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</si>
  <si>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</si>
  <si>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</si>
  <si>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</si>
  <si>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</si>
  <si>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</si>
  <si>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</si>
  <si>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</si>
  <si>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</si>
  <si>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</si>
  <si>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</si>
  <si>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</si>
  <si>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</si>
  <si>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</si>
  <si>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</si>
  <si>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</si>
  <si>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</si>
  <si>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</si>
  <si>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</si>
  <si>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</si>
  <si>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</si>
  <si>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</si>
  <si>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</si>
  <si>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</si>
  <si>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</si>
  <si>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</si>
  <si>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</si>
  <si>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</si>
  <si>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</si>
  <si>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</si>
  <si>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</si>
  <si>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</si>
  <si>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</si>
  <si>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</si>
  <si>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</si>
  <si>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</si>
  <si>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</si>
  <si>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</si>
  <si>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</si>
  <si>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</si>
  <si>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</si>
  <si>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</si>
  <si>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</si>
  <si>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</si>
  <si>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</si>
  <si>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</si>
  <si>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</si>
  <si>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</si>
  <si>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</si>
  <si>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</si>
  <si>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</si>
  <si>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</si>
  <si>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</si>
  <si>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</si>
  <si>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</si>
  <si>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</si>
  <si>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</si>
  <si>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</si>
  <si>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</si>
  <si>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</si>
  <si>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</si>
  <si>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</si>
  <si>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</si>
  <si>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</si>
  <si>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</si>
  <si>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</si>
  <si>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</si>
  <si>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</si>
  <si>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</si>
  <si>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</si>
  <si>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</si>
  <si>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</si>
  <si>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</si>
  <si>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</si>
  <si>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</si>
  <si>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</si>
  <si>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All work Completed. OC Received.</t>
  </si>
  <si>
    <t>NA
Approved upto : NA</t>
  </si>
  <si>
    <t>Report By :</t>
  </si>
  <si>
    <t xml:space="preserve">Wheather the construction is as per approved Building plan : </t>
  </si>
  <si>
    <t>Saleable area
Loading :</t>
  </si>
  <si>
    <r>
      <t xml:space="preserve">Flat No.
</t>
    </r>
    <r>
      <rPr>
        <b/>
        <sz val="11"/>
        <color rgb="FF000000"/>
        <rFont val="Times New Roman"/>
        <family val="1"/>
      </rPr>
      <t>(Approved Plan)</t>
    </r>
  </si>
  <si>
    <t>Flat No.
(Sale Plan)</t>
  </si>
  <si>
    <t>Contact Details ( Name &amp; Contact No.)</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</si>
  <si>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</si>
  <si>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</si>
  <si>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</si>
  <si>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</si>
  <si>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</si>
  <si>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</si>
  <si>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</si>
  <si>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</si>
  <si>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</si>
  <si>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</si>
  <si>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</si>
  <si>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</si>
  <si>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</si>
  <si>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</si>
  <si>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</si>
  <si>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</si>
  <si>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</si>
  <si>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</si>
  <si>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</si>
  <si>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</si>
  <si>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</si>
  <si>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</si>
  <si>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</si>
  <si>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</si>
  <si>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</si>
  <si>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</si>
  <si>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</si>
  <si>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Axis Sanpada</t>
  </si>
  <si>
    <t>M/s.Maitri Associates</t>
  </si>
  <si>
    <t>Dosti Mezzo 22</t>
  </si>
  <si>
    <t>P51900026976</t>
  </si>
  <si>
    <t>Ground Floor for parking</t>
  </si>
  <si>
    <t xml:space="preserve">1st Floor for Residential (Part Refuge Floor) </t>
  </si>
  <si>
    <t>3 BHK</t>
  </si>
  <si>
    <t>Refuge Area</t>
  </si>
  <si>
    <t>2 BHK</t>
  </si>
  <si>
    <t>CTS No</t>
  </si>
  <si>
    <t>Sion (East)</t>
  </si>
  <si>
    <t>Sion</t>
  </si>
  <si>
    <t>Mumbai</t>
  </si>
  <si>
    <t>Sies Collage Road</t>
  </si>
  <si>
    <t>Samruddhi SBI Officers Quarters</t>
  </si>
  <si>
    <t xml:space="preserve">Residential </t>
  </si>
  <si>
    <t>Railway track</t>
  </si>
  <si>
    <t>Road No. 29</t>
  </si>
  <si>
    <t>Dosti Elite Tower B</t>
  </si>
  <si>
    <t>As per RERA - 30/06/2026</t>
  </si>
  <si>
    <t>We considered  Saleable area  as per our calculation.</t>
  </si>
  <si>
    <t>Approved Plans, CC.</t>
  </si>
  <si>
    <t>403/6 of sion division, Plot No.103</t>
  </si>
  <si>
    <t>02 Wings</t>
  </si>
  <si>
    <t>12,00,000/-</t>
  </si>
  <si>
    <t>1st to 3rd Podium Floor for parking</t>
  </si>
  <si>
    <t>4th, 11th &amp; 18th Floor (Part Refuge Area)</t>
  </si>
  <si>
    <t>1st Floor for Residential</t>
  </si>
  <si>
    <t>1st to 3rd Basement Floor for parking</t>
  </si>
  <si>
    <t>3BHK</t>
  </si>
  <si>
    <t>We have updated approved plan &amp; CC of A &amp; B Wing (on 07/05/2022).</t>
  </si>
  <si>
    <t>Wing A</t>
  </si>
  <si>
    <t>Wing B</t>
  </si>
  <si>
    <t xml:space="preserve">Wing A </t>
  </si>
  <si>
    <t>Office No. 1031, Wing J, Akshar Business Park, Plot No. 03 Sector 25, Near APMC Market,
Vashi, Navi Mumbai, Maharashtra 400703 TEL: 022-46090378/79/80                                                                                                     E mail : vsjcapf@gmail.com. Web site : www.vsjadon.com</t>
  </si>
  <si>
    <t>Location Link</t>
  </si>
  <si>
    <t>https://goo.gl/maps/DFobXxKTPc6W6yZD9</t>
  </si>
  <si>
    <t>Site Meet Person Contact Details ( Name &amp; Contact No.)</t>
  </si>
  <si>
    <t>EB/2645/FN/A/FCC/5/Amend</t>
  </si>
  <si>
    <t>B Wing = 3B + G + 3P + Stilt Podium + 1st to 29th Floor</t>
  </si>
  <si>
    <t>We have updated approved CC of A &amp; B Wing from MCGM site (on 19/04/2024).</t>
  </si>
  <si>
    <t xml:space="preserve">Valid Up to: This further C. C. Is extended upto top of 26th floor for wing ‘A’ and wing ‘B’ as per last approved plan dated. 28.11.2023 subject to taking all preecautions during construction in regards of air polution guidlines issued U/NO. MGC/F/1102 dtd. 25.10.2023 and D.O.NO. CAP-2023/CR-170/TC-2 DTD. 27.10.2023.
</t>
  </si>
  <si>
    <t>Construction work is in process at the time of visit. Internal photographs not allowed.</t>
  </si>
  <si>
    <t>A Wing = 3B + G + 3P + Stilt Podium + 1st to 29th Floor
B Wing = 3B + G + 3P + Stilt Podium + 1st to 29th Floor</t>
  </si>
  <si>
    <t>EB/2645/FN/A/337/6/Amend</t>
  </si>
  <si>
    <t>A &amp; B Wing = 3B + G + 3P + Stilt Podium + 1st to 29th Floor</t>
  </si>
  <si>
    <t xml:space="preserve">2nd, 3rd, 5th to 10th, 12th to 17th, 19th to 24th &amp; 26th to 29th Floor for Residential </t>
  </si>
  <si>
    <t>25th Floor(Part Refuge Area)</t>
  </si>
  <si>
    <t>Double Height Fitness Center &amp; Parking Below</t>
  </si>
  <si>
    <t>1.5BHK</t>
  </si>
  <si>
    <t>25th Floor</t>
  </si>
  <si>
    <t>We considered Gross carpet area = Net carpet + Deck Area + Utility Area.</t>
  </si>
  <si>
    <t>We have updated revised approved plans from MCGM sitee on 28/08/2024.</t>
  </si>
  <si>
    <t>Flats - 303</t>
  </si>
  <si>
    <t>Stilt Podium Floor for Fitness Center &amp; parking</t>
  </si>
  <si>
    <t>Stilt Podium Floor for Fitness Center, Hall &amp; parking</t>
  </si>
  <si>
    <t>A &amp; B Wing</t>
  </si>
  <si>
    <t>Maharashtra Housing and Area Development Authority(MHADA)</t>
  </si>
  <si>
    <t>Kalyan Dombivli Municipal Corporation (KMDC)</t>
  </si>
  <si>
    <t>Maharashtra State Road Development Corporation Limited (MSRDC)</t>
  </si>
  <si>
    <t>Town Planner, Palghar</t>
  </si>
  <si>
    <t>Kulgoan Badlapur Municipal Council</t>
  </si>
  <si>
    <t>Pen Municipal Council</t>
  </si>
  <si>
    <t xml:space="preserve">Environmental Clearance Certificate (EC) No
Valid Up for: </t>
  </si>
  <si>
    <t>Town Planning Thane</t>
  </si>
  <si>
    <t>Raigad Zilha Parishad</t>
  </si>
  <si>
    <t>Ulhasnagar Municipal Corporation</t>
  </si>
  <si>
    <t>Roha Municipal Council</t>
  </si>
  <si>
    <t>Nagar Rachana Ani Mulya Nirdharan Vibhag Thane</t>
  </si>
  <si>
    <t>Collector Of Raigad</t>
  </si>
  <si>
    <t>Bhiwandi Nizampur City Municipal Corporation</t>
  </si>
  <si>
    <t>SIA/MH/MIS/275407/2022</t>
  </si>
  <si>
    <t>Plot no 103, C.S. No. 403/6
Net Plot Area = 5544.35 sq.m
A &amp; B Wing = 3B + G + 3P + Stilt Podium + 1st to 29th Floor (101.5M Height)</t>
  </si>
  <si>
    <t>We have updated Environmental Clearance Certificate (EC) No from SEIAA site on 28/08/2024.</t>
  </si>
  <si>
    <t>Layout :</t>
  </si>
  <si>
    <t>As per Layout</t>
  </si>
  <si>
    <t>Other Plot</t>
  </si>
  <si>
    <t>600M from GTB Nagar Railway Station</t>
  </si>
  <si>
    <t>SNCR/WEST/B/071316/150024</t>
  </si>
  <si>
    <t xml:space="preserve">Airport Noc No
Permissible Top Elevation
</t>
  </si>
  <si>
    <t>109.91M (AMSL)</t>
  </si>
  <si>
    <t xml:space="preserve">Railway Noc No
</t>
  </si>
  <si>
    <t>EB/2645/FN/A/FCC/6/Amend</t>
  </si>
  <si>
    <t xml:space="preserve">Valid Up to: This Further C. C. Is Extended Upto Top Oht And Lmr For Siarcase, Staircase Passage, Lift, Lift Lobbies Only Beyond 26th Floor For Wing ‘A’ And Wing ‘B’ As Per Last Approved Plan Dated. 28.11.2023 And C-7 Circuler Subject To Taking All Preecautions During Construction In Regards Of Air Polution Guidlines Issued U/No. Mgc/F/1102 Dtd. 25.10.2023 And D.O.No. Cap-2023/Cr-170/Tc-2 Dtd. 27.10.2023
</t>
  </si>
  <si>
    <t>We have updated revised approved CC from MCGM site on 11/11/2024.</t>
  </si>
  <si>
    <t>BB/W/6561/NOC/GTBN/1351/DB</t>
  </si>
  <si>
    <t>C.S. No. 403/6 of sion division Plot No. 103</t>
  </si>
  <si>
    <t>We have updated railway NOC on 12/11/2024.</t>
  </si>
  <si>
    <t>Akash Kadam</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</si>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</sst>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_);_(* \(#,##0.00\);_(* &quot;-&quot;??_);_(@_)"/>
    <numFmt numFmtId="166" formatCode="dd\/mm\/yyyy"/>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0"/>
      <name val="Arial"/>
      <family val="2"/>
    </font>
    <font>
      <sz val="11"/>
      <color rgb="FF000000"/>
      <name val="Calibri"/>
      <family val="2"/>
    </font>
    <font>
      <b/>
      <sz val="11"/>
      <color rgb="FF000000"/>
      <name val="Times New Roman"/>
      <family val="1"/>
    </font>
    <font>
      <u/>
      <sz val="11"/>
      <color theme="10"/>
      <name val="Calibri"/>
      <family val="2"/>
    </font>
    <font>
      <u/>
      <sz val="12"/>
      <color theme="10"/>
      <name val="Calibri"/>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18" fillId="0" borderId="0"/>
    <xf numFmtId="9" fontId="19" fillId="0" borderId="0" applyFont="0" applyFill="0" applyBorder="0" applyAlignment="0" applyProtection="0"/>
    <xf numFmtId="0" fontId="21" fillId="0" borderId="0" applyNumberFormat="0" applyFill="0" applyBorder="0" applyAlignment="0" applyProtection="0"/>
  </cellStyleXfs>
  <cellXfs count="189">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Border="1" applyAlignment="1" applyProtection="1">
      <alignment horizontal="center" vertical="center" wrapText="1"/>
      <protection locked="0"/>
    </xf>
    <xf numFmtId="0" fontId="7" fillId="0" borderId="12" xfId="1" applyFont="1" applyBorder="1" applyProtection="1">
      <protection hidden="1"/>
    </xf>
    <xf numFmtId="0" fontId="7" fillId="0" borderId="13" xfId="1" applyFont="1" applyBorder="1" applyProtection="1">
      <protection hidden="1"/>
    </xf>
    <xf numFmtId="0" fontId="7" fillId="0" borderId="13" xfId="1" applyFont="1" applyBorder="1"/>
    <xf numFmtId="0" fontId="5" fillId="0" borderId="0" xfId="4"/>
    <xf numFmtId="9" fontId="8" fillId="0" borderId="19" xfId="8" applyFont="1" applyFill="1" applyBorder="1" applyAlignment="1" applyProtection="1">
      <alignment horizontal="center" vertical="top" wrapText="1"/>
      <protection locked="0"/>
    </xf>
    <xf numFmtId="1" fontId="7" fillId="0" borderId="0" xfId="1" applyNumberFormat="1" applyFont="1" applyAlignment="1">
      <alignment horizontal="center" vertical="center"/>
    </xf>
    <xf numFmtId="1" fontId="8" fillId="0" borderId="3" xfId="1" applyNumberFormat="1" applyFont="1" applyBorder="1" applyAlignment="1" applyProtection="1">
      <alignment horizontal="center" vertical="top" wrapText="1"/>
      <protection locked="0"/>
    </xf>
    <xf numFmtId="0" fontId="12" fillId="2" borderId="1" xfId="1" applyFont="1" applyFill="1" applyBorder="1" applyAlignment="1" applyProtection="1">
      <alignment vertical="top" wrapText="1"/>
      <protection locked="0"/>
    </xf>
    <xf numFmtId="0" fontId="17" fillId="0" borderId="0" xfId="0" applyFont="1" applyProtection="1">
      <protection hidden="1"/>
    </xf>
    <xf numFmtId="14" fontId="7" fillId="0" borderId="0" xfId="1" applyNumberFormat="1" applyFont="1"/>
    <xf numFmtId="1" fontId="7" fillId="0" borderId="0" xfId="1" applyNumberFormat="1" applyFont="1"/>
    <xf numFmtId="1" fontId="8" fillId="0" borderId="1" xfId="0" applyNumberFormat="1" applyFont="1" applyBorder="1" applyAlignment="1" applyProtection="1">
      <alignment horizontal="center" vertical="center" wrapText="1"/>
      <protection locked="0"/>
    </xf>
    <xf numFmtId="0" fontId="17" fillId="0" borderId="13" xfId="0" applyFont="1" applyBorder="1" applyProtection="1">
      <protection hidden="1"/>
    </xf>
    <xf numFmtId="0" fontId="7" fillId="0" borderId="11" xfId="1" applyFont="1" applyBorder="1" applyProtection="1">
      <protection hidden="1"/>
    </xf>
    <xf numFmtId="0" fontId="17" fillId="0" borderId="14" xfId="0" applyFont="1" applyBorder="1" applyProtection="1">
      <protection hidden="1"/>
    </xf>
    <xf numFmtId="1" fontId="0" fillId="0" borderId="13" xfId="0" applyNumberFormat="1" applyBorder="1"/>
    <xf numFmtId="1" fontId="0" fillId="0" borderId="13" xfId="0" applyNumberFormat="1" applyBorder="1" applyAlignment="1">
      <alignment horizontal="right"/>
    </xf>
    <xf numFmtId="1" fontId="0" fillId="0" borderId="15" xfId="0" applyNumberFormat="1" applyBorder="1"/>
    <xf numFmtId="0" fontId="12" fillId="0" borderId="4" xfId="1" applyFont="1" applyBorder="1" applyAlignment="1" applyProtection="1">
      <alignment horizontal="center" vertical="top"/>
      <protection locked="0"/>
    </xf>
    <xf numFmtId="0" fontId="7" fillId="0" borderId="1" xfId="1" applyFont="1" applyBorder="1" applyAlignment="1" applyProtection="1">
      <alignment horizontal="center" vertical="top" wrapText="1"/>
      <protection locked="0"/>
    </xf>
    <xf numFmtId="9" fontId="7" fillId="2" borderId="1" xfId="1" applyNumberFormat="1" applyFont="1" applyFill="1" applyBorder="1" applyAlignment="1" applyProtection="1">
      <alignment horizontal="center" vertical="center" wrapText="1"/>
      <protection hidden="1"/>
    </xf>
    <xf numFmtId="9" fontId="7" fillId="2" borderId="7" xfId="1" applyNumberFormat="1" applyFont="1" applyFill="1" applyBorder="1" applyAlignment="1" applyProtection="1">
      <alignment horizontal="center" vertical="center" wrapText="1"/>
      <protection hidden="1"/>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12" fillId="0" borderId="1" xfId="1" applyFont="1" applyBorder="1" applyAlignment="1" applyProtection="1">
      <alignment horizontal="center" wrapText="1"/>
      <protection locked="0"/>
    </xf>
    <xf numFmtId="1" fontId="12" fillId="0" borderId="1" xfId="1" applyNumberFormat="1" applyFont="1" applyBorder="1" applyAlignment="1" applyProtection="1">
      <alignment horizontal="center" wrapText="1"/>
      <protection locked="0"/>
    </xf>
    <xf numFmtId="0" fontId="12" fillId="0" borderId="7" xfId="1" applyFont="1" applyBorder="1" applyAlignment="1" applyProtection="1">
      <alignment horizontal="center" wrapText="1"/>
      <protection locked="0"/>
    </xf>
    <xf numFmtId="0" fontId="12" fillId="2" borderId="1" xfId="1" applyFont="1" applyFill="1" applyBorder="1" applyAlignment="1" applyProtection="1">
      <alignment horizontal="left" vertical="top"/>
      <protection locked="0"/>
    </xf>
    <xf numFmtId="0" fontId="13" fillId="2" borderId="1" xfId="1" applyFont="1" applyFill="1" applyBorder="1" applyAlignment="1" applyProtection="1">
      <alignment horizontal="left" vertical="top"/>
      <protection locked="0"/>
    </xf>
    <xf numFmtId="2" fontId="7" fillId="0" borderId="0" xfId="1" applyNumberFormat="1" applyFont="1" applyAlignment="1">
      <alignment horizontal="center" vertical="center"/>
    </xf>
    <xf numFmtId="0" fontId="6" fillId="0" borderId="1" xfId="1" applyFont="1" applyBorder="1" applyAlignment="1" applyProtection="1">
      <alignment vertical="top" wrapText="1"/>
      <protection locked="0"/>
    </xf>
    <xf numFmtId="0" fontId="7" fillId="0" borderId="1" xfId="1" applyFont="1" applyBorder="1"/>
    <xf numFmtId="0" fontId="7" fillId="0" borderId="1" xfId="1" applyFont="1" applyBorder="1" applyAlignment="1" applyProtection="1">
      <alignment vertical="top" wrapText="1"/>
      <protection locked="0"/>
    </xf>
    <xf numFmtId="0" fontId="12" fillId="0" borderId="1" xfId="1" applyFont="1" applyBorder="1" applyAlignment="1" applyProtection="1">
      <alignment vertical="top" wrapText="1"/>
      <protection locked="0"/>
    </xf>
    <xf numFmtId="0" fontId="12" fillId="0" borderId="1" xfId="1" applyFont="1" applyBorder="1" applyAlignment="1" applyProtection="1">
      <alignment horizontal="left" vertical="top" wrapText="1"/>
      <protection locked="0"/>
    </xf>
    <xf numFmtId="0" fontId="12" fillId="2" borderId="1" xfId="1" applyFont="1" applyFill="1" applyBorder="1" applyAlignment="1" applyProtection="1">
      <alignment horizontal="left" vertical="top" wrapText="1"/>
      <protection locked="0"/>
    </xf>
    <xf numFmtId="0" fontId="12" fillId="2" borderId="1" xfId="1" applyFont="1" applyFill="1" applyBorder="1" applyAlignment="1" applyProtection="1">
      <alignment horizontal="left" vertical="top"/>
      <protection locked="0"/>
    </xf>
    <xf numFmtId="166" fontId="12" fillId="0" borderId="1" xfId="1" applyNumberFormat="1" applyFont="1" applyBorder="1" applyAlignment="1" applyProtection="1">
      <alignment horizontal="left" vertical="top" wrapText="1"/>
      <protection locked="0"/>
    </xf>
    <xf numFmtId="1" fontId="13" fillId="0" borderId="9" xfId="0" applyNumberFormat="1" applyFont="1" applyBorder="1" applyAlignment="1" applyProtection="1">
      <alignment vertical="top" wrapText="1"/>
      <protection locked="0"/>
    </xf>
    <xf numFmtId="1" fontId="13" fillId="0" borderId="24" xfId="0" applyNumberFormat="1" applyFont="1" applyBorder="1" applyAlignment="1" applyProtection="1">
      <alignment vertical="top" wrapText="1"/>
      <protection locked="0"/>
    </xf>
    <xf numFmtId="1" fontId="13" fillId="0" borderId="10" xfId="0" applyNumberFormat="1" applyFont="1" applyBorder="1" applyAlignment="1" applyProtection="1">
      <alignment vertical="top" wrapText="1"/>
      <protection locked="0"/>
    </xf>
    <xf numFmtId="0" fontId="12" fillId="0" borderId="9" xfId="1" applyFont="1" applyBorder="1" applyAlignment="1" applyProtection="1">
      <alignment vertical="top" wrapText="1"/>
      <protection locked="0"/>
    </xf>
    <xf numFmtId="0" fontId="12" fillId="0" borderId="24" xfId="1" applyFont="1" applyBorder="1" applyAlignment="1" applyProtection="1">
      <alignment vertical="top" wrapText="1"/>
      <protection locked="0"/>
    </xf>
    <xf numFmtId="0" fontId="12" fillId="0" borderId="10" xfId="1" applyFont="1" applyBorder="1" applyAlignment="1" applyProtection="1">
      <alignment vertical="top" wrapText="1"/>
      <protection locked="0"/>
    </xf>
    <xf numFmtId="0" fontId="7" fillId="0" borderId="20"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22"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4"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4" fontId="7" fillId="0" borderId="9" xfId="1" applyNumberFormat="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1" fontId="8" fillId="0" borderId="9" xfId="1" applyNumberFormat="1" applyFont="1" applyBorder="1" applyAlignment="1" applyProtection="1">
      <alignment horizontal="center" vertical="center" wrapText="1"/>
      <protection locked="0"/>
    </xf>
    <xf numFmtId="1" fontId="8" fillId="0" borderId="24" xfId="1" applyNumberFormat="1" applyFont="1" applyBorder="1" applyAlignment="1" applyProtection="1">
      <alignment horizontal="center" vertical="center" wrapText="1"/>
      <protection locked="0"/>
    </xf>
    <xf numFmtId="1" fontId="8" fillId="0" borderId="10"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9" fontId="7" fillId="2" borderId="1" xfId="1" applyNumberFormat="1" applyFont="1" applyFill="1" applyBorder="1" applyAlignment="1" applyProtection="1">
      <alignment horizontal="center" vertical="center" wrapText="1"/>
      <protection hidden="1"/>
    </xf>
    <xf numFmtId="9" fontId="7" fillId="2" borderId="5" xfId="1" applyNumberFormat="1" applyFont="1" applyFill="1" applyBorder="1" applyAlignment="1" applyProtection="1">
      <alignment horizontal="center" vertical="center" wrapText="1"/>
      <protection hidden="1"/>
    </xf>
    <xf numFmtId="9" fontId="7" fillId="2" borderId="7" xfId="1" applyNumberFormat="1" applyFont="1" applyFill="1" applyBorder="1" applyAlignment="1" applyProtection="1">
      <alignment horizontal="center" vertical="center" wrapText="1"/>
      <protection hidden="1"/>
    </xf>
    <xf numFmtId="9" fontId="7" fillId="2" borderId="8" xfId="1" applyNumberFormat="1" applyFont="1" applyFill="1" applyBorder="1" applyAlignment="1" applyProtection="1">
      <alignment horizontal="center" vertical="center" wrapText="1"/>
      <protection hidden="1"/>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28" xfId="1" applyNumberFormat="1" applyFont="1" applyBorder="1" applyAlignment="1" applyProtection="1">
      <alignment horizontal="center" vertical="center" wrapText="1"/>
      <protection locked="0"/>
    </xf>
    <xf numFmtId="1" fontId="6" fillId="0" borderId="29"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1" fontId="8" fillId="0" borderId="23" xfId="1" applyNumberFormat="1" applyFont="1" applyBorder="1" applyAlignment="1" applyProtection="1">
      <alignment horizontal="center" vertical="top" wrapText="1"/>
      <protection locked="0"/>
    </xf>
    <xf numFmtId="0" fontId="8" fillId="0" borderId="25"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26"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 fontId="7" fillId="0" borderId="3" xfId="0" applyNumberFormat="1" applyFont="1" applyBorder="1" applyAlignment="1" applyProtection="1">
      <alignment horizontal="center" vertical="top" wrapText="1"/>
      <protection locked="0"/>
    </xf>
    <xf numFmtId="1" fontId="8" fillId="0" borderId="30" xfId="0" applyNumberFormat="1" applyFont="1" applyBorder="1" applyAlignment="1" applyProtection="1">
      <alignment horizontal="center" vertical="center" wrapText="1"/>
      <protection locked="0"/>
    </xf>
    <xf numFmtId="1" fontId="8" fillId="0" borderId="31" xfId="0" applyNumberFormat="1" applyFont="1" applyBorder="1" applyAlignment="1" applyProtection="1">
      <alignment horizontal="center" vertical="center" wrapText="1"/>
      <protection locked="0"/>
    </xf>
    <xf numFmtId="0" fontId="10" fillId="0" borderId="31" xfId="0" applyFont="1" applyBorder="1" applyAlignment="1" applyProtection="1">
      <alignment horizontal="center" vertical="center"/>
      <protection locked="0"/>
    </xf>
    <xf numFmtId="1" fontId="10" fillId="0" borderId="31" xfId="0" applyNumberFormat="1" applyFont="1" applyBorder="1" applyAlignment="1" applyProtection="1">
      <alignment horizontal="center" vertical="top" wrapText="1"/>
      <protection locked="0"/>
    </xf>
    <xf numFmtId="0" fontId="10" fillId="0" borderId="31" xfId="0" applyFont="1" applyBorder="1" applyAlignment="1" applyProtection="1">
      <alignment horizontal="center" vertical="top" wrapText="1"/>
      <protection locked="0"/>
    </xf>
    <xf numFmtId="1" fontId="8" fillId="0" borderId="31" xfId="0"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1" fontId="6" fillId="0" borderId="3" xfId="0" applyNumberFormat="1" applyFont="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9" xfId="0" applyNumberFormat="1" applyFont="1" applyBorder="1" applyAlignment="1" applyProtection="1">
      <alignment vertical="top" wrapText="1"/>
      <protection locked="0"/>
    </xf>
    <xf numFmtId="1" fontId="8" fillId="0" borderId="24" xfId="0" applyNumberFormat="1" applyFont="1" applyBorder="1" applyAlignment="1" applyProtection="1">
      <alignment vertical="top" wrapText="1"/>
      <protection locked="0"/>
    </xf>
    <xf numFmtId="1" fontId="8" fillId="0" borderId="10" xfId="0" applyNumberFormat="1" applyFont="1" applyBorder="1" applyAlignment="1" applyProtection="1">
      <alignment vertical="top" wrapText="1"/>
      <protection locked="0"/>
    </xf>
    <xf numFmtId="0" fontId="6" fillId="0" borderId="1"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left" vertical="top" wrapText="1"/>
      <protection locked="0"/>
    </xf>
    <xf numFmtId="1" fontId="6" fillId="0" borderId="27"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166" fontId="6"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6" fillId="2" borderId="1" xfId="1" applyFont="1" applyFill="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0" fontId="12" fillId="0" borderId="10" xfId="1" applyFont="1" applyBorder="1" applyAlignment="1" applyProtection="1">
      <alignment horizontal="left" vertical="top" wrapText="1"/>
      <protection locked="0"/>
    </xf>
    <xf numFmtId="0" fontId="7" fillId="0" borderId="1" xfId="1" applyFont="1" applyBorder="1" applyAlignment="1" applyProtection="1">
      <alignment horizontal="center"/>
      <protection locked="0"/>
    </xf>
    <xf numFmtId="0" fontId="6" fillId="0" borderId="1" xfId="1" applyFont="1" applyBorder="1" applyAlignment="1" applyProtection="1">
      <alignment horizontal="center" vertical="top"/>
      <protection locked="0"/>
    </xf>
    <xf numFmtId="0" fontId="22" fillId="0" borderId="1" xfId="9" applyFont="1" applyBorder="1" applyAlignment="1" applyProtection="1">
      <alignment horizontal="left"/>
      <protection locked="0"/>
    </xf>
    <xf numFmtId="0" fontId="7" fillId="0" borderId="1" xfId="1" applyFont="1" applyBorder="1" applyAlignment="1" applyProtection="1">
      <alignment horizontal="left"/>
      <protection locked="0"/>
    </xf>
    <xf numFmtId="0" fontId="13" fillId="2"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0" fontId="13" fillId="0" borderId="1" xfId="1" applyFont="1" applyBorder="1" applyAlignment="1" applyProtection="1">
      <alignment vertical="top"/>
      <protection locked="0"/>
    </xf>
    <xf numFmtId="166" fontId="13"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2" fillId="0" borderId="9"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8" fillId="0" borderId="19" xfId="1" applyFont="1" applyBorder="1" applyAlignment="1" applyProtection="1">
      <alignment horizontal="center" vertical="top"/>
      <protection locked="0"/>
    </xf>
    <xf numFmtId="0" fontId="0" fillId="3" borderId="1" xfId="0" applyFill="1" applyBorder="1" applyAlignment="1">
      <alignment horizontal="center" wrapText="1"/>
    </xf>
    <xf numFmtId="0" fontId="9" fillId="0" borderId="1" xfId="0" applyFont="1" applyBorder="1" applyAlignment="1">
      <alignment horizontal="center"/>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0.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9</xdr:col>
      <xdr:colOff>119999</xdr:colOff>
      <xdr:row>213</xdr:row>
      <xdr:rowOff>109771</xdr:rowOff>
    </xdr:from>
    <xdr:to>
      <xdr:col>10</xdr:col>
      <xdr:colOff>292100</xdr:colOff>
      <xdr:row>215</xdr:row>
      <xdr:rowOff>96562</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8279749" y="44000971"/>
          <a:ext cx="972201"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C00000"/>
              </a:solidFill>
            </a:rPr>
            <a:t> A Wing</a:t>
          </a:r>
          <a:endParaRPr lang="en-IN">
            <a:solidFill>
              <a:srgbClr val="C00000"/>
            </a:solidFill>
          </a:endParaRPr>
        </a:p>
      </xdr:txBody>
    </xdr:sp>
    <xdr:clientData/>
  </xdr:twoCellAnchor>
  <xdr:twoCellAnchor>
    <xdr:from>
      <xdr:col>10</xdr:col>
      <xdr:colOff>339720</xdr:colOff>
      <xdr:row>213</xdr:row>
      <xdr:rowOff>7214</xdr:rowOff>
    </xdr:from>
    <xdr:to>
      <xdr:col>12</xdr:col>
      <xdr:colOff>85397</xdr:colOff>
      <xdr:row>214</xdr:row>
      <xdr:rowOff>190853</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8782334" y="38583464"/>
          <a:ext cx="1148449" cy="37413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C00000"/>
              </a:solidFill>
            </a:rPr>
            <a:t>B Wing</a:t>
          </a:r>
        </a:p>
      </xdr:txBody>
    </xdr:sp>
    <xdr:clientData/>
  </xdr:twoCellAnchor>
  <xdr:twoCellAnchor editAs="oneCell">
    <xdr:from>
      <xdr:col>2</xdr:col>
      <xdr:colOff>47625</xdr:colOff>
      <xdr:row>255</xdr:row>
      <xdr:rowOff>190500</xdr:rowOff>
    </xdr:from>
    <xdr:to>
      <xdr:col>6</xdr:col>
      <xdr:colOff>110638</xdr:colOff>
      <xdr:row>286</xdr:row>
      <xdr:rowOff>109725</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609725" y="49625250"/>
          <a:ext cx="3415813" cy="6120000"/>
        </a:xfrm>
        <a:prstGeom prst="rect">
          <a:avLst/>
        </a:prstGeom>
        <a:ln>
          <a:solidFill>
            <a:schemeClr val="tx1"/>
          </a:solidFill>
        </a:ln>
      </xdr:spPr>
    </xdr:pic>
    <xdr:clientData/>
  </xdr:twoCellAnchor>
  <xdr:twoCellAnchor>
    <xdr:from>
      <xdr:col>2</xdr:col>
      <xdr:colOff>180975</xdr:colOff>
      <xdr:row>281</xdr:row>
      <xdr:rowOff>133351</xdr:rowOff>
    </xdr:from>
    <xdr:to>
      <xdr:col>6</xdr:col>
      <xdr:colOff>85725</xdr:colOff>
      <xdr:row>282</xdr:row>
      <xdr:rowOff>152400</xdr:rowOff>
    </xdr:to>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flipV="1">
          <a:off x="1743075" y="54768751"/>
          <a:ext cx="3257550" cy="219074"/>
        </a:xfrm>
        <a:prstGeom prst="line">
          <a:avLst/>
        </a:prstGeom>
        <a:ln w="38100">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200025</xdr:colOff>
      <xdr:row>282</xdr:row>
      <xdr:rowOff>38101</xdr:rowOff>
    </xdr:from>
    <xdr:to>
      <xdr:col>6</xdr:col>
      <xdr:colOff>104775</xdr:colOff>
      <xdr:row>283</xdr:row>
      <xdr:rowOff>57150</xdr:rowOff>
    </xdr:to>
    <xdr:cxnSp macro="">
      <xdr:nvCxnSpPr>
        <xdr:cNvPr id="20" name="Straight Connector 19">
          <a:extLst>
            <a:ext uri="{FF2B5EF4-FFF2-40B4-BE49-F238E27FC236}">
              <a16:creationId xmlns:a16="http://schemas.microsoft.com/office/drawing/2014/main" id="{00000000-0008-0000-0000-000014000000}"/>
            </a:ext>
          </a:extLst>
        </xdr:cNvPr>
        <xdr:cNvCxnSpPr/>
      </xdr:nvCxnSpPr>
      <xdr:spPr>
        <a:xfrm flipV="1">
          <a:off x="1762125" y="54873526"/>
          <a:ext cx="3257550" cy="219074"/>
        </a:xfrm>
        <a:prstGeom prst="line">
          <a:avLst/>
        </a:prstGeom>
        <a:ln w="38100">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161925</xdr:colOff>
      <xdr:row>283</xdr:row>
      <xdr:rowOff>1</xdr:rowOff>
    </xdr:from>
    <xdr:to>
      <xdr:col>6</xdr:col>
      <xdr:colOff>66675</xdr:colOff>
      <xdr:row>284</xdr:row>
      <xdr:rowOff>19050</xdr:rowOff>
    </xdr:to>
    <xdr:cxnSp macro="">
      <xdr:nvCxnSpPr>
        <xdr:cNvPr id="21" name="Straight Connector 20">
          <a:extLst>
            <a:ext uri="{FF2B5EF4-FFF2-40B4-BE49-F238E27FC236}">
              <a16:creationId xmlns:a16="http://schemas.microsoft.com/office/drawing/2014/main" id="{00000000-0008-0000-0000-000015000000}"/>
            </a:ext>
          </a:extLst>
        </xdr:cNvPr>
        <xdr:cNvCxnSpPr/>
      </xdr:nvCxnSpPr>
      <xdr:spPr>
        <a:xfrm flipV="1">
          <a:off x="1724025" y="55035451"/>
          <a:ext cx="3257550" cy="219074"/>
        </a:xfrm>
        <a:prstGeom prst="line">
          <a:avLst/>
        </a:prstGeom>
        <a:ln w="38100">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180975</xdr:colOff>
      <xdr:row>283</xdr:row>
      <xdr:rowOff>114301</xdr:rowOff>
    </xdr:from>
    <xdr:to>
      <xdr:col>6</xdr:col>
      <xdr:colOff>85725</xdr:colOff>
      <xdr:row>284</xdr:row>
      <xdr:rowOff>133350</xdr:rowOff>
    </xdr:to>
    <xdr:cxnSp macro="">
      <xdr:nvCxnSpPr>
        <xdr:cNvPr id="22" name="Straight Connector 21">
          <a:extLst>
            <a:ext uri="{FF2B5EF4-FFF2-40B4-BE49-F238E27FC236}">
              <a16:creationId xmlns:a16="http://schemas.microsoft.com/office/drawing/2014/main" id="{00000000-0008-0000-0000-000016000000}"/>
            </a:ext>
          </a:extLst>
        </xdr:cNvPr>
        <xdr:cNvCxnSpPr/>
      </xdr:nvCxnSpPr>
      <xdr:spPr>
        <a:xfrm flipV="1">
          <a:off x="1743075" y="55149751"/>
          <a:ext cx="3257550" cy="219074"/>
        </a:xfrm>
        <a:prstGeom prst="line">
          <a:avLst/>
        </a:prstGeom>
        <a:ln w="38100">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266700</xdr:colOff>
      <xdr:row>280</xdr:row>
      <xdr:rowOff>133350</xdr:rowOff>
    </xdr:from>
    <xdr:to>
      <xdr:col>5</xdr:col>
      <xdr:colOff>514350</xdr:colOff>
      <xdr:row>285</xdr:row>
      <xdr:rowOff>9525</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rot="21274085">
          <a:off x="2676525" y="54568725"/>
          <a:ext cx="1971675" cy="876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Railway Track</a:t>
          </a:r>
        </a:p>
      </xdr:txBody>
    </xdr:sp>
    <xdr:clientData/>
  </xdr:twoCellAnchor>
  <xdr:twoCellAnchor editAs="oneCell">
    <xdr:from>
      <xdr:col>0</xdr:col>
      <xdr:colOff>610120</xdr:colOff>
      <xdr:row>315</xdr:row>
      <xdr:rowOff>22479</xdr:rowOff>
    </xdr:from>
    <xdr:to>
      <xdr:col>7</xdr:col>
      <xdr:colOff>304544</xdr:colOff>
      <xdr:row>333</xdr:row>
      <xdr:rowOff>22029</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610120" y="61458729"/>
          <a:ext cx="5390374" cy="3600000"/>
        </a:xfrm>
        <a:prstGeom prst="rect">
          <a:avLst/>
        </a:prstGeom>
        <a:ln>
          <a:solidFill>
            <a:schemeClr val="tx1"/>
          </a:solidFill>
        </a:ln>
      </xdr:spPr>
    </xdr:pic>
    <xdr:clientData/>
  </xdr:twoCellAnchor>
  <xdr:twoCellAnchor editAs="oneCell">
    <xdr:from>
      <xdr:col>0</xdr:col>
      <xdr:colOff>419100</xdr:colOff>
      <xdr:row>296</xdr:row>
      <xdr:rowOff>19050</xdr:rowOff>
    </xdr:from>
    <xdr:to>
      <xdr:col>7</xdr:col>
      <xdr:colOff>495564</xdr:colOff>
      <xdr:row>314</xdr:row>
      <xdr:rowOff>18600</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19100" y="57654825"/>
          <a:ext cx="5772414" cy="3600000"/>
        </a:xfrm>
        <a:prstGeom prst="rect">
          <a:avLst/>
        </a:prstGeom>
        <a:ln>
          <a:solidFill>
            <a:schemeClr val="tx1"/>
          </a:solidFill>
        </a:ln>
      </xdr:spPr>
    </xdr:pic>
    <xdr:clientData/>
  </xdr:twoCellAnchor>
  <xdr:twoCellAnchor>
    <xdr:from>
      <xdr:col>2</xdr:col>
      <xdr:colOff>289144</xdr:colOff>
      <xdr:row>320</xdr:row>
      <xdr:rowOff>956</xdr:rowOff>
    </xdr:from>
    <xdr:to>
      <xdr:col>4</xdr:col>
      <xdr:colOff>632589</xdr:colOff>
      <xdr:row>329</xdr:row>
      <xdr:rowOff>77156</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rot="1563524">
          <a:off x="1851244" y="62437331"/>
          <a:ext cx="2134145" cy="1876425"/>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4</xdr:col>
      <xdr:colOff>190500</xdr:colOff>
      <xdr:row>315</xdr:row>
      <xdr:rowOff>0</xdr:rowOff>
    </xdr:from>
    <xdr:to>
      <xdr:col>6</xdr:col>
      <xdr:colOff>314325</xdr:colOff>
      <xdr:row>333</xdr:row>
      <xdr:rowOff>28575</xdr:rowOff>
    </xdr:to>
    <xdr:cxnSp macro="">
      <xdr:nvCxnSpPr>
        <xdr:cNvPr id="28" name="Straight Connector 27">
          <a:extLst>
            <a:ext uri="{FF2B5EF4-FFF2-40B4-BE49-F238E27FC236}">
              <a16:creationId xmlns:a16="http://schemas.microsoft.com/office/drawing/2014/main" id="{00000000-0008-0000-0000-00001C000000}"/>
            </a:ext>
          </a:extLst>
        </xdr:cNvPr>
        <xdr:cNvCxnSpPr/>
      </xdr:nvCxnSpPr>
      <xdr:spPr>
        <a:xfrm flipV="1">
          <a:off x="3543300" y="61436250"/>
          <a:ext cx="1685925" cy="3629025"/>
        </a:xfrm>
        <a:prstGeom prst="line">
          <a:avLst/>
        </a:prstGeom>
        <a:ln w="38100">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485775</xdr:colOff>
      <xdr:row>314</xdr:row>
      <xdr:rowOff>171450</xdr:rowOff>
    </xdr:from>
    <xdr:to>
      <xdr:col>6</xdr:col>
      <xdr:colOff>609600</xdr:colOff>
      <xdr:row>333</xdr:row>
      <xdr:rowOff>0</xdr:rowOff>
    </xdr:to>
    <xdr:cxnSp macro="">
      <xdr:nvCxnSpPr>
        <xdr:cNvPr id="30" name="Straight Connector 29">
          <a:extLst>
            <a:ext uri="{FF2B5EF4-FFF2-40B4-BE49-F238E27FC236}">
              <a16:creationId xmlns:a16="http://schemas.microsoft.com/office/drawing/2014/main" id="{00000000-0008-0000-0000-00001E000000}"/>
            </a:ext>
          </a:extLst>
        </xdr:cNvPr>
        <xdr:cNvCxnSpPr/>
      </xdr:nvCxnSpPr>
      <xdr:spPr>
        <a:xfrm flipV="1">
          <a:off x="3838575" y="61407675"/>
          <a:ext cx="1685925" cy="3629025"/>
        </a:xfrm>
        <a:prstGeom prst="line">
          <a:avLst/>
        </a:prstGeom>
        <a:ln w="38100">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166686</xdr:colOff>
      <xdr:row>319</xdr:row>
      <xdr:rowOff>185737</xdr:rowOff>
    </xdr:from>
    <xdr:to>
      <xdr:col>6</xdr:col>
      <xdr:colOff>261936</xdr:colOff>
      <xdr:row>329</xdr:row>
      <xdr:rowOff>157162</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rot="17724412">
          <a:off x="3752848" y="62969775"/>
          <a:ext cx="1971675" cy="876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FFFF00"/>
              </a:solidFill>
            </a:rPr>
            <a:t>Railway Track</a:t>
          </a:r>
        </a:p>
      </xdr:txBody>
    </xdr:sp>
    <xdr:clientData/>
  </xdr:twoCellAnchor>
  <xdr:twoCellAnchor editAs="oneCell">
    <xdr:from>
      <xdr:col>8</xdr:col>
      <xdr:colOff>219075</xdr:colOff>
      <xdr:row>272</xdr:row>
      <xdr:rowOff>190500</xdr:rowOff>
    </xdr:from>
    <xdr:to>
      <xdr:col>24</xdr:col>
      <xdr:colOff>32766</xdr:colOff>
      <xdr:row>294</xdr:row>
      <xdr:rowOff>14478</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6838950" y="53263800"/>
          <a:ext cx="8814816" cy="4224528"/>
        </a:xfrm>
        <a:prstGeom prst="rect">
          <a:avLst/>
        </a:prstGeom>
        <a:ln>
          <a:solidFill>
            <a:schemeClr val="tx1"/>
          </a:solidFill>
        </a:ln>
      </xdr:spPr>
    </xdr:pic>
    <xdr:clientData/>
  </xdr:twoCellAnchor>
  <xdr:twoCellAnchor>
    <xdr:from>
      <xdr:col>8</xdr:col>
      <xdr:colOff>864870</xdr:colOff>
      <xdr:row>206</xdr:row>
      <xdr:rowOff>156210</xdr:rowOff>
    </xdr:from>
    <xdr:to>
      <xdr:col>20</xdr:col>
      <xdr:colOff>96220</xdr:colOff>
      <xdr:row>241</xdr:row>
      <xdr:rowOff>74096</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692390" y="42218610"/>
          <a:ext cx="5997910" cy="6844466"/>
          <a:chOff x="400050" y="43554650"/>
          <a:chExt cx="6090620" cy="6802556"/>
        </a:xfrm>
      </xdr:grpSpPr>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315414" y="47657206"/>
            <a:ext cx="2025000" cy="2700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515570" y="47657206"/>
            <a:ext cx="2025000" cy="2700000"/>
          </a:xfrm>
          <a:prstGeom prst="rect">
            <a:avLst/>
          </a:prstGeom>
          <a:ln>
            <a:solidFill>
              <a:schemeClr val="tx1"/>
            </a:solidFill>
          </a:ln>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520670" y="43580050"/>
            <a:ext cx="2970000" cy="3960000"/>
          </a:xfrm>
          <a:prstGeom prst="rect">
            <a:avLst/>
          </a:prstGeom>
          <a:ln>
            <a:solidFill>
              <a:schemeClr val="tx1"/>
            </a:solidFill>
          </a:ln>
        </xdr:spPr>
      </xdr:pic>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668617" y="47657206"/>
            <a:ext cx="1518750" cy="2700000"/>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00050" y="43580050"/>
            <a:ext cx="2970000" cy="3960000"/>
          </a:xfrm>
          <a:prstGeom prst="rect">
            <a:avLst/>
          </a:prstGeom>
          <a:ln>
            <a:solidFill>
              <a:schemeClr val="tx1"/>
            </a:solidFill>
          </a:ln>
        </xdr:spPr>
      </xdr:pic>
      <xdr:sp macro="" textlink="">
        <xdr:nvSpPr>
          <xdr:cNvPr id="42" name="Rectangle 41">
            <a:extLst>
              <a:ext uri="{FF2B5EF4-FFF2-40B4-BE49-F238E27FC236}">
                <a16:creationId xmlns:a16="http://schemas.microsoft.com/office/drawing/2014/main" id="{00000000-0008-0000-0000-000018000000}"/>
              </a:ext>
            </a:extLst>
          </xdr:cNvPr>
          <xdr:cNvSpPr/>
        </xdr:nvSpPr>
        <xdr:spPr>
          <a:xfrm>
            <a:off x="812800" y="43554650"/>
            <a:ext cx="972201"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C00000"/>
                </a:solidFill>
              </a:rPr>
              <a:t> A Wing</a:t>
            </a:r>
            <a:endParaRPr lang="en-IN">
              <a:solidFill>
                <a:srgbClr val="C00000"/>
              </a:solidFill>
            </a:endParaRPr>
          </a:p>
        </xdr:txBody>
      </xdr:sp>
      <xdr:sp macro="" textlink="">
        <xdr:nvSpPr>
          <xdr:cNvPr id="43" name="Rectangle 42">
            <a:extLst>
              <a:ext uri="{FF2B5EF4-FFF2-40B4-BE49-F238E27FC236}">
                <a16:creationId xmlns:a16="http://schemas.microsoft.com/office/drawing/2014/main" id="{00000000-0008-0000-0000-000018000000}"/>
              </a:ext>
            </a:extLst>
          </xdr:cNvPr>
          <xdr:cNvSpPr/>
        </xdr:nvSpPr>
        <xdr:spPr>
          <a:xfrm>
            <a:off x="3857220" y="44723050"/>
            <a:ext cx="972201"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C00000"/>
                </a:solidFill>
              </a:rPr>
              <a:t>B Wing</a:t>
            </a:r>
            <a:endParaRPr lang="en-IN">
              <a:solidFill>
                <a:srgbClr val="C00000"/>
              </a:solidFill>
            </a:endParaRPr>
          </a:p>
        </xdr:txBody>
      </xdr:sp>
    </xdr:grpSp>
    <xdr:clientData/>
  </xdr:twoCellAnchor>
  <xdr:twoCellAnchor>
    <xdr:from>
      <xdr:col>0</xdr:col>
      <xdr:colOff>350520</xdr:colOff>
      <xdr:row>212</xdr:row>
      <xdr:rowOff>0</xdr:rowOff>
    </xdr:from>
    <xdr:to>
      <xdr:col>7</xdr:col>
      <xdr:colOff>535181</xdr:colOff>
      <xdr:row>248</xdr:row>
      <xdr:rowOff>71990</xdr:rowOff>
    </xdr:to>
    <xdr:grpSp>
      <xdr:nvGrpSpPr>
        <xdr:cNvPr id="3" name="Group 2">
          <a:extLst>
            <a:ext uri="{FF2B5EF4-FFF2-40B4-BE49-F238E27FC236}">
              <a16:creationId xmlns:a16="http://schemas.microsoft.com/office/drawing/2014/main" id="{076B01F3-DF2D-D83D-31C6-518D6D8029C4}"/>
            </a:ext>
          </a:extLst>
        </xdr:cNvPr>
        <xdr:cNvGrpSpPr/>
      </xdr:nvGrpSpPr>
      <xdr:grpSpPr>
        <a:xfrm>
          <a:off x="350520" y="43251120"/>
          <a:ext cx="6067301" cy="7196690"/>
          <a:chOff x="-362251" y="202655"/>
          <a:chExt cx="6067301" cy="7196690"/>
        </a:xfrm>
      </xdr:grpSpPr>
      <xdr:pic>
        <xdr:nvPicPr>
          <xdr:cNvPr id="4" name="Picture 3">
            <a:extLst>
              <a:ext uri="{FF2B5EF4-FFF2-40B4-BE49-F238E27FC236}">
                <a16:creationId xmlns:a16="http://schemas.microsoft.com/office/drawing/2014/main" id="{FEE1B9B2-AF30-399A-6EA2-791AE532B3D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763513" y="5599345"/>
            <a:ext cx="2834033" cy="1800000"/>
          </a:xfrm>
          <a:prstGeom prst="rect">
            <a:avLst/>
          </a:prstGeom>
          <a:ln>
            <a:solidFill>
              <a:schemeClr val="tx1"/>
            </a:solidFill>
          </a:ln>
        </xdr:spPr>
      </xdr:pic>
      <xdr:pic>
        <xdr:nvPicPr>
          <xdr:cNvPr id="5" name="Picture 4">
            <a:extLst>
              <a:ext uri="{FF2B5EF4-FFF2-40B4-BE49-F238E27FC236}">
                <a16:creationId xmlns:a16="http://schemas.microsoft.com/office/drawing/2014/main" id="{35003144-7D73-48AD-6A23-16CAC9BD98F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54748" y="5599345"/>
            <a:ext cx="2834033" cy="1800000"/>
          </a:xfrm>
          <a:prstGeom prst="rect">
            <a:avLst/>
          </a:prstGeom>
          <a:ln>
            <a:solidFill>
              <a:schemeClr val="tx1"/>
            </a:solidFill>
          </a:ln>
        </xdr:spPr>
      </xdr:pic>
      <xdr:pic>
        <xdr:nvPicPr>
          <xdr:cNvPr id="7" name="Picture 6">
            <a:extLst>
              <a:ext uri="{FF2B5EF4-FFF2-40B4-BE49-F238E27FC236}">
                <a16:creationId xmlns:a16="http://schemas.microsoft.com/office/drawing/2014/main" id="{56ED1FCE-D13C-BCF9-5D49-9989216D019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14177" y="2901000"/>
            <a:ext cx="1870771" cy="2520000"/>
          </a:xfrm>
          <a:prstGeom prst="rect">
            <a:avLst/>
          </a:prstGeom>
          <a:ln>
            <a:solidFill>
              <a:schemeClr val="tx1"/>
            </a:solidFill>
          </a:ln>
        </xdr:spPr>
      </xdr:pic>
      <xdr:pic>
        <xdr:nvPicPr>
          <xdr:cNvPr id="8" name="Picture 7">
            <a:extLst>
              <a:ext uri="{FF2B5EF4-FFF2-40B4-BE49-F238E27FC236}">
                <a16:creationId xmlns:a16="http://schemas.microsoft.com/office/drawing/2014/main" id="{8D66A774-81DD-03CC-04EB-7F227367E38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62251" y="202655"/>
            <a:ext cx="1918845"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C4A6D526-E107-5FEA-E46B-F93EF39A80C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740822" y="2901000"/>
            <a:ext cx="1890000"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6923708C-55D4-CFD2-80A3-7DF2C465594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811782" y="203040"/>
            <a:ext cx="1890000" cy="2520000"/>
          </a:xfrm>
          <a:prstGeom prst="rect">
            <a:avLst/>
          </a:prstGeom>
          <a:ln>
            <a:solidFill>
              <a:schemeClr val="tx1"/>
            </a:solidFill>
          </a:ln>
        </xdr:spPr>
      </xdr:pic>
      <xdr:pic>
        <xdr:nvPicPr>
          <xdr:cNvPr id="13" name="Picture 12">
            <a:extLst>
              <a:ext uri="{FF2B5EF4-FFF2-40B4-BE49-F238E27FC236}">
                <a16:creationId xmlns:a16="http://schemas.microsoft.com/office/drawing/2014/main" id="{BCB81D63-83F2-21FA-9581-B22625B5AAB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815050" y="2901000"/>
            <a:ext cx="1890000"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A164B86C-D207-1FD4-1EA4-94A796DCF9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740822" y="202655"/>
            <a:ext cx="1890000" cy="2520000"/>
          </a:xfrm>
          <a:prstGeom prst="rect">
            <a:avLst/>
          </a:prstGeom>
          <a:ln>
            <a:solidFill>
              <a:schemeClr val="tx1"/>
            </a:solidFill>
          </a:ln>
        </xdr:spPr>
      </xdr:pic>
      <xdr:sp macro="" textlink="">
        <xdr:nvSpPr>
          <xdr:cNvPr id="15" name="TextBox 26">
            <a:extLst>
              <a:ext uri="{FF2B5EF4-FFF2-40B4-BE49-F238E27FC236}">
                <a16:creationId xmlns:a16="http://schemas.microsoft.com/office/drawing/2014/main" id="{B223690F-BEA7-0C94-D9B9-5B4968052CEE}"/>
              </a:ext>
            </a:extLst>
          </xdr:cNvPr>
          <xdr:cNvSpPr txBox="1"/>
        </xdr:nvSpPr>
        <xdr:spPr>
          <a:xfrm>
            <a:off x="-239798" y="574040"/>
            <a:ext cx="641522"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B Wing</a:t>
            </a:r>
            <a:endParaRPr lang="en-IN" sz="1200" b="1"/>
          </a:p>
        </xdr:txBody>
      </xdr:sp>
      <xdr:sp macro="" textlink="">
        <xdr:nvSpPr>
          <xdr:cNvPr id="16" name="TextBox 27">
            <a:extLst>
              <a:ext uri="{FF2B5EF4-FFF2-40B4-BE49-F238E27FC236}">
                <a16:creationId xmlns:a16="http://schemas.microsoft.com/office/drawing/2014/main" id="{3EFC49A8-0C2D-F201-6CEC-73DFA04A15F7}"/>
              </a:ext>
            </a:extLst>
          </xdr:cNvPr>
          <xdr:cNvSpPr txBox="1"/>
        </xdr:nvSpPr>
        <xdr:spPr>
          <a:xfrm>
            <a:off x="1818469" y="202655"/>
            <a:ext cx="647934"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A Wing</a:t>
            </a:r>
            <a:endParaRPr lang="en-IN" sz="1200" b="1"/>
          </a:p>
        </xdr:txBody>
      </xdr:sp>
      <xdr:sp macro="" textlink="">
        <xdr:nvSpPr>
          <xdr:cNvPr id="17" name="TextBox 28">
            <a:extLst>
              <a:ext uri="{FF2B5EF4-FFF2-40B4-BE49-F238E27FC236}">
                <a16:creationId xmlns:a16="http://schemas.microsoft.com/office/drawing/2014/main" id="{BA718017-F88F-7303-9F69-08239F5DF021}"/>
              </a:ext>
            </a:extLst>
          </xdr:cNvPr>
          <xdr:cNvSpPr txBox="1"/>
        </xdr:nvSpPr>
        <xdr:spPr>
          <a:xfrm>
            <a:off x="3889116" y="396080"/>
            <a:ext cx="641522"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B Wing</a:t>
            </a:r>
            <a:endParaRPr lang="en-IN" sz="1200" b="1"/>
          </a:p>
        </xdr:txBody>
      </xdr:sp>
      <xdr:sp macro="" textlink="">
        <xdr:nvSpPr>
          <xdr:cNvPr id="18" name="TextBox 29">
            <a:extLst>
              <a:ext uri="{FF2B5EF4-FFF2-40B4-BE49-F238E27FC236}">
                <a16:creationId xmlns:a16="http://schemas.microsoft.com/office/drawing/2014/main" id="{2264F5B8-13B9-CF3B-DA68-A565D7BE8B37}"/>
              </a:ext>
            </a:extLst>
          </xdr:cNvPr>
          <xdr:cNvSpPr txBox="1"/>
        </xdr:nvSpPr>
        <xdr:spPr>
          <a:xfrm>
            <a:off x="67895" y="202655"/>
            <a:ext cx="647934"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A Wing</a:t>
            </a:r>
            <a:endParaRPr lang="en-IN" sz="1200"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44266</xdr:colOff>
      <xdr:row>26</xdr:row>
      <xdr:rowOff>157083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79783" y="2675283"/>
          <a:ext cx="8873526" cy="47290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DFobXxKTPc6W6yZD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295"/>
  <sheetViews>
    <sheetView tabSelected="1" view="pageBreakPreview" topLeftCell="A5" zoomScaleNormal="100" zoomScaleSheetLayoutView="100" zoomScalePageLayoutView="85" workbookViewId="0">
      <selection activeCell="I7" sqref="I7"/>
    </sheetView>
  </sheetViews>
  <sheetFormatPr defaultColWidth="9.21875" defaultRowHeight="15.6" x14ac:dyDescent="0.3"/>
  <cols>
    <col min="1" max="1" width="11.44140625" style="16" customWidth="1"/>
    <col min="2" max="2" width="12" style="16" customWidth="1"/>
    <col min="3" max="3" width="12.77734375" style="16" customWidth="1"/>
    <col min="4" max="4" width="14.21875" style="16" customWidth="1"/>
    <col min="5" max="7" width="11.77734375" style="16" customWidth="1"/>
    <col min="8" max="8" width="13.77734375" style="16" customWidth="1"/>
    <col min="9" max="9" width="17.44140625" style="8" customWidth="1"/>
    <col min="10" max="10" width="11.44140625" style="8" customWidth="1"/>
    <col min="11" max="11" width="10.5546875" style="8" bestFit="1" customWidth="1"/>
    <col min="12" max="12" width="10.5546875" style="8" customWidth="1"/>
    <col min="13" max="13" width="11.77734375" style="8" customWidth="1"/>
    <col min="14" max="14" width="12.5546875" style="8" hidden="1" customWidth="1"/>
    <col min="15" max="15" width="9.77734375" style="8" hidden="1" customWidth="1"/>
    <col min="16" max="16" width="10.44140625" style="8" hidden="1" customWidth="1"/>
    <col min="17" max="247" width="9.21875" style="8"/>
    <col min="248" max="248" width="8.77734375" style="8" customWidth="1"/>
    <col min="249" max="249" width="9.77734375" style="8" customWidth="1"/>
    <col min="250" max="250" width="14.44140625" style="8" customWidth="1"/>
    <col min="251" max="251" width="7.21875" style="8" customWidth="1"/>
    <col min="252" max="252" width="5.5546875" style="8" customWidth="1"/>
    <col min="253" max="253" width="9" style="8" customWidth="1"/>
    <col min="254" max="255" width="9.77734375" style="8" customWidth="1"/>
    <col min="256" max="256" width="11.21875" style="8" customWidth="1"/>
    <col min="257" max="257" width="2.77734375" style="8" customWidth="1"/>
    <col min="258" max="258" width="3.5546875" style="8" customWidth="1"/>
    <col min="259" max="503" width="9.21875" style="8"/>
    <col min="504" max="504" width="8.77734375" style="8" customWidth="1"/>
    <col min="505" max="505" width="9.77734375" style="8" customWidth="1"/>
    <col min="506" max="506" width="14.44140625" style="8" customWidth="1"/>
    <col min="507" max="507" width="7.21875" style="8" customWidth="1"/>
    <col min="508" max="508" width="5.5546875" style="8" customWidth="1"/>
    <col min="509" max="509" width="9" style="8" customWidth="1"/>
    <col min="510" max="511" width="9.77734375" style="8" customWidth="1"/>
    <col min="512" max="512" width="11.21875" style="8" customWidth="1"/>
    <col min="513" max="513" width="2.77734375" style="8" customWidth="1"/>
    <col min="514" max="514" width="3.5546875" style="8" customWidth="1"/>
    <col min="515" max="759" width="9.21875" style="8"/>
    <col min="760" max="760" width="8.77734375" style="8" customWidth="1"/>
    <col min="761" max="761" width="9.77734375" style="8" customWidth="1"/>
    <col min="762" max="762" width="14.44140625" style="8" customWidth="1"/>
    <col min="763" max="763" width="7.21875" style="8" customWidth="1"/>
    <col min="764" max="764" width="5.5546875" style="8" customWidth="1"/>
    <col min="765" max="765" width="9" style="8" customWidth="1"/>
    <col min="766" max="767" width="9.77734375" style="8" customWidth="1"/>
    <col min="768" max="768" width="11.21875" style="8" customWidth="1"/>
    <col min="769" max="769" width="2.77734375" style="8" customWidth="1"/>
    <col min="770" max="770" width="3.5546875" style="8" customWidth="1"/>
    <col min="771" max="1015" width="9.21875" style="8"/>
    <col min="1016" max="1016" width="8.77734375" style="8" customWidth="1"/>
    <col min="1017" max="1017" width="9.77734375" style="8" customWidth="1"/>
    <col min="1018" max="1018" width="14.44140625" style="8" customWidth="1"/>
    <col min="1019" max="1019" width="7.21875" style="8" customWidth="1"/>
    <col min="1020" max="1020" width="5.5546875" style="8" customWidth="1"/>
    <col min="1021" max="1021" width="9" style="8" customWidth="1"/>
    <col min="1022" max="1023" width="9.77734375" style="8" customWidth="1"/>
    <col min="1024" max="1024" width="11.21875" style="8" customWidth="1"/>
    <col min="1025" max="1025" width="2.77734375" style="8" customWidth="1"/>
    <col min="1026" max="1026" width="3.5546875" style="8" customWidth="1"/>
    <col min="1027" max="1271" width="9.21875" style="8"/>
    <col min="1272" max="1272" width="8.77734375" style="8" customWidth="1"/>
    <col min="1273" max="1273" width="9.77734375" style="8" customWidth="1"/>
    <col min="1274" max="1274" width="14.44140625" style="8" customWidth="1"/>
    <col min="1275" max="1275" width="7.21875" style="8" customWidth="1"/>
    <col min="1276" max="1276" width="5.5546875" style="8" customWidth="1"/>
    <col min="1277" max="1277" width="9" style="8" customWidth="1"/>
    <col min="1278" max="1279" width="9.77734375" style="8" customWidth="1"/>
    <col min="1280" max="1280" width="11.21875" style="8" customWidth="1"/>
    <col min="1281" max="1281" width="2.77734375" style="8" customWidth="1"/>
    <col min="1282" max="1282" width="3.5546875" style="8" customWidth="1"/>
    <col min="1283" max="1527" width="9.21875" style="8"/>
    <col min="1528" max="1528" width="8.77734375" style="8" customWidth="1"/>
    <col min="1529" max="1529" width="9.77734375" style="8" customWidth="1"/>
    <col min="1530" max="1530" width="14.44140625" style="8" customWidth="1"/>
    <col min="1531" max="1531" width="7.21875" style="8" customWidth="1"/>
    <col min="1532" max="1532" width="5.5546875" style="8" customWidth="1"/>
    <col min="1533" max="1533" width="9" style="8" customWidth="1"/>
    <col min="1534" max="1535" width="9.77734375" style="8" customWidth="1"/>
    <col min="1536" max="1536" width="11.21875" style="8" customWidth="1"/>
    <col min="1537" max="1537" width="2.77734375" style="8" customWidth="1"/>
    <col min="1538" max="1538" width="3.5546875" style="8" customWidth="1"/>
    <col min="1539" max="1783" width="9.21875" style="8"/>
    <col min="1784" max="1784" width="8.77734375" style="8" customWidth="1"/>
    <col min="1785" max="1785" width="9.77734375" style="8" customWidth="1"/>
    <col min="1786" max="1786" width="14.44140625" style="8" customWidth="1"/>
    <col min="1787" max="1787" width="7.21875" style="8" customWidth="1"/>
    <col min="1788" max="1788" width="5.5546875" style="8" customWidth="1"/>
    <col min="1789" max="1789" width="9" style="8" customWidth="1"/>
    <col min="1790" max="1791" width="9.77734375" style="8" customWidth="1"/>
    <col min="1792" max="1792" width="11.21875" style="8" customWidth="1"/>
    <col min="1793" max="1793" width="2.77734375" style="8" customWidth="1"/>
    <col min="1794" max="1794" width="3.5546875" style="8" customWidth="1"/>
    <col min="1795" max="2039" width="9.21875" style="8"/>
    <col min="2040" max="2040" width="8.77734375" style="8" customWidth="1"/>
    <col min="2041" max="2041" width="9.77734375" style="8" customWidth="1"/>
    <col min="2042" max="2042" width="14.44140625" style="8" customWidth="1"/>
    <col min="2043" max="2043" width="7.21875" style="8" customWidth="1"/>
    <col min="2044" max="2044" width="5.5546875" style="8" customWidth="1"/>
    <col min="2045" max="2045" width="9" style="8" customWidth="1"/>
    <col min="2046" max="2047" width="9.77734375" style="8" customWidth="1"/>
    <col min="2048" max="2048" width="11.21875" style="8" customWidth="1"/>
    <col min="2049" max="2049" width="2.77734375" style="8" customWidth="1"/>
    <col min="2050" max="2050" width="3.5546875" style="8" customWidth="1"/>
    <col min="2051" max="2295" width="9.21875" style="8"/>
    <col min="2296" max="2296" width="8.77734375" style="8" customWidth="1"/>
    <col min="2297" max="2297" width="9.77734375" style="8" customWidth="1"/>
    <col min="2298" max="2298" width="14.44140625" style="8" customWidth="1"/>
    <col min="2299" max="2299" width="7.21875" style="8" customWidth="1"/>
    <col min="2300" max="2300" width="5.5546875" style="8" customWidth="1"/>
    <col min="2301" max="2301" width="9" style="8" customWidth="1"/>
    <col min="2302" max="2303" width="9.77734375" style="8" customWidth="1"/>
    <col min="2304" max="2304" width="11.21875" style="8" customWidth="1"/>
    <col min="2305" max="2305" width="2.77734375" style="8" customWidth="1"/>
    <col min="2306" max="2306" width="3.5546875" style="8" customWidth="1"/>
    <col min="2307" max="2551" width="9.21875" style="8"/>
    <col min="2552" max="2552" width="8.77734375" style="8" customWidth="1"/>
    <col min="2553" max="2553" width="9.77734375" style="8" customWidth="1"/>
    <col min="2554" max="2554" width="14.44140625" style="8" customWidth="1"/>
    <col min="2555" max="2555" width="7.21875" style="8" customWidth="1"/>
    <col min="2556" max="2556" width="5.5546875" style="8" customWidth="1"/>
    <col min="2557" max="2557" width="9" style="8" customWidth="1"/>
    <col min="2558" max="2559" width="9.77734375" style="8" customWidth="1"/>
    <col min="2560" max="2560" width="11.21875" style="8" customWidth="1"/>
    <col min="2561" max="2561" width="2.77734375" style="8" customWidth="1"/>
    <col min="2562" max="2562" width="3.5546875" style="8" customWidth="1"/>
    <col min="2563" max="2807" width="9.21875" style="8"/>
    <col min="2808" max="2808" width="8.77734375" style="8" customWidth="1"/>
    <col min="2809" max="2809" width="9.77734375" style="8" customWidth="1"/>
    <col min="2810" max="2810" width="14.44140625" style="8" customWidth="1"/>
    <col min="2811" max="2811" width="7.21875" style="8" customWidth="1"/>
    <col min="2812" max="2812" width="5.5546875" style="8" customWidth="1"/>
    <col min="2813" max="2813" width="9" style="8" customWidth="1"/>
    <col min="2814" max="2815" width="9.77734375" style="8" customWidth="1"/>
    <col min="2816" max="2816" width="11.21875" style="8" customWidth="1"/>
    <col min="2817" max="2817" width="2.77734375" style="8" customWidth="1"/>
    <col min="2818" max="2818" width="3.5546875" style="8" customWidth="1"/>
    <col min="2819" max="3063" width="9.21875" style="8"/>
    <col min="3064" max="3064" width="8.77734375" style="8" customWidth="1"/>
    <col min="3065" max="3065" width="9.77734375" style="8" customWidth="1"/>
    <col min="3066" max="3066" width="14.44140625" style="8" customWidth="1"/>
    <col min="3067" max="3067" width="7.21875" style="8" customWidth="1"/>
    <col min="3068" max="3068" width="5.5546875" style="8" customWidth="1"/>
    <col min="3069" max="3069" width="9" style="8" customWidth="1"/>
    <col min="3070" max="3071" width="9.77734375" style="8" customWidth="1"/>
    <col min="3072" max="3072" width="11.21875" style="8" customWidth="1"/>
    <col min="3073" max="3073" width="2.77734375" style="8" customWidth="1"/>
    <col min="3074" max="3074" width="3.5546875" style="8" customWidth="1"/>
    <col min="3075" max="3319" width="9.21875" style="8"/>
    <col min="3320" max="3320" width="8.77734375" style="8" customWidth="1"/>
    <col min="3321" max="3321" width="9.77734375" style="8" customWidth="1"/>
    <col min="3322" max="3322" width="14.44140625" style="8" customWidth="1"/>
    <col min="3323" max="3323" width="7.21875" style="8" customWidth="1"/>
    <col min="3324" max="3324" width="5.5546875" style="8" customWidth="1"/>
    <col min="3325" max="3325" width="9" style="8" customWidth="1"/>
    <col min="3326" max="3327" width="9.77734375" style="8" customWidth="1"/>
    <col min="3328" max="3328" width="11.21875" style="8" customWidth="1"/>
    <col min="3329" max="3329" width="2.77734375" style="8" customWidth="1"/>
    <col min="3330" max="3330" width="3.5546875" style="8" customWidth="1"/>
    <col min="3331" max="3575" width="9.21875" style="8"/>
    <col min="3576" max="3576" width="8.77734375" style="8" customWidth="1"/>
    <col min="3577" max="3577" width="9.77734375" style="8" customWidth="1"/>
    <col min="3578" max="3578" width="14.44140625" style="8" customWidth="1"/>
    <col min="3579" max="3579" width="7.21875" style="8" customWidth="1"/>
    <col min="3580" max="3580" width="5.5546875" style="8" customWidth="1"/>
    <col min="3581" max="3581" width="9" style="8" customWidth="1"/>
    <col min="3582" max="3583" width="9.77734375" style="8" customWidth="1"/>
    <col min="3584" max="3584" width="11.21875" style="8" customWidth="1"/>
    <col min="3585" max="3585" width="2.77734375" style="8" customWidth="1"/>
    <col min="3586" max="3586" width="3.5546875" style="8" customWidth="1"/>
    <col min="3587" max="3831" width="9.21875" style="8"/>
    <col min="3832" max="3832" width="8.77734375" style="8" customWidth="1"/>
    <col min="3833" max="3833" width="9.77734375" style="8" customWidth="1"/>
    <col min="3834" max="3834" width="14.44140625" style="8" customWidth="1"/>
    <col min="3835" max="3835" width="7.21875" style="8" customWidth="1"/>
    <col min="3836" max="3836" width="5.5546875" style="8" customWidth="1"/>
    <col min="3837" max="3837" width="9" style="8" customWidth="1"/>
    <col min="3838" max="3839" width="9.77734375" style="8" customWidth="1"/>
    <col min="3840" max="3840" width="11.21875" style="8" customWidth="1"/>
    <col min="3841" max="3841" width="2.77734375" style="8" customWidth="1"/>
    <col min="3842" max="3842" width="3.5546875" style="8" customWidth="1"/>
    <col min="3843" max="4087" width="9.21875" style="8"/>
    <col min="4088" max="4088" width="8.77734375" style="8" customWidth="1"/>
    <col min="4089" max="4089" width="9.77734375" style="8" customWidth="1"/>
    <col min="4090" max="4090" width="14.44140625" style="8" customWidth="1"/>
    <col min="4091" max="4091" width="7.21875" style="8" customWidth="1"/>
    <col min="4092" max="4092" width="5.5546875" style="8" customWidth="1"/>
    <col min="4093" max="4093" width="9" style="8" customWidth="1"/>
    <col min="4094" max="4095" width="9.77734375" style="8" customWidth="1"/>
    <col min="4096" max="4096" width="11.21875" style="8" customWidth="1"/>
    <col min="4097" max="4097" width="2.77734375" style="8" customWidth="1"/>
    <col min="4098" max="4098" width="3.5546875" style="8" customWidth="1"/>
    <col min="4099" max="4343" width="9.21875" style="8"/>
    <col min="4344" max="4344" width="8.77734375" style="8" customWidth="1"/>
    <col min="4345" max="4345" width="9.77734375" style="8" customWidth="1"/>
    <col min="4346" max="4346" width="14.44140625" style="8" customWidth="1"/>
    <col min="4347" max="4347" width="7.21875" style="8" customWidth="1"/>
    <col min="4348" max="4348" width="5.5546875" style="8" customWidth="1"/>
    <col min="4349" max="4349" width="9" style="8" customWidth="1"/>
    <col min="4350" max="4351" width="9.77734375" style="8" customWidth="1"/>
    <col min="4352" max="4352" width="11.21875" style="8" customWidth="1"/>
    <col min="4353" max="4353" width="2.77734375" style="8" customWidth="1"/>
    <col min="4354" max="4354" width="3.5546875" style="8" customWidth="1"/>
    <col min="4355" max="4599" width="9.21875" style="8"/>
    <col min="4600" max="4600" width="8.77734375" style="8" customWidth="1"/>
    <col min="4601" max="4601" width="9.77734375" style="8" customWidth="1"/>
    <col min="4602" max="4602" width="14.44140625" style="8" customWidth="1"/>
    <col min="4603" max="4603" width="7.21875" style="8" customWidth="1"/>
    <col min="4604" max="4604" width="5.5546875" style="8" customWidth="1"/>
    <col min="4605" max="4605" width="9" style="8" customWidth="1"/>
    <col min="4606" max="4607" width="9.77734375" style="8" customWidth="1"/>
    <col min="4608" max="4608" width="11.21875" style="8" customWidth="1"/>
    <col min="4609" max="4609" width="2.77734375" style="8" customWidth="1"/>
    <col min="4610" max="4610" width="3.5546875" style="8" customWidth="1"/>
    <col min="4611" max="4855" width="9.21875" style="8"/>
    <col min="4856" max="4856" width="8.77734375" style="8" customWidth="1"/>
    <col min="4857" max="4857" width="9.77734375" style="8" customWidth="1"/>
    <col min="4858" max="4858" width="14.44140625" style="8" customWidth="1"/>
    <col min="4859" max="4859" width="7.21875" style="8" customWidth="1"/>
    <col min="4860" max="4860" width="5.5546875" style="8" customWidth="1"/>
    <col min="4861" max="4861" width="9" style="8" customWidth="1"/>
    <col min="4862" max="4863" width="9.77734375" style="8" customWidth="1"/>
    <col min="4864" max="4864" width="11.21875" style="8" customWidth="1"/>
    <col min="4865" max="4865" width="2.77734375" style="8" customWidth="1"/>
    <col min="4866" max="4866" width="3.5546875" style="8" customWidth="1"/>
    <col min="4867" max="5111" width="9.21875" style="8"/>
    <col min="5112" max="5112" width="8.77734375" style="8" customWidth="1"/>
    <col min="5113" max="5113" width="9.77734375" style="8" customWidth="1"/>
    <col min="5114" max="5114" width="14.44140625" style="8" customWidth="1"/>
    <col min="5115" max="5115" width="7.21875" style="8" customWidth="1"/>
    <col min="5116" max="5116" width="5.5546875" style="8" customWidth="1"/>
    <col min="5117" max="5117" width="9" style="8" customWidth="1"/>
    <col min="5118" max="5119" width="9.77734375" style="8" customWidth="1"/>
    <col min="5120" max="5120" width="11.21875" style="8" customWidth="1"/>
    <col min="5121" max="5121" width="2.77734375" style="8" customWidth="1"/>
    <col min="5122" max="5122" width="3.5546875" style="8" customWidth="1"/>
    <col min="5123" max="5367" width="9.21875" style="8"/>
    <col min="5368" max="5368" width="8.77734375" style="8" customWidth="1"/>
    <col min="5369" max="5369" width="9.77734375" style="8" customWidth="1"/>
    <col min="5370" max="5370" width="14.44140625" style="8" customWidth="1"/>
    <col min="5371" max="5371" width="7.21875" style="8" customWidth="1"/>
    <col min="5372" max="5372" width="5.5546875" style="8" customWidth="1"/>
    <col min="5373" max="5373" width="9" style="8" customWidth="1"/>
    <col min="5374" max="5375" width="9.77734375" style="8" customWidth="1"/>
    <col min="5376" max="5376" width="11.21875" style="8" customWidth="1"/>
    <col min="5377" max="5377" width="2.77734375" style="8" customWidth="1"/>
    <col min="5378" max="5378" width="3.5546875" style="8" customWidth="1"/>
    <col min="5379" max="5623" width="9.21875" style="8"/>
    <col min="5624" max="5624" width="8.77734375" style="8" customWidth="1"/>
    <col min="5625" max="5625" width="9.77734375" style="8" customWidth="1"/>
    <col min="5626" max="5626" width="14.44140625" style="8" customWidth="1"/>
    <col min="5627" max="5627" width="7.21875" style="8" customWidth="1"/>
    <col min="5628" max="5628" width="5.5546875" style="8" customWidth="1"/>
    <col min="5629" max="5629" width="9" style="8" customWidth="1"/>
    <col min="5630" max="5631" width="9.77734375" style="8" customWidth="1"/>
    <col min="5632" max="5632" width="11.21875" style="8" customWidth="1"/>
    <col min="5633" max="5633" width="2.77734375" style="8" customWidth="1"/>
    <col min="5634" max="5634" width="3.5546875" style="8" customWidth="1"/>
    <col min="5635" max="5879" width="9.21875" style="8"/>
    <col min="5880" max="5880" width="8.77734375" style="8" customWidth="1"/>
    <col min="5881" max="5881" width="9.77734375" style="8" customWidth="1"/>
    <col min="5882" max="5882" width="14.44140625" style="8" customWidth="1"/>
    <col min="5883" max="5883" width="7.21875" style="8" customWidth="1"/>
    <col min="5884" max="5884" width="5.5546875" style="8" customWidth="1"/>
    <col min="5885" max="5885" width="9" style="8" customWidth="1"/>
    <col min="5886" max="5887" width="9.77734375" style="8" customWidth="1"/>
    <col min="5888" max="5888" width="11.21875" style="8" customWidth="1"/>
    <col min="5889" max="5889" width="2.77734375" style="8" customWidth="1"/>
    <col min="5890" max="5890" width="3.5546875" style="8" customWidth="1"/>
    <col min="5891" max="6135" width="9.21875" style="8"/>
    <col min="6136" max="6136" width="8.77734375" style="8" customWidth="1"/>
    <col min="6137" max="6137" width="9.77734375" style="8" customWidth="1"/>
    <col min="6138" max="6138" width="14.44140625" style="8" customWidth="1"/>
    <col min="6139" max="6139" width="7.21875" style="8" customWidth="1"/>
    <col min="6140" max="6140" width="5.5546875" style="8" customWidth="1"/>
    <col min="6141" max="6141" width="9" style="8" customWidth="1"/>
    <col min="6142" max="6143" width="9.77734375" style="8" customWidth="1"/>
    <col min="6144" max="6144" width="11.21875" style="8" customWidth="1"/>
    <col min="6145" max="6145" width="2.77734375" style="8" customWidth="1"/>
    <col min="6146" max="6146" width="3.5546875" style="8" customWidth="1"/>
    <col min="6147" max="6391" width="9.21875" style="8"/>
    <col min="6392" max="6392" width="8.77734375" style="8" customWidth="1"/>
    <col min="6393" max="6393" width="9.77734375" style="8" customWidth="1"/>
    <col min="6394" max="6394" width="14.44140625" style="8" customWidth="1"/>
    <col min="6395" max="6395" width="7.21875" style="8" customWidth="1"/>
    <col min="6396" max="6396" width="5.5546875" style="8" customWidth="1"/>
    <col min="6397" max="6397" width="9" style="8" customWidth="1"/>
    <col min="6398" max="6399" width="9.77734375" style="8" customWidth="1"/>
    <col min="6400" max="6400" width="11.21875" style="8" customWidth="1"/>
    <col min="6401" max="6401" width="2.77734375" style="8" customWidth="1"/>
    <col min="6402" max="6402" width="3.5546875" style="8" customWidth="1"/>
    <col min="6403" max="6647" width="9.21875" style="8"/>
    <col min="6648" max="6648" width="8.77734375" style="8" customWidth="1"/>
    <col min="6649" max="6649" width="9.77734375" style="8" customWidth="1"/>
    <col min="6650" max="6650" width="14.44140625" style="8" customWidth="1"/>
    <col min="6651" max="6651" width="7.21875" style="8" customWidth="1"/>
    <col min="6652" max="6652" width="5.5546875" style="8" customWidth="1"/>
    <col min="6653" max="6653" width="9" style="8" customWidth="1"/>
    <col min="6654" max="6655" width="9.77734375" style="8" customWidth="1"/>
    <col min="6656" max="6656" width="11.21875" style="8" customWidth="1"/>
    <col min="6657" max="6657" width="2.77734375" style="8" customWidth="1"/>
    <col min="6658" max="6658" width="3.5546875" style="8" customWidth="1"/>
    <col min="6659" max="6903" width="9.21875" style="8"/>
    <col min="6904" max="6904" width="8.77734375" style="8" customWidth="1"/>
    <col min="6905" max="6905" width="9.77734375" style="8" customWidth="1"/>
    <col min="6906" max="6906" width="14.44140625" style="8" customWidth="1"/>
    <col min="6907" max="6907" width="7.21875" style="8" customWidth="1"/>
    <col min="6908" max="6908" width="5.5546875" style="8" customWidth="1"/>
    <col min="6909" max="6909" width="9" style="8" customWidth="1"/>
    <col min="6910" max="6911" width="9.77734375" style="8" customWidth="1"/>
    <col min="6912" max="6912" width="11.21875" style="8" customWidth="1"/>
    <col min="6913" max="6913" width="2.77734375" style="8" customWidth="1"/>
    <col min="6914" max="6914" width="3.5546875" style="8" customWidth="1"/>
    <col min="6915" max="7159" width="9.21875" style="8"/>
    <col min="7160" max="7160" width="8.77734375" style="8" customWidth="1"/>
    <col min="7161" max="7161" width="9.77734375" style="8" customWidth="1"/>
    <col min="7162" max="7162" width="14.44140625" style="8" customWidth="1"/>
    <col min="7163" max="7163" width="7.21875" style="8" customWidth="1"/>
    <col min="7164" max="7164" width="5.5546875" style="8" customWidth="1"/>
    <col min="7165" max="7165" width="9" style="8" customWidth="1"/>
    <col min="7166" max="7167" width="9.77734375" style="8" customWidth="1"/>
    <col min="7168" max="7168" width="11.21875" style="8" customWidth="1"/>
    <col min="7169" max="7169" width="2.77734375" style="8" customWidth="1"/>
    <col min="7170" max="7170" width="3.5546875" style="8" customWidth="1"/>
    <col min="7171" max="7415" width="9.21875" style="8"/>
    <col min="7416" max="7416" width="8.77734375" style="8" customWidth="1"/>
    <col min="7417" max="7417" width="9.77734375" style="8" customWidth="1"/>
    <col min="7418" max="7418" width="14.44140625" style="8" customWidth="1"/>
    <col min="7419" max="7419" width="7.21875" style="8" customWidth="1"/>
    <col min="7420" max="7420" width="5.5546875" style="8" customWidth="1"/>
    <col min="7421" max="7421" width="9" style="8" customWidth="1"/>
    <col min="7422" max="7423" width="9.77734375" style="8" customWidth="1"/>
    <col min="7424" max="7424" width="11.21875" style="8" customWidth="1"/>
    <col min="7425" max="7425" width="2.77734375" style="8" customWidth="1"/>
    <col min="7426" max="7426" width="3.5546875" style="8" customWidth="1"/>
    <col min="7427" max="7671" width="9.21875" style="8"/>
    <col min="7672" max="7672" width="8.77734375" style="8" customWidth="1"/>
    <col min="7673" max="7673" width="9.77734375" style="8" customWidth="1"/>
    <col min="7674" max="7674" width="14.44140625" style="8" customWidth="1"/>
    <col min="7675" max="7675" width="7.21875" style="8" customWidth="1"/>
    <col min="7676" max="7676" width="5.5546875" style="8" customWidth="1"/>
    <col min="7677" max="7677" width="9" style="8" customWidth="1"/>
    <col min="7678" max="7679" width="9.77734375" style="8" customWidth="1"/>
    <col min="7680" max="7680" width="11.21875" style="8" customWidth="1"/>
    <col min="7681" max="7681" width="2.77734375" style="8" customWidth="1"/>
    <col min="7682" max="7682" width="3.5546875" style="8" customWidth="1"/>
    <col min="7683" max="7927" width="9.21875" style="8"/>
    <col min="7928" max="7928" width="8.77734375" style="8" customWidth="1"/>
    <col min="7929" max="7929" width="9.77734375" style="8" customWidth="1"/>
    <col min="7930" max="7930" width="14.44140625" style="8" customWidth="1"/>
    <col min="7931" max="7931" width="7.21875" style="8" customWidth="1"/>
    <col min="7932" max="7932" width="5.5546875" style="8" customWidth="1"/>
    <col min="7933" max="7933" width="9" style="8" customWidth="1"/>
    <col min="7934" max="7935" width="9.77734375" style="8" customWidth="1"/>
    <col min="7936" max="7936" width="11.21875" style="8" customWidth="1"/>
    <col min="7937" max="7937" width="2.77734375" style="8" customWidth="1"/>
    <col min="7938" max="7938" width="3.5546875" style="8" customWidth="1"/>
    <col min="7939" max="8183" width="9.21875" style="8"/>
    <col min="8184" max="8184" width="8.77734375" style="8" customWidth="1"/>
    <col min="8185" max="8185" width="9.77734375" style="8" customWidth="1"/>
    <col min="8186" max="8186" width="14.44140625" style="8" customWidth="1"/>
    <col min="8187" max="8187" width="7.21875" style="8" customWidth="1"/>
    <col min="8188" max="8188" width="5.5546875" style="8" customWidth="1"/>
    <col min="8189" max="8189" width="9" style="8" customWidth="1"/>
    <col min="8190" max="8191" width="9.77734375" style="8" customWidth="1"/>
    <col min="8192" max="8192" width="11.21875" style="8" customWidth="1"/>
    <col min="8193" max="8193" width="2.77734375" style="8" customWidth="1"/>
    <col min="8194" max="8194" width="3.5546875" style="8" customWidth="1"/>
    <col min="8195" max="8439" width="9.21875" style="8"/>
    <col min="8440" max="8440" width="8.77734375" style="8" customWidth="1"/>
    <col min="8441" max="8441" width="9.77734375" style="8" customWidth="1"/>
    <col min="8442" max="8442" width="14.44140625" style="8" customWidth="1"/>
    <col min="8443" max="8443" width="7.21875" style="8" customWidth="1"/>
    <col min="8444" max="8444" width="5.5546875" style="8" customWidth="1"/>
    <col min="8445" max="8445" width="9" style="8" customWidth="1"/>
    <col min="8446" max="8447" width="9.77734375" style="8" customWidth="1"/>
    <col min="8448" max="8448" width="11.21875" style="8" customWidth="1"/>
    <col min="8449" max="8449" width="2.77734375" style="8" customWidth="1"/>
    <col min="8450" max="8450" width="3.5546875" style="8" customWidth="1"/>
    <col min="8451" max="8695" width="9.21875" style="8"/>
    <col min="8696" max="8696" width="8.77734375" style="8" customWidth="1"/>
    <col min="8697" max="8697" width="9.77734375" style="8" customWidth="1"/>
    <col min="8698" max="8698" width="14.44140625" style="8" customWidth="1"/>
    <col min="8699" max="8699" width="7.21875" style="8" customWidth="1"/>
    <col min="8700" max="8700" width="5.5546875" style="8" customWidth="1"/>
    <col min="8701" max="8701" width="9" style="8" customWidth="1"/>
    <col min="8702" max="8703" width="9.77734375" style="8" customWidth="1"/>
    <col min="8704" max="8704" width="11.21875" style="8" customWidth="1"/>
    <col min="8705" max="8705" width="2.77734375" style="8" customWidth="1"/>
    <col min="8706" max="8706" width="3.5546875" style="8" customWidth="1"/>
    <col min="8707" max="8951" width="9.21875" style="8"/>
    <col min="8952" max="8952" width="8.77734375" style="8" customWidth="1"/>
    <col min="8953" max="8953" width="9.77734375" style="8" customWidth="1"/>
    <col min="8954" max="8954" width="14.44140625" style="8" customWidth="1"/>
    <col min="8955" max="8955" width="7.21875" style="8" customWidth="1"/>
    <col min="8956" max="8956" width="5.5546875" style="8" customWidth="1"/>
    <col min="8957" max="8957" width="9" style="8" customWidth="1"/>
    <col min="8958" max="8959" width="9.77734375" style="8" customWidth="1"/>
    <col min="8960" max="8960" width="11.21875" style="8" customWidth="1"/>
    <col min="8961" max="8961" width="2.77734375" style="8" customWidth="1"/>
    <col min="8962" max="8962" width="3.5546875" style="8" customWidth="1"/>
    <col min="8963" max="9207" width="9.21875" style="8"/>
    <col min="9208" max="9208" width="8.77734375" style="8" customWidth="1"/>
    <col min="9209" max="9209" width="9.77734375" style="8" customWidth="1"/>
    <col min="9210" max="9210" width="14.44140625" style="8" customWidth="1"/>
    <col min="9211" max="9211" width="7.21875" style="8" customWidth="1"/>
    <col min="9212" max="9212" width="5.5546875" style="8" customWidth="1"/>
    <col min="9213" max="9213" width="9" style="8" customWidth="1"/>
    <col min="9214" max="9215" width="9.77734375" style="8" customWidth="1"/>
    <col min="9216" max="9216" width="11.21875" style="8" customWidth="1"/>
    <col min="9217" max="9217" width="2.77734375" style="8" customWidth="1"/>
    <col min="9218" max="9218" width="3.5546875" style="8" customWidth="1"/>
    <col min="9219" max="9463" width="9.21875" style="8"/>
    <col min="9464" max="9464" width="8.77734375" style="8" customWidth="1"/>
    <col min="9465" max="9465" width="9.77734375" style="8" customWidth="1"/>
    <col min="9466" max="9466" width="14.44140625" style="8" customWidth="1"/>
    <col min="9467" max="9467" width="7.21875" style="8" customWidth="1"/>
    <col min="9468" max="9468" width="5.5546875" style="8" customWidth="1"/>
    <col min="9469" max="9469" width="9" style="8" customWidth="1"/>
    <col min="9470" max="9471" width="9.77734375" style="8" customWidth="1"/>
    <col min="9472" max="9472" width="11.21875" style="8" customWidth="1"/>
    <col min="9473" max="9473" width="2.77734375" style="8" customWidth="1"/>
    <col min="9474" max="9474" width="3.5546875" style="8" customWidth="1"/>
    <col min="9475" max="9719" width="9.21875" style="8"/>
    <col min="9720" max="9720" width="8.77734375" style="8" customWidth="1"/>
    <col min="9721" max="9721" width="9.77734375" style="8" customWidth="1"/>
    <col min="9722" max="9722" width="14.44140625" style="8" customWidth="1"/>
    <col min="9723" max="9723" width="7.21875" style="8" customWidth="1"/>
    <col min="9724" max="9724" width="5.5546875" style="8" customWidth="1"/>
    <col min="9725" max="9725" width="9" style="8" customWidth="1"/>
    <col min="9726" max="9727" width="9.77734375" style="8" customWidth="1"/>
    <col min="9728" max="9728" width="11.21875" style="8" customWidth="1"/>
    <col min="9729" max="9729" width="2.77734375" style="8" customWidth="1"/>
    <col min="9730" max="9730" width="3.5546875" style="8" customWidth="1"/>
    <col min="9731" max="9975" width="9.21875" style="8"/>
    <col min="9976" max="9976" width="8.77734375" style="8" customWidth="1"/>
    <col min="9977" max="9977" width="9.77734375" style="8" customWidth="1"/>
    <col min="9978" max="9978" width="14.44140625" style="8" customWidth="1"/>
    <col min="9979" max="9979" width="7.21875" style="8" customWidth="1"/>
    <col min="9980" max="9980" width="5.5546875" style="8" customWidth="1"/>
    <col min="9981" max="9981" width="9" style="8" customWidth="1"/>
    <col min="9982" max="9983" width="9.77734375" style="8" customWidth="1"/>
    <col min="9984" max="9984" width="11.21875" style="8" customWidth="1"/>
    <col min="9985" max="9985" width="2.77734375" style="8" customWidth="1"/>
    <col min="9986" max="9986" width="3.5546875" style="8" customWidth="1"/>
    <col min="9987" max="10231" width="9.21875" style="8"/>
    <col min="10232" max="10232" width="8.77734375" style="8" customWidth="1"/>
    <col min="10233" max="10233" width="9.77734375" style="8" customWidth="1"/>
    <col min="10234" max="10234" width="14.44140625" style="8" customWidth="1"/>
    <col min="10235" max="10235" width="7.21875" style="8" customWidth="1"/>
    <col min="10236" max="10236" width="5.5546875" style="8" customWidth="1"/>
    <col min="10237" max="10237" width="9" style="8" customWidth="1"/>
    <col min="10238" max="10239" width="9.77734375" style="8" customWidth="1"/>
    <col min="10240" max="10240" width="11.21875" style="8" customWidth="1"/>
    <col min="10241" max="10241" width="2.77734375" style="8" customWidth="1"/>
    <col min="10242" max="10242" width="3.5546875" style="8" customWidth="1"/>
    <col min="10243" max="10487" width="9.21875" style="8"/>
    <col min="10488" max="10488" width="8.77734375" style="8" customWidth="1"/>
    <col min="10489" max="10489" width="9.77734375" style="8" customWidth="1"/>
    <col min="10490" max="10490" width="14.44140625" style="8" customWidth="1"/>
    <col min="10491" max="10491" width="7.21875" style="8" customWidth="1"/>
    <col min="10492" max="10492" width="5.5546875" style="8" customWidth="1"/>
    <col min="10493" max="10493" width="9" style="8" customWidth="1"/>
    <col min="10494" max="10495" width="9.77734375" style="8" customWidth="1"/>
    <col min="10496" max="10496" width="11.21875" style="8" customWidth="1"/>
    <col min="10497" max="10497" width="2.77734375" style="8" customWidth="1"/>
    <col min="10498" max="10498" width="3.5546875" style="8" customWidth="1"/>
    <col min="10499" max="10743" width="9.21875" style="8"/>
    <col min="10744" max="10744" width="8.77734375" style="8" customWidth="1"/>
    <col min="10745" max="10745" width="9.77734375" style="8" customWidth="1"/>
    <col min="10746" max="10746" width="14.44140625" style="8" customWidth="1"/>
    <col min="10747" max="10747" width="7.21875" style="8" customWidth="1"/>
    <col min="10748" max="10748" width="5.5546875" style="8" customWidth="1"/>
    <col min="10749" max="10749" width="9" style="8" customWidth="1"/>
    <col min="10750" max="10751" width="9.77734375" style="8" customWidth="1"/>
    <col min="10752" max="10752" width="11.21875" style="8" customWidth="1"/>
    <col min="10753" max="10753" width="2.77734375" style="8" customWidth="1"/>
    <col min="10754" max="10754" width="3.5546875" style="8" customWidth="1"/>
    <col min="10755" max="10999" width="9.21875" style="8"/>
    <col min="11000" max="11000" width="8.77734375" style="8" customWidth="1"/>
    <col min="11001" max="11001" width="9.77734375" style="8" customWidth="1"/>
    <col min="11002" max="11002" width="14.44140625" style="8" customWidth="1"/>
    <col min="11003" max="11003" width="7.21875" style="8" customWidth="1"/>
    <col min="11004" max="11004" width="5.5546875" style="8" customWidth="1"/>
    <col min="11005" max="11005" width="9" style="8" customWidth="1"/>
    <col min="11006" max="11007" width="9.77734375" style="8" customWidth="1"/>
    <col min="11008" max="11008" width="11.21875" style="8" customWidth="1"/>
    <col min="11009" max="11009" width="2.77734375" style="8" customWidth="1"/>
    <col min="11010" max="11010" width="3.5546875" style="8" customWidth="1"/>
    <col min="11011" max="11255" width="9.21875" style="8"/>
    <col min="11256" max="11256" width="8.77734375" style="8" customWidth="1"/>
    <col min="11257" max="11257" width="9.77734375" style="8" customWidth="1"/>
    <col min="11258" max="11258" width="14.44140625" style="8" customWidth="1"/>
    <col min="11259" max="11259" width="7.21875" style="8" customWidth="1"/>
    <col min="11260" max="11260" width="5.5546875" style="8" customWidth="1"/>
    <col min="11261" max="11261" width="9" style="8" customWidth="1"/>
    <col min="11262" max="11263" width="9.77734375" style="8" customWidth="1"/>
    <col min="11264" max="11264" width="11.21875" style="8" customWidth="1"/>
    <col min="11265" max="11265" width="2.77734375" style="8" customWidth="1"/>
    <col min="11266" max="11266" width="3.5546875" style="8" customWidth="1"/>
    <col min="11267" max="11511" width="9.21875" style="8"/>
    <col min="11512" max="11512" width="8.77734375" style="8" customWidth="1"/>
    <col min="11513" max="11513" width="9.77734375" style="8" customWidth="1"/>
    <col min="11514" max="11514" width="14.44140625" style="8" customWidth="1"/>
    <col min="11515" max="11515" width="7.21875" style="8" customWidth="1"/>
    <col min="11516" max="11516" width="5.5546875" style="8" customWidth="1"/>
    <col min="11517" max="11517" width="9" style="8" customWidth="1"/>
    <col min="11518" max="11519" width="9.77734375" style="8" customWidth="1"/>
    <col min="11520" max="11520" width="11.21875" style="8" customWidth="1"/>
    <col min="11521" max="11521" width="2.77734375" style="8" customWidth="1"/>
    <col min="11522" max="11522" width="3.5546875" style="8" customWidth="1"/>
    <col min="11523" max="11767" width="9.21875" style="8"/>
    <col min="11768" max="11768" width="8.77734375" style="8" customWidth="1"/>
    <col min="11769" max="11769" width="9.77734375" style="8" customWidth="1"/>
    <col min="11770" max="11770" width="14.44140625" style="8" customWidth="1"/>
    <col min="11771" max="11771" width="7.21875" style="8" customWidth="1"/>
    <col min="11772" max="11772" width="5.5546875" style="8" customWidth="1"/>
    <col min="11773" max="11773" width="9" style="8" customWidth="1"/>
    <col min="11774" max="11775" width="9.77734375" style="8" customWidth="1"/>
    <col min="11776" max="11776" width="11.21875" style="8" customWidth="1"/>
    <col min="11777" max="11777" width="2.77734375" style="8" customWidth="1"/>
    <col min="11778" max="11778" width="3.5546875" style="8" customWidth="1"/>
    <col min="11779" max="12023" width="9.21875" style="8"/>
    <col min="12024" max="12024" width="8.77734375" style="8" customWidth="1"/>
    <col min="12025" max="12025" width="9.77734375" style="8" customWidth="1"/>
    <col min="12026" max="12026" width="14.44140625" style="8" customWidth="1"/>
    <col min="12027" max="12027" width="7.21875" style="8" customWidth="1"/>
    <col min="12028" max="12028" width="5.5546875" style="8" customWidth="1"/>
    <col min="12029" max="12029" width="9" style="8" customWidth="1"/>
    <col min="12030" max="12031" width="9.77734375" style="8" customWidth="1"/>
    <col min="12032" max="12032" width="11.21875" style="8" customWidth="1"/>
    <col min="12033" max="12033" width="2.77734375" style="8" customWidth="1"/>
    <col min="12034" max="12034" width="3.5546875" style="8" customWidth="1"/>
    <col min="12035" max="12279" width="9.21875" style="8"/>
    <col min="12280" max="12280" width="8.77734375" style="8" customWidth="1"/>
    <col min="12281" max="12281" width="9.77734375" style="8" customWidth="1"/>
    <col min="12282" max="12282" width="14.44140625" style="8" customWidth="1"/>
    <col min="12283" max="12283" width="7.21875" style="8" customWidth="1"/>
    <col min="12284" max="12284" width="5.5546875" style="8" customWidth="1"/>
    <col min="12285" max="12285" width="9" style="8" customWidth="1"/>
    <col min="12286" max="12287" width="9.77734375" style="8" customWidth="1"/>
    <col min="12288" max="12288" width="11.21875" style="8" customWidth="1"/>
    <col min="12289" max="12289" width="2.77734375" style="8" customWidth="1"/>
    <col min="12290" max="12290" width="3.5546875" style="8" customWidth="1"/>
    <col min="12291" max="12535" width="9.21875" style="8"/>
    <col min="12536" max="12536" width="8.77734375" style="8" customWidth="1"/>
    <col min="12537" max="12537" width="9.77734375" style="8" customWidth="1"/>
    <col min="12538" max="12538" width="14.44140625" style="8" customWidth="1"/>
    <col min="12539" max="12539" width="7.21875" style="8" customWidth="1"/>
    <col min="12540" max="12540" width="5.5546875" style="8" customWidth="1"/>
    <col min="12541" max="12541" width="9" style="8" customWidth="1"/>
    <col min="12542" max="12543" width="9.77734375" style="8" customWidth="1"/>
    <col min="12544" max="12544" width="11.21875" style="8" customWidth="1"/>
    <col min="12545" max="12545" width="2.77734375" style="8" customWidth="1"/>
    <col min="12546" max="12546" width="3.5546875" style="8" customWidth="1"/>
    <col min="12547" max="12791" width="9.21875" style="8"/>
    <col min="12792" max="12792" width="8.77734375" style="8" customWidth="1"/>
    <col min="12793" max="12793" width="9.77734375" style="8" customWidth="1"/>
    <col min="12794" max="12794" width="14.44140625" style="8" customWidth="1"/>
    <col min="12795" max="12795" width="7.21875" style="8" customWidth="1"/>
    <col min="12796" max="12796" width="5.5546875" style="8" customWidth="1"/>
    <col min="12797" max="12797" width="9" style="8" customWidth="1"/>
    <col min="12798" max="12799" width="9.77734375" style="8" customWidth="1"/>
    <col min="12800" max="12800" width="11.21875" style="8" customWidth="1"/>
    <col min="12801" max="12801" width="2.77734375" style="8" customWidth="1"/>
    <col min="12802" max="12802" width="3.5546875" style="8" customWidth="1"/>
    <col min="12803" max="13047" width="9.21875" style="8"/>
    <col min="13048" max="13048" width="8.77734375" style="8" customWidth="1"/>
    <col min="13049" max="13049" width="9.77734375" style="8" customWidth="1"/>
    <col min="13050" max="13050" width="14.44140625" style="8" customWidth="1"/>
    <col min="13051" max="13051" width="7.21875" style="8" customWidth="1"/>
    <col min="13052" max="13052" width="5.5546875" style="8" customWidth="1"/>
    <col min="13053" max="13053" width="9" style="8" customWidth="1"/>
    <col min="13054" max="13055" width="9.77734375" style="8" customWidth="1"/>
    <col min="13056" max="13056" width="11.21875" style="8" customWidth="1"/>
    <col min="13057" max="13057" width="2.77734375" style="8" customWidth="1"/>
    <col min="13058" max="13058" width="3.5546875" style="8" customWidth="1"/>
    <col min="13059" max="13303" width="9.21875" style="8"/>
    <col min="13304" max="13304" width="8.77734375" style="8" customWidth="1"/>
    <col min="13305" max="13305" width="9.77734375" style="8" customWidth="1"/>
    <col min="13306" max="13306" width="14.44140625" style="8" customWidth="1"/>
    <col min="13307" max="13307" width="7.21875" style="8" customWidth="1"/>
    <col min="13308" max="13308" width="5.5546875" style="8" customWidth="1"/>
    <col min="13309" max="13309" width="9" style="8" customWidth="1"/>
    <col min="13310" max="13311" width="9.77734375" style="8" customWidth="1"/>
    <col min="13312" max="13312" width="11.21875" style="8" customWidth="1"/>
    <col min="13313" max="13313" width="2.77734375" style="8" customWidth="1"/>
    <col min="13314" max="13314" width="3.5546875" style="8" customWidth="1"/>
    <col min="13315" max="13559" width="9.21875" style="8"/>
    <col min="13560" max="13560" width="8.77734375" style="8" customWidth="1"/>
    <col min="13561" max="13561" width="9.77734375" style="8" customWidth="1"/>
    <col min="13562" max="13562" width="14.44140625" style="8" customWidth="1"/>
    <col min="13563" max="13563" width="7.21875" style="8" customWidth="1"/>
    <col min="13564" max="13564" width="5.5546875" style="8" customWidth="1"/>
    <col min="13565" max="13565" width="9" style="8" customWidth="1"/>
    <col min="13566" max="13567" width="9.77734375" style="8" customWidth="1"/>
    <col min="13568" max="13568" width="11.21875" style="8" customWidth="1"/>
    <col min="13569" max="13569" width="2.77734375" style="8" customWidth="1"/>
    <col min="13570" max="13570" width="3.5546875" style="8" customWidth="1"/>
    <col min="13571" max="13815" width="9.21875" style="8"/>
    <col min="13816" max="13816" width="8.77734375" style="8" customWidth="1"/>
    <col min="13817" max="13817" width="9.77734375" style="8" customWidth="1"/>
    <col min="13818" max="13818" width="14.44140625" style="8" customWidth="1"/>
    <col min="13819" max="13819" width="7.21875" style="8" customWidth="1"/>
    <col min="13820" max="13820" width="5.5546875" style="8" customWidth="1"/>
    <col min="13821" max="13821" width="9" style="8" customWidth="1"/>
    <col min="13822" max="13823" width="9.77734375" style="8" customWidth="1"/>
    <col min="13824" max="13824" width="11.21875" style="8" customWidth="1"/>
    <col min="13825" max="13825" width="2.77734375" style="8" customWidth="1"/>
    <col min="13826" max="13826" width="3.5546875" style="8" customWidth="1"/>
    <col min="13827" max="14071" width="9.21875" style="8"/>
    <col min="14072" max="14072" width="8.77734375" style="8" customWidth="1"/>
    <col min="14073" max="14073" width="9.77734375" style="8" customWidth="1"/>
    <col min="14074" max="14074" width="14.44140625" style="8" customWidth="1"/>
    <col min="14075" max="14075" width="7.21875" style="8" customWidth="1"/>
    <col min="14076" max="14076" width="5.5546875" style="8" customWidth="1"/>
    <col min="14077" max="14077" width="9" style="8" customWidth="1"/>
    <col min="14078" max="14079" width="9.77734375" style="8" customWidth="1"/>
    <col min="14080" max="14080" width="11.21875" style="8" customWidth="1"/>
    <col min="14081" max="14081" width="2.77734375" style="8" customWidth="1"/>
    <col min="14082" max="14082" width="3.5546875" style="8" customWidth="1"/>
    <col min="14083" max="14327" width="9.21875" style="8"/>
    <col min="14328" max="14328" width="8.77734375" style="8" customWidth="1"/>
    <col min="14329" max="14329" width="9.77734375" style="8" customWidth="1"/>
    <col min="14330" max="14330" width="14.44140625" style="8" customWidth="1"/>
    <col min="14331" max="14331" width="7.21875" style="8" customWidth="1"/>
    <col min="14332" max="14332" width="5.5546875" style="8" customWidth="1"/>
    <col min="14333" max="14333" width="9" style="8" customWidth="1"/>
    <col min="14334" max="14335" width="9.77734375" style="8" customWidth="1"/>
    <col min="14336" max="14336" width="11.21875" style="8" customWidth="1"/>
    <col min="14337" max="14337" width="2.77734375" style="8" customWidth="1"/>
    <col min="14338" max="14338" width="3.5546875" style="8" customWidth="1"/>
    <col min="14339" max="14583" width="9.21875" style="8"/>
    <col min="14584" max="14584" width="8.77734375" style="8" customWidth="1"/>
    <col min="14585" max="14585" width="9.77734375" style="8" customWidth="1"/>
    <col min="14586" max="14586" width="14.44140625" style="8" customWidth="1"/>
    <col min="14587" max="14587" width="7.21875" style="8" customWidth="1"/>
    <col min="14588" max="14588" width="5.5546875" style="8" customWidth="1"/>
    <col min="14589" max="14589" width="9" style="8" customWidth="1"/>
    <col min="14590" max="14591" width="9.77734375" style="8" customWidth="1"/>
    <col min="14592" max="14592" width="11.21875" style="8" customWidth="1"/>
    <col min="14593" max="14593" width="2.77734375" style="8" customWidth="1"/>
    <col min="14594" max="14594" width="3.5546875" style="8" customWidth="1"/>
    <col min="14595" max="14839" width="9.21875" style="8"/>
    <col min="14840" max="14840" width="8.77734375" style="8" customWidth="1"/>
    <col min="14841" max="14841" width="9.77734375" style="8" customWidth="1"/>
    <col min="14842" max="14842" width="14.44140625" style="8" customWidth="1"/>
    <col min="14843" max="14843" width="7.21875" style="8" customWidth="1"/>
    <col min="14844" max="14844" width="5.5546875" style="8" customWidth="1"/>
    <col min="14845" max="14845" width="9" style="8" customWidth="1"/>
    <col min="14846" max="14847" width="9.77734375" style="8" customWidth="1"/>
    <col min="14848" max="14848" width="11.21875" style="8" customWidth="1"/>
    <col min="14849" max="14849" width="2.77734375" style="8" customWidth="1"/>
    <col min="14850" max="14850" width="3.5546875" style="8" customWidth="1"/>
    <col min="14851" max="15095" width="9.21875" style="8"/>
    <col min="15096" max="15096" width="8.77734375" style="8" customWidth="1"/>
    <col min="15097" max="15097" width="9.77734375" style="8" customWidth="1"/>
    <col min="15098" max="15098" width="14.44140625" style="8" customWidth="1"/>
    <col min="15099" max="15099" width="7.21875" style="8" customWidth="1"/>
    <col min="15100" max="15100" width="5.5546875" style="8" customWidth="1"/>
    <col min="15101" max="15101" width="9" style="8" customWidth="1"/>
    <col min="15102" max="15103" width="9.77734375" style="8" customWidth="1"/>
    <col min="15104" max="15104" width="11.21875" style="8" customWidth="1"/>
    <col min="15105" max="15105" width="2.77734375" style="8" customWidth="1"/>
    <col min="15106" max="15106" width="3.5546875" style="8" customWidth="1"/>
    <col min="15107" max="15351" width="9.21875" style="8"/>
    <col min="15352" max="15352" width="8.77734375" style="8" customWidth="1"/>
    <col min="15353" max="15353" width="9.77734375" style="8" customWidth="1"/>
    <col min="15354" max="15354" width="14.44140625" style="8" customWidth="1"/>
    <col min="15355" max="15355" width="7.21875" style="8" customWidth="1"/>
    <col min="15356" max="15356" width="5.5546875" style="8" customWidth="1"/>
    <col min="15357" max="15357" width="9" style="8" customWidth="1"/>
    <col min="15358" max="15359" width="9.77734375" style="8" customWidth="1"/>
    <col min="15360" max="15360" width="11.21875" style="8" customWidth="1"/>
    <col min="15361" max="15361" width="2.77734375" style="8" customWidth="1"/>
    <col min="15362" max="15362" width="3.5546875" style="8" customWidth="1"/>
    <col min="15363" max="15607" width="9.21875" style="8"/>
    <col min="15608" max="15608" width="8.77734375" style="8" customWidth="1"/>
    <col min="15609" max="15609" width="9.77734375" style="8" customWidth="1"/>
    <col min="15610" max="15610" width="14.44140625" style="8" customWidth="1"/>
    <col min="15611" max="15611" width="7.21875" style="8" customWidth="1"/>
    <col min="15612" max="15612" width="5.5546875" style="8" customWidth="1"/>
    <col min="15613" max="15613" width="9" style="8" customWidth="1"/>
    <col min="15614" max="15615" width="9.77734375" style="8" customWidth="1"/>
    <col min="15616" max="15616" width="11.21875" style="8" customWidth="1"/>
    <col min="15617" max="15617" width="2.77734375" style="8" customWidth="1"/>
    <col min="15618" max="15618" width="3.5546875" style="8" customWidth="1"/>
    <col min="15619" max="15863" width="9.21875" style="8"/>
    <col min="15864" max="15864" width="8.77734375" style="8" customWidth="1"/>
    <col min="15865" max="15865" width="9.77734375" style="8" customWidth="1"/>
    <col min="15866" max="15866" width="14.44140625" style="8" customWidth="1"/>
    <col min="15867" max="15867" width="7.21875" style="8" customWidth="1"/>
    <col min="15868" max="15868" width="5.5546875" style="8" customWidth="1"/>
    <col min="15869" max="15869" width="9" style="8" customWidth="1"/>
    <col min="15870" max="15871" width="9.77734375" style="8" customWidth="1"/>
    <col min="15872" max="15872" width="11.21875" style="8" customWidth="1"/>
    <col min="15873" max="15873" width="2.77734375" style="8" customWidth="1"/>
    <col min="15874" max="15874" width="3.5546875" style="8" customWidth="1"/>
    <col min="15875" max="16119" width="9.21875" style="8"/>
    <col min="16120" max="16120" width="8.77734375" style="8" customWidth="1"/>
    <col min="16121" max="16121" width="9.77734375" style="8" customWidth="1"/>
    <col min="16122" max="16122" width="14.44140625" style="8" customWidth="1"/>
    <col min="16123" max="16123" width="7.21875" style="8" customWidth="1"/>
    <col min="16124" max="16124" width="5.5546875" style="8" customWidth="1"/>
    <col min="16125" max="16125" width="9" style="8" customWidth="1"/>
    <col min="16126" max="16127" width="9.77734375" style="8" customWidth="1"/>
    <col min="16128" max="16128" width="11.21875" style="8" customWidth="1"/>
    <col min="16129" max="16129" width="2.77734375" style="8" customWidth="1"/>
    <col min="16130" max="16130" width="3.5546875" style="8" customWidth="1"/>
    <col min="16131" max="16384" width="9.21875" style="8"/>
  </cols>
  <sheetData>
    <row r="1" spans="1:8" ht="46.5" customHeight="1" x14ac:dyDescent="0.3">
      <c r="A1" s="159" t="s">
        <v>211</v>
      </c>
      <c r="B1" s="159"/>
      <c r="C1" s="159"/>
      <c r="D1" s="159"/>
      <c r="E1" s="159"/>
      <c r="F1" s="159"/>
      <c r="G1" s="159"/>
      <c r="H1" s="159"/>
    </row>
    <row r="2" spans="1:8" ht="16.5" customHeight="1" x14ac:dyDescent="0.3">
      <c r="A2" s="84" t="s">
        <v>0</v>
      </c>
      <c r="B2" s="84"/>
      <c r="C2" s="84"/>
      <c r="D2" s="84"/>
      <c r="E2" s="84"/>
      <c r="F2" s="84"/>
      <c r="G2" s="84"/>
      <c r="H2" s="84"/>
    </row>
    <row r="3" spans="1:8" x14ac:dyDescent="0.3">
      <c r="A3" s="109" t="s">
        <v>1</v>
      </c>
      <c r="B3" s="109"/>
      <c r="C3" s="109"/>
      <c r="D3" s="109"/>
      <c r="E3" s="158" t="str">
        <f ca="1">TEXT(TODAY(),"DD/MM/YYYY")</f>
        <v>12/08/2025</v>
      </c>
      <c r="F3" s="158"/>
      <c r="G3" s="158"/>
      <c r="H3" s="158"/>
    </row>
    <row r="4" spans="1:8" ht="15" customHeight="1" x14ac:dyDescent="0.3">
      <c r="A4" s="109" t="s">
        <v>2</v>
      </c>
      <c r="B4" s="109"/>
      <c r="C4" s="109"/>
      <c r="D4" s="109"/>
      <c r="E4" s="160" t="s">
        <v>177</v>
      </c>
      <c r="F4" s="160"/>
      <c r="G4" s="160"/>
      <c r="H4" s="160"/>
    </row>
    <row r="5" spans="1:8" x14ac:dyDescent="0.3">
      <c r="A5" s="109" t="s">
        <v>3</v>
      </c>
      <c r="B5" s="109"/>
      <c r="C5" s="109"/>
      <c r="D5" s="109"/>
      <c r="E5" s="158">
        <v>45880</v>
      </c>
      <c r="F5" s="158"/>
      <c r="G5" s="158"/>
      <c r="H5" s="158"/>
    </row>
    <row r="6" spans="1:8" ht="16.5" customHeight="1" x14ac:dyDescent="0.3">
      <c r="A6" s="109" t="s">
        <v>4</v>
      </c>
      <c r="B6" s="109"/>
      <c r="C6" s="109"/>
      <c r="D6" s="109"/>
      <c r="E6" s="147" t="s">
        <v>178</v>
      </c>
      <c r="F6" s="147"/>
      <c r="G6" s="147"/>
      <c r="H6" s="147"/>
    </row>
    <row r="7" spans="1:8" ht="15" customHeight="1" x14ac:dyDescent="0.3">
      <c r="A7" s="109" t="s">
        <v>5</v>
      </c>
      <c r="B7" s="109"/>
      <c r="C7" s="109"/>
      <c r="D7" s="109"/>
      <c r="E7" s="147" t="str">
        <f>E6</f>
        <v>M/s.Maitri Associates</v>
      </c>
      <c r="F7" s="147"/>
      <c r="G7" s="147"/>
      <c r="H7" s="147"/>
    </row>
    <row r="8" spans="1:8" x14ac:dyDescent="0.3">
      <c r="A8" s="109" t="s">
        <v>6</v>
      </c>
      <c r="B8" s="109"/>
      <c r="C8" s="109"/>
      <c r="D8" s="109"/>
      <c r="E8" s="126" t="s">
        <v>179</v>
      </c>
      <c r="F8" s="126"/>
      <c r="G8" s="126"/>
      <c r="H8" s="126"/>
    </row>
    <row r="9" spans="1:8" x14ac:dyDescent="0.3">
      <c r="A9" s="109" t="s">
        <v>149</v>
      </c>
      <c r="B9" s="109"/>
      <c r="C9" s="109"/>
      <c r="D9" s="109"/>
      <c r="E9" s="109">
        <v>9930269026</v>
      </c>
      <c r="F9" s="109"/>
      <c r="G9" s="109"/>
      <c r="H9" s="109"/>
    </row>
    <row r="10" spans="1:8" x14ac:dyDescent="0.3">
      <c r="A10" s="109" t="s">
        <v>214</v>
      </c>
      <c r="B10" s="109"/>
      <c r="C10" s="109"/>
      <c r="D10" s="109"/>
      <c r="E10" s="109">
        <v>8097550236</v>
      </c>
      <c r="F10" s="109"/>
      <c r="G10" s="109"/>
      <c r="H10" s="109"/>
    </row>
    <row r="11" spans="1:8" x14ac:dyDescent="0.3">
      <c r="A11" s="157" t="s">
        <v>7</v>
      </c>
      <c r="B11" s="157"/>
      <c r="C11" s="157"/>
      <c r="D11" s="157"/>
      <c r="E11" s="157" t="s">
        <v>233</v>
      </c>
      <c r="F11" s="157"/>
      <c r="G11" s="157"/>
      <c r="H11" s="157"/>
    </row>
    <row r="12" spans="1:8" x14ac:dyDescent="0.3">
      <c r="A12" s="109" t="s">
        <v>8</v>
      </c>
      <c r="B12" s="109"/>
      <c r="C12" s="109"/>
      <c r="D12" s="109"/>
      <c r="E12" s="55" t="s">
        <v>198</v>
      </c>
      <c r="F12" s="55"/>
      <c r="G12" s="55"/>
      <c r="H12" s="55"/>
    </row>
    <row r="13" spans="1:8" x14ac:dyDescent="0.3">
      <c r="A13" s="109" t="s">
        <v>9</v>
      </c>
      <c r="B13" s="109"/>
      <c r="C13" s="109"/>
      <c r="D13" s="109"/>
      <c r="E13" s="55" t="s">
        <v>180</v>
      </c>
      <c r="F13" s="157"/>
      <c r="G13" s="157"/>
      <c r="H13" s="157"/>
    </row>
    <row r="14" spans="1:8" ht="33.75" customHeight="1" x14ac:dyDescent="0.3">
      <c r="A14" s="147" t="s">
        <v>10</v>
      </c>
      <c r="B14" s="147"/>
      <c r="C14" s="147" t="str">
        <f>CONCATENATE((IF(OR(E8="",E8="NA"),"",E8)),", ",(IF(OR(A15="",A15="NA"),"",A15)),".",(IF(OR(C15="",C15="NA"),"",C15)),", near ",(IF(OR(C19="",C19="NA"),"",C19)),", ",(IF(OR(C16="",C16="NA"),"",C16)),", ",(IF(OR(G16="",G16="NA"),"",G16)),", ",(IF(OR(C17="",C17="NA"),"",C17)),", ",(IF(OR(C18="",C18="NA"),"",C18)),", ",(IF(OR(G17="",G17="NA"),"",G17)),".")</f>
        <v>Dosti Mezzo 22, CTS No.403/6 of sion division, Plot No.103, near Samruddhi SBI Officers Quarters, Sies Collage Road, Sion, Sion (East), Mumbai, Mumbai.</v>
      </c>
      <c r="D14" s="147"/>
      <c r="E14" s="147"/>
      <c r="F14" s="147"/>
      <c r="G14" s="147"/>
      <c r="H14" s="147"/>
    </row>
    <row r="15" spans="1:8" x14ac:dyDescent="0.3">
      <c r="A15" s="55" t="s">
        <v>186</v>
      </c>
      <c r="B15" s="55"/>
      <c r="C15" s="55" t="s">
        <v>199</v>
      </c>
      <c r="D15" s="55"/>
      <c r="E15" s="55"/>
      <c r="F15" s="55"/>
      <c r="G15" s="55"/>
      <c r="H15" s="55"/>
    </row>
    <row r="16" spans="1:8" ht="15.75" customHeight="1" x14ac:dyDescent="0.3">
      <c r="A16" s="147" t="s">
        <v>11</v>
      </c>
      <c r="B16" s="147"/>
      <c r="C16" s="157" t="s">
        <v>190</v>
      </c>
      <c r="D16" s="157"/>
      <c r="E16" s="147" t="s">
        <v>103</v>
      </c>
      <c r="F16" s="147"/>
      <c r="G16" s="55" t="s">
        <v>188</v>
      </c>
      <c r="H16" s="55"/>
    </row>
    <row r="17" spans="1:8" x14ac:dyDescent="0.3">
      <c r="A17" s="109" t="s">
        <v>13</v>
      </c>
      <c r="B17" s="109"/>
      <c r="C17" s="55" t="s">
        <v>187</v>
      </c>
      <c r="D17" s="55"/>
      <c r="E17" s="147" t="s">
        <v>12</v>
      </c>
      <c r="F17" s="147"/>
      <c r="G17" s="161" t="s">
        <v>189</v>
      </c>
      <c r="H17" s="161"/>
    </row>
    <row r="18" spans="1:8" x14ac:dyDescent="0.3">
      <c r="A18" s="109" t="s">
        <v>104</v>
      </c>
      <c r="B18" s="109"/>
      <c r="C18" s="55" t="s">
        <v>189</v>
      </c>
      <c r="D18" s="55"/>
      <c r="E18" s="147" t="s">
        <v>14</v>
      </c>
      <c r="F18" s="147"/>
      <c r="G18" s="55">
        <v>400022</v>
      </c>
      <c r="H18" s="55"/>
    </row>
    <row r="19" spans="1:8" ht="33.75" customHeight="1" x14ac:dyDescent="0.3">
      <c r="A19" s="109" t="s">
        <v>151</v>
      </c>
      <c r="B19" s="109"/>
      <c r="C19" s="166" t="s">
        <v>191</v>
      </c>
      <c r="D19" s="166"/>
      <c r="E19" s="147" t="s">
        <v>15</v>
      </c>
      <c r="F19" s="147"/>
      <c r="G19" s="55" t="s">
        <v>254</v>
      </c>
      <c r="H19" s="55"/>
    </row>
    <row r="20" spans="1:8" ht="15" customHeight="1" x14ac:dyDescent="0.3">
      <c r="A20" s="147" t="s">
        <v>108</v>
      </c>
      <c r="B20" s="147"/>
      <c r="C20" s="147"/>
      <c r="D20" s="147"/>
      <c r="E20" s="157" t="s">
        <v>16</v>
      </c>
      <c r="F20" s="157"/>
      <c r="G20" s="157"/>
      <c r="H20" s="157"/>
    </row>
    <row r="21" spans="1:8" ht="18.75" customHeight="1" x14ac:dyDescent="0.3">
      <c r="A21" s="147"/>
      <c r="B21" s="147"/>
      <c r="C21" s="147"/>
      <c r="D21" s="147"/>
      <c r="E21" s="157"/>
      <c r="F21" s="157"/>
      <c r="G21" s="157"/>
      <c r="H21" s="157"/>
    </row>
    <row r="22" spans="1:8" ht="15" customHeight="1" x14ac:dyDescent="0.3">
      <c r="A22" s="147" t="s">
        <v>17</v>
      </c>
      <c r="B22" s="147"/>
      <c r="C22" s="147"/>
      <c r="D22" s="147"/>
      <c r="E22" s="55" t="s">
        <v>18</v>
      </c>
      <c r="F22" s="55"/>
      <c r="G22" s="55"/>
      <c r="H22" s="55"/>
    </row>
    <row r="23" spans="1:8" ht="15" customHeight="1" x14ac:dyDescent="0.3">
      <c r="A23" s="109" t="s">
        <v>19</v>
      </c>
      <c r="B23" s="109"/>
      <c r="C23" s="109"/>
      <c r="D23" s="109"/>
      <c r="E23" s="55" t="str">
        <f>IF(AND(G17="Mumbai"),"Upper Class","Middle Class")</f>
        <v>Upper Class</v>
      </c>
      <c r="F23" s="55"/>
      <c r="G23" s="55"/>
      <c r="H23" s="55"/>
    </row>
    <row r="24" spans="1:8" x14ac:dyDescent="0.3">
      <c r="A24" s="109" t="s">
        <v>20</v>
      </c>
      <c r="B24" s="109"/>
      <c r="C24" s="109"/>
      <c r="D24" s="109"/>
      <c r="E24" s="55" t="s">
        <v>21</v>
      </c>
      <c r="F24" s="55"/>
      <c r="G24" s="55"/>
      <c r="H24" s="55"/>
    </row>
    <row r="25" spans="1:8" ht="15.75" customHeight="1" x14ac:dyDescent="0.3">
      <c r="A25" s="109" t="s">
        <v>22</v>
      </c>
      <c r="B25" s="109"/>
      <c r="C25" s="109"/>
      <c r="D25" s="109"/>
      <c r="E25" s="55" t="str">
        <f>IF(AND(G17="Mumbai"),"Developed","Developing")</f>
        <v>Developed</v>
      </c>
      <c r="F25" s="55"/>
      <c r="G25" s="55"/>
      <c r="H25" s="55"/>
    </row>
    <row r="26" spans="1:8" x14ac:dyDescent="0.3">
      <c r="A26" s="109" t="s">
        <v>23</v>
      </c>
      <c r="B26" s="109"/>
      <c r="C26" s="109"/>
      <c r="D26" s="109"/>
      <c r="E26" s="55" t="s">
        <v>24</v>
      </c>
      <c r="F26" s="55"/>
      <c r="G26" s="55"/>
      <c r="H26" s="55"/>
    </row>
    <row r="27" spans="1:8" x14ac:dyDescent="0.3">
      <c r="A27" s="109" t="s">
        <v>115</v>
      </c>
      <c r="B27" s="109"/>
      <c r="C27" s="109"/>
      <c r="D27" s="109"/>
      <c r="E27" s="55" t="s">
        <v>116</v>
      </c>
      <c r="F27" s="55"/>
      <c r="G27" s="55"/>
      <c r="H27" s="55"/>
    </row>
    <row r="28" spans="1:8" ht="15" customHeight="1" x14ac:dyDescent="0.3">
      <c r="A28" s="147" t="s">
        <v>34</v>
      </c>
      <c r="B28" s="147"/>
      <c r="C28" s="147"/>
      <c r="D28" s="147"/>
      <c r="E28" s="160" t="s">
        <v>192</v>
      </c>
      <c r="F28" s="160"/>
      <c r="G28" s="160"/>
      <c r="H28" s="160"/>
    </row>
    <row r="29" spans="1:8" x14ac:dyDescent="0.3">
      <c r="A29" s="147" t="s">
        <v>127</v>
      </c>
      <c r="B29" s="147"/>
      <c r="C29" s="147"/>
      <c r="D29" s="147"/>
      <c r="E29" s="147" t="s">
        <v>35</v>
      </c>
      <c r="F29" s="147"/>
      <c r="G29" s="147"/>
      <c r="H29" s="147"/>
    </row>
    <row r="30" spans="1:8" s="11" customFormat="1" x14ac:dyDescent="0.3">
      <c r="A30" s="165" t="s">
        <v>128</v>
      </c>
      <c r="B30" s="165"/>
      <c r="C30" s="163" t="s">
        <v>252</v>
      </c>
      <c r="D30" s="163"/>
      <c r="E30" s="163"/>
      <c r="F30" s="163" t="s">
        <v>30</v>
      </c>
      <c r="G30" s="163"/>
      <c r="H30" s="163"/>
    </row>
    <row r="31" spans="1:8" s="11" customFormat="1" x14ac:dyDescent="0.3">
      <c r="A31" s="164" t="s">
        <v>25</v>
      </c>
      <c r="B31" s="164" t="s">
        <v>29</v>
      </c>
      <c r="C31" s="162" t="s">
        <v>193</v>
      </c>
      <c r="D31" s="162"/>
      <c r="E31" s="162"/>
      <c r="F31" s="162" t="s">
        <v>193</v>
      </c>
      <c r="G31" s="162"/>
      <c r="H31" s="162"/>
    </row>
    <row r="32" spans="1:8" x14ac:dyDescent="0.3">
      <c r="A32" s="164" t="s">
        <v>26</v>
      </c>
      <c r="B32" s="164" t="s">
        <v>29</v>
      </c>
      <c r="C32" s="162" t="s">
        <v>194</v>
      </c>
      <c r="D32" s="162"/>
      <c r="E32" s="162"/>
      <c r="F32" s="162" t="s">
        <v>194</v>
      </c>
      <c r="G32" s="162"/>
      <c r="H32" s="162"/>
    </row>
    <row r="33" spans="1:8" s="11" customFormat="1" x14ac:dyDescent="0.3">
      <c r="A33" s="164" t="s">
        <v>28</v>
      </c>
      <c r="B33" s="164" t="s">
        <v>29</v>
      </c>
      <c r="C33" s="162" t="s">
        <v>253</v>
      </c>
      <c r="D33" s="162"/>
      <c r="E33" s="162"/>
      <c r="F33" s="162" t="s">
        <v>191</v>
      </c>
      <c r="G33" s="162"/>
      <c r="H33" s="162"/>
    </row>
    <row r="34" spans="1:8" x14ac:dyDescent="0.3">
      <c r="A34" s="164" t="s">
        <v>27</v>
      </c>
      <c r="B34" s="164" t="s">
        <v>29</v>
      </c>
      <c r="C34" s="162" t="s">
        <v>253</v>
      </c>
      <c r="D34" s="162"/>
      <c r="E34" s="162"/>
      <c r="F34" s="162" t="s">
        <v>195</v>
      </c>
      <c r="G34" s="162"/>
      <c r="H34" s="162"/>
    </row>
    <row r="35" spans="1:8" x14ac:dyDescent="0.3">
      <c r="A35" s="109" t="s">
        <v>31</v>
      </c>
      <c r="B35" s="109"/>
      <c r="C35" s="109"/>
      <c r="D35" s="109"/>
      <c r="E35" s="109"/>
      <c r="F35" s="109"/>
      <c r="G35" s="109"/>
      <c r="H35" s="109"/>
    </row>
    <row r="36" spans="1:8" ht="15.75" customHeight="1" x14ac:dyDescent="0.3">
      <c r="A36" s="84" t="s">
        <v>32</v>
      </c>
      <c r="B36" s="84"/>
      <c r="C36" s="169">
        <v>19.043202000000001</v>
      </c>
      <c r="D36" s="169"/>
      <c r="E36" s="84" t="s">
        <v>33</v>
      </c>
      <c r="F36" s="84"/>
      <c r="G36" s="170">
        <v>72.867652000000007</v>
      </c>
      <c r="H36" s="170"/>
    </row>
    <row r="37" spans="1:8" ht="15.75" customHeight="1" x14ac:dyDescent="0.3">
      <c r="A37" s="84" t="s">
        <v>212</v>
      </c>
      <c r="B37" s="84"/>
      <c r="C37" s="171" t="s">
        <v>213</v>
      </c>
      <c r="D37" s="172"/>
      <c r="E37" s="172"/>
      <c r="F37" s="172"/>
      <c r="G37" s="172"/>
      <c r="H37" s="172"/>
    </row>
    <row r="38" spans="1:8" x14ac:dyDescent="0.3">
      <c r="A38" s="126" t="s">
        <v>36</v>
      </c>
      <c r="B38" s="126"/>
      <c r="C38" s="126"/>
      <c r="D38" s="126"/>
      <c r="E38" s="126"/>
      <c r="F38" s="126"/>
      <c r="G38" s="126"/>
      <c r="H38" s="126"/>
    </row>
    <row r="39" spans="1:8" x14ac:dyDescent="0.3">
      <c r="A39" s="109" t="s">
        <v>37</v>
      </c>
      <c r="B39" s="109"/>
      <c r="C39" s="109"/>
      <c r="D39" s="109"/>
      <c r="E39" s="181">
        <v>5544.35</v>
      </c>
      <c r="F39" s="181"/>
      <c r="G39" s="181"/>
      <c r="H39" s="181"/>
    </row>
    <row r="40" spans="1:8" x14ac:dyDescent="0.3">
      <c r="A40" s="109" t="s">
        <v>38</v>
      </c>
      <c r="B40" s="109"/>
      <c r="C40" s="109"/>
      <c r="D40" s="109"/>
      <c r="E40" s="108">
        <v>1.33</v>
      </c>
      <c r="F40" s="108"/>
      <c r="G40" s="108"/>
      <c r="H40" s="108"/>
    </row>
    <row r="41" spans="1:8" x14ac:dyDescent="0.3">
      <c r="A41" s="109" t="s">
        <v>39</v>
      </c>
      <c r="B41" s="109"/>
      <c r="C41" s="109"/>
      <c r="D41" s="109"/>
      <c r="E41" s="108">
        <f>E43/E39-E40</f>
        <v>3.507847538485124</v>
      </c>
      <c r="F41" s="108"/>
      <c r="G41" s="108"/>
      <c r="H41" s="108"/>
    </row>
    <row r="42" spans="1:8" x14ac:dyDescent="0.3">
      <c r="A42" s="109" t="s">
        <v>40</v>
      </c>
      <c r="B42" s="109"/>
      <c r="C42" s="109"/>
      <c r="D42" s="109"/>
      <c r="E42" s="108">
        <f>E40+E41</f>
        <v>4.8378475384851241</v>
      </c>
      <c r="F42" s="108"/>
      <c r="G42" s="108"/>
      <c r="H42" s="108"/>
    </row>
    <row r="43" spans="1:8" x14ac:dyDescent="0.3">
      <c r="A43" s="109" t="s">
        <v>126</v>
      </c>
      <c r="B43" s="109"/>
      <c r="C43" s="109"/>
      <c r="D43" s="109"/>
      <c r="E43" s="182">
        <v>26822.720000000001</v>
      </c>
      <c r="F43" s="182"/>
      <c r="G43" s="182"/>
      <c r="H43" s="182"/>
    </row>
    <row r="44" spans="1:8" x14ac:dyDescent="0.3">
      <c r="A44" s="157" t="s">
        <v>41</v>
      </c>
      <c r="B44" s="157"/>
      <c r="C44" s="157"/>
      <c r="D44" s="157"/>
      <c r="E44" s="157" t="s">
        <v>200</v>
      </c>
      <c r="F44" s="157"/>
      <c r="G44" s="157"/>
      <c r="H44" s="157"/>
    </row>
    <row r="45" spans="1:8" x14ac:dyDescent="0.3">
      <c r="A45" s="126" t="s">
        <v>42</v>
      </c>
      <c r="B45" s="126"/>
      <c r="C45" s="126"/>
      <c r="D45" s="126"/>
      <c r="E45" s="126"/>
      <c r="F45" s="126"/>
      <c r="G45" s="126"/>
      <c r="H45" s="126"/>
    </row>
    <row r="46" spans="1:8" x14ac:dyDescent="0.3">
      <c r="A46" s="55" t="s">
        <v>43</v>
      </c>
      <c r="B46" s="55"/>
      <c r="C46" s="56" t="s">
        <v>221</v>
      </c>
      <c r="D46" s="56"/>
      <c r="E46" s="56"/>
      <c r="F46" s="48" t="s">
        <v>44</v>
      </c>
      <c r="G46" s="58">
        <v>45258</v>
      </c>
      <c r="H46" s="58"/>
    </row>
    <row r="47" spans="1:8" x14ac:dyDescent="0.3">
      <c r="A47" s="157" t="s">
        <v>45</v>
      </c>
      <c r="B47" s="157"/>
      <c r="C47" s="56" t="str">
        <f>C46</f>
        <v>EB/2645/FN/A/337/6/Amend</v>
      </c>
      <c r="D47" s="56"/>
      <c r="E47" s="56"/>
      <c r="F47" s="48" t="s">
        <v>44</v>
      </c>
      <c r="G47" s="58">
        <f>G46</f>
        <v>45258</v>
      </c>
      <c r="H47" s="58"/>
    </row>
    <row r="48" spans="1:8" s="10" customFormat="1" x14ac:dyDescent="0.3">
      <c r="A48" s="55" t="s">
        <v>46</v>
      </c>
      <c r="B48" s="55"/>
      <c r="C48" s="56" t="s">
        <v>215</v>
      </c>
      <c r="D48" s="57"/>
      <c r="E48" s="57"/>
      <c r="F48" s="13" t="s">
        <v>44</v>
      </c>
      <c r="G48" s="58">
        <v>45379</v>
      </c>
      <c r="H48" s="58"/>
    </row>
    <row r="49" spans="1:24" s="10" customFormat="1" ht="144" customHeight="1" x14ac:dyDescent="0.3">
      <c r="A49" s="55"/>
      <c r="B49" s="55"/>
      <c r="C49" s="56" t="s">
        <v>218</v>
      </c>
      <c r="D49" s="57"/>
      <c r="E49" s="57"/>
      <c r="F49" s="27" t="s">
        <v>150</v>
      </c>
      <c r="G49" s="58">
        <v>45403</v>
      </c>
      <c r="H49" s="58"/>
    </row>
    <row r="50" spans="1:24" s="10" customFormat="1" x14ac:dyDescent="0.3">
      <c r="A50" s="55" t="s">
        <v>46</v>
      </c>
      <c r="B50" s="55"/>
      <c r="C50" s="56" t="s">
        <v>259</v>
      </c>
      <c r="D50" s="57"/>
      <c r="E50" s="57"/>
      <c r="F50" s="13" t="s">
        <v>44</v>
      </c>
      <c r="G50" s="58">
        <v>45595</v>
      </c>
      <c r="H50" s="58"/>
    </row>
    <row r="51" spans="1:24" s="10" customFormat="1" ht="172.95" customHeight="1" x14ac:dyDescent="0.3">
      <c r="A51" s="55"/>
      <c r="B51" s="55"/>
      <c r="C51" s="56" t="s">
        <v>260</v>
      </c>
      <c r="D51" s="57"/>
      <c r="E51" s="57"/>
      <c r="F51" s="27" t="s">
        <v>150</v>
      </c>
      <c r="G51" s="58">
        <v>45959</v>
      </c>
      <c r="H51" s="58"/>
    </row>
    <row r="52" spans="1:24" s="10" customFormat="1" x14ac:dyDescent="0.3">
      <c r="A52" s="73" t="s">
        <v>256</v>
      </c>
      <c r="B52" s="74"/>
      <c r="C52" s="179" t="s">
        <v>255</v>
      </c>
      <c r="D52" s="180"/>
      <c r="E52" s="168"/>
      <c r="F52" s="54" t="s">
        <v>44</v>
      </c>
      <c r="G52" s="167">
        <v>43093</v>
      </c>
      <c r="H52" s="168"/>
      <c r="R52"/>
      <c r="S52" s="7" t="s">
        <v>234</v>
      </c>
      <c r="T52" s="7" t="s">
        <v>235</v>
      </c>
      <c r="U52" s="7" t="s">
        <v>236</v>
      </c>
      <c r="V52" s="7" t="s">
        <v>237</v>
      </c>
    </row>
    <row r="53" spans="1:24" s="10" customFormat="1" x14ac:dyDescent="0.3">
      <c r="A53" s="75"/>
      <c r="B53" s="76"/>
      <c r="C53" s="62" t="s">
        <v>257</v>
      </c>
      <c r="D53" s="63"/>
      <c r="E53" s="63"/>
      <c r="F53" s="63"/>
      <c r="G53" s="63"/>
      <c r="H53" s="64"/>
      <c r="R53"/>
      <c r="S53" s="7" t="s">
        <v>236</v>
      </c>
      <c r="T53" s="7" t="s">
        <v>238</v>
      </c>
      <c r="U53" s="7" t="s">
        <v>239</v>
      </c>
      <c r="V53" s="52"/>
      <c r="W53" s="8"/>
      <c r="X53" s="8"/>
    </row>
    <row r="54" spans="1:24" s="10" customFormat="1" ht="33" customHeight="1" x14ac:dyDescent="0.3">
      <c r="A54" s="65" t="s">
        <v>240</v>
      </c>
      <c r="B54" s="66"/>
      <c r="C54" s="69" t="s">
        <v>248</v>
      </c>
      <c r="D54" s="70"/>
      <c r="E54" s="71"/>
      <c r="F54" s="53" t="s">
        <v>44</v>
      </c>
      <c r="G54" s="72">
        <v>44817</v>
      </c>
      <c r="H54" s="71"/>
      <c r="R54"/>
      <c r="S54" s="52"/>
      <c r="T54" s="7" t="s">
        <v>241</v>
      </c>
      <c r="U54" s="7" t="s">
        <v>242</v>
      </c>
      <c r="V54" s="52"/>
      <c r="W54" s="8"/>
      <c r="X54" s="8"/>
    </row>
    <row r="55" spans="1:24" s="10" customFormat="1" ht="49.5" customHeight="1" x14ac:dyDescent="0.3">
      <c r="A55" s="67"/>
      <c r="B55" s="68"/>
      <c r="C55" s="69" t="s">
        <v>249</v>
      </c>
      <c r="D55" s="70"/>
      <c r="E55" s="70"/>
      <c r="F55" s="70"/>
      <c r="G55" s="70"/>
      <c r="H55" s="71"/>
      <c r="I55" s="10">
        <f>101.5/(29+8)</f>
        <v>2.7432432432432434</v>
      </c>
      <c r="J55" s="10">
        <f>29+8</f>
        <v>37</v>
      </c>
      <c r="K55" s="10">
        <f>37*3</f>
        <v>111</v>
      </c>
      <c r="R55"/>
      <c r="S55" s="52"/>
      <c r="T55" s="7" t="s">
        <v>243</v>
      </c>
      <c r="U55" s="7" t="s">
        <v>244</v>
      </c>
      <c r="V55" s="52"/>
      <c r="W55" s="8"/>
      <c r="X55" s="8"/>
    </row>
    <row r="56" spans="1:24" s="10" customFormat="1" ht="15.75" customHeight="1" x14ac:dyDescent="0.3">
      <c r="A56" s="73" t="s">
        <v>258</v>
      </c>
      <c r="B56" s="74"/>
      <c r="C56" s="77" t="s">
        <v>262</v>
      </c>
      <c r="D56" s="78"/>
      <c r="E56" s="79"/>
      <c r="F56" s="51" t="s">
        <v>44</v>
      </c>
      <c r="G56" s="80">
        <v>45323</v>
      </c>
      <c r="H56" s="79"/>
      <c r="R56"/>
      <c r="S56" s="52"/>
      <c r="T56" s="7" t="s">
        <v>245</v>
      </c>
      <c r="U56" s="52" t="s">
        <v>246</v>
      </c>
      <c r="V56" s="52"/>
      <c r="W56" s="8"/>
      <c r="X56" s="8"/>
    </row>
    <row r="57" spans="1:24" s="10" customFormat="1" x14ac:dyDescent="0.3">
      <c r="A57" s="75"/>
      <c r="B57" s="76"/>
      <c r="C57" s="77" t="s">
        <v>263</v>
      </c>
      <c r="D57" s="78"/>
      <c r="E57" s="78"/>
      <c r="F57" s="78"/>
      <c r="G57" s="78"/>
      <c r="H57" s="79"/>
      <c r="R57"/>
      <c r="S57" s="52"/>
      <c r="T57" s="7" t="s">
        <v>247</v>
      </c>
      <c r="U57" s="52"/>
      <c r="V57" s="52"/>
      <c r="W57" s="8"/>
      <c r="X57" s="8"/>
    </row>
    <row r="58" spans="1:24" x14ac:dyDescent="0.3">
      <c r="A58" s="152" t="s">
        <v>47</v>
      </c>
      <c r="B58" s="152"/>
      <c r="C58" s="173" t="s">
        <v>143</v>
      </c>
      <c r="D58" s="174"/>
      <c r="E58" s="174" t="s">
        <v>48</v>
      </c>
      <c r="F58" s="49" t="s">
        <v>44</v>
      </c>
      <c r="G58" s="176" t="s">
        <v>29</v>
      </c>
      <c r="H58" s="176"/>
    </row>
    <row r="59" spans="1:24" x14ac:dyDescent="0.3">
      <c r="A59" s="175" t="s">
        <v>50</v>
      </c>
      <c r="B59" s="175"/>
      <c r="C59" s="175"/>
      <c r="D59" s="175"/>
      <c r="E59" s="175"/>
      <c r="F59" s="175"/>
      <c r="G59" s="175"/>
      <c r="H59" s="175"/>
    </row>
    <row r="60" spans="1:24" x14ac:dyDescent="0.3">
      <c r="A60" s="55" t="s">
        <v>125</v>
      </c>
      <c r="B60" s="55"/>
      <c r="C60" s="55"/>
      <c r="D60" s="157">
        <f>E43</f>
        <v>26822.720000000001</v>
      </c>
      <c r="E60" s="157"/>
      <c r="F60" s="157"/>
      <c r="G60" s="157"/>
      <c r="H60" s="157"/>
    </row>
    <row r="61" spans="1:24" x14ac:dyDescent="0.3">
      <c r="A61" s="55" t="s">
        <v>51</v>
      </c>
      <c r="B61" s="157"/>
      <c r="C61" s="157"/>
      <c r="D61" s="157" t="s">
        <v>230</v>
      </c>
      <c r="E61" s="157"/>
      <c r="F61" s="157"/>
      <c r="G61" s="157"/>
      <c r="H61" s="157"/>
      <c r="I61" s="30"/>
    </row>
    <row r="62" spans="1:24" x14ac:dyDescent="0.3">
      <c r="A62" s="55" t="s">
        <v>52</v>
      </c>
      <c r="B62" s="55"/>
      <c r="C62" s="55"/>
      <c r="D62" s="177" t="s">
        <v>222</v>
      </c>
      <c r="E62" s="178"/>
      <c r="F62" s="178"/>
      <c r="G62" s="178"/>
      <c r="H62" s="178"/>
    </row>
    <row r="63" spans="1:24" ht="15.75" customHeight="1" x14ac:dyDescent="0.3">
      <c r="A63" s="55" t="s">
        <v>123</v>
      </c>
      <c r="B63" s="55"/>
      <c r="C63" s="55"/>
      <c r="D63" s="55" t="s">
        <v>220</v>
      </c>
      <c r="E63" s="157"/>
      <c r="F63" s="157"/>
      <c r="G63" s="157"/>
      <c r="H63" s="157"/>
    </row>
    <row r="64" spans="1:24" ht="15.75" customHeight="1" x14ac:dyDescent="0.3">
      <c r="A64" s="55"/>
      <c r="B64" s="55"/>
      <c r="C64" s="55"/>
      <c r="D64" s="157" t="s">
        <v>216</v>
      </c>
      <c r="E64" s="157"/>
      <c r="F64" s="157"/>
      <c r="G64" s="157"/>
      <c r="H64" s="157"/>
    </row>
    <row r="65" spans="1:14" ht="15.75" customHeight="1" x14ac:dyDescent="0.3">
      <c r="A65" s="157" t="s">
        <v>49</v>
      </c>
      <c r="B65" s="157"/>
      <c r="C65" s="157"/>
      <c r="D65" s="55" t="s">
        <v>196</v>
      </c>
      <c r="E65" s="55"/>
      <c r="F65" s="55"/>
      <c r="G65" s="55"/>
      <c r="H65" s="55"/>
      <c r="J65" s="29"/>
      <c r="K65" s="30"/>
      <c r="N65" s="30"/>
    </row>
    <row r="66" spans="1:14" ht="15.75" customHeight="1" x14ac:dyDescent="0.3">
      <c r="A66" s="109" t="s">
        <v>121</v>
      </c>
      <c r="B66" s="109"/>
      <c r="C66" s="109"/>
      <c r="D66" s="94" t="str">
        <f>(IF(G58="NA","60 Years After Completion",IF(G58&lt;&gt;"NA",""&amp;60-ROUNDDOWN((E3-G58)/360,0)&amp;" Years"," ")))</f>
        <v>60 Years After Completion</v>
      </c>
      <c r="E66" s="94"/>
      <c r="F66" s="94"/>
      <c r="G66" s="94"/>
      <c r="H66" s="94"/>
      <c r="N66" s="30"/>
    </row>
    <row r="67" spans="1:14" ht="15.75" customHeight="1" x14ac:dyDescent="0.3">
      <c r="A67" s="109" t="s">
        <v>122</v>
      </c>
      <c r="B67" s="109"/>
      <c r="C67" s="109"/>
      <c r="D67" s="147" t="s">
        <v>24</v>
      </c>
      <c r="E67" s="147"/>
      <c r="F67" s="147"/>
      <c r="G67" s="147"/>
      <c r="H67" s="147"/>
      <c r="J67" s="18"/>
      <c r="K67" s="18"/>
    </row>
    <row r="68" spans="1:14" ht="15.75" customHeight="1" thickBot="1" x14ac:dyDescent="0.35">
      <c r="A68" s="95" t="s">
        <v>120</v>
      </c>
      <c r="B68" s="95"/>
      <c r="C68" s="95"/>
      <c r="D68" s="125" t="str">
        <f ca="1">(IF(G73&gt;95%,"Nothing",IF(G73&gt;0%,"Cement, Aggregate, Steel, etc",IF(G73=0%,"Work not yet Started"))))</f>
        <v>Cement, Aggregate, Steel, etc</v>
      </c>
      <c r="E68" s="125"/>
      <c r="F68" s="125"/>
      <c r="G68" s="125"/>
      <c r="H68" s="125"/>
      <c r="J68" s="18"/>
    </row>
    <row r="69" spans="1:14" ht="33.75" customHeight="1" x14ac:dyDescent="0.3">
      <c r="A69" s="120" t="s">
        <v>169</v>
      </c>
      <c r="B69" s="121"/>
      <c r="C69" s="122" t="str">
        <f>D63</f>
        <v>A Wing = 3B + G + 3P + Stilt Podium + 1st to 29th Floor
B Wing = 3B + G + 3P + Stilt Podium + 1st to 29th Floor</v>
      </c>
      <c r="D69" s="123"/>
      <c r="E69" s="123"/>
      <c r="F69" s="123"/>
      <c r="G69" s="123"/>
      <c r="H69" s="124"/>
      <c r="I69" s="33" t="str">
        <f ca="1">(IF(E73&gt;99%,"All work completed. Please provide OC.",IF(E73&gt;89.8%,"Plinth, RCC, Brick, Plaster, Flooring, Painting work Completed. Finishing work is in process.",IF(E73&lt;94%,(IF(C73=0,"Work not yet Started.",IF(D73=25%,"Piling work in process",IF(D73=50%,"Excavation work in process",IF(D73=100%,"Excavation work Completed. ","0")))&amp;(IF(C74=0%,"",IF(C74=J75,"Footing work is process",IF(C74=J76,"Footing work Completed",IF(C74=J77,"1st Basement Completed",IF(C74=J78,"1st &amp; 2nd Basement Completed",IF(C74=J79,"1st to 3rd Basement Completed",IF(C74=J80,"1st to 4th Basement Completed",IF(C74=J81,"Plinth work is process",IF(C74=J82,"Plinth work completed","0")))))))))))&amp;(IF(C75=(D70+F70+H70),", RCC Slab",IF(C75&gt;0,", RCC upto "&amp;C75&amp;" Slab",""))&amp;(IF(C76=H70,", Brickwork",IF(C76&gt;0,", Brickwork upto "&amp;C76&amp;" Floor",""))&amp;(IF(C77=H70,", Internal Plaster",IF(C77&gt;0,", Internal Plaster upto "&amp;C77&amp;" Floor",""))&amp;(IF(C78=H70,", External Plaster",IF(C78&gt;0,", External Plaster upto "&amp;C78&amp;" Floor",""))&amp;(IF(C79=H70,", Flooring",IF(C79&gt;0,", Flooring upto "&amp;C79&amp;" Floor",""))&amp;(IF(C80=H70,", Painting",IF(C80&gt;0,", Painting upto "&amp;C80&amp;" Floor",""))&amp;(IF(C81&gt;0,", Finishing upto "&amp;C81&amp;" Floor","")&amp;(IF(C75&gt;0.5," Completed",""))))))))))))))</f>
        <v>Excavation work Completed. Plinth work completed, RCC Slab, Brickwork, Internal Plaster upto 26 Floor, External Plaster upto 26 Floor, Flooring upto 22 Floor, Painting upto 22 Floor, Finishing upto 12 Floor Completed</v>
      </c>
      <c r="J69" s="20"/>
    </row>
    <row r="70" spans="1:14" x14ac:dyDescent="0.3">
      <c r="A70" s="38" t="s">
        <v>171</v>
      </c>
      <c r="B70" s="42">
        <v>3</v>
      </c>
      <c r="C70" s="42" t="s">
        <v>102</v>
      </c>
      <c r="D70" s="42">
        <v>1</v>
      </c>
      <c r="E70" s="42" t="s">
        <v>101</v>
      </c>
      <c r="F70" s="42">
        <v>4</v>
      </c>
      <c r="G70" s="43" t="s">
        <v>114</v>
      </c>
      <c r="H70" s="44">
        <f ca="1">--TRIM(RIGHT(SUBSTITUTE(LEFT(C69,_xlfn.AGGREGATE(16,6,FIND({0,1,2,3,4,5,6,7,8,9},C69,ROW(INDIRECT("1:"&amp;LEN(C69)))),1))," ",REPT(" ",LEN(C69))),LEN(C69)))</f>
        <v>29</v>
      </c>
      <c r="I70" s="18"/>
      <c r="J70" s="21"/>
    </row>
    <row r="71" spans="1:14" ht="51" customHeight="1" x14ac:dyDescent="0.3">
      <c r="A71" s="140" t="s">
        <v>124</v>
      </c>
      <c r="B71" s="141"/>
      <c r="C71" s="152" t="str">
        <f ca="1">I69</f>
        <v>Excavation work Completed. Plinth work completed, RCC Slab, Brickwork, Internal Plaster upto 26 Floor, External Plaster upto 26 Floor, Flooring upto 22 Floor, Painting upto 22 Floor, Finishing upto 12 Floor Completed</v>
      </c>
      <c r="D71" s="152"/>
      <c r="E71" s="152"/>
      <c r="F71" s="152"/>
      <c r="G71" s="152"/>
      <c r="H71" s="153"/>
      <c r="I71" s="18" t="s">
        <v>142</v>
      </c>
      <c r="J71" s="21"/>
    </row>
    <row r="72" spans="1:14" ht="15.75" customHeight="1" x14ac:dyDescent="0.3">
      <c r="A72" s="90" t="s">
        <v>53</v>
      </c>
      <c r="B72" s="91"/>
      <c r="C72" s="39" t="s">
        <v>168</v>
      </c>
      <c r="D72" s="39" t="s">
        <v>117</v>
      </c>
      <c r="E72" s="91" t="s">
        <v>119</v>
      </c>
      <c r="F72" s="91"/>
      <c r="G72" s="91" t="s">
        <v>118</v>
      </c>
      <c r="H72" s="139"/>
      <c r="I72" s="28" t="s">
        <v>170</v>
      </c>
      <c r="J72" s="22">
        <f ca="1">H70*25%</f>
        <v>7.25</v>
      </c>
    </row>
    <row r="73" spans="1:14" x14ac:dyDescent="0.3">
      <c r="A73" s="90" t="s">
        <v>157</v>
      </c>
      <c r="B73" s="91"/>
      <c r="C73" s="45">
        <f ca="1">J74</f>
        <v>29</v>
      </c>
      <c r="D73" s="40">
        <f ca="1">((100/H70)*C73)/100</f>
        <v>1</v>
      </c>
      <c r="E73" s="86">
        <f ca="1">(((C74/H70*10)+(40/(D70+F70+H70)*C75)+(7.5/(H70)*C76)+(7.5/(H70)*C77)+(10/H70*C78)+(10/H70*C79)+(5/H70*C80)+(5/H70*C81)+(5/H70*C82))/100)</f>
        <v>0.86637931034482762</v>
      </c>
      <c r="F73" s="86"/>
      <c r="G73" s="86">
        <f ca="1">((((C73/H70)*20)+((C74/H70)*25)+(30/(H70+F70+D70)*C75)+(5/H70*C76)+(5/H70*C77)+(5/H70*C78)+(5/H70*C79)+(0/H70*C80)+(0/H70*C81)+(5/H70*C82))/100)</f>
        <v>0.92758620689655158</v>
      </c>
      <c r="H73" s="87"/>
      <c r="I73" s="28" t="s">
        <v>137</v>
      </c>
      <c r="J73" s="32">
        <f ca="1">H70*50%</f>
        <v>14.5</v>
      </c>
    </row>
    <row r="74" spans="1:14" x14ac:dyDescent="0.3">
      <c r="A74" s="90" t="s">
        <v>54</v>
      </c>
      <c r="B74" s="91"/>
      <c r="C74" s="46">
        <f ca="1">J82</f>
        <v>28.999999999999996</v>
      </c>
      <c r="D74" s="40">
        <f ca="1">((100/H70)*C74)/100</f>
        <v>0.99999999999999989</v>
      </c>
      <c r="E74" s="86"/>
      <c r="F74" s="86"/>
      <c r="G74" s="86"/>
      <c r="H74" s="87"/>
      <c r="I74" s="28" t="s">
        <v>138</v>
      </c>
      <c r="J74" s="32">
        <f ca="1">H70</f>
        <v>29</v>
      </c>
    </row>
    <row r="75" spans="1:14" ht="15.75" customHeight="1" x14ac:dyDescent="0.3">
      <c r="A75" s="90" t="s">
        <v>158</v>
      </c>
      <c r="B75" s="91"/>
      <c r="C75" s="46">
        <v>34</v>
      </c>
      <c r="D75" s="40">
        <f ca="1">((100/(D70+F70+H70))*C75)/100</f>
        <v>1</v>
      </c>
      <c r="E75" s="86"/>
      <c r="F75" s="86"/>
      <c r="G75" s="86"/>
      <c r="H75" s="87"/>
      <c r="I75" s="28" t="s">
        <v>139</v>
      </c>
      <c r="J75" s="35">
        <f ca="1">(IF(B70&gt;1,(H70/(B70+2)),H70/4))</f>
        <v>5.8</v>
      </c>
      <c r="L75" s="30">
        <f>30*0.83</f>
        <v>24.9</v>
      </c>
    </row>
    <row r="76" spans="1:14" ht="15.75" customHeight="1" x14ac:dyDescent="0.3">
      <c r="A76" s="90" t="s">
        <v>165</v>
      </c>
      <c r="B76" s="91" t="s">
        <v>159</v>
      </c>
      <c r="C76" s="46">
        <v>29</v>
      </c>
      <c r="D76" s="40">
        <f ca="1">((100/H70)*C76)/100</f>
        <v>1</v>
      </c>
      <c r="E76" s="86"/>
      <c r="F76" s="86"/>
      <c r="G76" s="86"/>
      <c r="H76" s="87"/>
      <c r="I76" s="28" t="s">
        <v>140</v>
      </c>
      <c r="J76" s="35">
        <f ca="1">(IF(B70&gt;1,(H70/(B70+2)+J75),H70/4+J75))</f>
        <v>11.6</v>
      </c>
    </row>
    <row r="77" spans="1:14" ht="15.75" customHeight="1" x14ac:dyDescent="0.3">
      <c r="A77" s="90" t="s">
        <v>166</v>
      </c>
      <c r="B77" s="91" t="s">
        <v>159</v>
      </c>
      <c r="C77" s="46">
        <v>26</v>
      </c>
      <c r="D77" s="40">
        <f ca="1">((100/H70)*C77)/100</f>
        <v>0.89655172413793094</v>
      </c>
      <c r="E77" s="86"/>
      <c r="F77" s="86"/>
      <c r="G77" s="86"/>
      <c r="H77" s="87"/>
      <c r="I77" s="28" t="s">
        <v>175</v>
      </c>
      <c r="J77" s="35">
        <f ca="1">(IF(B70&gt;1,(H70/(B70+2)+J76),0))</f>
        <v>17.399999999999999</v>
      </c>
    </row>
    <row r="78" spans="1:14" ht="15" customHeight="1" x14ac:dyDescent="0.3">
      <c r="A78" s="90" t="s">
        <v>164</v>
      </c>
      <c r="B78" s="91" t="s">
        <v>161</v>
      </c>
      <c r="C78" s="46">
        <v>26</v>
      </c>
      <c r="D78" s="40">
        <f ca="1">((100/(H70))*C78)/100</f>
        <v>0.89655172413793094</v>
      </c>
      <c r="E78" s="86"/>
      <c r="F78" s="86"/>
      <c r="G78" s="86"/>
      <c r="H78" s="87"/>
      <c r="I78" s="28" t="s">
        <v>172</v>
      </c>
      <c r="J78" s="35">
        <f ca="1">(IF(B70&gt;2,(H70/(B70+2)+J77),0))</f>
        <v>23.2</v>
      </c>
    </row>
    <row r="79" spans="1:14" ht="15.75" customHeight="1" x14ac:dyDescent="0.3">
      <c r="A79" s="90" t="s">
        <v>160</v>
      </c>
      <c r="B79" s="91" t="s">
        <v>160</v>
      </c>
      <c r="C79" s="45">
        <v>22</v>
      </c>
      <c r="D79" s="40">
        <f ca="1">((100/H70)*C79)/100</f>
        <v>0.75862068965517238</v>
      </c>
      <c r="E79" s="86"/>
      <c r="F79" s="86"/>
      <c r="G79" s="86"/>
      <c r="H79" s="87"/>
      <c r="I79" s="28" t="s">
        <v>173</v>
      </c>
      <c r="J79" s="36">
        <f>(IF(B70&gt;3,(H70/(B70+2)+J78),0))</f>
        <v>0</v>
      </c>
    </row>
    <row r="80" spans="1:14" ht="15.75" customHeight="1" x14ac:dyDescent="0.3">
      <c r="A80" s="90" t="s">
        <v>167</v>
      </c>
      <c r="B80" s="91"/>
      <c r="C80" s="45">
        <v>22</v>
      </c>
      <c r="D80" s="40">
        <f ca="1">((100/H70)*C80)/100</f>
        <v>0.75862068965517238</v>
      </c>
      <c r="E80" s="86"/>
      <c r="F80" s="86"/>
      <c r="G80" s="86"/>
      <c r="H80" s="87"/>
      <c r="I80" s="28" t="s">
        <v>174</v>
      </c>
      <c r="J80" s="35">
        <f>(IF(B70&gt;4,(H70/(B70+2)+J79),0))</f>
        <v>0</v>
      </c>
    </row>
    <row r="81" spans="1:10" ht="15.75" customHeight="1" x14ac:dyDescent="0.3">
      <c r="A81" s="90" t="s">
        <v>162</v>
      </c>
      <c r="B81" s="91" t="s">
        <v>162</v>
      </c>
      <c r="C81" s="45">
        <v>12</v>
      </c>
      <c r="D81" s="40">
        <f ca="1">((100/(H70))*C81)/100</f>
        <v>0.41379310344827586</v>
      </c>
      <c r="E81" s="86"/>
      <c r="F81" s="86"/>
      <c r="G81" s="86"/>
      <c r="H81" s="87"/>
      <c r="I81" s="28" t="s">
        <v>176</v>
      </c>
      <c r="J81" s="35">
        <f>(IF(B70=1,(H70/(B70+3)+J76),IF(B70=0,(H70/4+J76),IF(B70&gt;1,0))))</f>
        <v>0</v>
      </c>
    </row>
    <row r="82" spans="1:10" ht="16.2" thickBot="1" x14ac:dyDescent="0.35">
      <c r="A82" s="92" t="s">
        <v>163</v>
      </c>
      <c r="B82" s="93"/>
      <c r="C82" s="47">
        <v>0</v>
      </c>
      <c r="D82" s="41">
        <f ca="1">((100/(H70))*C82)/100</f>
        <v>0</v>
      </c>
      <c r="E82" s="88"/>
      <c r="F82" s="88"/>
      <c r="G82" s="88"/>
      <c r="H82" s="89"/>
      <c r="I82" s="34" t="s">
        <v>141</v>
      </c>
      <c r="J82" s="37">
        <f ca="1">(IF(B70&gt;1.5,(H70/(B70+2)+J76+MAX(0,J77-J76)+MAX(0,J78-J77)+MAX(0,J79-J78)+MAX(0,J80-J79)+MAX(0,J81-J80)),IF(B70=1,(H70/(B70+3)+J81),IF(B70=0,H70/4+J81))))</f>
        <v>28.999999999999996</v>
      </c>
    </row>
    <row r="83" spans="1:10" ht="15.75" hidden="1" customHeight="1" x14ac:dyDescent="0.3">
      <c r="A83" s="120" t="s">
        <v>169</v>
      </c>
      <c r="B83" s="121"/>
      <c r="C83" s="122" t="str">
        <f>D64</f>
        <v>B Wing = 3B + G + 3P + Stilt Podium + 1st to 29th Floor</v>
      </c>
      <c r="D83" s="123"/>
      <c r="E83" s="123"/>
      <c r="F83" s="123"/>
      <c r="G83" s="123"/>
      <c r="H83" s="124"/>
      <c r="I83" s="33" t="str">
        <f ca="1">(IF(E87&gt;99%,"All work completed. Please provide OC.",IF(E87&gt;89.8%,"Plinth, RCC, Brick, Plaster, Flooring, Painting work Completed. Finishing work is in process.",IF(E87&lt;94%,(IF(C87=0,"Work not yet Started.",IF(D87=25%,"Piling work in process",IF(D87=50%,"Excavation work in process",IF(D87=100%,"Excavation work Completed. ","0")))&amp;(IF(C88=0%,"",IF(C88=J89,"Footing work is process",IF(C88=J90,"Footing work Completed",IF(C88=J91,"1st Basement Completed",IF(C88=J92,"1st &amp; 2nd Basement Completed",IF(C88=J93,"1st to 3rd Basement Completed",IF(C88=J94,"1st to 4th Basement Completed",IF(C88=J95,"Plinth work is process",IF(C88=J96,"Plinth work completed","0")))))))))))&amp;(IF(C89=(D84+F84+H84),", RCC Slab",IF(C89&gt;0,", RCC upto "&amp;C89&amp;" Slab",""))&amp;(IF(C90=H84,", Brickwork",IF(C90&gt;0,", Brickwork upto "&amp;C90&amp;" Floor",""))&amp;(IF(C91=H84,", Internal Plaster",IF(C91&gt;0,", Internal Plaster upto "&amp;C91&amp;" Floor",""))&amp;(IF(C92=H84,", External Plaster",IF(C92&gt;0,", External Plaster upto "&amp;C92&amp;" Floor",""))&amp;(IF(C93=H84,", Flooring",IF(C93&gt;0,", Flooring upto "&amp;C93&amp;" Floor",""))&amp;(IF(C94=H84,", Painting",IF(C94&gt;0,", Painting upto "&amp;C94&amp;" Floor",""))&amp;(IF(C95&gt;0,", Finishing upto "&amp;C95&amp;" Floor","")&amp;(IF(C89&gt;0.5," Completed",""))))))))))))))</f>
        <v>Excavation work Completed. Plinth work completed, RCC upto 26 Slab, Brickwork upto 21 Floor, Internal Plaster upto 15.75 Floor, External Plaster upto 15.75 Floor, Flooring upto 8 Floor, Painting upto 5 Floor Completed</v>
      </c>
      <c r="J83" s="20"/>
    </row>
    <row r="84" spans="1:10" hidden="1" x14ac:dyDescent="0.3">
      <c r="A84" s="38" t="s">
        <v>171</v>
      </c>
      <c r="B84" s="42">
        <v>3</v>
      </c>
      <c r="C84" s="42" t="s">
        <v>102</v>
      </c>
      <c r="D84" s="42">
        <v>1</v>
      </c>
      <c r="E84" s="42" t="s">
        <v>101</v>
      </c>
      <c r="F84" s="42">
        <v>4</v>
      </c>
      <c r="G84" s="43" t="s">
        <v>114</v>
      </c>
      <c r="H84" s="44">
        <f ca="1">--TRIM(RIGHT(SUBSTITUTE(LEFT(C83,_xlfn.AGGREGATE(16,6,FIND({0,1,2,3,4,5,6,7,8,9},C83,ROW(INDIRECT("1:"&amp;LEN(C83)))),1))," ",REPT(" ",LEN(C83))),LEN(C83)))</f>
        <v>29</v>
      </c>
      <c r="I84" s="18"/>
      <c r="J84" s="21"/>
    </row>
    <row r="85" spans="1:10" ht="48" hidden="1" customHeight="1" x14ac:dyDescent="0.3">
      <c r="A85" s="140" t="s">
        <v>124</v>
      </c>
      <c r="B85" s="141"/>
      <c r="C85" s="152" t="str">
        <f ca="1">I83</f>
        <v>Excavation work Completed. Plinth work completed, RCC upto 26 Slab, Brickwork upto 21 Floor, Internal Plaster upto 15.75 Floor, External Plaster upto 15.75 Floor, Flooring upto 8 Floor, Painting upto 5 Floor Completed</v>
      </c>
      <c r="D85" s="152"/>
      <c r="E85" s="152"/>
      <c r="F85" s="152"/>
      <c r="G85" s="152"/>
      <c r="H85" s="153"/>
      <c r="I85" s="18" t="s">
        <v>142</v>
      </c>
      <c r="J85" s="21"/>
    </row>
    <row r="86" spans="1:10" ht="15.75" hidden="1" customHeight="1" x14ac:dyDescent="0.3">
      <c r="A86" s="90" t="s">
        <v>53</v>
      </c>
      <c r="B86" s="91"/>
      <c r="C86" s="39" t="s">
        <v>168</v>
      </c>
      <c r="D86" s="39" t="s">
        <v>117</v>
      </c>
      <c r="E86" s="91" t="s">
        <v>119</v>
      </c>
      <c r="F86" s="91"/>
      <c r="G86" s="91" t="s">
        <v>118</v>
      </c>
      <c r="H86" s="139"/>
      <c r="I86" s="28" t="s">
        <v>170</v>
      </c>
      <c r="J86" s="22">
        <f ca="1">H84*25%</f>
        <v>7.25</v>
      </c>
    </row>
    <row r="87" spans="1:10" hidden="1" x14ac:dyDescent="0.3">
      <c r="A87" s="90" t="s">
        <v>157</v>
      </c>
      <c r="B87" s="91"/>
      <c r="C87" s="45">
        <f ca="1">J88</f>
        <v>29</v>
      </c>
      <c r="D87" s="40">
        <f ca="1">((100/H84)*C87)/100</f>
        <v>1</v>
      </c>
      <c r="E87" s="86">
        <f ca="1">(((C88/H84*10)+(40/(D84+F84+H84)*C89)+(7.5/(H84)*C90)+(7.5/(H84)*C91)+(10/H84*C92)+(10/H84*C93)+(5/H84*C94)+(5/H84*C95)+(5/H84*C96))/100)</f>
        <v>0.59144269776876268</v>
      </c>
      <c r="F87" s="86"/>
      <c r="G87" s="86">
        <f ca="1">((((C87/H84)*20)+((C88/H84)*25)+(30/(H84+F84+D84)*C89)+(5/H84*C90)+(5/H84*C91)+(5/H84*C92)+(5/H84*C93)+(0/H84*C94)+(0/H84*C95)+(5/H84*C96))/100)</f>
        <v>0.78372210953346866</v>
      </c>
      <c r="H87" s="87"/>
      <c r="I87" s="28" t="s">
        <v>137</v>
      </c>
      <c r="J87" s="32">
        <f ca="1">H84*50%</f>
        <v>14.5</v>
      </c>
    </row>
    <row r="88" spans="1:10" hidden="1" x14ac:dyDescent="0.3">
      <c r="A88" s="90" t="s">
        <v>54</v>
      </c>
      <c r="B88" s="91"/>
      <c r="C88" s="46">
        <f ca="1">J96</f>
        <v>28.999999999999996</v>
      </c>
      <c r="D88" s="40">
        <f ca="1">((100/H84)*C88)/100</f>
        <v>0.99999999999999989</v>
      </c>
      <c r="E88" s="86"/>
      <c r="F88" s="86"/>
      <c r="G88" s="86"/>
      <c r="H88" s="87"/>
      <c r="I88" s="28" t="s">
        <v>138</v>
      </c>
      <c r="J88" s="32">
        <f ca="1">H84</f>
        <v>29</v>
      </c>
    </row>
    <row r="89" spans="1:10" ht="15.75" hidden="1" customHeight="1" x14ac:dyDescent="0.3">
      <c r="A89" s="90" t="s">
        <v>158</v>
      </c>
      <c r="B89" s="91"/>
      <c r="C89" s="46">
        <f>D84+F84+21</f>
        <v>26</v>
      </c>
      <c r="D89" s="40">
        <f ca="1">((100/(D84+F84+H84))*C89)/100</f>
        <v>0.76470588235294112</v>
      </c>
      <c r="E89" s="86"/>
      <c r="F89" s="86"/>
      <c r="G89" s="86"/>
      <c r="H89" s="87"/>
      <c r="I89" s="28" t="s">
        <v>139</v>
      </c>
      <c r="J89" s="35">
        <f ca="1">(IF(B84&gt;1,(H84/(B84+2)),H84/4))</f>
        <v>5.8</v>
      </c>
    </row>
    <row r="90" spans="1:10" ht="15.75" hidden="1" customHeight="1" x14ac:dyDescent="0.3">
      <c r="A90" s="90" t="s">
        <v>165</v>
      </c>
      <c r="B90" s="91" t="s">
        <v>159</v>
      </c>
      <c r="C90" s="46">
        <f>C89-5</f>
        <v>21</v>
      </c>
      <c r="D90" s="40">
        <f ca="1">((100/H84)*C90)/100</f>
        <v>0.72413793103448265</v>
      </c>
      <c r="E90" s="86"/>
      <c r="F90" s="86"/>
      <c r="G90" s="86"/>
      <c r="H90" s="87"/>
      <c r="I90" s="28" t="s">
        <v>140</v>
      </c>
      <c r="J90" s="35">
        <f ca="1">(IF(B84&gt;1,(H84/(B84+2)+J89),H84/4+J89))</f>
        <v>11.6</v>
      </c>
    </row>
    <row r="91" spans="1:10" ht="15.75" hidden="1" customHeight="1" x14ac:dyDescent="0.3">
      <c r="A91" s="90" t="s">
        <v>166</v>
      </c>
      <c r="B91" s="91" t="s">
        <v>159</v>
      </c>
      <c r="C91" s="46">
        <f>C90*0.75</f>
        <v>15.75</v>
      </c>
      <c r="D91" s="40">
        <f ca="1">((100/H84)*C91)/100</f>
        <v>0.5431034482758621</v>
      </c>
      <c r="E91" s="86"/>
      <c r="F91" s="86"/>
      <c r="G91" s="86"/>
      <c r="H91" s="87"/>
      <c r="I91" s="28" t="s">
        <v>175</v>
      </c>
      <c r="J91" s="35">
        <f ca="1">(IF(B84&gt;1,(H84/(B84+2)+J90),0))</f>
        <v>17.399999999999999</v>
      </c>
    </row>
    <row r="92" spans="1:10" ht="15" hidden="1" customHeight="1" x14ac:dyDescent="0.3">
      <c r="A92" s="90" t="s">
        <v>164</v>
      </c>
      <c r="B92" s="91" t="s">
        <v>161</v>
      </c>
      <c r="C92" s="46">
        <f>C91</f>
        <v>15.75</v>
      </c>
      <c r="D92" s="40">
        <f ca="1">((100/(H84))*C92)/100</f>
        <v>0.5431034482758621</v>
      </c>
      <c r="E92" s="86"/>
      <c r="F92" s="86"/>
      <c r="G92" s="86"/>
      <c r="H92" s="87"/>
      <c r="I92" s="28" t="s">
        <v>172</v>
      </c>
      <c r="J92" s="35">
        <f ca="1">(IF(B84&gt;2,(H84/(B84+2)+J91),0))</f>
        <v>23.2</v>
      </c>
    </row>
    <row r="93" spans="1:10" ht="15.75" hidden="1" customHeight="1" x14ac:dyDescent="0.3">
      <c r="A93" s="90" t="s">
        <v>160</v>
      </c>
      <c r="B93" s="91" t="s">
        <v>160</v>
      </c>
      <c r="C93" s="45">
        <v>8</v>
      </c>
      <c r="D93" s="40">
        <f ca="1">((100/H84)*C93)/100</f>
        <v>0.27586206896551724</v>
      </c>
      <c r="E93" s="86"/>
      <c r="F93" s="86"/>
      <c r="G93" s="86"/>
      <c r="H93" s="87"/>
      <c r="I93" s="28" t="s">
        <v>173</v>
      </c>
      <c r="J93" s="36">
        <f>(IF(B84&gt;3,(H84/(B84+2)+J92),0))</f>
        <v>0</v>
      </c>
    </row>
    <row r="94" spans="1:10" ht="15.75" hidden="1" customHeight="1" x14ac:dyDescent="0.3">
      <c r="A94" s="90" t="s">
        <v>167</v>
      </c>
      <c r="B94" s="91"/>
      <c r="C94" s="45">
        <v>5</v>
      </c>
      <c r="D94" s="40">
        <f ca="1">((100/H84)*C94)/100</f>
        <v>0.17241379310344826</v>
      </c>
      <c r="E94" s="86"/>
      <c r="F94" s="86"/>
      <c r="G94" s="86"/>
      <c r="H94" s="87"/>
      <c r="I94" s="28" t="s">
        <v>174</v>
      </c>
      <c r="J94" s="35">
        <f>(IF(B84&gt;4,(H84/(B84+2)+J93),0))</f>
        <v>0</v>
      </c>
    </row>
    <row r="95" spans="1:10" ht="15.75" hidden="1" customHeight="1" x14ac:dyDescent="0.3">
      <c r="A95" s="90" t="s">
        <v>162</v>
      </c>
      <c r="B95" s="91" t="s">
        <v>162</v>
      </c>
      <c r="C95" s="45">
        <v>0</v>
      </c>
      <c r="D95" s="40">
        <f ca="1">((100/(H84))*C95)/100</f>
        <v>0</v>
      </c>
      <c r="E95" s="86"/>
      <c r="F95" s="86"/>
      <c r="G95" s="86"/>
      <c r="H95" s="87"/>
      <c r="I95" s="28" t="s">
        <v>176</v>
      </c>
      <c r="J95" s="35">
        <f>(IF(B84=1,(H84/(B84+3)+J90),IF(B84=0,(H84/4+J90),IF(B84&gt;1,0))))</f>
        <v>0</v>
      </c>
    </row>
    <row r="96" spans="1:10" ht="16.2" hidden="1" thickBot="1" x14ac:dyDescent="0.35">
      <c r="A96" s="92" t="s">
        <v>163</v>
      </c>
      <c r="B96" s="93"/>
      <c r="C96" s="47">
        <v>0</v>
      </c>
      <c r="D96" s="41">
        <f ca="1">((100/(H84))*C96)/100</f>
        <v>0</v>
      </c>
      <c r="E96" s="88"/>
      <c r="F96" s="88"/>
      <c r="G96" s="88"/>
      <c r="H96" s="89"/>
      <c r="I96" s="34" t="s">
        <v>141</v>
      </c>
      <c r="J96" s="37">
        <f ca="1">(IF(B84&gt;1.5,(H84/(B84+2)+J90+MAX(0,J91-J90)+MAX(0,J92-J91)+MAX(0,J93-J92)+MAX(0,J94-J93)+MAX(0,J95-J94)),IF(B84=1,(H84/(B84+3)+J95),IF(B84=0,H84/4+J95))))</f>
        <v>28.999999999999996</v>
      </c>
    </row>
    <row r="97" spans="1:8" x14ac:dyDescent="0.3">
      <c r="A97" s="183" t="s">
        <v>145</v>
      </c>
      <c r="B97" s="184"/>
      <c r="C97" s="184"/>
      <c r="D97" s="184"/>
      <c r="E97" s="185"/>
      <c r="F97" s="183" t="str">
        <f ca="1">(IF(D68="Nothing","Yes",IF(D68="Cement, Aggregate, Steel, etc","Under Construction",IF(D68="Work not yet Started","Work not yet Started"))))</f>
        <v>Under Construction</v>
      </c>
      <c r="G97" s="184"/>
      <c r="H97" s="185"/>
    </row>
    <row r="98" spans="1:8" x14ac:dyDescent="0.3">
      <c r="A98" s="109" t="s">
        <v>55</v>
      </c>
      <c r="B98" s="109"/>
      <c r="C98" s="109"/>
      <c r="D98" s="109"/>
      <c r="E98" s="109"/>
      <c r="F98" s="109"/>
      <c r="G98" s="109"/>
      <c r="H98" s="109"/>
    </row>
    <row r="99" spans="1:8" ht="15" customHeight="1" x14ac:dyDescent="0.3">
      <c r="A99" s="141" t="s">
        <v>105</v>
      </c>
      <c r="B99" s="141"/>
      <c r="C99" s="152" t="s">
        <v>106</v>
      </c>
      <c r="D99" s="152"/>
      <c r="E99" s="152"/>
      <c r="F99" s="152"/>
      <c r="G99" s="152"/>
      <c r="H99" s="152"/>
    </row>
    <row r="100" spans="1:8" x14ac:dyDescent="0.3">
      <c r="A100" s="126" t="s">
        <v>56</v>
      </c>
      <c r="B100" s="126"/>
      <c r="C100" s="126"/>
      <c r="D100" s="126"/>
      <c r="E100" s="126"/>
      <c r="F100" s="126"/>
      <c r="G100" s="126"/>
      <c r="H100" s="126"/>
    </row>
    <row r="101" spans="1:8" x14ac:dyDescent="0.3">
      <c r="A101" s="109" t="s">
        <v>107</v>
      </c>
      <c r="B101" s="109"/>
      <c r="C101" s="109"/>
      <c r="D101" s="109"/>
      <c r="E101" s="109"/>
      <c r="F101" s="57">
        <v>32000</v>
      </c>
      <c r="G101" s="57"/>
      <c r="H101" s="57"/>
    </row>
    <row r="102" spans="1:8" hidden="1" x14ac:dyDescent="0.3">
      <c r="A102" s="109" t="s">
        <v>112</v>
      </c>
      <c r="B102" s="109"/>
      <c r="C102" s="109"/>
      <c r="D102" s="109"/>
      <c r="E102" s="109"/>
      <c r="F102" s="57"/>
      <c r="G102" s="57"/>
      <c r="H102" s="57"/>
    </row>
    <row r="103" spans="1:8" hidden="1" x14ac:dyDescent="0.3">
      <c r="A103" s="109" t="s">
        <v>113</v>
      </c>
      <c r="B103" s="109"/>
      <c r="C103" s="109"/>
      <c r="D103" s="109"/>
      <c r="E103" s="109"/>
      <c r="F103" s="57"/>
      <c r="G103" s="57"/>
      <c r="H103" s="57"/>
    </row>
    <row r="104" spans="1:8" s="12" customFormat="1" hidden="1" x14ac:dyDescent="0.25">
      <c r="A104" s="109" t="s">
        <v>129</v>
      </c>
      <c r="B104" s="109"/>
      <c r="C104" s="109"/>
      <c r="D104" s="109"/>
      <c r="E104" s="109"/>
      <c r="F104" s="57" t="s">
        <v>29</v>
      </c>
      <c r="G104" s="57"/>
      <c r="H104" s="57"/>
    </row>
    <row r="105" spans="1:8" s="12" customFormat="1" hidden="1" x14ac:dyDescent="0.25">
      <c r="A105" s="109" t="s">
        <v>130</v>
      </c>
      <c r="B105" s="109"/>
      <c r="C105" s="109"/>
      <c r="D105" s="109"/>
      <c r="E105" s="109"/>
      <c r="F105" s="57" t="s">
        <v>29</v>
      </c>
      <c r="G105" s="57"/>
      <c r="H105" s="57"/>
    </row>
    <row r="106" spans="1:8" s="12" customFormat="1" hidden="1" x14ac:dyDescent="0.25">
      <c r="A106" s="109" t="s">
        <v>131</v>
      </c>
      <c r="B106" s="109"/>
      <c r="C106" s="109"/>
      <c r="D106" s="109"/>
      <c r="E106" s="109"/>
      <c r="F106" s="57" t="s">
        <v>29</v>
      </c>
      <c r="G106" s="57"/>
      <c r="H106" s="57"/>
    </row>
    <row r="107" spans="1:8" s="12" customFormat="1" hidden="1" x14ac:dyDescent="0.25">
      <c r="A107" s="109" t="s">
        <v>132</v>
      </c>
      <c r="B107" s="109"/>
      <c r="C107" s="109"/>
      <c r="D107" s="109"/>
      <c r="E107" s="109"/>
      <c r="F107" s="57" t="s">
        <v>29</v>
      </c>
      <c r="G107" s="57"/>
      <c r="H107" s="57"/>
    </row>
    <row r="108" spans="1:8" s="12" customFormat="1" hidden="1" x14ac:dyDescent="0.25">
      <c r="A108" s="109" t="s">
        <v>133</v>
      </c>
      <c r="B108" s="109"/>
      <c r="C108" s="109"/>
      <c r="D108" s="109"/>
      <c r="E108" s="109"/>
      <c r="F108" s="57" t="s">
        <v>29</v>
      </c>
      <c r="G108" s="57"/>
      <c r="H108" s="57"/>
    </row>
    <row r="109" spans="1:8" s="12" customFormat="1" hidden="1" x14ac:dyDescent="0.25">
      <c r="A109" s="109" t="s">
        <v>134</v>
      </c>
      <c r="B109" s="109"/>
      <c r="C109" s="109"/>
      <c r="D109" s="109"/>
      <c r="E109" s="109"/>
      <c r="F109" s="57" t="s">
        <v>29</v>
      </c>
      <c r="G109" s="57"/>
      <c r="H109" s="57"/>
    </row>
    <row r="110" spans="1:8" s="12" customFormat="1" hidden="1" x14ac:dyDescent="0.25">
      <c r="A110" s="109" t="s">
        <v>135</v>
      </c>
      <c r="B110" s="109"/>
      <c r="C110" s="109"/>
      <c r="D110" s="109"/>
      <c r="E110" s="109"/>
      <c r="F110" s="57" t="s">
        <v>29</v>
      </c>
      <c r="G110" s="57"/>
      <c r="H110" s="57"/>
    </row>
    <row r="111" spans="1:8" s="12" customFormat="1" hidden="1" x14ac:dyDescent="0.25">
      <c r="A111" s="109" t="s">
        <v>136</v>
      </c>
      <c r="B111" s="109"/>
      <c r="C111" s="109"/>
      <c r="D111" s="109"/>
      <c r="E111" s="109"/>
      <c r="F111" s="57" t="s">
        <v>29</v>
      </c>
      <c r="G111" s="57"/>
      <c r="H111" s="57"/>
    </row>
    <row r="112" spans="1:8" x14ac:dyDescent="0.3">
      <c r="A112" s="109" t="s">
        <v>57</v>
      </c>
      <c r="B112" s="109"/>
      <c r="C112" s="109"/>
      <c r="D112" s="109"/>
      <c r="E112" s="109"/>
      <c r="F112" s="56" t="s">
        <v>201</v>
      </c>
      <c r="G112" s="56"/>
      <c r="H112" s="56"/>
    </row>
    <row r="113" spans="1:14" s="9" customFormat="1" x14ac:dyDescent="0.3">
      <c r="A113" s="126" t="s">
        <v>58</v>
      </c>
      <c r="B113" s="126"/>
      <c r="C113" s="126"/>
      <c r="D113" s="126"/>
      <c r="E113" s="126"/>
      <c r="F113" s="57">
        <f>F101*0.8</f>
        <v>25600</v>
      </c>
      <c r="G113" s="57"/>
      <c r="H113" s="57"/>
    </row>
    <row r="114" spans="1:14" s="1" customFormat="1" x14ac:dyDescent="0.3">
      <c r="A114" s="156" t="s">
        <v>100</v>
      </c>
      <c r="B114" s="156"/>
      <c r="C114" s="156"/>
      <c r="D114" s="156"/>
      <c r="E114" s="156"/>
      <c r="F114" s="156"/>
      <c r="G114" s="156"/>
      <c r="H114" s="156"/>
    </row>
    <row r="115" spans="1:14" s="1" customFormat="1" ht="15.75" customHeight="1" x14ac:dyDescent="0.3">
      <c r="A115" s="111" t="s">
        <v>59</v>
      </c>
      <c r="B115" s="111"/>
      <c r="C115" s="154" t="s">
        <v>110</v>
      </c>
      <c r="D115" s="154"/>
      <c r="E115" s="155" t="s">
        <v>60</v>
      </c>
      <c r="F115" s="155"/>
      <c r="G115" s="111" t="s">
        <v>61</v>
      </c>
      <c r="H115" s="111"/>
    </row>
    <row r="116" spans="1:14" s="1" customFormat="1" x14ac:dyDescent="0.3">
      <c r="A116" s="85" t="s">
        <v>208</v>
      </c>
      <c r="B116" s="85"/>
      <c r="C116" s="128">
        <f>COUNT(D130:D133)+COUNT(D135:D138)*24+COUNT(D140:D141)*3+COUNT(D145:D147)</f>
        <v>109</v>
      </c>
      <c r="D116" s="128"/>
      <c r="E116" s="127">
        <f>SUM(D130:D133)+SUM(D135:D138)*24+SUM(D140:D141)*3+SUM(D145:D147)</f>
        <v>113834.70541169999</v>
      </c>
      <c r="F116" s="127"/>
      <c r="G116" s="127">
        <f>SUM(F130:F133)+SUM(F135:F138)*24+SUM(F140:F141)*3+SUM(F145:F147)</f>
        <v>182135.52865871997</v>
      </c>
      <c r="H116" s="127"/>
    </row>
    <row r="117" spans="1:14" s="1" customFormat="1" ht="16.2" thickBot="1" x14ac:dyDescent="0.35">
      <c r="A117" s="138" t="s">
        <v>209</v>
      </c>
      <c r="B117" s="138"/>
      <c r="C117" s="129">
        <f>COUNT(D160:D161)+COUNT(D163:D169)*24+COUNT(D171:D176)*3+COUNT(D179:D184)</f>
        <v>194</v>
      </c>
      <c r="D117" s="129"/>
      <c r="E117" s="130">
        <f>SUM(D160:D161)+SUM(D163:D169)*24+SUM(D171:D176)*3+SUM(D179:D184)</f>
        <v>128688.67908</v>
      </c>
      <c r="F117" s="130"/>
      <c r="G117" s="130">
        <f>SUM(F160:F161)+SUM(F163:F169)*24+SUM(F171:F176)*3+SUM(F179:F184)</f>
        <v>205901.886528</v>
      </c>
      <c r="H117" s="130"/>
    </row>
    <row r="118" spans="1:14" s="1" customFormat="1" ht="16.2" thickBot="1" x14ac:dyDescent="0.35">
      <c r="A118" s="131" t="s">
        <v>63</v>
      </c>
      <c r="B118" s="132"/>
      <c r="C118" s="133">
        <f>SUM(C116:C117)</f>
        <v>303</v>
      </c>
      <c r="D118" s="133"/>
      <c r="E118" s="134">
        <f>SUM(E116:E117)</f>
        <v>242523.38449169998</v>
      </c>
      <c r="F118" s="135"/>
      <c r="G118" s="136">
        <f>SUM(G116:G117)</f>
        <v>388037.41518671997</v>
      </c>
      <c r="H118" s="137"/>
    </row>
    <row r="119" spans="1:14" s="9" customFormat="1" x14ac:dyDescent="0.3">
      <c r="A119" s="186" t="s">
        <v>64</v>
      </c>
      <c r="B119" s="186"/>
      <c r="C119" s="186"/>
      <c r="D119" s="186"/>
      <c r="E119" s="186"/>
      <c r="F119" s="186"/>
      <c r="G119" s="186"/>
      <c r="H119" s="186"/>
    </row>
    <row r="120" spans="1:14" x14ac:dyDescent="0.3">
      <c r="A120" s="84" t="s">
        <v>65</v>
      </c>
      <c r="B120" s="84"/>
      <c r="C120" s="84"/>
      <c r="D120" s="84"/>
      <c r="E120" s="84"/>
      <c r="F120" s="84"/>
      <c r="G120" s="84"/>
      <c r="H120" s="84"/>
    </row>
    <row r="121" spans="1:14" s="2" customFormat="1" x14ac:dyDescent="0.3">
      <c r="A121" s="105"/>
      <c r="B121" s="106"/>
      <c r="C121" s="106"/>
      <c r="D121" s="106"/>
      <c r="E121" s="106"/>
      <c r="F121" s="106"/>
      <c r="G121" s="106"/>
      <c r="H121" s="107"/>
      <c r="I121" s="25"/>
      <c r="N121" s="25"/>
    </row>
    <row r="122" spans="1:14" ht="47.25" customHeight="1" x14ac:dyDescent="0.3">
      <c r="A122" s="116" t="s">
        <v>147</v>
      </c>
      <c r="B122" s="116" t="s">
        <v>148</v>
      </c>
      <c r="C122" s="112" t="s">
        <v>66</v>
      </c>
      <c r="D122" s="112" t="s">
        <v>67</v>
      </c>
      <c r="E122" s="114" t="s">
        <v>68</v>
      </c>
      <c r="F122" s="26" t="s">
        <v>146</v>
      </c>
      <c r="G122" s="116" t="s">
        <v>69</v>
      </c>
      <c r="H122" s="117"/>
      <c r="I122" s="25"/>
    </row>
    <row r="123" spans="1:14" s="2" customFormat="1" x14ac:dyDescent="0.3">
      <c r="A123" s="118"/>
      <c r="B123" s="118"/>
      <c r="C123" s="113"/>
      <c r="D123" s="113"/>
      <c r="E123" s="115"/>
      <c r="F123" s="24">
        <v>0.6</v>
      </c>
      <c r="G123" s="118"/>
      <c r="H123" s="119"/>
      <c r="I123" s="25"/>
    </row>
    <row r="124" spans="1:14" x14ac:dyDescent="0.3">
      <c r="A124" s="84" t="s">
        <v>210</v>
      </c>
      <c r="B124" s="84"/>
      <c r="C124" s="84"/>
      <c r="D124" s="84"/>
      <c r="E124" s="84"/>
      <c r="F124" s="84"/>
      <c r="G124" s="84"/>
      <c r="H124" s="84"/>
    </row>
    <row r="125" spans="1:14" x14ac:dyDescent="0.3">
      <c r="A125" s="84" t="s">
        <v>205</v>
      </c>
      <c r="B125" s="84"/>
      <c r="C125" s="84"/>
      <c r="D125" s="84"/>
      <c r="E125" s="84"/>
      <c r="F125" s="84"/>
      <c r="G125" s="84"/>
      <c r="H125" s="84"/>
    </row>
    <row r="126" spans="1:14" x14ac:dyDescent="0.3">
      <c r="A126" s="84" t="s">
        <v>181</v>
      </c>
      <c r="B126" s="84"/>
      <c r="C126" s="84"/>
      <c r="D126" s="84"/>
      <c r="E126" s="84"/>
      <c r="F126" s="84"/>
      <c r="G126" s="84"/>
      <c r="H126" s="84"/>
    </row>
    <row r="127" spans="1:14" x14ac:dyDescent="0.3">
      <c r="A127" s="84" t="s">
        <v>202</v>
      </c>
      <c r="B127" s="84"/>
      <c r="C127" s="84"/>
      <c r="D127" s="84"/>
      <c r="E127" s="84"/>
      <c r="F127" s="84"/>
      <c r="G127" s="84"/>
      <c r="H127" s="84"/>
    </row>
    <row r="128" spans="1:14" x14ac:dyDescent="0.3">
      <c r="A128" s="84" t="s">
        <v>232</v>
      </c>
      <c r="B128" s="84"/>
      <c r="C128" s="84"/>
      <c r="D128" s="84"/>
      <c r="E128" s="84"/>
      <c r="F128" s="84"/>
      <c r="G128" s="84"/>
      <c r="H128" s="84"/>
    </row>
    <row r="129" spans="1:16" s="2" customFormat="1" x14ac:dyDescent="0.3">
      <c r="A129" s="104" t="s">
        <v>204</v>
      </c>
      <c r="B129" s="104"/>
      <c r="C129" s="104"/>
      <c r="D129" s="104"/>
      <c r="E129" s="104"/>
      <c r="F129" s="104"/>
      <c r="G129" s="104"/>
      <c r="H129" s="104"/>
      <c r="I129" s="25"/>
      <c r="L129" s="96"/>
      <c r="M129" s="96"/>
    </row>
    <row r="130" spans="1:16" s="2" customFormat="1" ht="15.75" customHeight="1" x14ac:dyDescent="0.3">
      <c r="A130" s="97">
        <v>1</v>
      </c>
      <c r="B130" s="97"/>
      <c r="C130" s="19" t="s">
        <v>206</v>
      </c>
      <c r="D130" s="19">
        <f>(102.81)*10.764</f>
        <v>1106.6468399999999</v>
      </c>
      <c r="E130" s="19">
        <v>0</v>
      </c>
      <c r="F130" s="19">
        <f>D130*(($F$123)+1)+E130</f>
        <v>1770.6349439999999</v>
      </c>
      <c r="G130" s="97" t="str">
        <f>A129</f>
        <v>1st Floor for Residential</v>
      </c>
      <c r="H130" s="97"/>
      <c r="I130" s="50">
        <f>3.81*5.55+2.65*3.225+2.425*3.1+1.525*1.575+1.55*0.875+1.45*0.9+2.55*1.375+1.675*1.075+1.575*1.175+3.05*3.65+1.225*2.45+1.625*1.525+3.375*3.65+2.25*1.525+4.025*3.075+1.525*2.05+3.61*1.375</f>
        <v>102.25862499999999</v>
      </c>
      <c r="N130" s="25"/>
    </row>
    <row r="131" spans="1:16" s="2" customFormat="1" ht="15.75" customHeight="1" x14ac:dyDescent="0.3">
      <c r="A131" s="97">
        <f>A130+1</f>
        <v>2</v>
      </c>
      <c r="B131" s="97"/>
      <c r="C131" s="19" t="s">
        <v>206</v>
      </c>
      <c r="D131" s="19">
        <f>(116.6)*10.764</f>
        <v>1255.0823999999998</v>
      </c>
      <c r="E131" s="19">
        <v>0</v>
      </c>
      <c r="F131" s="19">
        <f t="shared" ref="F131:F133" si="0">D131*(($F$123)+1)+E131</f>
        <v>2008.1318399999998</v>
      </c>
      <c r="G131" s="97"/>
      <c r="H131" s="97"/>
      <c r="I131" s="25"/>
      <c r="N131" s="25"/>
    </row>
    <row r="132" spans="1:16" s="2" customFormat="1" ht="15.75" customHeight="1" x14ac:dyDescent="0.3">
      <c r="A132" s="97">
        <f>A131+1</f>
        <v>3</v>
      </c>
      <c r="B132" s="97"/>
      <c r="C132" s="19" t="s">
        <v>206</v>
      </c>
      <c r="D132" s="19">
        <f>84.11*10.764</f>
        <v>905.36003999999991</v>
      </c>
      <c r="E132" s="19">
        <v>0</v>
      </c>
      <c r="F132" s="19">
        <f t="shared" si="0"/>
        <v>1448.5760639999999</v>
      </c>
      <c r="G132" s="97"/>
      <c r="H132" s="97"/>
      <c r="I132" s="25">
        <f>8*7-2</f>
        <v>54</v>
      </c>
      <c r="N132" s="25"/>
    </row>
    <row r="133" spans="1:16" s="2" customFormat="1" ht="15.75" customHeight="1" x14ac:dyDescent="0.3">
      <c r="A133" s="97">
        <f t="shared" ref="A133" si="1">A132+1</f>
        <v>4</v>
      </c>
      <c r="B133" s="97"/>
      <c r="C133" s="19" t="s">
        <v>206</v>
      </c>
      <c r="D133" s="19">
        <f>81.39*10.764</f>
        <v>876.08195999999998</v>
      </c>
      <c r="E133" s="19">
        <v>0</v>
      </c>
      <c r="F133" s="19">
        <f t="shared" si="0"/>
        <v>1401.7311360000001</v>
      </c>
      <c r="G133" s="97"/>
      <c r="H133" s="97"/>
      <c r="I133" s="25"/>
      <c r="N133" s="25"/>
    </row>
    <row r="134" spans="1:16" s="2" customFormat="1" x14ac:dyDescent="0.3">
      <c r="A134" s="81" t="s">
        <v>223</v>
      </c>
      <c r="B134" s="82"/>
      <c r="C134" s="82"/>
      <c r="D134" s="82"/>
      <c r="E134" s="82"/>
      <c r="F134" s="82"/>
      <c r="G134" s="82"/>
      <c r="H134" s="83"/>
      <c r="I134" s="25"/>
      <c r="L134" s="96"/>
      <c r="M134" s="96"/>
    </row>
    <row r="135" spans="1:16" s="2" customFormat="1" ht="15.75" customHeight="1" x14ac:dyDescent="0.3">
      <c r="A135" s="97">
        <v>1</v>
      </c>
      <c r="B135" s="97"/>
      <c r="C135" s="19" t="s">
        <v>183</v>
      </c>
      <c r="D135" s="19">
        <f>(102.81)*10.764</f>
        <v>1106.6468399999999</v>
      </c>
      <c r="E135" s="19">
        <v>0</v>
      </c>
      <c r="F135" s="19">
        <f>D135*(($F$123)+1)+E135</f>
        <v>1770.6349439999999</v>
      </c>
      <c r="G135" s="98" t="str">
        <f>A134</f>
        <v xml:space="preserve">2nd, 3rd, 5th to 10th, 12th to 17th, 19th to 24th &amp; 26th to 29th Floor for Residential </v>
      </c>
      <c r="H135" s="99"/>
      <c r="I135" s="25"/>
      <c r="N135" s="25"/>
    </row>
    <row r="136" spans="1:16" s="2" customFormat="1" ht="15.75" customHeight="1" x14ac:dyDescent="0.3">
      <c r="A136" s="97">
        <f>A135+1</f>
        <v>2</v>
      </c>
      <c r="B136" s="97"/>
      <c r="C136" s="19" t="s">
        <v>183</v>
      </c>
      <c r="D136" s="19">
        <f>(116.6)*10.764</f>
        <v>1255.0823999999998</v>
      </c>
      <c r="E136" s="19">
        <v>0</v>
      </c>
      <c r="F136" s="19">
        <f t="shared" ref="F136:F138" si="2">D136*(($F$123)+1)+E136</f>
        <v>2008.1318399999998</v>
      </c>
      <c r="G136" s="100"/>
      <c r="H136" s="101"/>
      <c r="I136" s="25"/>
      <c r="N136" s="25"/>
    </row>
    <row r="137" spans="1:16" s="2" customFormat="1" ht="15.75" customHeight="1" x14ac:dyDescent="0.3">
      <c r="A137" s="97">
        <f>A136+1</f>
        <v>3</v>
      </c>
      <c r="B137" s="97"/>
      <c r="C137" s="19" t="s">
        <v>183</v>
      </c>
      <c r="D137" s="19">
        <f>84.11*10.764</f>
        <v>905.36003999999991</v>
      </c>
      <c r="E137" s="19">
        <v>0</v>
      </c>
      <c r="F137" s="19">
        <f t="shared" si="2"/>
        <v>1448.5760639999999</v>
      </c>
      <c r="G137" s="100"/>
      <c r="H137" s="101"/>
      <c r="I137" s="25"/>
      <c r="N137" s="25"/>
    </row>
    <row r="138" spans="1:16" s="2" customFormat="1" ht="15.75" customHeight="1" x14ac:dyDescent="0.3">
      <c r="A138" s="97">
        <f t="shared" ref="A138" si="3">A137+1</f>
        <v>4</v>
      </c>
      <c r="B138" s="97"/>
      <c r="C138" s="19" t="s">
        <v>183</v>
      </c>
      <c r="D138" s="19">
        <f>81.39*10.764</f>
        <v>876.08195999999998</v>
      </c>
      <c r="E138" s="19">
        <v>0</v>
      </c>
      <c r="F138" s="19">
        <f t="shared" si="2"/>
        <v>1401.7311360000001</v>
      </c>
      <c r="G138" s="102"/>
      <c r="H138" s="103"/>
      <c r="I138" s="25"/>
      <c r="N138" s="25"/>
    </row>
    <row r="139" spans="1:16" s="2" customFormat="1" x14ac:dyDescent="0.3">
      <c r="A139" s="81" t="s">
        <v>203</v>
      </c>
      <c r="B139" s="82"/>
      <c r="C139" s="82"/>
      <c r="D139" s="82"/>
      <c r="E139" s="82"/>
      <c r="F139" s="82"/>
      <c r="G139" s="82"/>
      <c r="H139" s="83"/>
      <c r="I139" s="25"/>
    </row>
    <row r="140" spans="1:16" s="2" customFormat="1" ht="15.75" customHeight="1" x14ac:dyDescent="0.3">
      <c r="A140" s="105">
        <v>1</v>
      </c>
      <c r="B140" s="107"/>
      <c r="C140" s="19" t="s">
        <v>183</v>
      </c>
      <c r="D140" s="19">
        <f>(102.81)*10.764</f>
        <v>1106.6468399999999</v>
      </c>
      <c r="E140" s="19">
        <v>0</v>
      </c>
      <c r="F140" s="19">
        <f>D140*(($F$123)+1)+E140</f>
        <v>1770.6349439999999</v>
      </c>
      <c r="G140" s="98" t="str">
        <f>A139</f>
        <v>4th, 11th &amp; 18th Floor (Part Refuge Area)</v>
      </c>
      <c r="H140" s="99"/>
      <c r="I140" s="25"/>
      <c r="N140" s="2" t="str">
        <f t="shared" ref="N140:N141" ca="1" si="4">O140&amp;""&amp;" to "&amp;""&amp;P140</f>
        <v>301 to 1801</v>
      </c>
      <c r="O140" s="2">
        <v>301</v>
      </c>
      <c r="P140" s="2">
        <f ca="1">(SUMPRODUCT(MID(0&amp;(--TRIM(RIGHT(SUBSTITUTE(LEFT(A139,_xlfn.AGGREGATE(16,6,FIND({0,1,2,3,4,5,6,7,8,9},A139,ROW(INDIRECT("1:"&amp;LEN(A139)))),1))," ",REPT(" ",LEN(A139))),LEN(A139)))), LARGE(INDEX(ISNUMBER(--MID((--TRIM(RIGHT(SUBSTITUTE(LEFT(A139,_xlfn.AGGREGATE(16,6,FIND({0,1,2,3,4,5,6,7,8,9},A139,ROW(INDIRECT("1:"&amp;LEN(A139)))),1))," ",REPT(" ",LEN(A139))),LEN(A139)))), ROW(INDIRECT("1:"&amp;LEN((--TRIM(RIGHT(SUBSTITUTE(LEFT(A139,_xlfn.AGGREGATE(16,6,FIND({0,1,2,3,4,5,6,7,8,9},A139,ROW(INDIRECT("1:"&amp;LEN(A139)))),1))," ",REPT(" ",LEN(A139))),LEN(A139))))))), 1)) * ROW(INDIRECT("1:"&amp;LEN((--TRIM(RIGHT(SUBSTITUTE(LEFT(A139,_xlfn.AGGREGATE(16,6,FIND({0,1,2,3,4,5,6,7,8,9},A139,ROW(INDIRECT("1:"&amp;LEN(A139)))),1))," ",REPT(" ",LEN(A139))),LEN(A139))))))), 0), ROW(INDIRECT("1:"&amp;LEN((--TRIM(RIGHT(SUBSTITUTE(LEFT(A139,_xlfn.AGGREGATE(16,6,FIND({0,1,2,3,4,5,6,7,8,9},A139,ROW(INDIRECT("1:"&amp;LEN(A139)))),1))," ",REPT(" ",LEN(A139))),LEN(A139))))))))+1, 1) * 10^ROW(INDIRECT("1:"&amp;LEN((--TRIM(RIGHT(SUBSTITUTE(LEFT(A139,_xlfn.AGGREGATE(16,6,FIND({0,1,2,3,4,5,6,7,8,9},A139,ROW(INDIRECT("1:"&amp;LEN(A139)))),1))," ",REPT(" ",LEN(A139))),LEN(A139)))))))/10))*100+1</f>
        <v>1801</v>
      </c>
    </row>
    <row r="141" spans="1:16" s="2" customFormat="1" ht="15.75" customHeight="1" x14ac:dyDescent="0.3">
      <c r="A141" s="105">
        <v>2</v>
      </c>
      <c r="B141" s="107"/>
      <c r="C141" s="19" t="s">
        <v>183</v>
      </c>
      <c r="D141" s="19">
        <f>(116.6)*10.764</f>
        <v>1255.0823999999998</v>
      </c>
      <c r="E141" s="19">
        <v>0</v>
      </c>
      <c r="F141" s="19">
        <f>D141*(($F$123)+1)+E141</f>
        <v>2008.1318399999998</v>
      </c>
      <c r="G141" s="100"/>
      <c r="H141" s="101"/>
      <c r="I141" s="25"/>
      <c r="N141" s="2" t="str">
        <f t="shared" ca="1" si="4"/>
        <v>302 to 1802</v>
      </c>
      <c r="O141" s="2">
        <f t="shared" ref="O141:P141" si="5">O140+1</f>
        <v>302</v>
      </c>
      <c r="P141" s="2">
        <f t="shared" ca="1" si="5"/>
        <v>1802</v>
      </c>
    </row>
    <row r="142" spans="1:16" s="2" customFormat="1" ht="15.75" customHeight="1" x14ac:dyDescent="0.3">
      <c r="A142" s="97">
        <f>A141+1</f>
        <v>3</v>
      </c>
      <c r="B142" s="97"/>
      <c r="C142" s="98" t="s">
        <v>184</v>
      </c>
      <c r="D142" s="150"/>
      <c r="E142" s="150"/>
      <c r="F142" s="99"/>
      <c r="G142" s="100"/>
      <c r="H142" s="101"/>
      <c r="I142" s="25"/>
      <c r="N142" s="25"/>
    </row>
    <row r="143" spans="1:16" s="2" customFormat="1" ht="15.75" customHeight="1" x14ac:dyDescent="0.3">
      <c r="A143" s="97">
        <f t="shared" ref="A143" si="6">A142+1</f>
        <v>4</v>
      </c>
      <c r="B143" s="97"/>
      <c r="C143" s="102"/>
      <c r="D143" s="151"/>
      <c r="E143" s="151"/>
      <c r="F143" s="103"/>
      <c r="G143" s="102"/>
      <c r="H143" s="103"/>
      <c r="I143" s="25"/>
      <c r="N143" s="25"/>
    </row>
    <row r="144" spans="1:16" s="2" customFormat="1" x14ac:dyDescent="0.3">
      <c r="A144" s="81" t="s">
        <v>224</v>
      </c>
      <c r="B144" s="82"/>
      <c r="C144" s="82"/>
      <c r="D144" s="82"/>
      <c r="E144" s="82"/>
      <c r="F144" s="82"/>
      <c r="G144" s="82"/>
      <c r="H144" s="83"/>
      <c r="I144" s="25"/>
      <c r="L144" s="96"/>
      <c r="M144" s="96"/>
    </row>
    <row r="145" spans="1:14" s="2" customFormat="1" ht="15.75" customHeight="1" x14ac:dyDescent="0.3">
      <c r="A145" s="97">
        <v>1</v>
      </c>
      <c r="B145" s="97"/>
      <c r="C145" s="19" t="s">
        <v>183</v>
      </c>
      <c r="D145" s="19">
        <f>(102.81)*10.764</f>
        <v>1106.6468399999999</v>
      </c>
      <c r="E145" s="19">
        <v>0</v>
      </c>
      <c r="F145" s="19">
        <f>D145*(($F$123)+1)+E145</f>
        <v>1770.6349439999999</v>
      </c>
      <c r="G145" s="98" t="str">
        <f>A144</f>
        <v>25th Floor(Part Refuge Area)</v>
      </c>
      <c r="H145" s="99"/>
      <c r="I145" s="25"/>
      <c r="N145" s="25"/>
    </row>
    <row r="146" spans="1:14" s="2" customFormat="1" ht="15.75" customHeight="1" x14ac:dyDescent="0.3">
      <c r="A146" s="97">
        <f>A145+1</f>
        <v>2</v>
      </c>
      <c r="B146" s="97"/>
      <c r="C146" s="19" t="s">
        <v>183</v>
      </c>
      <c r="D146" s="19">
        <f>(116.6)*10.764</f>
        <v>1255.0823999999998</v>
      </c>
      <c r="E146" s="19">
        <v>0</v>
      </c>
      <c r="F146" s="19">
        <f>D146*(($F$123)+1)+E146</f>
        <v>2008.1318399999998</v>
      </c>
      <c r="G146" s="100"/>
      <c r="H146" s="101"/>
      <c r="I146" s="25"/>
      <c r="N146" s="25"/>
    </row>
    <row r="147" spans="1:14" s="2" customFormat="1" ht="15.75" customHeight="1" x14ac:dyDescent="0.3">
      <c r="A147" s="97">
        <f>A146+1</f>
        <v>3</v>
      </c>
      <c r="B147" s="97"/>
      <c r="C147" s="19" t="s">
        <v>185</v>
      </c>
      <c r="D147" s="19">
        <f>(2*1.2+4.25*3.15+4.48*2.425+3.5*2.9+3.5*3.05+2.275*1.375+3.4*1.127+2.275*1.375+3.15*3.53+2.275*1.375+1.1*3)*10.764</f>
        <v>808.50745169999971</v>
      </c>
      <c r="E147" s="19">
        <v>0</v>
      </c>
      <c r="F147" s="19">
        <f>D147*(($F$123)+1)+E147</f>
        <v>1293.6119227199997</v>
      </c>
      <c r="G147" s="100"/>
      <c r="H147" s="101"/>
      <c r="I147" s="25"/>
      <c r="N147" s="25"/>
    </row>
    <row r="148" spans="1:14" s="2" customFormat="1" ht="15.75" customHeight="1" x14ac:dyDescent="0.3">
      <c r="A148" s="97">
        <f t="shared" ref="A148" si="7">A147+1</f>
        <v>4</v>
      </c>
      <c r="B148" s="97"/>
      <c r="C148" s="105" t="s">
        <v>184</v>
      </c>
      <c r="D148" s="106"/>
      <c r="E148" s="106"/>
      <c r="F148" s="107"/>
      <c r="G148" s="102"/>
      <c r="H148" s="103"/>
      <c r="I148" s="25"/>
      <c r="N148" s="25"/>
    </row>
    <row r="149" spans="1:14" x14ac:dyDescent="0.3">
      <c r="A149" s="84" t="s">
        <v>209</v>
      </c>
      <c r="B149" s="84"/>
      <c r="C149" s="84"/>
      <c r="D149" s="84"/>
      <c r="E149" s="84"/>
      <c r="F149" s="84"/>
      <c r="G149" s="84"/>
      <c r="H149" s="84"/>
    </row>
    <row r="150" spans="1:14" x14ac:dyDescent="0.3">
      <c r="A150" s="84" t="s">
        <v>205</v>
      </c>
      <c r="B150" s="84"/>
      <c r="C150" s="84"/>
      <c r="D150" s="84"/>
      <c r="E150" s="84"/>
      <c r="F150" s="84"/>
      <c r="G150" s="84"/>
      <c r="H150" s="84"/>
    </row>
    <row r="151" spans="1:14" x14ac:dyDescent="0.3">
      <c r="A151" s="84" t="s">
        <v>181</v>
      </c>
      <c r="B151" s="84"/>
      <c r="C151" s="84"/>
      <c r="D151" s="84"/>
      <c r="E151" s="84"/>
      <c r="F151" s="84"/>
      <c r="G151" s="84"/>
      <c r="H151" s="84"/>
    </row>
    <row r="152" spans="1:14" x14ac:dyDescent="0.3">
      <c r="A152" s="84" t="s">
        <v>202</v>
      </c>
      <c r="B152" s="84"/>
      <c r="C152" s="84"/>
      <c r="D152" s="84"/>
      <c r="E152" s="84"/>
      <c r="F152" s="84"/>
      <c r="G152" s="84"/>
      <c r="H152" s="84"/>
    </row>
    <row r="153" spans="1:14" x14ac:dyDescent="0.3">
      <c r="A153" s="84" t="s">
        <v>231</v>
      </c>
      <c r="B153" s="84"/>
      <c r="C153" s="84"/>
      <c r="D153" s="84"/>
      <c r="E153" s="84"/>
      <c r="F153" s="84"/>
      <c r="G153" s="84"/>
      <c r="H153" s="84"/>
    </row>
    <row r="154" spans="1:14" s="2" customFormat="1" x14ac:dyDescent="0.3">
      <c r="A154" s="81" t="s">
        <v>182</v>
      </c>
      <c r="B154" s="82"/>
      <c r="C154" s="82"/>
      <c r="D154" s="82"/>
      <c r="E154" s="82"/>
      <c r="F154" s="82"/>
      <c r="G154" s="82"/>
      <c r="H154" s="83"/>
      <c r="I154" s="25"/>
      <c r="L154" s="96"/>
      <c r="M154" s="96"/>
    </row>
    <row r="155" spans="1:14" s="2" customFormat="1" ht="15.75" customHeight="1" x14ac:dyDescent="0.3">
      <c r="A155" s="97">
        <v>1</v>
      </c>
      <c r="B155" s="97"/>
      <c r="C155" s="97" t="s">
        <v>225</v>
      </c>
      <c r="D155" s="97"/>
      <c r="E155" s="97"/>
      <c r="F155" s="97"/>
      <c r="G155" s="97" t="str">
        <f>A154</f>
        <v xml:space="preserve">1st Floor for Residential (Part Refuge Floor) </v>
      </c>
      <c r="H155" s="97"/>
      <c r="I155" s="25"/>
      <c r="N155" s="25"/>
    </row>
    <row r="156" spans="1:14" s="2" customFormat="1" ht="15.75" customHeight="1" x14ac:dyDescent="0.3">
      <c r="A156" s="97">
        <v>2</v>
      </c>
      <c r="B156" s="97"/>
      <c r="C156" s="97"/>
      <c r="D156" s="97"/>
      <c r="E156" s="97"/>
      <c r="F156" s="97"/>
      <c r="G156" s="97"/>
      <c r="H156" s="97"/>
      <c r="I156" s="25"/>
      <c r="N156" s="25"/>
    </row>
    <row r="157" spans="1:14" s="2" customFormat="1" ht="15.75" customHeight="1" x14ac:dyDescent="0.3">
      <c r="A157" s="97">
        <v>3</v>
      </c>
      <c r="B157" s="97"/>
      <c r="C157" s="97"/>
      <c r="D157" s="97"/>
      <c r="E157" s="97"/>
      <c r="F157" s="97"/>
      <c r="G157" s="97"/>
      <c r="H157" s="97"/>
      <c r="I157" s="25"/>
      <c r="N157" s="25"/>
    </row>
    <row r="158" spans="1:14" s="2" customFormat="1" ht="15.75" customHeight="1" x14ac:dyDescent="0.3">
      <c r="A158" s="97">
        <v>4</v>
      </c>
      <c r="B158" s="97"/>
      <c r="C158" s="97"/>
      <c r="D158" s="97"/>
      <c r="E158" s="97"/>
      <c r="F158" s="97"/>
      <c r="G158" s="97"/>
      <c r="H158" s="97"/>
      <c r="I158" s="25"/>
      <c r="N158" s="25"/>
    </row>
    <row r="159" spans="1:14" s="2" customFormat="1" ht="15.75" customHeight="1" x14ac:dyDescent="0.3">
      <c r="A159" s="97">
        <v>5</v>
      </c>
      <c r="B159" s="97"/>
      <c r="C159" s="97"/>
      <c r="D159" s="97"/>
      <c r="E159" s="97"/>
      <c r="F159" s="97"/>
      <c r="G159" s="97"/>
      <c r="H159" s="97"/>
      <c r="I159" s="25"/>
      <c r="N159" s="25"/>
    </row>
    <row r="160" spans="1:14" s="2" customFormat="1" ht="15.75" customHeight="1" x14ac:dyDescent="0.3">
      <c r="A160" s="97">
        <v>6</v>
      </c>
      <c r="B160" s="97"/>
      <c r="C160" s="19" t="s">
        <v>226</v>
      </c>
      <c r="D160" s="19">
        <f>53.82*10.764</f>
        <v>579.31848000000002</v>
      </c>
      <c r="E160" s="19">
        <v>0</v>
      </c>
      <c r="F160" s="19">
        <f>D160*(($F$123)+1)+E160</f>
        <v>926.90956800000004</v>
      </c>
      <c r="G160" s="97"/>
      <c r="H160" s="97"/>
      <c r="I160" s="25"/>
      <c r="N160" s="25"/>
    </row>
    <row r="161" spans="1:16" s="2" customFormat="1" ht="15.75" customHeight="1" x14ac:dyDescent="0.3">
      <c r="A161" s="97">
        <v>7</v>
      </c>
      <c r="B161" s="97"/>
      <c r="C161" s="19" t="s">
        <v>226</v>
      </c>
      <c r="D161" s="19">
        <f>66.09*10.764</f>
        <v>711.39275999999995</v>
      </c>
      <c r="E161" s="19">
        <v>0</v>
      </c>
      <c r="F161" s="19">
        <f>D161*(($F$123)+1)+E161</f>
        <v>1138.2284159999999</v>
      </c>
      <c r="G161" s="97"/>
      <c r="H161" s="97"/>
      <c r="I161" s="25"/>
      <c r="N161" s="25"/>
    </row>
    <row r="162" spans="1:16" s="2" customFormat="1" x14ac:dyDescent="0.3">
      <c r="A162" s="104" t="s">
        <v>223</v>
      </c>
      <c r="B162" s="104"/>
      <c r="C162" s="104"/>
      <c r="D162" s="104"/>
      <c r="E162" s="104"/>
      <c r="F162" s="104"/>
      <c r="G162" s="104"/>
      <c r="H162" s="104"/>
      <c r="I162" s="25"/>
      <c r="L162" s="96"/>
      <c r="M162" s="96"/>
    </row>
    <row r="163" spans="1:16" s="2" customFormat="1" ht="15.75" customHeight="1" x14ac:dyDescent="0.3">
      <c r="A163" s="97">
        <v>1</v>
      </c>
      <c r="B163" s="97"/>
      <c r="C163" s="19" t="s">
        <v>183</v>
      </c>
      <c r="D163" s="19">
        <f>85.33*10.764</f>
        <v>918.49211999999989</v>
      </c>
      <c r="E163" s="19">
        <v>0</v>
      </c>
      <c r="F163" s="19">
        <f>D163*(($F$123)+1)+E163</f>
        <v>1469.5873919999999</v>
      </c>
      <c r="G163" s="97" t="str">
        <f>A162</f>
        <v xml:space="preserve">2nd, 3rd, 5th to 10th, 12th to 17th, 19th to 24th &amp; 26th to 29th Floor for Residential </v>
      </c>
      <c r="H163" s="97"/>
      <c r="I163" s="25"/>
      <c r="N163" s="25"/>
    </row>
    <row r="164" spans="1:16" s="2" customFormat="1" ht="15.75" customHeight="1" x14ac:dyDescent="0.3">
      <c r="A164" s="97">
        <v>2</v>
      </c>
      <c r="B164" s="97"/>
      <c r="C164" s="19" t="s">
        <v>226</v>
      </c>
      <c r="D164" s="19">
        <f>56.95*10.764</f>
        <v>613.00980000000004</v>
      </c>
      <c r="E164" s="19">
        <v>0</v>
      </c>
      <c r="F164" s="19">
        <f t="shared" ref="F164:F166" si="8">D164*(($F$123)+1)+E164</f>
        <v>980.81568000000016</v>
      </c>
      <c r="G164" s="97"/>
      <c r="H164" s="97"/>
      <c r="I164" s="25"/>
      <c r="N164" s="25"/>
    </row>
    <row r="165" spans="1:16" s="2" customFormat="1" ht="15.75" customHeight="1" x14ac:dyDescent="0.3">
      <c r="A165" s="97">
        <v>3</v>
      </c>
      <c r="B165" s="97"/>
      <c r="C165" s="19" t="s">
        <v>226</v>
      </c>
      <c r="D165" s="19">
        <f>58.37*10.764</f>
        <v>628.29467999999997</v>
      </c>
      <c r="E165" s="19">
        <v>0</v>
      </c>
      <c r="F165" s="19">
        <f t="shared" si="8"/>
        <v>1005.271488</v>
      </c>
      <c r="G165" s="97"/>
      <c r="H165" s="97"/>
      <c r="I165" s="25"/>
      <c r="N165" s="25"/>
    </row>
    <row r="166" spans="1:16" s="2" customFormat="1" ht="15.75" customHeight="1" x14ac:dyDescent="0.3">
      <c r="A166" s="97">
        <v>4</v>
      </c>
      <c r="B166" s="97"/>
      <c r="C166" s="19" t="s">
        <v>226</v>
      </c>
      <c r="D166" s="19">
        <f>64.06*10.764</f>
        <v>689.54183999999998</v>
      </c>
      <c r="E166" s="19">
        <v>0</v>
      </c>
      <c r="F166" s="19">
        <f t="shared" si="8"/>
        <v>1103.266944</v>
      </c>
      <c r="G166" s="97"/>
      <c r="H166" s="97"/>
      <c r="I166" s="25"/>
      <c r="N166" s="25"/>
    </row>
    <row r="167" spans="1:16" s="2" customFormat="1" ht="15.75" customHeight="1" x14ac:dyDescent="0.3">
      <c r="A167" s="97">
        <v>5</v>
      </c>
      <c r="B167" s="97"/>
      <c r="C167" s="19" t="s">
        <v>226</v>
      </c>
      <c r="D167" s="19">
        <f>47.52*10.764</f>
        <v>511.50528000000003</v>
      </c>
      <c r="E167" s="19">
        <v>0</v>
      </c>
      <c r="F167" s="19">
        <f>D167*(($F$123)+1)+E167</f>
        <v>818.40844800000013</v>
      </c>
      <c r="G167" s="97"/>
      <c r="H167" s="97"/>
      <c r="I167" s="25"/>
      <c r="N167" s="25"/>
    </row>
    <row r="168" spans="1:16" s="2" customFormat="1" ht="15.75" customHeight="1" x14ac:dyDescent="0.3">
      <c r="A168" s="97">
        <v>6</v>
      </c>
      <c r="B168" s="97"/>
      <c r="C168" s="19" t="s">
        <v>226</v>
      </c>
      <c r="D168" s="19">
        <f>53.82*10.764</f>
        <v>579.31848000000002</v>
      </c>
      <c r="E168" s="19">
        <v>0</v>
      </c>
      <c r="F168" s="19">
        <f t="shared" ref="F168:F169" si="9">D168*(($F$123)+1)+E168</f>
        <v>926.90956800000004</v>
      </c>
      <c r="G168" s="97"/>
      <c r="H168" s="97"/>
      <c r="I168" s="25"/>
      <c r="N168" s="25"/>
    </row>
    <row r="169" spans="1:16" s="2" customFormat="1" ht="15.75" customHeight="1" x14ac:dyDescent="0.3">
      <c r="A169" s="97">
        <v>7</v>
      </c>
      <c r="B169" s="97"/>
      <c r="C169" s="19" t="s">
        <v>226</v>
      </c>
      <c r="D169" s="19">
        <f>66.09*10.764</f>
        <v>711.39275999999995</v>
      </c>
      <c r="E169" s="19">
        <v>0</v>
      </c>
      <c r="F169" s="19">
        <f t="shared" si="9"/>
        <v>1138.2284159999999</v>
      </c>
      <c r="G169" s="97"/>
      <c r="H169" s="97"/>
      <c r="I169" s="25"/>
      <c r="N169" s="25"/>
    </row>
    <row r="170" spans="1:16" s="2" customFormat="1" x14ac:dyDescent="0.3">
      <c r="A170" s="104" t="s">
        <v>203</v>
      </c>
      <c r="B170" s="104"/>
      <c r="C170" s="104"/>
      <c r="D170" s="104"/>
      <c r="E170" s="104"/>
      <c r="F170" s="104"/>
      <c r="G170" s="104"/>
      <c r="H170" s="104"/>
      <c r="I170" s="25"/>
    </row>
    <row r="171" spans="1:16" s="2" customFormat="1" ht="15.75" customHeight="1" x14ac:dyDescent="0.3">
      <c r="A171" s="97">
        <v>1</v>
      </c>
      <c r="B171" s="97"/>
      <c r="C171" s="19" t="s">
        <v>183</v>
      </c>
      <c r="D171" s="19">
        <f>85.33*10.764</f>
        <v>918.49211999999989</v>
      </c>
      <c r="E171" s="19">
        <v>0</v>
      </c>
      <c r="F171" s="19">
        <f>D171*(($F$123)+1)+E171</f>
        <v>1469.5873919999999</v>
      </c>
      <c r="G171" s="97" t="str">
        <f>A170</f>
        <v>4th, 11th &amp; 18th Floor (Part Refuge Area)</v>
      </c>
      <c r="H171" s="97"/>
      <c r="I171" s="25"/>
      <c r="N171" s="2" t="str">
        <f t="shared" ref="N171:N174" ca="1" si="10">O171&amp;""&amp;" to "&amp;""&amp;P171</f>
        <v>301 to 1801</v>
      </c>
      <c r="O171" s="2">
        <v>301</v>
      </c>
      <c r="P171" s="2">
        <f ca="1">(SUMPRODUCT(MID(0&amp;(--TRIM(RIGHT(SUBSTITUTE(LEFT(A170,_xlfn.AGGREGATE(16,6,FIND({0,1,2,3,4,5,6,7,8,9},A170,ROW(INDIRECT("1:"&amp;LEN(A170)))),1)),"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",LEN(A170))),LEN(A170)))))))/10))*100+1</f>
        <v>1801</v>
      </c>
    </row>
    <row r="172" spans="1:16" s="2" customFormat="1" ht="15.75" customHeight="1" x14ac:dyDescent="0.3">
      <c r="A172" s="97">
        <v>2</v>
      </c>
      <c r="B172" s="97"/>
      <c r="C172" s="19" t="s">
        <v>226</v>
      </c>
      <c r="D172" s="19">
        <f>56.95*10.764</f>
        <v>613.00980000000004</v>
      </c>
      <c r="E172" s="19">
        <v>0</v>
      </c>
      <c r="F172" s="19">
        <f t="shared" ref="F172:F174" si="11">D172*(($F$123)+1)+E172</f>
        <v>980.81568000000016</v>
      </c>
      <c r="G172" s="97"/>
      <c r="H172" s="97"/>
      <c r="I172" s="25"/>
      <c r="N172" s="2" t="str">
        <f t="shared" ca="1" si="10"/>
        <v>302 to 1802</v>
      </c>
      <c r="O172" s="2">
        <f t="shared" ref="O172:P172" si="12">O171+1</f>
        <v>302</v>
      </c>
      <c r="P172" s="2">
        <f t="shared" ca="1" si="12"/>
        <v>1802</v>
      </c>
    </row>
    <row r="173" spans="1:16" s="2" customFormat="1" ht="15.75" customHeight="1" x14ac:dyDescent="0.3">
      <c r="A173" s="97">
        <v>3</v>
      </c>
      <c r="B173" s="97"/>
      <c r="C173" s="19" t="s">
        <v>226</v>
      </c>
      <c r="D173" s="19">
        <f>58.37*10.764</f>
        <v>628.29467999999997</v>
      </c>
      <c r="E173" s="19">
        <v>0</v>
      </c>
      <c r="F173" s="19">
        <f t="shared" si="11"/>
        <v>1005.271488</v>
      </c>
      <c r="G173" s="97"/>
      <c r="H173" s="97"/>
      <c r="I173" s="25"/>
      <c r="N173" s="2" t="str">
        <f t="shared" ca="1" si="10"/>
        <v>303 to 1803</v>
      </c>
      <c r="O173" s="2">
        <f t="shared" ref="O173:P173" si="13">O172+1</f>
        <v>303</v>
      </c>
      <c r="P173" s="2">
        <f t="shared" ca="1" si="13"/>
        <v>1803</v>
      </c>
    </row>
    <row r="174" spans="1:16" s="2" customFormat="1" ht="15.75" customHeight="1" x14ac:dyDescent="0.3">
      <c r="A174" s="97">
        <v>4</v>
      </c>
      <c r="B174" s="97"/>
      <c r="C174" s="19" t="s">
        <v>226</v>
      </c>
      <c r="D174" s="19">
        <f>64.06*10.764</f>
        <v>689.54183999999998</v>
      </c>
      <c r="E174" s="19">
        <v>0</v>
      </c>
      <c r="F174" s="19">
        <f t="shared" si="11"/>
        <v>1103.266944</v>
      </c>
      <c r="G174" s="97"/>
      <c r="H174" s="97"/>
      <c r="I174" s="25"/>
      <c r="N174" s="2" t="str">
        <f t="shared" ca="1" si="10"/>
        <v>304 to 1804</v>
      </c>
      <c r="O174" s="2">
        <f t="shared" ref="O174:P174" si="14">O173+1</f>
        <v>304</v>
      </c>
      <c r="P174" s="2">
        <f t="shared" ca="1" si="14"/>
        <v>1804</v>
      </c>
    </row>
    <row r="175" spans="1:16" s="2" customFormat="1" ht="15.75" customHeight="1" x14ac:dyDescent="0.3">
      <c r="A175" s="97">
        <v>5</v>
      </c>
      <c r="B175" s="97"/>
      <c r="C175" s="19" t="s">
        <v>226</v>
      </c>
      <c r="D175" s="19">
        <f>47.52*10.764</f>
        <v>511.50528000000003</v>
      </c>
      <c r="E175" s="19">
        <v>0</v>
      </c>
      <c r="F175" s="19">
        <f>D175*(($F$123)+1)+E175</f>
        <v>818.40844800000013</v>
      </c>
      <c r="G175" s="97"/>
      <c r="H175" s="97"/>
      <c r="I175" s="25"/>
      <c r="N175" s="2" t="str">
        <f t="shared" ref="N175:N176" ca="1" si="15">O175&amp;""&amp;" to "&amp;""&amp;P175</f>
        <v>301 to 401</v>
      </c>
      <c r="O175" s="2">
        <v>301</v>
      </c>
      <c r="P175" s="2">
        <f ca="1">(SUMPRODUCT(MID(0&amp;(--TRIM(RIGHT(SUBSTITUTE(LEFT(A174,_xlfn.AGGREGATE(16,6,FIND({0,1,2,3,4,5,6,7,8,9},A174,ROW(INDIRECT("1:"&amp;LEN(A174)))),1)),"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",LEN(A174))),LEN(A174)))))))/10))*100+1</f>
        <v>401</v>
      </c>
    </row>
    <row r="176" spans="1:16" s="2" customFormat="1" ht="15.75" customHeight="1" x14ac:dyDescent="0.3">
      <c r="A176" s="97">
        <v>6</v>
      </c>
      <c r="B176" s="97"/>
      <c r="C176" s="19" t="s">
        <v>226</v>
      </c>
      <c r="D176" s="19">
        <f>53.82*10.764</f>
        <v>579.31848000000002</v>
      </c>
      <c r="E176" s="19">
        <v>0</v>
      </c>
      <c r="F176" s="19">
        <f>D176*(($F$123)+1)+E176</f>
        <v>926.90956800000004</v>
      </c>
      <c r="G176" s="97"/>
      <c r="H176" s="97"/>
      <c r="I176" s="25"/>
      <c r="N176" s="2" t="str">
        <f t="shared" ca="1" si="15"/>
        <v>302 to 402</v>
      </c>
      <c r="O176" s="2">
        <f t="shared" ref="O176:P177" si="16">O175+1</f>
        <v>302</v>
      </c>
      <c r="P176" s="2">
        <f t="shared" ca="1" si="16"/>
        <v>402</v>
      </c>
    </row>
    <row r="177" spans="1:16" s="2" customFormat="1" ht="15.75" customHeight="1" x14ac:dyDescent="0.3">
      <c r="A177" s="97">
        <v>7</v>
      </c>
      <c r="B177" s="97"/>
      <c r="C177" s="97" t="s">
        <v>184</v>
      </c>
      <c r="D177" s="97"/>
      <c r="E177" s="97"/>
      <c r="F177" s="97"/>
      <c r="G177" s="97"/>
      <c r="H177" s="97"/>
      <c r="I177" s="25"/>
      <c r="N177" s="2" t="str">
        <f t="shared" ref="N177" ca="1" si="17">O177&amp;""&amp;" to "&amp;""&amp;P177</f>
        <v>303 to 403</v>
      </c>
      <c r="O177" s="2">
        <f t="shared" si="16"/>
        <v>303</v>
      </c>
      <c r="P177" s="2">
        <f t="shared" ca="1" si="16"/>
        <v>403</v>
      </c>
    </row>
    <row r="178" spans="1:16" s="2" customFormat="1" x14ac:dyDescent="0.3">
      <c r="A178" s="81" t="s">
        <v>227</v>
      </c>
      <c r="B178" s="82"/>
      <c r="C178" s="82"/>
      <c r="D178" s="82"/>
      <c r="E178" s="82"/>
      <c r="F178" s="82"/>
      <c r="G178" s="82"/>
      <c r="H178" s="83"/>
      <c r="I178" s="25"/>
      <c r="L178" s="96"/>
      <c r="M178" s="96"/>
    </row>
    <row r="179" spans="1:16" s="2" customFormat="1" x14ac:dyDescent="0.3">
      <c r="A179" s="97">
        <v>1</v>
      </c>
      <c r="B179" s="97"/>
      <c r="C179" s="19" t="s">
        <v>183</v>
      </c>
      <c r="D179" s="19">
        <f>85.33*10.764</f>
        <v>918.49211999999989</v>
      </c>
      <c r="E179" s="19">
        <v>0</v>
      </c>
      <c r="F179" s="19">
        <f>D179*(($F$123)+1)+E179</f>
        <v>1469.5873919999999</v>
      </c>
      <c r="G179" s="98" t="str">
        <f>A178</f>
        <v>25th Floor</v>
      </c>
      <c r="H179" s="99"/>
      <c r="I179" s="25"/>
      <c r="N179" s="25"/>
    </row>
    <row r="180" spans="1:16" s="2" customFormat="1" x14ac:dyDescent="0.3">
      <c r="A180" s="97">
        <v>2</v>
      </c>
      <c r="B180" s="97"/>
      <c r="C180" s="19" t="s">
        <v>226</v>
      </c>
      <c r="D180" s="19">
        <f>56.95*10.764</f>
        <v>613.00980000000004</v>
      </c>
      <c r="E180" s="19">
        <v>0</v>
      </c>
      <c r="F180" s="19">
        <f t="shared" ref="F180:F182" si="18">D180*(($F$123)+1)+E180</f>
        <v>980.81568000000016</v>
      </c>
      <c r="G180" s="100"/>
      <c r="H180" s="101"/>
      <c r="I180" s="25"/>
      <c r="N180" s="25"/>
    </row>
    <row r="181" spans="1:16" s="2" customFormat="1" x14ac:dyDescent="0.3">
      <c r="A181" s="97">
        <v>3</v>
      </c>
      <c r="B181" s="97"/>
      <c r="C181" s="19" t="s">
        <v>226</v>
      </c>
      <c r="D181" s="19">
        <f>58.37*10.764</f>
        <v>628.29467999999997</v>
      </c>
      <c r="E181" s="19">
        <v>0</v>
      </c>
      <c r="F181" s="19">
        <f t="shared" si="18"/>
        <v>1005.271488</v>
      </c>
      <c r="G181" s="100"/>
      <c r="H181" s="101"/>
      <c r="I181" s="25"/>
      <c r="N181" s="25"/>
    </row>
    <row r="182" spans="1:16" s="2" customFormat="1" x14ac:dyDescent="0.3">
      <c r="A182" s="97">
        <v>4</v>
      </c>
      <c r="B182" s="97"/>
      <c r="C182" s="19" t="s">
        <v>226</v>
      </c>
      <c r="D182" s="19">
        <f>64.06*10.764</f>
        <v>689.54183999999998</v>
      </c>
      <c r="E182" s="19">
        <v>0</v>
      </c>
      <c r="F182" s="19">
        <f t="shared" si="18"/>
        <v>1103.266944</v>
      </c>
      <c r="G182" s="100"/>
      <c r="H182" s="101"/>
      <c r="I182" s="25"/>
      <c r="N182" s="25"/>
    </row>
    <row r="183" spans="1:16" s="2" customFormat="1" ht="15.75" customHeight="1" x14ac:dyDescent="0.3">
      <c r="A183" s="97">
        <v>5</v>
      </c>
      <c r="B183" s="97"/>
      <c r="C183" s="19" t="s">
        <v>226</v>
      </c>
      <c r="D183" s="19">
        <f>47.52*10.764</f>
        <v>511.50528000000003</v>
      </c>
      <c r="E183" s="19">
        <v>0</v>
      </c>
      <c r="F183" s="19">
        <f>D183*(($F$123)+1)+E183</f>
        <v>818.40844800000013</v>
      </c>
      <c r="G183" s="100"/>
      <c r="H183" s="101"/>
      <c r="I183" s="25"/>
      <c r="N183" s="25"/>
    </row>
    <row r="184" spans="1:16" s="2" customFormat="1" ht="15.75" customHeight="1" x14ac:dyDescent="0.3">
      <c r="A184" s="97">
        <v>6</v>
      </c>
      <c r="B184" s="97"/>
      <c r="C184" s="19" t="s">
        <v>226</v>
      </c>
      <c r="D184" s="19">
        <f>53.82*10.764</f>
        <v>579.31848000000002</v>
      </c>
      <c r="E184" s="19">
        <v>0</v>
      </c>
      <c r="F184" s="19">
        <f>D184*(($F$123)+1)+E184</f>
        <v>926.90956800000004</v>
      </c>
      <c r="G184" s="100"/>
      <c r="H184" s="101"/>
      <c r="I184" s="25"/>
      <c r="N184" s="25"/>
    </row>
    <row r="185" spans="1:16" s="2" customFormat="1" ht="15.75" customHeight="1" x14ac:dyDescent="0.3">
      <c r="A185" s="97">
        <v>7</v>
      </c>
      <c r="B185" s="97"/>
      <c r="C185" s="105" t="s">
        <v>184</v>
      </c>
      <c r="D185" s="106"/>
      <c r="E185" s="106"/>
      <c r="F185" s="107"/>
      <c r="G185" s="102"/>
      <c r="H185" s="103"/>
      <c r="I185" s="25"/>
      <c r="N185" s="25"/>
    </row>
    <row r="186" spans="1:16" s="1" customFormat="1" x14ac:dyDescent="0.3">
      <c r="A186" s="149" t="s">
        <v>77</v>
      </c>
      <c r="B186" s="149"/>
      <c r="C186" s="149"/>
      <c r="D186" s="149"/>
      <c r="E186" s="149"/>
      <c r="F186" s="149"/>
      <c r="G186" s="149"/>
      <c r="H186" s="149"/>
    </row>
    <row r="187" spans="1:16" s="1" customFormat="1" x14ac:dyDescent="0.3">
      <c r="A187" s="31">
        <v>1</v>
      </c>
      <c r="B187" s="59" t="s">
        <v>219</v>
      </c>
      <c r="C187" s="60"/>
      <c r="D187" s="60"/>
      <c r="E187" s="60"/>
      <c r="F187" s="60"/>
      <c r="G187" s="60"/>
      <c r="H187" s="61"/>
    </row>
    <row r="188" spans="1:16" s="1" customFormat="1" x14ac:dyDescent="0.3">
      <c r="A188" s="31">
        <f>A187+1</f>
        <v>2</v>
      </c>
      <c r="B188" s="59" t="s">
        <v>197</v>
      </c>
      <c r="C188" s="60"/>
      <c r="D188" s="60"/>
      <c r="E188" s="60"/>
      <c r="F188" s="60"/>
      <c r="G188" s="60"/>
      <c r="H188" s="61"/>
    </row>
    <row r="189" spans="1:16" s="1" customFormat="1" x14ac:dyDescent="0.3">
      <c r="A189" s="31">
        <f t="shared" ref="A189:A196" si="19">A188+1</f>
        <v>3</v>
      </c>
      <c r="B189" s="144" t="s">
        <v>152</v>
      </c>
      <c r="C189" s="145"/>
      <c r="D189" s="145"/>
      <c r="E189" s="145"/>
      <c r="F189" s="145"/>
      <c r="G189" s="145"/>
      <c r="H189" s="146"/>
    </row>
    <row r="190" spans="1:16" s="1" customFormat="1" x14ac:dyDescent="0.3">
      <c r="A190" s="31">
        <f t="shared" si="19"/>
        <v>4</v>
      </c>
      <c r="B190" s="144" t="s">
        <v>228</v>
      </c>
      <c r="C190" s="145"/>
      <c r="D190" s="145"/>
      <c r="E190" s="145"/>
      <c r="F190" s="145"/>
      <c r="G190" s="145"/>
      <c r="H190" s="146"/>
    </row>
    <row r="191" spans="1:16" s="1" customFormat="1" x14ac:dyDescent="0.3">
      <c r="A191" s="31">
        <f t="shared" si="19"/>
        <v>5</v>
      </c>
      <c r="B191" s="144" t="s">
        <v>153</v>
      </c>
      <c r="C191" s="145"/>
      <c r="D191" s="145"/>
      <c r="E191" s="145"/>
      <c r="F191" s="145"/>
      <c r="G191" s="145"/>
      <c r="H191" s="146"/>
    </row>
    <row r="192" spans="1:16" s="1" customFormat="1" x14ac:dyDescent="0.3">
      <c r="A192" s="31">
        <f t="shared" si="19"/>
        <v>6</v>
      </c>
      <c r="B192" s="144" t="s">
        <v>154</v>
      </c>
      <c r="C192" s="145"/>
      <c r="D192" s="145"/>
      <c r="E192" s="145"/>
      <c r="F192" s="145"/>
      <c r="G192" s="145"/>
      <c r="H192" s="146"/>
    </row>
    <row r="193" spans="1:8" s="1" customFormat="1" x14ac:dyDescent="0.3">
      <c r="A193" s="31">
        <f t="shared" si="19"/>
        <v>7</v>
      </c>
      <c r="B193" s="59" t="s">
        <v>207</v>
      </c>
      <c r="C193" s="60"/>
      <c r="D193" s="60"/>
      <c r="E193" s="60"/>
      <c r="F193" s="60"/>
      <c r="G193" s="60"/>
      <c r="H193" s="61"/>
    </row>
    <row r="194" spans="1:8" s="1" customFormat="1" x14ac:dyDescent="0.3">
      <c r="A194" s="31">
        <f t="shared" si="19"/>
        <v>8</v>
      </c>
      <c r="B194" s="59" t="s">
        <v>217</v>
      </c>
      <c r="C194" s="60"/>
      <c r="D194" s="60"/>
      <c r="E194" s="60"/>
      <c r="F194" s="60"/>
      <c r="G194" s="60"/>
      <c r="H194" s="61"/>
    </row>
    <row r="195" spans="1:8" s="1" customFormat="1" x14ac:dyDescent="0.3">
      <c r="A195" s="31">
        <f t="shared" si="19"/>
        <v>9</v>
      </c>
      <c r="B195" s="59" t="s">
        <v>229</v>
      </c>
      <c r="C195" s="60"/>
      <c r="D195" s="60"/>
      <c r="E195" s="60"/>
      <c r="F195" s="60"/>
      <c r="G195" s="60"/>
      <c r="H195" s="61"/>
    </row>
    <row r="196" spans="1:8" s="1" customFormat="1" ht="30.75" customHeight="1" x14ac:dyDescent="0.3">
      <c r="A196" s="31">
        <f t="shared" si="19"/>
        <v>10</v>
      </c>
      <c r="B196" s="59" t="s">
        <v>250</v>
      </c>
      <c r="C196" s="60"/>
      <c r="D196" s="60"/>
      <c r="E196" s="60"/>
      <c r="F196" s="60"/>
      <c r="G196" s="60"/>
      <c r="H196" s="61"/>
    </row>
    <row r="197" spans="1:8" s="1" customFormat="1" x14ac:dyDescent="0.3">
      <c r="A197" s="31">
        <f>A196+1</f>
        <v>11</v>
      </c>
      <c r="B197" s="59" t="s">
        <v>264</v>
      </c>
      <c r="C197" s="60"/>
      <c r="D197" s="60"/>
      <c r="E197" s="60"/>
      <c r="F197" s="60"/>
      <c r="G197" s="60"/>
      <c r="H197" s="61"/>
    </row>
    <row r="198" spans="1:8" s="1" customFormat="1" x14ac:dyDescent="0.3">
      <c r="A198" s="31">
        <f>A197+1</f>
        <v>12</v>
      </c>
      <c r="B198" s="59" t="s">
        <v>261</v>
      </c>
      <c r="C198" s="60"/>
      <c r="D198" s="60"/>
      <c r="E198" s="60"/>
      <c r="F198" s="60"/>
      <c r="G198" s="60"/>
      <c r="H198" s="61"/>
    </row>
    <row r="199" spans="1:8" x14ac:dyDescent="0.3">
      <c r="A199" s="148" t="s">
        <v>70</v>
      </c>
      <c r="B199" s="148"/>
      <c r="C199" s="148"/>
      <c r="D199" s="148"/>
      <c r="E199" s="148"/>
      <c r="F199" s="148"/>
      <c r="G199" s="148"/>
      <c r="H199" s="148"/>
    </row>
    <row r="200" spans="1:8" x14ac:dyDescent="0.3">
      <c r="A200" s="109" t="s">
        <v>71</v>
      </c>
      <c r="B200" s="109"/>
      <c r="C200" s="109"/>
      <c r="D200" s="109"/>
      <c r="E200" s="109"/>
      <c r="F200" s="109"/>
      <c r="G200" s="109"/>
      <c r="H200" s="109"/>
    </row>
    <row r="201" spans="1:8" ht="15.75" customHeight="1" x14ac:dyDescent="0.3">
      <c r="A201" s="110" t="s">
        <v>72</v>
      </c>
      <c r="B201" s="110"/>
      <c r="C201" s="110"/>
      <c r="D201" s="110"/>
      <c r="E201" s="110"/>
      <c r="F201" s="110"/>
      <c r="G201" s="110"/>
      <c r="H201" s="110"/>
    </row>
    <row r="202" spans="1:8" x14ac:dyDescent="0.3">
      <c r="A202" s="109" t="s">
        <v>73</v>
      </c>
      <c r="B202" s="109"/>
      <c r="C202" s="109"/>
      <c r="D202" s="109"/>
      <c r="E202" s="109"/>
      <c r="F202" s="109"/>
      <c r="G202" s="109"/>
      <c r="H202" s="109"/>
    </row>
    <row r="203" spans="1:8" x14ac:dyDescent="0.3">
      <c r="A203" s="109" t="s">
        <v>74</v>
      </c>
      <c r="B203" s="109"/>
      <c r="C203" s="109"/>
      <c r="D203" s="109"/>
      <c r="E203" s="109"/>
      <c r="F203" s="109"/>
      <c r="G203" s="109"/>
      <c r="H203" s="109"/>
    </row>
    <row r="204" spans="1:8" hidden="1" x14ac:dyDescent="0.3">
      <c r="A204" s="109" t="s">
        <v>155</v>
      </c>
      <c r="B204" s="109"/>
      <c r="C204" s="109"/>
      <c r="D204" s="109"/>
      <c r="E204" s="109"/>
      <c r="F204" s="109"/>
      <c r="G204" s="109"/>
      <c r="H204" s="109"/>
    </row>
    <row r="205" spans="1:8" ht="35.25" hidden="1" customHeight="1" x14ac:dyDescent="0.3">
      <c r="A205" s="147" t="s">
        <v>156</v>
      </c>
      <c r="B205" s="147"/>
      <c r="C205" s="147"/>
      <c r="D205" s="147"/>
      <c r="E205" s="147"/>
      <c r="F205" s="147"/>
      <c r="G205" s="147"/>
      <c r="H205" s="147"/>
    </row>
    <row r="206" spans="1:8" x14ac:dyDescent="0.3">
      <c r="A206" s="143" t="s">
        <v>109</v>
      </c>
      <c r="B206" s="143"/>
      <c r="C206" s="143" t="s">
        <v>265</v>
      </c>
      <c r="D206" s="143"/>
      <c r="E206" s="143" t="s">
        <v>144</v>
      </c>
      <c r="F206" s="143"/>
      <c r="G206" s="143" t="s">
        <v>266</v>
      </c>
      <c r="H206" s="143"/>
    </row>
    <row r="207" spans="1:8" x14ac:dyDescent="0.3">
      <c r="A207" s="142" t="s">
        <v>111</v>
      </c>
      <c r="B207" s="142"/>
      <c r="C207" s="142"/>
      <c r="D207" s="142"/>
      <c r="E207" s="142"/>
      <c r="F207" s="142"/>
      <c r="G207" s="142"/>
      <c r="H207" s="142"/>
    </row>
    <row r="208" spans="1:8" x14ac:dyDescent="0.3">
      <c r="A208" s="142"/>
      <c r="B208" s="142"/>
      <c r="C208" s="142"/>
      <c r="D208" s="142"/>
      <c r="E208" s="142"/>
      <c r="F208" s="142"/>
      <c r="G208" s="142"/>
      <c r="H208" s="142"/>
    </row>
    <row r="209" spans="1:8" x14ac:dyDescent="0.3">
      <c r="A209" s="142"/>
      <c r="B209" s="142"/>
      <c r="C209" s="142"/>
      <c r="D209" s="142"/>
      <c r="E209" s="142"/>
      <c r="F209" s="142"/>
      <c r="G209" s="142"/>
      <c r="H209" s="142"/>
    </row>
    <row r="210" spans="1:8" x14ac:dyDescent="0.3">
      <c r="A210" s="142"/>
      <c r="B210" s="142"/>
      <c r="C210" s="142"/>
      <c r="D210" s="142"/>
      <c r="E210" s="142"/>
      <c r="F210" s="142"/>
      <c r="G210" s="142"/>
      <c r="H210" s="142"/>
    </row>
    <row r="211" spans="1:8" x14ac:dyDescent="0.3">
      <c r="A211" s="14" t="s">
        <v>75</v>
      </c>
      <c r="B211" s="15"/>
      <c r="C211" s="15"/>
      <c r="D211" s="14" t="str">
        <f>E8</f>
        <v>Dosti Mezzo 22</v>
      </c>
      <c r="F211" s="15"/>
      <c r="G211" s="15"/>
      <c r="H211" s="15"/>
    </row>
    <row r="212" spans="1:8" x14ac:dyDescent="0.3">
      <c r="A212" s="15"/>
      <c r="B212" s="15"/>
      <c r="C212" s="15"/>
      <c r="D212" s="15"/>
      <c r="E212" s="15"/>
      <c r="F212" s="15"/>
      <c r="G212" s="15"/>
      <c r="H212" s="15"/>
    </row>
    <row r="213" spans="1:8" x14ac:dyDescent="0.3">
      <c r="A213" s="15"/>
      <c r="B213" s="15"/>
      <c r="C213" s="15"/>
      <c r="D213" s="15"/>
      <c r="E213" s="15"/>
      <c r="F213" s="15"/>
      <c r="G213" s="15"/>
      <c r="H213" s="15"/>
    </row>
    <row r="214" spans="1:8" ht="15" customHeight="1" x14ac:dyDescent="0.3"/>
    <row r="254" spans="1:1" x14ac:dyDescent="0.3">
      <c r="A254" s="17" t="s">
        <v>251</v>
      </c>
    </row>
    <row r="295" spans="1:1" x14ac:dyDescent="0.3">
      <c r="A295" s="17" t="s">
        <v>76</v>
      </c>
    </row>
  </sheetData>
  <mergeCells count="349">
    <mergeCell ref="A96:B96"/>
    <mergeCell ref="C99:H99"/>
    <mergeCell ref="A102:E102"/>
    <mergeCell ref="A97:E97"/>
    <mergeCell ref="F97:H97"/>
    <mergeCell ref="A99:B99"/>
    <mergeCell ref="L134:M134"/>
    <mergeCell ref="A128:H128"/>
    <mergeCell ref="A129:H129"/>
    <mergeCell ref="A134:H134"/>
    <mergeCell ref="G130:H133"/>
    <mergeCell ref="A125:H125"/>
    <mergeCell ref="B122:B123"/>
    <mergeCell ref="C122:C123"/>
    <mergeCell ref="A124:H124"/>
    <mergeCell ref="L129:M129"/>
    <mergeCell ref="A121:H121"/>
    <mergeCell ref="A122:A123"/>
    <mergeCell ref="A131:B131"/>
    <mergeCell ref="A132:B132"/>
    <mergeCell ref="A133:B133"/>
    <mergeCell ref="A126:H126"/>
    <mergeCell ref="A127:H127"/>
    <mergeCell ref="A119:H119"/>
    <mergeCell ref="A120:H120"/>
    <mergeCell ref="A39:D39"/>
    <mergeCell ref="E39:H39"/>
    <mergeCell ref="A75:B75"/>
    <mergeCell ref="A41:D41"/>
    <mergeCell ref="E41:H41"/>
    <mergeCell ref="E42:H42"/>
    <mergeCell ref="E43:H43"/>
    <mergeCell ref="E44:H44"/>
    <mergeCell ref="A42:D42"/>
    <mergeCell ref="A43:D43"/>
    <mergeCell ref="A44:D44"/>
    <mergeCell ref="A45:H45"/>
    <mergeCell ref="A67:C67"/>
    <mergeCell ref="D67:H67"/>
    <mergeCell ref="C71:H71"/>
    <mergeCell ref="A74:B74"/>
    <mergeCell ref="E72:F72"/>
    <mergeCell ref="A65:C65"/>
    <mergeCell ref="E73:F82"/>
    <mergeCell ref="D65:H65"/>
    <mergeCell ref="C51:E51"/>
    <mergeCell ref="G51:H51"/>
    <mergeCell ref="G46:H46"/>
    <mergeCell ref="G50:H50"/>
    <mergeCell ref="D60:H60"/>
    <mergeCell ref="C50:E50"/>
    <mergeCell ref="A63:C64"/>
    <mergeCell ref="A37:B37"/>
    <mergeCell ref="C37:H37"/>
    <mergeCell ref="D63:H63"/>
    <mergeCell ref="D64:H64"/>
    <mergeCell ref="C47:E47"/>
    <mergeCell ref="A58:B58"/>
    <mergeCell ref="C58:E58"/>
    <mergeCell ref="A47:B47"/>
    <mergeCell ref="A59:H59"/>
    <mergeCell ref="A60:C60"/>
    <mergeCell ref="A61:C61"/>
    <mergeCell ref="D61:H61"/>
    <mergeCell ref="G58:H58"/>
    <mergeCell ref="D62:H62"/>
    <mergeCell ref="A62:C62"/>
    <mergeCell ref="G47:H47"/>
    <mergeCell ref="A50:B51"/>
    <mergeCell ref="C46:E46"/>
    <mergeCell ref="A52:B53"/>
    <mergeCell ref="C52:E52"/>
    <mergeCell ref="G52:H52"/>
    <mergeCell ref="A35:H35"/>
    <mergeCell ref="A34:B34"/>
    <mergeCell ref="E24:H24"/>
    <mergeCell ref="A26:D26"/>
    <mergeCell ref="E26:H26"/>
    <mergeCell ref="A38:H38"/>
    <mergeCell ref="C34:E34"/>
    <mergeCell ref="F34:H34"/>
    <mergeCell ref="A36:B36"/>
    <mergeCell ref="E36:F36"/>
    <mergeCell ref="C36:D36"/>
    <mergeCell ref="G36:H36"/>
    <mergeCell ref="A33:B33"/>
    <mergeCell ref="C33:E33"/>
    <mergeCell ref="A28:D28"/>
    <mergeCell ref="E28:H28"/>
    <mergeCell ref="A29:D29"/>
    <mergeCell ref="E29:H29"/>
    <mergeCell ref="A25:D25"/>
    <mergeCell ref="E25:H25"/>
    <mergeCell ref="F31:H31"/>
    <mergeCell ref="F32:H32"/>
    <mergeCell ref="C30:E30"/>
    <mergeCell ref="F33:H33"/>
    <mergeCell ref="F30:H30"/>
    <mergeCell ref="A31:B31"/>
    <mergeCell ref="A30:B30"/>
    <mergeCell ref="C31:E31"/>
    <mergeCell ref="A32:B32"/>
    <mergeCell ref="C32:E32"/>
    <mergeCell ref="A19:B19"/>
    <mergeCell ref="C19:D19"/>
    <mergeCell ref="E19:F19"/>
    <mergeCell ref="G19:H19"/>
    <mergeCell ref="A20:D21"/>
    <mergeCell ref="A23:D23"/>
    <mergeCell ref="E23:H23"/>
    <mergeCell ref="A27:D27"/>
    <mergeCell ref="E27:H27"/>
    <mergeCell ref="A24:D24"/>
    <mergeCell ref="E16:F16"/>
    <mergeCell ref="G16:H16"/>
    <mergeCell ref="A17:B17"/>
    <mergeCell ref="C17:D17"/>
    <mergeCell ref="E17:F17"/>
    <mergeCell ref="G17:H17"/>
    <mergeCell ref="A18:B18"/>
    <mergeCell ref="C18:D18"/>
    <mergeCell ref="E18:F18"/>
    <mergeCell ref="G18:H18"/>
    <mergeCell ref="A1:H1"/>
    <mergeCell ref="A2:H2"/>
    <mergeCell ref="A3:D3"/>
    <mergeCell ref="E3:H3"/>
    <mergeCell ref="A4:D4"/>
    <mergeCell ref="A8:D8"/>
    <mergeCell ref="E8:H8"/>
    <mergeCell ref="A9:D9"/>
    <mergeCell ref="E9:H9"/>
    <mergeCell ref="E4:H4"/>
    <mergeCell ref="A66:C66"/>
    <mergeCell ref="A11:D11"/>
    <mergeCell ref="E11:H11"/>
    <mergeCell ref="A5:D5"/>
    <mergeCell ref="E5:H5"/>
    <mergeCell ref="A6:D6"/>
    <mergeCell ref="E6:H6"/>
    <mergeCell ref="A7:D7"/>
    <mergeCell ref="E7:H7"/>
    <mergeCell ref="A15:B15"/>
    <mergeCell ref="A12:D12"/>
    <mergeCell ref="E12:H12"/>
    <mergeCell ref="A13:D13"/>
    <mergeCell ref="A10:D10"/>
    <mergeCell ref="E10:H10"/>
    <mergeCell ref="E20:H21"/>
    <mergeCell ref="E13:H13"/>
    <mergeCell ref="A14:B14"/>
    <mergeCell ref="C14:H14"/>
    <mergeCell ref="C15:H15"/>
    <mergeCell ref="A22:D22"/>
    <mergeCell ref="E22:H22"/>
    <mergeCell ref="A16:B16"/>
    <mergeCell ref="C16:D16"/>
    <mergeCell ref="C115:D115"/>
    <mergeCell ref="G115:H115"/>
    <mergeCell ref="A105:E105"/>
    <mergeCell ref="F105:H105"/>
    <mergeCell ref="F110:H110"/>
    <mergeCell ref="A112:E112"/>
    <mergeCell ref="F112:H112"/>
    <mergeCell ref="A113:E113"/>
    <mergeCell ref="F113:H113"/>
    <mergeCell ref="E115:F115"/>
    <mergeCell ref="F108:H108"/>
    <mergeCell ref="F111:H111"/>
    <mergeCell ref="F109:H109"/>
    <mergeCell ref="A110:E110"/>
    <mergeCell ref="F107:H107"/>
    <mergeCell ref="A114:H114"/>
    <mergeCell ref="A106:E106"/>
    <mergeCell ref="F106:H106"/>
    <mergeCell ref="A107:E107"/>
    <mergeCell ref="A109:E109"/>
    <mergeCell ref="A108:E108"/>
    <mergeCell ref="A79:B79"/>
    <mergeCell ref="A72:B72"/>
    <mergeCell ref="A80:B80"/>
    <mergeCell ref="A85:B85"/>
    <mergeCell ref="C85:H85"/>
    <mergeCell ref="A86:B86"/>
    <mergeCell ref="E86:F86"/>
    <mergeCell ref="A76:B76"/>
    <mergeCell ref="A111:E111"/>
    <mergeCell ref="A103:E103"/>
    <mergeCell ref="F104:H104"/>
    <mergeCell ref="G86:H86"/>
    <mergeCell ref="F103:H103"/>
    <mergeCell ref="G87:H96"/>
    <mergeCell ref="A88:B88"/>
    <mergeCell ref="A89:B89"/>
    <mergeCell ref="A90:B90"/>
    <mergeCell ref="A104:E104"/>
    <mergeCell ref="A98:H98"/>
    <mergeCell ref="A101:E101"/>
    <mergeCell ref="A87:B87"/>
    <mergeCell ref="E87:F96"/>
    <mergeCell ref="A94:B94"/>
    <mergeCell ref="A95:B95"/>
    <mergeCell ref="A172:B172"/>
    <mergeCell ref="A169:B169"/>
    <mergeCell ref="A175:B175"/>
    <mergeCell ref="A170:H170"/>
    <mergeCell ref="A171:B171"/>
    <mergeCell ref="A142:B142"/>
    <mergeCell ref="A143:B143"/>
    <mergeCell ref="G140:H143"/>
    <mergeCell ref="C142:F143"/>
    <mergeCell ref="A140:B140"/>
    <mergeCell ref="A150:H150"/>
    <mergeCell ref="A141:B141"/>
    <mergeCell ref="C155:F159"/>
    <mergeCell ref="L144:M144"/>
    <mergeCell ref="A207:H210"/>
    <mergeCell ref="A206:B206"/>
    <mergeCell ref="E206:F206"/>
    <mergeCell ref="C206:D206"/>
    <mergeCell ref="G206:H206"/>
    <mergeCell ref="B193:H193"/>
    <mergeCell ref="B192:H192"/>
    <mergeCell ref="B187:H187"/>
    <mergeCell ref="B188:H188"/>
    <mergeCell ref="B189:H189"/>
    <mergeCell ref="B190:H190"/>
    <mergeCell ref="B191:H191"/>
    <mergeCell ref="A205:H205"/>
    <mergeCell ref="A203:H203"/>
    <mergeCell ref="A202:H202"/>
    <mergeCell ref="A200:H200"/>
    <mergeCell ref="A199:H199"/>
    <mergeCell ref="B194:H194"/>
    <mergeCell ref="B197:H197"/>
    <mergeCell ref="B196:H196"/>
    <mergeCell ref="B195:H195"/>
    <mergeCell ref="A186:H186"/>
    <mergeCell ref="A154:H154"/>
    <mergeCell ref="D68:H68"/>
    <mergeCell ref="G135:H138"/>
    <mergeCell ref="A100:H100"/>
    <mergeCell ref="G116:H116"/>
    <mergeCell ref="C116:D116"/>
    <mergeCell ref="C117:D117"/>
    <mergeCell ref="E117:F117"/>
    <mergeCell ref="G117:H117"/>
    <mergeCell ref="A118:B118"/>
    <mergeCell ref="C118:D118"/>
    <mergeCell ref="E118:F118"/>
    <mergeCell ref="G118:H118"/>
    <mergeCell ref="A117:B117"/>
    <mergeCell ref="E116:F116"/>
    <mergeCell ref="F102:H102"/>
    <mergeCell ref="A136:B136"/>
    <mergeCell ref="A137:B137"/>
    <mergeCell ref="A138:B138"/>
    <mergeCell ref="A73:B73"/>
    <mergeCell ref="G72:H72"/>
    <mergeCell ref="A71:B71"/>
    <mergeCell ref="A69:B69"/>
    <mergeCell ref="C69:H69"/>
    <mergeCell ref="A77:B77"/>
    <mergeCell ref="E40:H40"/>
    <mergeCell ref="A40:D40"/>
    <mergeCell ref="A204:H204"/>
    <mergeCell ref="A135:B135"/>
    <mergeCell ref="A201:H201"/>
    <mergeCell ref="A130:B130"/>
    <mergeCell ref="A115:B115"/>
    <mergeCell ref="D122:D123"/>
    <mergeCell ref="E122:E123"/>
    <mergeCell ref="G122:H123"/>
    <mergeCell ref="A91:B91"/>
    <mergeCell ref="A92:B92"/>
    <mergeCell ref="A93:B93"/>
    <mergeCell ref="A83:B83"/>
    <mergeCell ref="C83:H83"/>
    <mergeCell ref="A78:B78"/>
    <mergeCell ref="F101:H101"/>
    <mergeCell ref="A46:B46"/>
    <mergeCell ref="A145:B145"/>
    <mergeCell ref="G145:H148"/>
    <mergeCell ref="A146:B146"/>
    <mergeCell ref="A147:B147"/>
    <mergeCell ref="A148:B148"/>
    <mergeCell ref="C148:F148"/>
    <mergeCell ref="L178:M178"/>
    <mergeCell ref="G163:H169"/>
    <mergeCell ref="G179:H185"/>
    <mergeCell ref="A167:B167"/>
    <mergeCell ref="A162:H162"/>
    <mergeCell ref="A165:B165"/>
    <mergeCell ref="A166:B166"/>
    <mergeCell ref="A184:B184"/>
    <mergeCell ref="A178:H178"/>
    <mergeCell ref="A180:B180"/>
    <mergeCell ref="A181:B181"/>
    <mergeCell ref="A182:B182"/>
    <mergeCell ref="A183:B183"/>
    <mergeCell ref="A185:B185"/>
    <mergeCell ref="A173:B173"/>
    <mergeCell ref="A174:B174"/>
    <mergeCell ref="A177:B177"/>
    <mergeCell ref="C177:F177"/>
    <mergeCell ref="G171:H177"/>
    <mergeCell ref="C185:F185"/>
    <mergeCell ref="A164:B164"/>
    <mergeCell ref="A176:B176"/>
    <mergeCell ref="A179:B179"/>
    <mergeCell ref="A168:B168"/>
    <mergeCell ref="L162:M162"/>
    <mergeCell ref="A163:B163"/>
    <mergeCell ref="L154:M154"/>
    <mergeCell ref="G155:H161"/>
    <mergeCell ref="A159:B159"/>
    <mergeCell ref="A160:B160"/>
    <mergeCell ref="A161:B161"/>
    <mergeCell ref="A151:H151"/>
    <mergeCell ref="A152:H152"/>
    <mergeCell ref="A153:H153"/>
    <mergeCell ref="A155:B155"/>
    <mergeCell ref="A156:B156"/>
    <mergeCell ref="A157:B157"/>
    <mergeCell ref="A158:B158"/>
    <mergeCell ref="A48:B49"/>
    <mergeCell ref="C48:E48"/>
    <mergeCell ref="G48:H48"/>
    <mergeCell ref="C49:E49"/>
    <mergeCell ref="G49:H49"/>
    <mergeCell ref="B198:H198"/>
    <mergeCell ref="C53:H53"/>
    <mergeCell ref="A54:B55"/>
    <mergeCell ref="C54:E54"/>
    <mergeCell ref="G54:H54"/>
    <mergeCell ref="C55:H55"/>
    <mergeCell ref="A56:B57"/>
    <mergeCell ref="C56:E56"/>
    <mergeCell ref="G56:H56"/>
    <mergeCell ref="C57:H57"/>
    <mergeCell ref="A139:H139"/>
    <mergeCell ref="A144:H144"/>
    <mergeCell ref="A149:H149"/>
    <mergeCell ref="A116:B116"/>
    <mergeCell ref="G73:H82"/>
    <mergeCell ref="A81:B81"/>
    <mergeCell ref="A82:B82"/>
    <mergeCell ref="D66:H66"/>
    <mergeCell ref="A68:C68"/>
  </mergeCells>
  <hyperlinks>
    <hyperlink ref="C37" r:id="rId1" xr:uid="{00000000-0004-0000-0000-000000000000}"/>
  </hyperlinks>
  <printOptions horizontalCentered="1"/>
  <pageMargins left="0.39370078740157483" right="0.39370078740157483" top="0.78740157480314965" bottom="0.78740157480314965" header="0.19685039370078741" footer="0.19685039370078741"/>
  <pageSetup scale="98" fitToHeight="0" orientation="portrait" r:id="rId2"/>
  <headerFooter>
    <oddHeader>&amp;C&amp;G</oddHeader>
    <oddFooter>&amp;L&amp;"Times New Roman,Bold"&amp;12Ref No: &amp;F&amp;C&amp;G&amp;R&amp;"Times New Roman,Bold"&amp;12                                                 &amp;P</oddFooter>
  </headerFooter>
  <rowBreaks count="3" manualBreakCount="3">
    <brk id="210" max="16383" man="1"/>
    <brk id="253" max="7" man="1"/>
    <brk id="29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L36"/>
  <sheetViews>
    <sheetView topLeftCell="A25" workbookViewId="0">
      <selection activeCell="F21" sqref="F21"/>
    </sheetView>
  </sheetViews>
  <sheetFormatPr defaultRowHeight="14.4" x14ac:dyDescent="0.3"/>
  <cols>
    <col min="2" max="2" width="12.21875" customWidth="1"/>
  </cols>
  <sheetData>
    <row r="2" spans="1:12" x14ac:dyDescent="0.3">
      <c r="B2" s="3" t="s">
        <v>78</v>
      </c>
      <c r="C2" s="187"/>
      <c r="D2" s="187"/>
    </row>
    <row r="3" spans="1:12" x14ac:dyDescent="0.3">
      <c r="D3" s="4"/>
      <c r="E3" s="4"/>
      <c r="F3" s="4"/>
      <c r="G3" s="4"/>
      <c r="H3" s="4"/>
      <c r="I3" s="4"/>
    </row>
    <row r="4" spans="1:12" x14ac:dyDescent="0.3">
      <c r="A4" s="3" t="s">
        <v>79</v>
      </c>
      <c r="B4" s="5" t="s">
        <v>80</v>
      </c>
      <c r="C4" s="188" t="s">
        <v>81</v>
      </c>
      <c r="D4" s="188"/>
      <c r="E4" s="188"/>
      <c r="F4" s="6"/>
      <c r="G4" s="188" t="s">
        <v>82</v>
      </c>
      <c r="H4" s="188"/>
      <c r="I4" s="188"/>
      <c r="J4" s="188" t="s">
        <v>83</v>
      </c>
      <c r="K4" s="188"/>
      <c r="L4" s="188"/>
    </row>
    <row r="5" spans="1:12" x14ac:dyDescent="0.3">
      <c r="A5" s="3">
        <v>202</v>
      </c>
      <c r="B5" s="5"/>
      <c r="C5" s="5" t="s">
        <v>84</v>
      </c>
      <c r="D5" s="5" t="s">
        <v>85</v>
      </c>
      <c r="E5" s="5" t="s">
        <v>62</v>
      </c>
      <c r="F5" s="5"/>
      <c r="G5" s="5" t="s">
        <v>84</v>
      </c>
      <c r="H5" s="5" t="s">
        <v>85</v>
      </c>
      <c r="I5" s="5" t="s">
        <v>62</v>
      </c>
      <c r="J5" s="5" t="s">
        <v>84</v>
      </c>
      <c r="K5" s="5" t="s">
        <v>85</v>
      </c>
      <c r="L5" s="5" t="s">
        <v>62</v>
      </c>
    </row>
    <row r="6" spans="1:12" x14ac:dyDescent="0.3">
      <c r="B6" s="7" t="s">
        <v>86</v>
      </c>
      <c r="C6" s="7"/>
      <c r="D6" s="7"/>
      <c r="E6" s="7">
        <f>C6*D6</f>
        <v>0</v>
      </c>
      <c r="F6" s="7" t="s">
        <v>87</v>
      </c>
      <c r="G6" s="7"/>
      <c r="H6" s="7"/>
      <c r="I6" s="7">
        <f>G6*H6</f>
        <v>0</v>
      </c>
      <c r="J6" s="7"/>
      <c r="K6" s="7"/>
      <c r="L6" s="7">
        <f>J6*K6</f>
        <v>0</v>
      </c>
    </row>
    <row r="7" spans="1:12" x14ac:dyDescent="0.3">
      <c r="B7" s="7"/>
      <c r="C7" s="7"/>
      <c r="D7" s="7"/>
      <c r="E7" s="7">
        <f t="shared" ref="E7:E33" si="0">C7*D7</f>
        <v>0</v>
      </c>
      <c r="F7" s="7" t="s">
        <v>88</v>
      </c>
      <c r="G7" s="7"/>
      <c r="H7" s="7"/>
      <c r="I7" s="7">
        <f t="shared" ref="I7:I29" si="1">G7*H7</f>
        <v>0</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89</v>
      </c>
      <c r="C9" s="7"/>
      <c r="D9" s="7"/>
      <c r="E9" s="7">
        <f t="shared" si="0"/>
        <v>0</v>
      </c>
      <c r="F9" s="7" t="s">
        <v>87</v>
      </c>
      <c r="G9" s="7"/>
      <c r="H9" s="7"/>
      <c r="I9" s="7">
        <f t="shared" si="1"/>
        <v>0</v>
      </c>
      <c r="J9" s="7"/>
      <c r="K9" s="7"/>
      <c r="L9" s="7">
        <f t="shared" si="2"/>
        <v>0</v>
      </c>
    </row>
    <row r="10" spans="1:12" x14ac:dyDescent="0.3">
      <c r="B10" s="7"/>
      <c r="C10" s="7"/>
      <c r="D10" s="7"/>
      <c r="E10" s="7">
        <f t="shared" si="0"/>
        <v>0</v>
      </c>
      <c r="F10" s="7" t="s">
        <v>88</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90</v>
      </c>
      <c r="C13" s="7"/>
      <c r="D13" s="7"/>
      <c r="E13" s="7">
        <f t="shared" si="0"/>
        <v>0</v>
      </c>
      <c r="F13" s="7" t="s">
        <v>87</v>
      </c>
      <c r="G13" s="7"/>
      <c r="H13" s="7"/>
      <c r="I13" s="7">
        <f t="shared" si="1"/>
        <v>0</v>
      </c>
      <c r="J13" s="7"/>
      <c r="K13" s="7"/>
      <c r="L13" s="7">
        <f t="shared" si="2"/>
        <v>0</v>
      </c>
    </row>
    <row r="14" spans="1:12" x14ac:dyDescent="0.3">
      <c r="B14" s="7"/>
      <c r="C14" s="7"/>
      <c r="D14" s="7"/>
      <c r="E14" s="7">
        <f t="shared" si="0"/>
        <v>0</v>
      </c>
      <c r="F14" s="7" t="s">
        <v>88</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91</v>
      </c>
      <c r="C17" s="7"/>
      <c r="D17" s="7"/>
      <c r="E17" s="7">
        <f t="shared" si="0"/>
        <v>0</v>
      </c>
      <c r="F17" s="7" t="s">
        <v>87</v>
      </c>
      <c r="G17" s="7"/>
      <c r="H17" s="7"/>
      <c r="I17" s="7">
        <f t="shared" si="1"/>
        <v>0</v>
      </c>
      <c r="J17" s="7"/>
      <c r="K17" s="7"/>
      <c r="L17" s="7">
        <f t="shared" si="2"/>
        <v>0</v>
      </c>
    </row>
    <row r="18" spans="2:12" x14ac:dyDescent="0.3">
      <c r="B18" s="7"/>
      <c r="C18" s="7"/>
      <c r="D18" s="7"/>
      <c r="E18" s="7">
        <f t="shared" si="0"/>
        <v>0</v>
      </c>
      <c r="F18" s="7" t="s">
        <v>88</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91</v>
      </c>
      <c r="C20" s="7"/>
      <c r="D20" s="7"/>
      <c r="E20" s="7">
        <f t="shared" si="0"/>
        <v>0</v>
      </c>
      <c r="F20" s="7" t="s">
        <v>87</v>
      </c>
      <c r="G20" s="7"/>
      <c r="H20" s="7"/>
      <c r="I20" s="7">
        <f t="shared" si="1"/>
        <v>0</v>
      </c>
      <c r="J20" s="7"/>
      <c r="K20" s="7"/>
      <c r="L20" s="7">
        <f t="shared" si="2"/>
        <v>0</v>
      </c>
    </row>
    <row r="21" spans="2:12" x14ac:dyDescent="0.3">
      <c r="B21" s="7"/>
      <c r="C21" s="7"/>
      <c r="D21" s="7"/>
      <c r="E21" s="7">
        <f t="shared" si="0"/>
        <v>0</v>
      </c>
      <c r="F21" s="7" t="s">
        <v>88</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92</v>
      </c>
      <c r="C23" s="7"/>
      <c r="D23" s="7"/>
      <c r="E23" s="7">
        <f t="shared" si="0"/>
        <v>0</v>
      </c>
      <c r="F23" s="7" t="s">
        <v>93</v>
      </c>
      <c r="G23" s="7"/>
      <c r="H23" s="7"/>
      <c r="I23" s="7">
        <f t="shared" si="1"/>
        <v>0</v>
      </c>
      <c r="J23" s="7"/>
      <c r="K23" s="7"/>
      <c r="L23" s="7">
        <f t="shared" si="2"/>
        <v>0</v>
      </c>
    </row>
    <row r="24" spans="2:12" x14ac:dyDescent="0.3">
      <c r="B24" s="7" t="s">
        <v>94</v>
      </c>
      <c r="C24" s="7"/>
      <c r="D24" s="7"/>
      <c r="E24" s="7">
        <f t="shared" si="0"/>
        <v>0</v>
      </c>
      <c r="F24" s="7" t="s">
        <v>93</v>
      </c>
      <c r="G24" s="7"/>
      <c r="H24" s="7"/>
      <c r="I24" s="7">
        <f t="shared" si="1"/>
        <v>0</v>
      </c>
      <c r="J24" s="7"/>
      <c r="K24" s="7"/>
      <c r="L24" s="7">
        <f t="shared" si="2"/>
        <v>0</v>
      </c>
    </row>
    <row r="25" spans="2:12" x14ac:dyDescent="0.3">
      <c r="B25" s="7" t="s">
        <v>95</v>
      </c>
      <c r="C25" s="7"/>
      <c r="D25" s="7"/>
      <c r="E25" s="7">
        <f t="shared" si="0"/>
        <v>0</v>
      </c>
      <c r="F25" s="7" t="s">
        <v>93</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96</v>
      </c>
      <c r="C27" s="7"/>
      <c r="D27" s="7"/>
      <c r="E27" s="7">
        <f t="shared" si="0"/>
        <v>0</v>
      </c>
      <c r="F27" s="7"/>
      <c r="G27" s="7"/>
      <c r="H27" s="7"/>
      <c r="I27" s="7">
        <f t="shared" si="1"/>
        <v>0</v>
      </c>
      <c r="J27" s="7"/>
      <c r="K27" s="7"/>
      <c r="L27" s="7">
        <f t="shared" si="2"/>
        <v>0</v>
      </c>
    </row>
    <row r="28" spans="2:12" x14ac:dyDescent="0.3">
      <c r="B28" s="7" t="s">
        <v>97</v>
      </c>
      <c r="C28" s="7"/>
      <c r="D28" s="7"/>
      <c r="E28" s="7">
        <f t="shared" si="0"/>
        <v>0</v>
      </c>
      <c r="F28" s="7"/>
      <c r="G28" s="7"/>
      <c r="H28" s="7"/>
      <c r="I28" s="7">
        <f t="shared" si="1"/>
        <v>0</v>
      </c>
      <c r="J28" s="7"/>
      <c r="K28" s="7"/>
      <c r="L28" s="7">
        <f t="shared" si="2"/>
        <v>0</v>
      </c>
    </row>
    <row r="29" spans="2:12" x14ac:dyDescent="0.3">
      <c r="B29" s="7" t="s">
        <v>98</v>
      </c>
      <c r="C29" s="7"/>
      <c r="D29" s="7"/>
      <c r="E29" s="7">
        <f t="shared" si="0"/>
        <v>0</v>
      </c>
      <c r="F29" s="7"/>
      <c r="G29" s="7"/>
      <c r="H29" s="7"/>
      <c r="I29" s="7">
        <f t="shared" si="1"/>
        <v>0</v>
      </c>
      <c r="J29" s="7"/>
      <c r="K29" s="7"/>
      <c r="L29" s="7">
        <f t="shared" si="2"/>
        <v>0</v>
      </c>
    </row>
    <row r="30" spans="2:12" x14ac:dyDescent="0.3">
      <c r="B30" s="7" t="s">
        <v>99</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63</v>
      </c>
      <c r="C34" s="7"/>
      <c r="D34" s="7">
        <f>E34*10.764</f>
        <v>0</v>
      </c>
      <c r="E34" s="7">
        <f>SUM(E6:E33)</f>
        <v>0</v>
      </c>
      <c r="F34" s="7"/>
      <c r="G34" s="7"/>
      <c r="H34" s="7">
        <f>I34*10.764</f>
        <v>0</v>
      </c>
      <c r="I34" s="7">
        <f>SUM(I6:I33)</f>
        <v>0</v>
      </c>
      <c r="J34" s="7"/>
      <c r="K34" s="7">
        <f>L34*10.764</f>
        <v>0</v>
      </c>
      <c r="L34" s="7">
        <f>SUM(L6:L33)</f>
        <v>0</v>
      </c>
    </row>
    <row r="36" spans="2:12" x14ac:dyDescent="0.3">
      <c r="D36">
        <f>D34+H34</f>
        <v>0</v>
      </c>
      <c r="E36">
        <f>E34+I34</f>
        <v>0</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4"/>
  <sheetViews>
    <sheetView topLeftCell="A10" zoomScale="115" zoomScaleNormal="115" workbookViewId="0">
      <selection activeCell="A2" sqref="A2:XFD13"/>
    </sheetView>
  </sheetViews>
  <sheetFormatPr defaultColWidth="8.77734375" defaultRowHeight="14.4" x14ac:dyDescent="0.3"/>
  <cols>
    <col min="1" max="1" width="8.77734375" style="23"/>
    <col min="2" max="2" width="22.21875" style="23" customWidth="1"/>
    <col min="3" max="3" width="37" style="23" customWidth="1"/>
    <col min="4" max="5" width="11.44140625" style="23" customWidth="1"/>
    <col min="6" max="6" width="14" style="23" customWidth="1"/>
    <col min="7" max="7" width="20" style="23" customWidth="1"/>
    <col min="8" max="8" width="16.44140625" style="23" customWidth="1"/>
    <col min="9" max="16384" width="8.77734375" style="23"/>
  </cols>
  <sheetData>
    <row r="1" ht="15" customHeight="1" x14ac:dyDescent="0.3"/>
    <row r="2" ht="15" customHeight="1" x14ac:dyDescent="0.3"/>
    <row r="3" ht="15" customHeight="1" x14ac:dyDescent="0.3"/>
    <row r="4" ht="15" customHeight="1" x14ac:dyDescent="0.3"/>
  </sheetData>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election activeCell="G16" sqref="G1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2025-08-12T11:24:37Z</cp:lastPrinted>
  <dcterms:created xsi:type="dcterms:W3CDTF">2019-07-16T09:29:46Z</dcterms:created>
  <dcterms:modified xsi:type="dcterms:W3CDTF">2025-08-12T11:27:44Z</dcterms:modified>
</cp:coreProperties>
</file>