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Aug 25\Axis Dump\"/>
    </mc:Choice>
  </mc:AlternateContent>
  <xr:revisionPtr revIDLastSave="0" documentId="13_ncr:1_{440BB099-D980-48A7-8F57-2BF7BDE465FA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Report!$A$1:$H$270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14" i="1" l="1"/>
  <c r="L114" i="1" s="1"/>
  <c r="D113" i="1"/>
  <c r="L113" i="1" s="1"/>
  <c r="D112" i="1"/>
  <c r="L112" i="1" s="1"/>
  <c r="D111" i="1"/>
  <c r="L111" i="1" s="1"/>
  <c r="A111" i="1"/>
  <c r="A112" i="1" s="1"/>
  <c r="A113" i="1" s="1"/>
  <c r="A114" i="1" s="1"/>
  <c r="G110" i="1"/>
  <c r="D110" i="1"/>
  <c r="L110" i="1" s="1"/>
  <c r="D104" i="1" l="1"/>
  <c r="D108" i="1" l="1"/>
  <c r="D107" i="1"/>
  <c r="D106" i="1"/>
  <c r="D105" i="1"/>
  <c r="G104" i="1"/>
  <c r="C96" i="1" l="1"/>
  <c r="C97" i="1" s="1"/>
  <c r="E96" i="1"/>
  <c r="E97" i="1" s="1"/>
  <c r="Z12" i="1"/>
  <c r="I14" i="1"/>
  <c r="E43" i="1" l="1"/>
  <c r="E44" i="1" s="1"/>
  <c r="C15" i="1" l="1"/>
  <c r="E30" i="1" l="1"/>
  <c r="A105" i="1" l="1"/>
  <c r="A106" i="1" s="1"/>
  <c r="A107" i="1" s="1"/>
  <c r="A108" i="1" s="1"/>
  <c r="G96" i="1" l="1"/>
  <c r="G97" i="1" s="1"/>
  <c r="F93" i="1"/>
  <c r="B117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38" i="1"/>
  <c r="C66" i="1"/>
  <c r="B67" i="1" s="1"/>
  <c r="D55" i="1"/>
  <c r="G50" i="1"/>
  <c r="G51" i="1" s="1"/>
  <c r="C50" i="1"/>
  <c r="C51" i="1" s="1"/>
  <c r="E27" i="1"/>
  <c r="E25" i="1"/>
  <c r="E7" i="1"/>
  <c r="E3" i="1"/>
  <c r="D60" i="1" l="1"/>
  <c r="H67" i="1"/>
  <c r="D79" i="1" l="1"/>
  <c r="D77" i="1"/>
  <c r="D76" i="1"/>
  <c r="D73" i="1"/>
  <c r="D75" i="1"/>
  <c r="J72" i="1"/>
  <c r="J73" i="1" s="1"/>
  <c r="J78" i="1" s="1"/>
  <c r="D78" i="1"/>
  <c r="J66" i="1"/>
  <c r="J68" i="1" s="1"/>
  <c r="D74" i="1"/>
  <c r="J70" i="1"/>
  <c r="J71" i="1"/>
  <c r="J69" i="1"/>
  <c r="J74" i="1"/>
  <c r="J75" i="1" s="1"/>
  <c r="J76" i="1" s="1"/>
  <c r="J77" i="1" s="1"/>
  <c r="D72" i="1"/>
  <c r="C70" i="1" l="1"/>
  <c r="D70" i="1" s="1"/>
  <c r="J79" i="1"/>
  <c r="C71" i="1" s="1"/>
  <c r="G70" i="1" l="1"/>
  <c r="D64" i="1" s="1"/>
  <c r="D65" i="1" s="1"/>
  <c r="J67" i="1"/>
  <c r="D71" i="1"/>
  <c r="I67" i="1" s="1"/>
  <c r="I68" i="1" s="1"/>
  <c r="E70" i="1"/>
  <c r="F65" i="1" l="1"/>
  <c r="I66" i="1"/>
  <c r="C6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<sst xmlns="http://schemas.openxmlformats.org/spreadsheetml/2006/main" count="373" uniqueCount="274">
  <si>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</si>
  <si>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</si>
  <si>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</si>
  <si>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</si>
  <si>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</si>
  <si>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</si>
  <si>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</si>
  <si>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</si>
  <si>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</si>
  <si>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</si>
  <si>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</si>
  <si>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</si>
  <si>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</si>
  <si>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</si>
  <si>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</si>
  <si>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</si>
  <si>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</si>
  <si>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</si>
  <si>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</si>
  <si>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</si>
  <si>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</si>
  <si>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</si>
  <si>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</si>
  <si>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</si>
  <si>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</si>
  <si>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</si>
  <si>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</si>
  <si>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</si>
  <si>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</si>
  <si>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</si>
  <si>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</si>
  <si>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</si>
  <si>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</si>
  <si>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</si>
  <si>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</si>
  <si>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</si>
  <si>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</si>
  <si>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</si>
  <si>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</si>
  <si>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</si>
  <si>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</si>
  <si>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</si>
  <si>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</si>
  <si>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</si>
  <si>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</si>
  <si>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</si>
  <si>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</si>
  <si>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</si>
  <si>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</si>
  <si>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</si>
  <si>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</si>
  <si>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</si>
  <si>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</si>
  <si>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</si>
  <si>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</si>
  <si>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</si>
  <si>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</si>
  <si>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</si>
  <si>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</si>
  <si>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</si>
  <si>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</si>
  <si>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</si>
  <si>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</si>
  <si>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</si>
  <si>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</si>
  <si>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</si>
  <si>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</si>
  <si>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</si>
  <si>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</si>
  <si>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</si>
  <si>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</si>
  <si>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</si>
  <si>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</si>
  <si>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</si>
  <si>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</si>
  <si>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</si>
  <si>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</si>
  <si>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</si>
  <si>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</si>
  <si>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</si>
  <si>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</si>
  <si>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</si>
  <si>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</si>
  <si>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</si>
  <si>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</si>
  <si>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</si>
  <si>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</si>
  <si>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</si>
  <si>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</si>
  <si>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</si>
  <si>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</si>
  <si>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</si>
  <si>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</si>
  <si>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</si>
  <si>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</si>
  <si>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</si>
  <si>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</si>
  <si>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</si>
  <si>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</si>
  <si>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</si>
  <si>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</si>
  <si>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</si>
  <si>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</si>
  <si>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</si>
  <si>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</si>
  <si>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</si>
  <si>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</si>
  <si>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</si>
  <si>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</si>
  <si>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</si>
  <si>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</si>
  <si>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</si>
  <si>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</si>
  <si>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</si>
  <si>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</si>
  <si>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</si>
  <si>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</si>
  <si>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</si>
  <si>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</si>
  <si>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</si>
  <si>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</si>
  <si>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</si>
  <si>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</si>
  <si>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</si>
  <si>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</si>
  <si>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</si>
  <si>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</si>
  <si>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</si>
  <si>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</si>
  <si>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</si>
  <si>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</si>
  <si>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</si>
  <si>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</si>
  <si>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</si>
  <si>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</si>
  <si>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</si>
  <si>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</si>
  <si>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</si>
  <si>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</si>
  <si>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</si>
  <si>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</si>
  <si>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</si>
  <si>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</si>
  <si>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</si>
  <si>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</si>
  <si>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</si>
  <si>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</si>
  <si>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</si>
  <si>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</si>
  <si>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</si>
  <si>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</si>
  <si>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</si>
  <si>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</si>
  <si>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</si>
  <si>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</si>
  <si>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</si>
  <si>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</si>
  <si>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</si>
  <si>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</si>
  <si>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</si>
  <si>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</si>
  <si>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</si>
  <si>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</si>
  <si>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</si>
  <si>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</si>
  <si>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</si>
  <si>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</si>
  <si>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</si>
  <si>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</si>
  <si>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</si>
  <si>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</si>
  <si>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</si>
  <si>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</si>
  <si>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</si>
  <si>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</si>
  <si>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</si>
  <si>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</si>
  <si>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</si>
  <si>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</si>
  <si>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</si>
  <si>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</si>
  <si>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</si>
  <si>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</si>
  <si>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</si>
  <si>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</si>
  <si>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</si>
  <si>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</si>
  <si>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</si>
  <si>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</si>
  <si>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</si>
  <si>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</si>
  <si>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</si>
  <si>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</si>
  <si>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</si>
  <si>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</si>
  <si>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</si>
  <si>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</si>
  <si>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</si>
  <si>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</si>
  <si>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</si>
  <si>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</si>
  <si>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</si>
  <si>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</si>
  <si>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</si>
  <si>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</si>
  <si>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</si>
  <si>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</si>
  <si>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</si>
  <si>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</si>
  <si>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</si>
  <si>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</si>
  <si>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</si>
  <si>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</si>
  <si>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</si>
  <si>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</si>
  <si>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</si>
  <si>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</si>
  <si>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</si>
  <si>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</si>
  <si>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</si>
  <si>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</si>
  <si>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</si>
  <si>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</si>
  <si>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</si>
  <si>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</si>
  <si>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Commencement-CC No</t>
  </si>
  <si>
    <t xml:space="preserve">Valid Up to: 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</si>
  <si>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New Roman"/>
        <family val="1"/>
      </rPr>
      <t xml:space="preserve">                                               </t>
    </r>
  </si>
  <si>
    <t>Axis Thane</t>
  </si>
  <si>
    <t>Avnit Enterprise</t>
  </si>
  <si>
    <t>Avnit Plaza</t>
  </si>
  <si>
    <t>P52000051924</t>
  </si>
  <si>
    <t>Survey No</t>
  </si>
  <si>
    <t>Mamdapur</t>
  </si>
  <si>
    <t>Raigad Zilla Parishad Alibag</t>
  </si>
  <si>
    <t>RJP/BP/NSVP/91/2023</t>
  </si>
  <si>
    <t xml:space="preserve">Ground + 1st to 3rd Floor </t>
  </si>
  <si>
    <t>G + 1st to 3rd Floor</t>
  </si>
  <si>
    <t>Ground Floor For Parking</t>
  </si>
  <si>
    <t>1BHK</t>
  </si>
  <si>
    <t>1RK</t>
  </si>
  <si>
    <t>Flats</t>
  </si>
  <si>
    <t>Flats - 15</t>
  </si>
  <si>
    <t>We considered Gross carpet area = Net carpet + Enclose balcony + W.S area.</t>
  </si>
  <si>
    <t>Approved Plans, CC, Builder Saleable Area, Cost Sheet.</t>
  </si>
  <si>
    <t>Neral</t>
  </si>
  <si>
    <t>1.70 KM from Neral Railway Station</t>
  </si>
  <si>
    <t>Internal Road</t>
  </si>
  <si>
    <t>Neral West</t>
  </si>
  <si>
    <t>Bramah Highlights</t>
  </si>
  <si>
    <t>19.032972,73.307361</t>
  </si>
  <si>
    <t>https://goo.gl/maps/rm3tBJdUDvtnk5W88</t>
  </si>
  <si>
    <t>6.0 M.W Road</t>
  </si>
  <si>
    <t>Other Plot</t>
  </si>
  <si>
    <t>Building</t>
  </si>
  <si>
    <t>156 &amp; Plot No.1</t>
  </si>
  <si>
    <t>Naynesh Lovanshi</t>
  </si>
  <si>
    <t>Essential InfoSec Private Limited</t>
  </si>
  <si>
    <t>Bramah highlights</t>
  </si>
  <si>
    <t>Builder Saleable area</t>
  </si>
  <si>
    <t>Vitrified tiles flooring, Granite Kitchen Platform, Decorative Entrance &amp; Landscape Garden, etc.</t>
  </si>
  <si>
    <t>2nd &amp; 3rd Floor For Residential</t>
  </si>
  <si>
    <t>1st Floor For Residential</t>
  </si>
  <si>
    <t>Flat No. 103 area changed by Viraaj Sawant on 29/07/2024 for staff case Total Value 13.80L</t>
  </si>
  <si>
    <t>325 to 365 area change by smith 05/12/2024</t>
  </si>
  <si>
    <t>Flat No. 203 &amp; 303 area changed by smith on 05/12/2024.</t>
  </si>
  <si>
    <t>Recommended Rates / Other charges of the Property have been revised on 29/07/2024 &amp; 05/12/2024.</t>
  </si>
  <si>
    <t>Mr. Avinash Mangtani 7666116661</t>
  </si>
  <si>
    <t>Mr. Aman Khan 8976807274</t>
  </si>
  <si>
    <t xml:space="preserve">As per RERA, completion period of project name is expired on 31/10/2024 but still project is under Construction.
</t>
  </si>
  <si>
    <t xml:space="preserve">As per RERA, completion period of Avnit Plaza is expired on 31/10/2024 but still project is under Construction.
</t>
  </si>
  <si>
    <t>As per RERA - 31/10/2025</t>
  </si>
  <si>
    <t>Construction work is in process at the time of visit (Internal Visit not allowed).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</si>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</sst>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1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  <font>
      <b/>
      <sz val="12"/>
      <color rgb="FFFF000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1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24" xfId="0" applyFont="1" applyFill="1" applyBorder="1"/>
    <xf numFmtId="0" fontId="25" fillId="0" borderId="25" xfId="0" applyFont="1" applyBorder="1"/>
    <xf numFmtId="0" fontId="25" fillId="0" borderId="1" xfId="0" applyFont="1" applyBorder="1"/>
    <xf numFmtId="0" fontId="25" fillId="0" borderId="4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0" borderId="0" xfId="1" applyFont="1" applyAlignment="1">
      <alignment vertical="center"/>
    </xf>
    <xf numFmtId="0" fontId="7" fillId="0" borderId="1" xfId="1" applyFont="1" applyBorder="1" applyAlignment="1">
      <alignment horizontal="center" vertical="center"/>
    </xf>
    <xf numFmtId="0" fontId="29" fillId="0" borderId="0" xfId="1" applyFont="1"/>
    <xf numFmtId="1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5" xfId="0" applyNumberFormat="1" applyFont="1" applyFill="1" applyBorder="1" applyAlignment="1" applyProtection="1">
      <alignment vertical="top" wrapText="1"/>
      <protection locked="0"/>
    </xf>
    <xf numFmtId="1" fontId="8" fillId="3" borderId="18" xfId="0" applyNumberFormat="1" applyFont="1" applyFill="1" applyBorder="1" applyAlignment="1" applyProtection="1">
      <alignment vertical="top" wrapText="1"/>
      <protection locked="0"/>
    </xf>
    <xf numFmtId="1" fontId="8" fillId="3" borderId="6" xfId="0" applyNumberFormat="1" applyFont="1" applyFill="1" applyBorder="1" applyAlignment="1" applyProtection="1">
      <alignment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center" vertical="top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0" fontId="7" fillId="0" borderId="22" xfId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6" fillId="0" borderId="23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10" fillId="0" borderId="27" xfId="0" applyNumberFormat="1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1" fontId="8" fillId="0" borderId="26" xfId="0" applyNumberFormat="1" applyFont="1" applyBorder="1" applyAlignment="1" applyProtection="1">
      <alignment horizontal="center" vertical="center" wrapText="1"/>
      <protection locked="0"/>
    </xf>
    <xf numFmtId="1" fontId="8" fillId="0" borderId="27" xfId="0" applyNumberFormat="1" applyFont="1" applyBorder="1" applyAlignment="1" applyProtection="1">
      <alignment horizontal="center" vertical="center" wrapText="1"/>
      <protection locked="0"/>
    </xf>
    <xf numFmtId="1" fontId="30" fillId="0" borderId="5" xfId="0" applyNumberFormat="1" applyFont="1" applyBorder="1" applyAlignment="1" applyProtection="1">
      <alignment vertical="top" wrapText="1"/>
      <protection locked="0"/>
    </xf>
    <xf numFmtId="1" fontId="30" fillId="0" borderId="18" xfId="0" applyNumberFormat="1" applyFont="1" applyBorder="1" applyAlignment="1" applyProtection="1">
      <alignment vertical="top" wrapText="1"/>
      <protection locked="0"/>
    </xf>
    <xf numFmtId="1" fontId="30" fillId="0" borderId="6" xfId="0" applyNumberFormat="1" applyFont="1" applyBorder="1" applyAlignment="1" applyProtection="1">
      <alignment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12" fillId="0" borderId="18" xfId="1" applyFont="1" applyBorder="1" applyAlignment="1" applyProtection="1">
      <alignment horizontal="center" vertical="top"/>
      <protection locked="0"/>
    </xf>
    <xf numFmtId="0" fontId="12" fillId="0" borderId="6" xfId="1" applyFont="1" applyBorder="1" applyAlignment="1" applyProtection="1">
      <alignment horizontal="center" vertical="top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5" xfId="1" applyFont="1" applyBorder="1" applyAlignment="1" applyProtection="1">
      <alignment horizontal="center" vertical="top"/>
      <protection locked="0"/>
    </xf>
    <xf numFmtId="0" fontId="13" fillId="0" borderId="18" xfId="1" applyFont="1" applyBorder="1" applyAlignment="1" applyProtection="1">
      <alignment horizontal="center" vertical="top"/>
      <protection locked="0"/>
    </xf>
    <xf numFmtId="0" fontId="13" fillId="0" borderId="6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2" xfId="1" applyFont="1" applyBorder="1" applyAlignment="1" applyProtection="1">
      <alignment horizontal="left" vertical="top" wrapText="1"/>
      <protection locked="0"/>
    </xf>
    <xf numFmtId="0" fontId="8" fillId="0" borderId="10" xfId="1" applyFont="1" applyBorder="1" applyAlignment="1" applyProtection="1">
      <alignment horizontal="left" vertical="top" wrapText="1"/>
      <protection locked="0"/>
    </xf>
    <xf numFmtId="0" fontId="8" fillId="0" borderId="11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536858</xdr:colOff>
      <xdr:row>200</xdr:row>
      <xdr:rowOff>3671</xdr:rowOff>
    </xdr:from>
    <xdr:to>
      <xdr:col>6</xdr:col>
      <xdr:colOff>282180</xdr:colOff>
      <xdr:row>217</xdr:row>
      <xdr:rowOff>60413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9472" y="36267944"/>
          <a:ext cx="4213413" cy="3442447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536858</xdr:colOff>
      <xdr:row>184</xdr:row>
      <xdr:rowOff>34638</xdr:rowOff>
    </xdr:from>
    <xdr:to>
      <xdr:col>6</xdr:col>
      <xdr:colOff>282180</xdr:colOff>
      <xdr:row>199</xdr:row>
      <xdr:rowOff>94817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9472" y="33112365"/>
          <a:ext cx="4213413" cy="3047565"/>
        </a:xfrm>
        <a:prstGeom prst="rect">
          <a:avLst/>
        </a:prstGeom>
        <a:ln w="19050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285747</xdr:colOff>
      <xdr:row>248</xdr:row>
      <xdr:rowOff>41051</xdr:rowOff>
    </xdr:from>
    <xdr:to>
      <xdr:col>6</xdr:col>
      <xdr:colOff>604809</xdr:colOff>
      <xdr:row>265</xdr:row>
      <xdr:rowOff>8146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361" y="45864960"/>
          <a:ext cx="4787153" cy="3352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285748</xdr:colOff>
      <xdr:row>228</xdr:row>
      <xdr:rowOff>25977</xdr:rowOff>
    </xdr:from>
    <xdr:to>
      <xdr:col>6</xdr:col>
      <xdr:colOff>604809</xdr:colOff>
      <xdr:row>247</xdr:row>
      <xdr:rowOff>68241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362" y="41866704"/>
          <a:ext cx="4787152" cy="3826286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418629</xdr:colOff>
      <xdr:row>252</xdr:row>
      <xdr:rowOff>185203</xdr:rowOff>
    </xdr:from>
    <xdr:to>
      <xdr:col>4</xdr:col>
      <xdr:colOff>137953</xdr:colOff>
      <xdr:row>258</xdr:row>
      <xdr:rowOff>124540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 rot="21069707">
          <a:off x="3016356" y="46805748"/>
          <a:ext cx="732438" cy="1134292"/>
        </a:xfrm>
        <a:prstGeom prst="rect">
          <a:avLst/>
        </a:prstGeom>
        <a:noFill/>
        <a:ln w="571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>
    <xdr:from>
      <xdr:col>9</xdr:col>
      <xdr:colOff>78105</xdr:colOff>
      <xdr:row>139</xdr:row>
      <xdr:rowOff>177165</xdr:rowOff>
    </xdr:from>
    <xdr:to>
      <xdr:col>17</xdr:col>
      <xdr:colOff>447674</xdr:colOff>
      <xdr:row>180</xdr:row>
      <xdr:rowOff>26670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7D3950E6-E811-40A5-933D-06B470F9F620}"/>
            </a:ext>
          </a:extLst>
        </xdr:cNvPr>
        <xdr:cNvGrpSpPr/>
      </xdr:nvGrpSpPr>
      <xdr:grpSpPr>
        <a:xfrm>
          <a:off x="8322945" y="27929205"/>
          <a:ext cx="6381749" cy="7964805"/>
          <a:chOff x="814058" y="306231"/>
          <a:chExt cx="5179334" cy="7702254"/>
        </a:xfrm>
      </xdr:grpSpPr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9787551E-11F4-4465-ADB5-B55B396424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7231" y="306231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2155922-DA02-40EF-9492-5935400761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08773" y="306231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E0AE8937-B895-4D71-93AF-8A8AC020EE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14058" y="3707358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39051095-72EC-4737-B0A7-DAB5100236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4569" y="3707358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5D945F0C-6898-4C9C-88A4-82AC10E6833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5080" y="3707358"/>
            <a:ext cx="1618312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82A2A467-3F2F-49BF-8F84-1F17C896E0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76980" y="6028485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D4FC4D38-EE14-4FE5-B02D-4210C83969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660586" y="6001950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>
            <a:extLst>
              <a:ext uri="{FF2B5EF4-FFF2-40B4-BE49-F238E27FC236}">
                <a16:creationId xmlns:a16="http://schemas.microsoft.com/office/drawing/2014/main" id="{D150F792-8FBE-4F04-82AB-2A95841CE2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97567" y="6028485"/>
            <a:ext cx="1483453" cy="19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541020</xdr:colOff>
      <xdr:row>138</xdr:row>
      <xdr:rowOff>152400</xdr:rowOff>
    </xdr:from>
    <xdr:to>
      <xdr:col>7</xdr:col>
      <xdr:colOff>640080</xdr:colOff>
      <xdr:row>180</xdr:row>
      <xdr:rowOff>190500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984B78E5-2C53-69BD-06A4-59B545A95EEE}"/>
            </a:ext>
          </a:extLst>
        </xdr:cNvPr>
        <xdr:cNvGrpSpPr/>
      </xdr:nvGrpSpPr>
      <xdr:grpSpPr>
        <a:xfrm>
          <a:off x="541020" y="27706320"/>
          <a:ext cx="5928360" cy="8351520"/>
          <a:chOff x="547473" y="155430"/>
          <a:chExt cx="5955154" cy="850364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B724CF72-B9BA-2D49-B4AA-0B1B71373D25}"/>
              </a:ext>
            </a:extLst>
          </xdr:cNvPr>
          <xdr:cNvGrpSpPr/>
        </xdr:nvGrpSpPr>
        <xdr:grpSpPr>
          <a:xfrm>
            <a:off x="805013" y="4169253"/>
            <a:ext cx="5440074" cy="2520000"/>
            <a:chOff x="755671" y="4169253"/>
            <a:chExt cx="5440074" cy="2520000"/>
          </a:xfrm>
        </xdr:grpSpPr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AC5EADCF-A3E0-7CA8-E5B3-59D442D0738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38856" y="4169253"/>
              <a:ext cx="335688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9" name="Picture 38">
              <a:extLst>
                <a:ext uri="{FF2B5EF4-FFF2-40B4-BE49-F238E27FC236}">
                  <a16:creationId xmlns:a16="http://schemas.microsoft.com/office/drawing/2014/main" id="{752D5A96-E47B-235C-F593-34702E57554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755671" y="4169253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00AAB50E-39A0-9123-C77C-03ADA069699D}"/>
              </a:ext>
            </a:extLst>
          </xdr:cNvPr>
          <xdr:cNvGrpSpPr/>
        </xdr:nvGrpSpPr>
        <xdr:grpSpPr>
          <a:xfrm>
            <a:off x="547473" y="155430"/>
            <a:ext cx="5955154" cy="3844006"/>
            <a:chOff x="547473" y="155430"/>
            <a:chExt cx="5955154" cy="3844006"/>
          </a:xfrm>
        </xdr:grpSpPr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B209ABB1-5C35-6494-E75F-9CA48FC5730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622627" y="155431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0" name="Picture 19">
              <a:extLst>
                <a:ext uri="{FF2B5EF4-FFF2-40B4-BE49-F238E27FC236}">
                  <a16:creationId xmlns:a16="http://schemas.microsoft.com/office/drawing/2014/main" id="{413ECE2E-4F25-CDA9-565B-498E95653C3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47473" y="155430"/>
              <a:ext cx="2880000" cy="3844005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05D64E96-C380-F5D5-C503-217C27D678B4}"/>
              </a:ext>
            </a:extLst>
          </xdr:cNvPr>
          <xdr:cNvGrpSpPr/>
        </xdr:nvGrpSpPr>
        <xdr:grpSpPr>
          <a:xfrm>
            <a:off x="2078879" y="6859070"/>
            <a:ext cx="2892342" cy="1800000"/>
            <a:chOff x="1295108" y="6859070"/>
            <a:chExt cx="2892342" cy="1800000"/>
          </a:xfrm>
        </xdr:grpSpPr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A28CE41B-697E-0AFA-45D9-6831D9D4EEB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838856" y="685907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47FE7643-C956-8813-D311-B222037B249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95108" y="685907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rm3tBJdUDvtnk5W88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227"/>
  <sheetViews>
    <sheetView tabSelected="1" view="pageBreakPreview" zoomScaleNormal="100" zoomScaleSheetLayoutView="100" workbookViewId="0">
      <selection activeCell="J6" sqref="J6"/>
    </sheetView>
  </sheetViews>
  <sheetFormatPr defaultColWidth="9.109375" defaultRowHeight="15.6" x14ac:dyDescent="0.3"/>
  <cols>
    <col min="1" max="1" width="11.44140625" style="39" customWidth="1"/>
    <col min="2" max="2" width="12" style="39" customWidth="1"/>
    <col min="3" max="3" width="12.6640625" style="39" customWidth="1"/>
    <col min="4" max="4" width="14.109375" style="39" customWidth="1"/>
    <col min="5" max="6" width="11.6640625" style="39" customWidth="1"/>
    <col min="7" max="7" width="11.44140625" style="39" customWidth="1"/>
    <col min="8" max="8" width="17.6640625" style="39" customWidth="1"/>
    <col min="9" max="9" width="17.5546875" style="20" customWidth="1"/>
    <col min="10" max="10" width="11.44140625" style="20" customWidth="1"/>
    <col min="11" max="11" width="10.5546875" style="20" bestFit="1" customWidth="1"/>
    <col min="12" max="12" width="10.5546875" style="20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26" ht="46.5" customHeight="1" x14ac:dyDescent="0.3">
      <c r="A1" s="140" t="s">
        <v>160</v>
      </c>
      <c r="B1" s="140"/>
      <c r="C1" s="140"/>
      <c r="D1" s="140"/>
      <c r="E1" s="140"/>
      <c r="F1" s="140"/>
      <c r="G1" s="140"/>
      <c r="H1" s="140"/>
    </row>
    <row r="2" spans="1:26" ht="16.5" customHeight="1" x14ac:dyDescent="0.3">
      <c r="A2" s="83" t="s">
        <v>0</v>
      </c>
      <c r="B2" s="83"/>
      <c r="C2" s="83"/>
      <c r="D2" s="83"/>
      <c r="E2" s="83"/>
      <c r="F2" s="83"/>
      <c r="G2" s="83"/>
      <c r="H2" s="83"/>
    </row>
    <row r="3" spans="1:26" x14ac:dyDescent="0.3">
      <c r="A3" s="96" t="s">
        <v>1</v>
      </c>
      <c r="B3" s="96"/>
      <c r="C3" s="96"/>
      <c r="D3" s="96"/>
      <c r="E3" s="96" t="str">
        <f ca="1">TEXT(TODAY(),"DD/MM/YYYY")</f>
        <v>14/08/2025</v>
      </c>
      <c r="F3" s="96"/>
      <c r="G3" s="96"/>
      <c r="H3" s="96"/>
    </row>
    <row r="4" spans="1:26" ht="15" customHeight="1" x14ac:dyDescent="0.3">
      <c r="A4" s="96" t="s">
        <v>2</v>
      </c>
      <c r="B4" s="96"/>
      <c r="C4" s="96"/>
      <c r="D4" s="96"/>
      <c r="E4" s="96" t="s">
        <v>228</v>
      </c>
      <c r="F4" s="96"/>
      <c r="G4" s="96"/>
      <c r="H4" s="96"/>
    </row>
    <row r="5" spans="1:26" x14ac:dyDescent="0.3">
      <c r="A5" s="96" t="s">
        <v>3</v>
      </c>
      <c r="B5" s="96"/>
      <c r="C5" s="96"/>
      <c r="D5" s="96"/>
      <c r="E5" s="142">
        <v>45882</v>
      </c>
      <c r="F5" s="96"/>
      <c r="G5" s="96"/>
      <c r="H5" s="96"/>
    </row>
    <row r="6" spans="1:26" ht="16.5" customHeight="1" x14ac:dyDescent="0.3">
      <c r="A6" s="96" t="s">
        <v>4</v>
      </c>
      <c r="B6" s="96"/>
      <c r="C6" s="96"/>
      <c r="D6" s="96"/>
      <c r="E6" s="96" t="s">
        <v>229</v>
      </c>
      <c r="F6" s="96"/>
      <c r="G6" s="96"/>
      <c r="H6" s="96"/>
    </row>
    <row r="7" spans="1:26" ht="15" customHeight="1" x14ac:dyDescent="0.3">
      <c r="A7" s="96" t="s">
        <v>5</v>
      </c>
      <c r="B7" s="96"/>
      <c r="C7" s="96"/>
      <c r="D7" s="96"/>
      <c r="E7" s="96" t="str">
        <f>E6</f>
        <v>Avnit Enterprise</v>
      </c>
      <c r="F7" s="96"/>
      <c r="G7" s="96"/>
      <c r="H7" s="96"/>
    </row>
    <row r="8" spans="1:26" x14ac:dyDescent="0.3">
      <c r="A8" s="96" t="s">
        <v>6</v>
      </c>
      <c r="B8" s="96"/>
      <c r="C8" s="96"/>
      <c r="D8" s="96"/>
      <c r="E8" s="141" t="s">
        <v>230</v>
      </c>
      <c r="F8" s="141"/>
      <c r="G8" s="141"/>
      <c r="H8" s="141"/>
    </row>
    <row r="9" spans="1:26" x14ac:dyDescent="0.3">
      <c r="A9" s="96" t="s">
        <v>163</v>
      </c>
      <c r="B9" s="96"/>
      <c r="C9" s="96"/>
      <c r="D9" s="96"/>
      <c r="E9" s="96" t="s">
        <v>267</v>
      </c>
      <c r="F9" s="96"/>
      <c r="G9" s="96"/>
      <c r="H9" s="96"/>
    </row>
    <row r="10" spans="1:26" x14ac:dyDescent="0.3">
      <c r="A10" s="96" t="s">
        <v>164</v>
      </c>
      <c r="B10" s="96"/>
      <c r="C10" s="96"/>
      <c r="D10" s="96"/>
      <c r="E10" s="96" t="s">
        <v>268</v>
      </c>
      <c r="F10" s="96"/>
      <c r="G10" s="96"/>
      <c r="H10" s="96"/>
    </row>
    <row r="11" spans="1:26" x14ac:dyDescent="0.3">
      <c r="A11" s="96" t="s">
        <v>7</v>
      </c>
      <c r="B11" s="96"/>
      <c r="C11" s="96"/>
      <c r="D11" s="96"/>
      <c r="E11" s="96" t="s">
        <v>119</v>
      </c>
      <c r="F11" s="96"/>
      <c r="G11" s="96"/>
      <c r="H11" s="96"/>
    </row>
    <row r="12" spans="1:26" x14ac:dyDescent="0.3">
      <c r="A12" s="96" t="s">
        <v>166</v>
      </c>
      <c r="B12" s="96"/>
      <c r="C12" s="96"/>
      <c r="D12" s="96"/>
      <c r="E12" s="96" t="s">
        <v>29</v>
      </c>
      <c r="F12" s="96"/>
      <c r="G12" s="96"/>
      <c r="H12" s="96"/>
      <c r="S12" s="54" t="s">
        <v>172</v>
      </c>
      <c r="T12" s="54" t="s">
        <v>182</v>
      </c>
      <c r="U12" s="54" t="s">
        <v>167</v>
      </c>
      <c r="V12" s="54" t="s">
        <v>187</v>
      </c>
      <c r="W12" s="54" t="s">
        <v>205</v>
      </c>
      <c r="X12"/>
      <c r="Y12" t="s">
        <v>187</v>
      </c>
      <c r="Z12" t="e">
        <f ca="1">OFFSET($S$12,1,MATCH($G19,$S$12:$W$12,0)-1,15,1)</f>
        <v>#VALUE!</v>
      </c>
    </row>
    <row r="13" spans="1:26" x14ac:dyDescent="0.3">
      <c r="A13" s="66" t="s">
        <v>8</v>
      </c>
      <c r="B13" s="66"/>
      <c r="C13" s="66"/>
      <c r="D13" s="66"/>
      <c r="E13" s="95" t="s">
        <v>244</v>
      </c>
      <c r="F13" s="95"/>
      <c r="G13" s="95"/>
      <c r="H13" s="95"/>
      <c r="S13" s="54" t="s">
        <v>173</v>
      </c>
      <c r="T13" s="54" t="s">
        <v>180</v>
      </c>
      <c r="U13" s="54" t="s">
        <v>202</v>
      </c>
      <c r="V13" s="54" t="s">
        <v>188</v>
      </c>
      <c r="W13" s="54" t="s">
        <v>206</v>
      </c>
      <c r="X13"/>
      <c r="Y13"/>
      <c r="Z13"/>
    </row>
    <row r="14" spans="1:26" x14ac:dyDescent="0.3">
      <c r="A14" s="66" t="s">
        <v>9</v>
      </c>
      <c r="B14" s="66"/>
      <c r="C14" s="66"/>
      <c r="D14" s="66"/>
      <c r="E14" s="95" t="s">
        <v>231</v>
      </c>
      <c r="F14" s="96"/>
      <c r="G14" s="96"/>
      <c r="H14" s="96"/>
      <c r="I14" s="81" t="e">
        <f ca="1">OFFSET($D$4,1,MATCH($J12,$D$4:$H$4,0)-1,15,1)</f>
        <v>#N/A</v>
      </c>
      <c r="J14" s="82"/>
      <c r="K14" s="82"/>
      <c r="L14" s="82"/>
      <c r="M14" s="82"/>
      <c r="N14" s="82"/>
      <c r="O14" s="82"/>
      <c r="P14" s="82"/>
      <c r="S14" s="54" t="s">
        <v>174</v>
      </c>
      <c r="T14" s="54" t="s">
        <v>181</v>
      </c>
      <c r="U14" s="54" t="s">
        <v>203</v>
      </c>
      <c r="V14" s="54" t="s">
        <v>189</v>
      </c>
      <c r="W14" s="54" t="s">
        <v>219</v>
      </c>
      <c r="X14"/>
      <c r="Y14"/>
      <c r="Z14"/>
    </row>
    <row r="15" spans="1:26" ht="34.5" customHeight="1" x14ac:dyDescent="0.3">
      <c r="A15" s="94" t="s">
        <v>10</v>
      </c>
      <c r="B15" s="94"/>
      <c r="C15" s="94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Avnit Plaza, Survey No.156 &amp; Plot No.1, near Bramah Highlights, Internal Road, Neral, Mamdapur, Neral West, Karjat, Raigad - 410101.</v>
      </c>
      <c r="D15" s="94"/>
      <c r="E15" s="94"/>
      <c r="F15" s="94"/>
      <c r="G15" s="94"/>
      <c r="H15" s="94"/>
      <c r="S15" s="54" t="s">
        <v>175</v>
      </c>
      <c r="T15" s="54" t="s">
        <v>183</v>
      </c>
      <c r="U15" s="54" t="s">
        <v>204</v>
      </c>
      <c r="V15" s="54" t="s">
        <v>190</v>
      </c>
      <c r="W15" s="54" t="s">
        <v>207</v>
      </c>
      <c r="X15"/>
      <c r="Y15"/>
      <c r="Z15"/>
    </row>
    <row r="16" spans="1:26" x14ac:dyDescent="0.3">
      <c r="A16" s="95" t="s">
        <v>232</v>
      </c>
      <c r="B16" s="95"/>
      <c r="C16" s="95" t="s">
        <v>255</v>
      </c>
      <c r="D16" s="95"/>
      <c r="E16" s="95"/>
      <c r="F16" s="95"/>
      <c r="G16" s="95"/>
      <c r="H16" s="95"/>
      <c r="S16" s="54" t="s">
        <v>176</v>
      </c>
      <c r="T16" s="54" t="s">
        <v>184</v>
      </c>
      <c r="U16" s="54"/>
      <c r="V16" s="54" t="s">
        <v>191</v>
      </c>
      <c r="W16" s="54" t="s">
        <v>208</v>
      </c>
      <c r="X16"/>
      <c r="Y16"/>
      <c r="Z16"/>
    </row>
    <row r="17" spans="1:26" ht="15.75" customHeight="1" x14ac:dyDescent="0.3">
      <c r="A17" s="95" t="s">
        <v>158</v>
      </c>
      <c r="B17" s="95"/>
      <c r="C17" s="95" t="s">
        <v>245</v>
      </c>
      <c r="D17" s="95"/>
      <c r="E17" s="95"/>
      <c r="F17" s="95"/>
      <c r="G17" s="95"/>
      <c r="H17" s="95"/>
      <c r="S17" s="54" t="s">
        <v>177</v>
      </c>
      <c r="T17" s="54" t="s">
        <v>182</v>
      </c>
      <c r="U17" s="54"/>
      <c r="V17" s="54" t="s">
        <v>192</v>
      </c>
      <c r="W17" s="54" t="s">
        <v>209</v>
      </c>
      <c r="X17"/>
      <c r="Y17"/>
      <c r="Z17"/>
    </row>
    <row r="18" spans="1:26" ht="15.75" customHeight="1" x14ac:dyDescent="0.3">
      <c r="A18" s="94" t="s">
        <v>11</v>
      </c>
      <c r="B18" s="94"/>
      <c r="C18" s="96" t="s">
        <v>247</v>
      </c>
      <c r="D18" s="96"/>
      <c r="E18" s="95" t="s">
        <v>72</v>
      </c>
      <c r="F18" s="95"/>
      <c r="G18" s="95" t="s">
        <v>233</v>
      </c>
      <c r="H18" s="95"/>
      <c r="S18" s="54" t="s">
        <v>178</v>
      </c>
      <c r="T18" s="54" t="s">
        <v>185</v>
      </c>
      <c r="U18" s="54"/>
      <c r="V18" s="54" t="s">
        <v>193</v>
      </c>
      <c r="W18" s="54" t="s">
        <v>210</v>
      </c>
      <c r="X18"/>
      <c r="Y18"/>
      <c r="Z18"/>
    </row>
    <row r="19" spans="1:26" x14ac:dyDescent="0.3">
      <c r="A19" s="66" t="s">
        <v>13</v>
      </c>
      <c r="B19" s="66"/>
      <c r="C19" s="95" t="s">
        <v>248</v>
      </c>
      <c r="D19" s="95"/>
      <c r="E19" s="95" t="s">
        <v>12</v>
      </c>
      <c r="F19" s="95"/>
      <c r="G19" s="143" t="s">
        <v>187</v>
      </c>
      <c r="H19" s="143"/>
      <c r="S19" s="54" t="s">
        <v>179</v>
      </c>
      <c r="T19" s="54" t="s">
        <v>186</v>
      </c>
      <c r="U19" s="54"/>
      <c r="V19" s="54" t="s">
        <v>194</v>
      </c>
      <c r="W19" s="54" t="s">
        <v>211</v>
      </c>
      <c r="X19"/>
      <c r="Y19"/>
      <c r="Z19"/>
    </row>
    <row r="20" spans="1:26" x14ac:dyDescent="0.3">
      <c r="A20" s="66" t="s">
        <v>73</v>
      </c>
      <c r="B20" s="66"/>
      <c r="C20" s="95" t="s">
        <v>191</v>
      </c>
      <c r="D20" s="95"/>
      <c r="E20" s="95" t="s">
        <v>14</v>
      </c>
      <c r="F20" s="95"/>
      <c r="G20" s="95">
        <v>410101</v>
      </c>
      <c r="H20" s="95"/>
      <c r="S20" s="54"/>
      <c r="T20" s="54"/>
      <c r="U20" s="54"/>
      <c r="V20" s="54" t="s">
        <v>195</v>
      </c>
      <c r="W20" s="54" t="s">
        <v>212</v>
      </c>
      <c r="X20"/>
      <c r="Y20"/>
      <c r="Z20"/>
    </row>
    <row r="21" spans="1:26" ht="32.25" customHeight="1" x14ac:dyDescent="0.3">
      <c r="A21" s="66" t="s">
        <v>120</v>
      </c>
      <c r="B21" s="66"/>
      <c r="C21" s="95" t="s">
        <v>249</v>
      </c>
      <c r="D21" s="95"/>
      <c r="E21" s="95" t="s">
        <v>15</v>
      </c>
      <c r="F21" s="95"/>
      <c r="G21" s="95" t="s">
        <v>246</v>
      </c>
      <c r="H21" s="95"/>
      <c r="S21" s="54"/>
      <c r="T21" s="54"/>
      <c r="U21" s="54"/>
      <c r="V21" s="54" t="s">
        <v>196</v>
      </c>
      <c r="W21" s="54" t="s">
        <v>213</v>
      </c>
      <c r="X21"/>
      <c r="Y21"/>
      <c r="Z21"/>
    </row>
    <row r="22" spans="1:26" ht="15" customHeight="1" x14ac:dyDescent="0.3">
      <c r="A22" s="94" t="s">
        <v>74</v>
      </c>
      <c r="B22" s="94"/>
      <c r="C22" s="94"/>
      <c r="D22" s="94"/>
      <c r="E22" s="96" t="s">
        <v>16</v>
      </c>
      <c r="F22" s="96"/>
      <c r="G22" s="96"/>
      <c r="H22" s="96"/>
      <c r="S22" s="54"/>
      <c r="T22" s="54"/>
      <c r="U22" s="54"/>
      <c r="V22" s="54" t="s">
        <v>197</v>
      </c>
      <c r="W22" s="54" t="s">
        <v>214</v>
      </c>
      <c r="X22"/>
      <c r="Y22"/>
      <c r="Z22"/>
    </row>
    <row r="23" spans="1:26" ht="18.75" customHeight="1" x14ac:dyDescent="0.3">
      <c r="A23" s="94"/>
      <c r="B23" s="94"/>
      <c r="C23" s="94"/>
      <c r="D23" s="94"/>
      <c r="E23" s="96"/>
      <c r="F23" s="96"/>
      <c r="G23" s="96"/>
      <c r="H23" s="96"/>
      <c r="S23" s="54"/>
      <c r="T23" s="54"/>
      <c r="U23" s="54"/>
      <c r="V23" s="54" t="s">
        <v>198</v>
      </c>
      <c r="W23" s="54" t="s">
        <v>215</v>
      </c>
      <c r="X23"/>
      <c r="Y23"/>
      <c r="Z23"/>
    </row>
    <row r="24" spans="1:26" ht="15" customHeight="1" x14ac:dyDescent="0.3">
      <c r="A24" s="94" t="s">
        <v>17</v>
      </c>
      <c r="B24" s="94"/>
      <c r="C24" s="94"/>
      <c r="D24" s="94"/>
      <c r="E24" s="95" t="s">
        <v>18</v>
      </c>
      <c r="F24" s="95"/>
      <c r="G24" s="95"/>
      <c r="H24" s="95"/>
      <c r="S24" s="54"/>
      <c r="T24" s="54"/>
      <c r="U24" s="54"/>
      <c r="V24" s="54" t="s">
        <v>199</v>
      </c>
      <c r="W24" s="54" t="s">
        <v>216</v>
      </c>
      <c r="X24"/>
      <c r="Y24"/>
      <c r="Z24"/>
    </row>
    <row r="25" spans="1:26" ht="15" customHeight="1" x14ac:dyDescent="0.3">
      <c r="A25" s="66" t="s">
        <v>19</v>
      </c>
      <c r="B25" s="66"/>
      <c r="C25" s="66"/>
      <c r="D25" s="66"/>
      <c r="E25" s="95" t="str">
        <f>IF(AND(G19="Mumbai"),"Upper Class","Middle Class")</f>
        <v>Middle Class</v>
      </c>
      <c r="F25" s="95"/>
      <c r="G25" s="95"/>
      <c r="H25" s="95"/>
      <c r="S25" s="54"/>
      <c r="T25" s="54"/>
      <c r="U25" s="54"/>
      <c r="V25" s="54" t="s">
        <v>200</v>
      </c>
      <c r="W25" s="54" t="s">
        <v>217</v>
      </c>
      <c r="X25"/>
      <c r="Y25"/>
      <c r="Z25"/>
    </row>
    <row r="26" spans="1:26" x14ac:dyDescent="0.3">
      <c r="A26" s="66" t="s">
        <v>20</v>
      </c>
      <c r="B26" s="66"/>
      <c r="C26" s="66"/>
      <c r="D26" s="66"/>
      <c r="E26" s="95" t="s">
        <v>21</v>
      </c>
      <c r="F26" s="95"/>
      <c r="G26" s="95"/>
      <c r="H26" s="95"/>
      <c r="S26" s="54"/>
      <c r="T26" s="54"/>
      <c r="U26" s="54"/>
      <c r="V26" s="54" t="s">
        <v>201</v>
      </c>
      <c r="W26" s="54" t="s">
        <v>218</v>
      </c>
      <c r="X26"/>
      <c r="Y26"/>
      <c r="Z26"/>
    </row>
    <row r="27" spans="1:26" ht="15.75" customHeight="1" x14ac:dyDescent="0.3">
      <c r="A27" s="66" t="s">
        <v>22</v>
      </c>
      <c r="B27" s="66"/>
      <c r="C27" s="66"/>
      <c r="D27" s="66"/>
      <c r="E27" s="95" t="str">
        <f>IF(AND(G19="Mumbai"),"Developed","Developing")</f>
        <v>Developing</v>
      </c>
      <c r="F27" s="95"/>
      <c r="G27" s="95"/>
      <c r="H27" s="95"/>
    </row>
    <row r="28" spans="1:26" x14ac:dyDescent="0.3">
      <c r="A28" s="66" t="s">
        <v>23</v>
      </c>
      <c r="B28" s="66"/>
      <c r="C28" s="66"/>
      <c r="D28" s="66"/>
      <c r="E28" s="95" t="s">
        <v>24</v>
      </c>
      <c r="F28" s="95"/>
      <c r="G28" s="95"/>
      <c r="H28" s="95"/>
    </row>
    <row r="29" spans="1:26" ht="15.75" customHeight="1" x14ac:dyDescent="0.3">
      <c r="A29" s="66" t="s">
        <v>79</v>
      </c>
      <c r="B29" s="66"/>
      <c r="C29" s="66"/>
      <c r="D29" s="66"/>
      <c r="E29" s="95" t="s">
        <v>80</v>
      </c>
      <c r="F29" s="95"/>
      <c r="G29" s="95"/>
      <c r="H29" s="95"/>
    </row>
    <row r="30" spans="1:26" ht="15" customHeight="1" x14ac:dyDescent="0.3">
      <c r="A30" s="66" t="s">
        <v>32</v>
      </c>
      <c r="B30" s="66"/>
      <c r="C30" s="66"/>
      <c r="D30" s="66"/>
      <c r="E30" s="95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95"/>
      <c r="G30" s="95"/>
      <c r="H30" s="95"/>
    </row>
    <row r="31" spans="1:26" ht="15.75" customHeight="1" x14ac:dyDescent="0.3">
      <c r="A31" s="66" t="s">
        <v>91</v>
      </c>
      <c r="B31" s="66"/>
      <c r="C31" s="66"/>
      <c r="D31" s="66"/>
      <c r="E31" s="95" t="s">
        <v>33</v>
      </c>
      <c r="F31" s="95"/>
      <c r="G31" s="95"/>
      <c r="H31" s="95"/>
    </row>
    <row r="32" spans="1:26" s="21" customFormat="1" x14ac:dyDescent="0.3">
      <c r="A32" s="148" t="s">
        <v>92</v>
      </c>
      <c r="B32" s="148"/>
      <c r="C32" s="145" t="s">
        <v>168</v>
      </c>
      <c r="D32" s="146"/>
      <c r="E32" s="147"/>
      <c r="F32" s="145" t="s">
        <v>30</v>
      </c>
      <c r="G32" s="146"/>
      <c r="H32" s="147"/>
    </row>
    <row r="33" spans="1:8" s="21" customFormat="1" x14ac:dyDescent="0.3">
      <c r="A33" s="144" t="s">
        <v>25</v>
      </c>
      <c r="B33" s="144" t="s">
        <v>29</v>
      </c>
      <c r="C33" s="136" t="s">
        <v>253</v>
      </c>
      <c r="D33" s="137"/>
      <c r="E33" s="138"/>
      <c r="F33" s="136" t="s">
        <v>258</v>
      </c>
      <c r="G33" s="137"/>
      <c r="H33" s="138"/>
    </row>
    <row r="34" spans="1:8" x14ac:dyDescent="0.3">
      <c r="A34" s="144" t="s">
        <v>26</v>
      </c>
      <c r="B34" s="144" t="s">
        <v>29</v>
      </c>
      <c r="C34" s="136" t="s">
        <v>252</v>
      </c>
      <c r="D34" s="137"/>
      <c r="E34" s="138"/>
      <c r="F34" s="136" t="s">
        <v>247</v>
      </c>
      <c r="G34" s="137"/>
      <c r="H34" s="138"/>
    </row>
    <row r="35" spans="1:8" s="21" customFormat="1" x14ac:dyDescent="0.3">
      <c r="A35" s="144" t="s">
        <v>28</v>
      </c>
      <c r="B35" s="144" t="s">
        <v>29</v>
      </c>
      <c r="C35" s="136" t="s">
        <v>253</v>
      </c>
      <c r="D35" s="137"/>
      <c r="E35" s="138"/>
      <c r="F35" s="136" t="s">
        <v>257</v>
      </c>
      <c r="G35" s="137"/>
      <c r="H35" s="138"/>
    </row>
    <row r="36" spans="1:8" x14ac:dyDescent="0.3">
      <c r="A36" s="144" t="s">
        <v>27</v>
      </c>
      <c r="B36" s="144" t="s">
        <v>29</v>
      </c>
      <c r="C36" s="136" t="s">
        <v>253</v>
      </c>
      <c r="D36" s="137"/>
      <c r="E36" s="138"/>
      <c r="F36" s="136" t="s">
        <v>254</v>
      </c>
      <c r="G36" s="137"/>
      <c r="H36" s="138"/>
    </row>
    <row r="37" spans="1:8" x14ac:dyDescent="0.3">
      <c r="A37" s="66" t="s">
        <v>31</v>
      </c>
      <c r="B37" s="66"/>
      <c r="C37" s="66"/>
      <c r="D37" s="66"/>
      <c r="E37" s="66"/>
      <c r="F37" s="66"/>
      <c r="G37" s="66"/>
      <c r="H37" s="66"/>
    </row>
    <row r="38" spans="1:8" ht="15.75" customHeight="1" x14ac:dyDescent="0.3">
      <c r="A38" s="66" t="s">
        <v>161</v>
      </c>
      <c r="B38" s="66"/>
      <c r="C38" s="103" t="s">
        <v>250</v>
      </c>
      <c r="D38" s="103"/>
      <c r="E38" s="103"/>
      <c r="F38" s="103"/>
      <c r="G38" s="103"/>
      <c r="H38" s="103"/>
    </row>
    <row r="39" spans="1:8" x14ac:dyDescent="0.3">
      <c r="A39" s="66" t="s">
        <v>157</v>
      </c>
      <c r="B39" s="66"/>
      <c r="C39" s="165" t="s">
        <v>251</v>
      </c>
      <c r="D39" s="95"/>
      <c r="E39" s="95"/>
      <c r="F39" s="95"/>
      <c r="G39" s="95"/>
      <c r="H39" s="95"/>
    </row>
    <row r="40" spans="1:8" x14ac:dyDescent="0.3">
      <c r="A40" s="103" t="s">
        <v>34</v>
      </c>
      <c r="B40" s="103"/>
      <c r="C40" s="103"/>
      <c r="D40" s="103"/>
      <c r="E40" s="103"/>
      <c r="F40" s="103"/>
      <c r="G40" s="103"/>
      <c r="H40" s="103"/>
    </row>
    <row r="41" spans="1:8" x14ac:dyDescent="0.3">
      <c r="A41" s="66" t="s">
        <v>35</v>
      </c>
      <c r="B41" s="66"/>
      <c r="C41" s="66"/>
      <c r="D41" s="66"/>
      <c r="E41" s="149">
        <v>319</v>
      </c>
      <c r="F41" s="149"/>
      <c r="G41" s="149"/>
      <c r="H41" s="149"/>
    </row>
    <row r="42" spans="1:8" x14ac:dyDescent="0.3">
      <c r="A42" s="66" t="s">
        <v>36</v>
      </c>
      <c r="B42" s="66"/>
      <c r="C42" s="66"/>
      <c r="D42" s="66"/>
      <c r="E42" s="139">
        <v>1.1000000000000001</v>
      </c>
      <c r="F42" s="139"/>
      <c r="G42" s="139"/>
      <c r="H42" s="139"/>
    </row>
    <row r="43" spans="1:8" x14ac:dyDescent="0.3">
      <c r="A43" s="66" t="s">
        <v>37</v>
      </c>
      <c r="B43" s="66"/>
      <c r="C43" s="66"/>
      <c r="D43" s="66"/>
      <c r="E43" s="139">
        <f>E45/E41-E42</f>
        <v>0.65971786833855806</v>
      </c>
      <c r="F43" s="139"/>
      <c r="G43" s="139"/>
      <c r="H43" s="139"/>
    </row>
    <row r="44" spans="1:8" x14ac:dyDescent="0.3">
      <c r="A44" s="66" t="s">
        <v>38</v>
      </c>
      <c r="B44" s="66"/>
      <c r="C44" s="66"/>
      <c r="D44" s="66"/>
      <c r="E44" s="139">
        <f>E42+E43</f>
        <v>1.7597178683385581</v>
      </c>
      <c r="F44" s="139"/>
      <c r="G44" s="139"/>
      <c r="H44" s="139"/>
    </row>
    <row r="45" spans="1:8" x14ac:dyDescent="0.3">
      <c r="A45" s="66" t="s">
        <v>90</v>
      </c>
      <c r="B45" s="66"/>
      <c r="C45" s="66"/>
      <c r="D45" s="66"/>
      <c r="E45" s="152">
        <v>561.35</v>
      </c>
      <c r="F45" s="152"/>
      <c r="G45" s="152"/>
      <c r="H45" s="152"/>
    </row>
    <row r="46" spans="1:8" x14ac:dyDescent="0.3">
      <c r="A46" s="96" t="s">
        <v>39</v>
      </c>
      <c r="B46" s="96"/>
      <c r="C46" s="96"/>
      <c r="D46" s="96"/>
      <c r="E46" s="96" t="s">
        <v>119</v>
      </c>
      <c r="F46" s="96"/>
      <c r="G46" s="96"/>
      <c r="H46" s="96"/>
    </row>
    <row r="47" spans="1:8" x14ac:dyDescent="0.3">
      <c r="A47" s="103" t="s">
        <v>40</v>
      </c>
      <c r="B47" s="103"/>
      <c r="C47" s="103"/>
      <c r="D47" s="103"/>
      <c r="E47" s="103"/>
      <c r="F47" s="103"/>
      <c r="G47" s="103"/>
      <c r="H47" s="103"/>
    </row>
    <row r="48" spans="1:8" ht="33.75" customHeight="1" x14ac:dyDescent="0.3">
      <c r="A48" s="88" t="s">
        <v>147</v>
      </c>
      <c r="B48" s="89"/>
      <c r="C48" s="166" t="s">
        <v>234</v>
      </c>
      <c r="D48" s="167"/>
      <c r="E48" s="167"/>
      <c r="F48" s="167"/>
      <c r="G48" s="167"/>
      <c r="H48" s="168"/>
    </row>
    <row r="49" spans="1:14" ht="15.75" customHeight="1" x14ac:dyDescent="0.3">
      <c r="A49" s="88" t="s">
        <v>41</v>
      </c>
      <c r="B49" s="89"/>
      <c r="C49" s="88" t="s">
        <v>235</v>
      </c>
      <c r="D49" s="90"/>
      <c r="E49" s="89"/>
      <c r="F49" s="18" t="s">
        <v>42</v>
      </c>
      <c r="G49" s="91">
        <v>44994</v>
      </c>
      <c r="H49" s="89"/>
    </row>
    <row r="50" spans="1:14" x14ac:dyDescent="0.3">
      <c r="A50" s="88" t="s">
        <v>43</v>
      </c>
      <c r="B50" s="89"/>
      <c r="C50" s="88" t="str">
        <f>C49</f>
        <v>RJP/BP/NSVP/91/2023</v>
      </c>
      <c r="D50" s="90"/>
      <c r="E50" s="89"/>
      <c r="F50" s="18" t="s">
        <v>42</v>
      </c>
      <c r="G50" s="91">
        <f>G49</f>
        <v>44994</v>
      </c>
      <c r="H50" s="92"/>
    </row>
    <row r="51" spans="1:14" s="22" customFormat="1" ht="15.75" customHeight="1" x14ac:dyDescent="0.3">
      <c r="A51" s="97" t="s">
        <v>225</v>
      </c>
      <c r="B51" s="98"/>
      <c r="C51" s="88" t="str">
        <f>C50</f>
        <v>RJP/BP/NSVP/91/2023</v>
      </c>
      <c r="D51" s="90"/>
      <c r="E51" s="89"/>
      <c r="F51" s="18" t="s">
        <v>42</v>
      </c>
      <c r="G51" s="91">
        <f>G50</f>
        <v>44994</v>
      </c>
      <c r="H51" s="92"/>
    </row>
    <row r="52" spans="1:14" s="22" customFormat="1" x14ac:dyDescent="0.3">
      <c r="A52" s="99" t="s">
        <v>226</v>
      </c>
      <c r="B52" s="100"/>
      <c r="C52" s="88" t="s">
        <v>236</v>
      </c>
      <c r="D52" s="90"/>
      <c r="E52" s="90"/>
      <c r="F52" s="90"/>
      <c r="G52" s="90"/>
      <c r="H52" s="89"/>
    </row>
    <row r="53" spans="1:14" x14ac:dyDescent="0.3">
      <c r="A53" s="84" t="s">
        <v>44</v>
      </c>
      <c r="B53" s="85"/>
      <c r="C53" s="84" t="s">
        <v>104</v>
      </c>
      <c r="D53" s="86"/>
      <c r="E53" s="85"/>
      <c r="F53" s="43" t="s">
        <v>42</v>
      </c>
      <c r="G53" s="134" t="s">
        <v>29</v>
      </c>
      <c r="H53" s="135"/>
    </row>
    <row r="54" spans="1:14" x14ac:dyDescent="0.3">
      <c r="A54" s="93" t="s">
        <v>46</v>
      </c>
      <c r="B54" s="93"/>
      <c r="C54" s="93"/>
      <c r="D54" s="93"/>
      <c r="E54" s="93"/>
      <c r="F54" s="93"/>
      <c r="G54" s="93"/>
      <c r="H54" s="93"/>
    </row>
    <row r="55" spans="1:14" x14ac:dyDescent="0.3">
      <c r="A55" s="94" t="s">
        <v>89</v>
      </c>
      <c r="B55" s="94"/>
      <c r="C55" s="94"/>
      <c r="D55" s="66">
        <f>E45</f>
        <v>561.35</v>
      </c>
      <c r="E55" s="66"/>
      <c r="F55" s="66"/>
      <c r="G55" s="66"/>
      <c r="H55" s="66"/>
    </row>
    <row r="56" spans="1:14" x14ac:dyDescent="0.3">
      <c r="A56" s="95" t="s">
        <v>47</v>
      </c>
      <c r="B56" s="96"/>
      <c r="C56" s="96"/>
      <c r="D56" s="96" t="s">
        <v>242</v>
      </c>
      <c r="E56" s="96"/>
      <c r="F56" s="96"/>
      <c r="G56" s="96"/>
      <c r="H56" s="96"/>
      <c r="I56" s="23"/>
    </row>
    <row r="57" spans="1:14" x14ac:dyDescent="0.3">
      <c r="A57" s="131" t="s">
        <v>48</v>
      </c>
      <c r="B57" s="132"/>
      <c r="C57" s="133"/>
      <c r="D57" s="122" t="s">
        <v>237</v>
      </c>
      <c r="E57" s="130"/>
      <c r="F57" s="130"/>
      <c r="G57" s="130"/>
      <c r="H57" s="130"/>
    </row>
    <row r="58" spans="1:14" ht="15.75" customHeight="1" x14ac:dyDescent="0.3">
      <c r="A58" s="131" t="s">
        <v>87</v>
      </c>
      <c r="B58" s="132"/>
      <c r="C58" s="132"/>
      <c r="D58" s="96" t="s">
        <v>237</v>
      </c>
      <c r="E58" s="96"/>
      <c r="F58" s="96"/>
      <c r="G58" s="96"/>
      <c r="H58" s="96"/>
    </row>
    <row r="59" spans="1:14" ht="15.75" customHeight="1" x14ac:dyDescent="0.3">
      <c r="A59" s="66" t="s">
        <v>45</v>
      </c>
      <c r="B59" s="66"/>
      <c r="C59" s="66"/>
      <c r="D59" s="150" t="s">
        <v>271</v>
      </c>
      <c r="E59" s="150"/>
      <c r="F59" s="150"/>
      <c r="G59" s="150"/>
      <c r="H59" s="150"/>
      <c r="J59" s="24"/>
      <c r="K59" s="23"/>
      <c r="N59" s="23"/>
    </row>
    <row r="60" spans="1:14" ht="15.75" customHeight="1" x14ac:dyDescent="0.3">
      <c r="A60" s="66" t="s">
        <v>85</v>
      </c>
      <c r="B60" s="66"/>
      <c r="C60" s="66"/>
      <c r="D60" s="151" t="str">
        <f>(IF(G53="NA","60 Years After Completion",IF(G53&lt;&gt;"NA",""&amp;60-ROUNDDOWN((E3-G53)/360,0)&amp;" Years"," ")))</f>
        <v>60 Years After Completion</v>
      </c>
      <c r="E60" s="151"/>
      <c r="F60" s="151"/>
      <c r="G60" s="151"/>
      <c r="H60" s="151"/>
      <c r="N60" s="23"/>
    </row>
    <row r="61" spans="1:14" ht="15.75" customHeight="1" x14ac:dyDescent="0.3">
      <c r="A61" s="66" t="s">
        <v>86</v>
      </c>
      <c r="B61" s="66"/>
      <c r="C61" s="66"/>
      <c r="D61" s="94" t="s">
        <v>24</v>
      </c>
      <c r="E61" s="94"/>
      <c r="F61" s="94"/>
      <c r="G61" s="94"/>
      <c r="H61" s="94"/>
      <c r="J61" s="25"/>
      <c r="K61" s="25"/>
    </row>
    <row r="62" spans="1:14" ht="31.5" customHeight="1" x14ac:dyDescent="0.3">
      <c r="A62" s="96" t="s">
        <v>227</v>
      </c>
      <c r="B62" s="96"/>
      <c r="C62" s="96"/>
      <c r="D62" s="95" t="s">
        <v>260</v>
      </c>
      <c r="E62" s="94"/>
      <c r="F62" s="94"/>
      <c r="G62" s="94"/>
      <c r="H62" s="94"/>
    </row>
    <row r="63" spans="1:14" x14ac:dyDescent="0.3">
      <c r="A63" s="94" t="s">
        <v>146</v>
      </c>
      <c r="B63" s="94"/>
      <c r="C63" s="94"/>
      <c r="D63" s="94" t="s">
        <v>29</v>
      </c>
      <c r="E63" s="94"/>
      <c r="F63" s="94"/>
      <c r="G63" s="94"/>
      <c r="H63" s="94"/>
      <c r="I63" s="26"/>
      <c r="J63" s="26"/>
      <c r="K63" s="26"/>
      <c r="L63" s="26"/>
      <c r="M63" s="26"/>
      <c r="N63" s="26"/>
    </row>
    <row r="64" spans="1:14" ht="15.75" customHeight="1" x14ac:dyDescent="0.3">
      <c r="A64" s="124" t="s">
        <v>84</v>
      </c>
      <c r="B64" s="124"/>
      <c r="C64" s="124"/>
      <c r="D64" s="122" t="str">
        <f ca="1">(IF(G70&gt;95%,"Nothing",IF(G70&gt;0%,"Cement, Aggregate, Steel, etc",IF(G70=0%,"Work not yet Started"))))</f>
        <v>Cement, Aggregate, Steel, etc</v>
      </c>
      <c r="E64" s="122"/>
      <c r="F64" s="122"/>
      <c r="G64" s="122"/>
      <c r="H64" s="122"/>
      <c r="J64" s="25"/>
    </row>
    <row r="65" spans="1:10" ht="33.75" customHeight="1" thickBot="1" x14ac:dyDescent="0.35">
      <c r="A65" s="121" t="s">
        <v>117</v>
      </c>
      <c r="B65" s="121"/>
      <c r="C65" s="121"/>
      <c r="D65" s="122" t="str">
        <f ca="1">(IF(D64="Nothing","Yes",IF(D64="Cement, Aggregate, Steel, etc","Under Construction",IF(D64="Work not yet Started","Work not yet Started"))))</f>
        <v>Under Construction</v>
      </c>
      <c r="E65" s="122"/>
      <c r="F65" s="122" t="str">
        <f ca="1">(IF(D64="Nothing","Yes",IF(D64="Cement, Aggregate, Steel, etc","Under Construction",IF(D64="Work not yet Started","Work not yet Started"))))</f>
        <v>Under Construction</v>
      </c>
      <c r="G65" s="122"/>
      <c r="H65" s="122"/>
    </row>
    <row r="66" spans="1:10" ht="15.75" customHeight="1" x14ac:dyDescent="0.3">
      <c r="A66" s="160" t="s">
        <v>138</v>
      </c>
      <c r="B66" s="161"/>
      <c r="C66" s="162" t="str">
        <f>D58</f>
        <v>G + 1st to 3rd Floor</v>
      </c>
      <c r="D66" s="163"/>
      <c r="E66" s="163"/>
      <c r="F66" s="163"/>
      <c r="G66" s="163"/>
      <c r="H66" s="164"/>
      <c r="I66" s="47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 Completed, Flooring upto 2 Floor, Painting upto 2 Floor Completed</v>
      </c>
      <c r="J66" s="48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Flooring upto 2 Floor, Painting upto 2 Floor</v>
      </c>
    </row>
    <row r="67" spans="1:10" x14ac:dyDescent="0.3">
      <c r="A67" s="16" t="s">
        <v>140</v>
      </c>
      <c r="B67" s="45">
        <f>IF(AND(ISNUMBER(SEARCH("1B",C66))),1,IF(AND(ISNUMBER(SEARCH("2B",C66))),2,IF(AND(ISNUMBER(SEARCH("3B",C66))),3,IF(AND(ISNUMBER(SEARCH("4B",C66))),4,IF(ISNUMBER(SEARCH("5B",C66)),5,0)))))</f>
        <v>0</v>
      </c>
      <c r="C67" s="45" t="s">
        <v>71</v>
      </c>
      <c r="D67" s="45">
        <v>1</v>
      </c>
      <c r="E67" s="45" t="s">
        <v>70</v>
      </c>
      <c r="F67" s="45">
        <v>0</v>
      </c>
      <c r="G67" s="46" t="s">
        <v>78</v>
      </c>
      <c r="H67" s="17">
        <f ca="1">--TRIM(RIGHT(SUBSTITUTE(LEFT(C66,_xlfn.AGGREGATE(16,6,FIND({0,1,2,3,4,5,6,7,8,9},C66,ROW(INDIRECT("1:"&amp;LEN(C66)))),1))," ",REPT(" ",LEN(C66))),LEN(C66)))</f>
        <v>3</v>
      </c>
      <c r="I67" s="49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</v>
      </c>
      <c r="J67" s="50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30.9" customHeight="1" x14ac:dyDescent="0.3">
      <c r="A68" s="159" t="s">
        <v>88</v>
      </c>
      <c r="B68" s="141"/>
      <c r="C68" s="153" t="str">
        <f ca="1">I66</f>
        <v>Excavation, Plinth, RCC Slab, Brickwork, Internal Plaster, External Plaster Completed, Flooring upto 2 Floor, Painting upto 2 Floor Completed</v>
      </c>
      <c r="D68" s="153"/>
      <c r="E68" s="153"/>
      <c r="F68" s="153"/>
      <c r="G68" s="153"/>
      <c r="H68" s="154"/>
      <c r="I68" s="49" t="str">
        <f ca="1">IF(I67&lt;&gt;""," Completed","")</f>
        <v xml:space="preserve"> Completed</v>
      </c>
      <c r="J68" s="50" t="str">
        <f ca="1">IF(J66&lt;&gt;"","Completed","")</f>
        <v>Completed</v>
      </c>
    </row>
    <row r="69" spans="1:10" ht="15.75" customHeight="1" x14ac:dyDescent="0.3">
      <c r="A69" s="158" t="s">
        <v>49</v>
      </c>
      <c r="B69" s="62"/>
      <c r="C69" s="42" t="s">
        <v>137</v>
      </c>
      <c r="D69" s="42" t="s">
        <v>81</v>
      </c>
      <c r="E69" s="62" t="s">
        <v>83</v>
      </c>
      <c r="F69" s="62"/>
      <c r="G69" s="62" t="s">
        <v>82</v>
      </c>
      <c r="H69" s="123"/>
      <c r="I69" s="14" t="s">
        <v>139</v>
      </c>
      <c r="J69" s="27">
        <f ca="1">H67*25%</f>
        <v>0.75</v>
      </c>
    </row>
    <row r="70" spans="1:10" x14ac:dyDescent="0.3">
      <c r="A70" s="62" t="s">
        <v>126</v>
      </c>
      <c r="B70" s="62"/>
      <c r="C70" s="42">
        <f ca="1">J71</f>
        <v>3</v>
      </c>
      <c r="D70" s="19">
        <f ca="1">((100/H67)*C70)/100</f>
        <v>1</v>
      </c>
      <c r="E70" s="157">
        <f ca="1">(((C71/H67*10)+(40/(D67+F67+H67)*C72)+(7.5/(H67)*C73)+(7.5/(H67)*C74)+(10/H67*C75)+(10/H67*C76)+(5/H67*C77)+(5/H67*C78)+(5/H67*C79))/100)</f>
        <v>0.85</v>
      </c>
      <c r="F70" s="157"/>
      <c r="G70" s="157">
        <f ca="1">((((C70/H67)*20)+((C71/H67)*25)+(30/(H67+F67+D67)*C72)+(5/H67*C73)+(5/H67*C74)+(5/H67*C75)+(5/H67*C76)+(0/H67*C77)+(0/H67*C78)+(5/H67*C79))/100)</f>
        <v>0.93333333333333324</v>
      </c>
      <c r="H70" s="157"/>
      <c r="I70" s="14" t="s">
        <v>99</v>
      </c>
      <c r="J70" s="28">
        <f ca="1">H67*50%</f>
        <v>1.5</v>
      </c>
    </row>
    <row r="71" spans="1:10" x14ac:dyDescent="0.3">
      <c r="A71" s="62" t="s">
        <v>50</v>
      </c>
      <c r="B71" s="62"/>
      <c r="C71" s="51">
        <f ca="1">J79</f>
        <v>3</v>
      </c>
      <c r="D71" s="19">
        <f ca="1">((100/H67)*C71)/100</f>
        <v>1</v>
      </c>
      <c r="E71" s="157"/>
      <c r="F71" s="157"/>
      <c r="G71" s="157"/>
      <c r="H71" s="157"/>
      <c r="I71" s="14" t="s">
        <v>100</v>
      </c>
      <c r="J71" s="28">
        <f ca="1">H67</f>
        <v>3</v>
      </c>
    </row>
    <row r="72" spans="1:10" ht="15.75" customHeight="1" x14ac:dyDescent="0.3">
      <c r="A72" s="62" t="s">
        <v>127</v>
      </c>
      <c r="B72" s="62"/>
      <c r="C72" s="42">
        <v>4</v>
      </c>
      <c r="D72" s="19">
        <f ca="1">((100/(D67+F67+H67))*C72)/100</f>
        <v>1</v>
      </c>
      <c r="E72" s="157"/>
      <c r="F72" s="157"/>
      <c r="G72" s="157"/>
      <c r="H72" s="157"/>
      <c r="I72" s="14" t="s">
        <v>101</v>
      </c>
      <c r="J72" s="29">
        <f ca="1">(IF(B67&gt;1,(H67/(B67+2)),H67/4))</f>
        <v>0.75</v>
      </c>
    </row>
    <row r="73" spans="1:10" ht="15.75" customHeight="1" x14ac:dyDescent="0.3">
      <c r="A73" s="62" t="s">
        <v>134</v>
      </c>
      <c r="B73" s="62" t="s">
        <v>128</v>
      </c>
      <c r="C73" s="42">
        <v>3</v>
      </c>
      <c r="D73" s="19">
        <f ca="1">((100/H67)*C73)/100</f>
        <v>1</v>
      </c>
      <c r="E73" s="157"/>
      <c r="F73" s="157"/>
      <c r="G73" s="157"/>
      <c r="H73" s="157"/>
      <c r="I73" s="14" t="s">
        <v>102</v>
      </c>
      <c r="J73" s="29">
        <f ca="1">(IF(B67&gt;1,(H67/(B67+2)+J72),H67/4+J72))</f>
        <v>1.5</v>
      </c>
    </row>
    <row r="74" spans="1:10" ht="15.75" customHeight="1" x14ac:dyDescent="0.3">
      <c r="A74" s="62" t="s">
        <v>135</v>
      </c>
      <c r="B74" s="62" t="s">
        <v>128</v>
      </c>
      <c r="C74" s="42">
        <v>3</v>
      </c>
      <c r="D74" s="19">
        <f ca="1">((100/H67)*C74)/100</f>
        <v>1</v>
      </c>
      <c r="E74" s="157"/>
      <c r="F74" s="157"/>
      <c r="G74" s="157"/>
      <c r="H74" s="157"/>
      <c r="I74" s="14" t="s">
        <v>144</v>
      </c>
      <c r="J74" s="29">
        <f>(IF(B67&gt;1,(H67/(B67+2)+J73),0))</f>
        <v>0</v>
      </c>
    </row>
    <row r="75" spans="1:10" ht="15" customHeight="1" x14ac:dyDescent="0.3">
      <c r="A75" s="62" t="s">
        <v>133</v>
      </c>
      <c r="B75" s="62" t="s">
        <v>130</v>
      </c>
      <c r="C75" s="42">
        <v>3</v>
      </c>
      <c r="D75" s="19">
        <f ca="1">((100/(H67))*C75)/100</f>
        <v>1</v>
      </c>
      <c r="E75" s="157"/>
      <c r="F75" s="157"/>
      <c r="G75" s="157"/>
      <c r="H75" s="157"/>
      <c r="I75" s="14" t="s">
        <v>141</v>
      </c>
      <c r="J75" s="29">
        <f>(IF(B67&gt;2,(H67/(B67+2)+J74),0))</f>
        <v>0</v>
      </c>
    </row>
    <row r="76" spans="1:10" ht="15.75" customHeight="1" x14ac:dyDescent="0.3">
      <c r="A76" s="62" t="s">
        <v>129</v>
      </c>
      <c r="B76" s="62" t="s">
        <v>129</v>
      </c>
      <c r="C76" s="42">
        <v>2</v>
      </c>
      <c r="D76" s="19">
        <f ca="1">((100/H67)*C76)/100</f>
        <v>0.66666666666666674</v>
      </c>
      <c r="E76" s="157"/>
      <c r="F76" s="157"/>
      <c r="G76" s="157"/>
      <c r="H76" s="157"/>
      <c r="I76" s="14" t="s">
        <v>142</v>
      </c>
      <c r="J76" s="30">
        <f>(IF(B67&gt;3,(H67/(B67+2)+J75),0))</f>
        <v>0</v>
      </c>
    </row>
    <row r="77" spans="1:10" ht="15.75" customHeight="1" x14ac:dyDescent="0.3">
      <c r="A77" s="62" t="s">
        <v>136</v>
      </c>
      <c r="B77" s="62"/>
      <c r="C77" s="42">
        <v>2</v>
      </c>
      <c r="D77" s="19">
        <f ca="1">((100/H67)*C77)/100</f>
        <v>0.66666666666666674</v>
      </c>
      <c r="E77" s="157"/>
      <c r="F77" s="157"/>
      <c r="G77" s="157"/>
      <c r="H77" s="157"/>
      <c r="I77" s="14" t="s">
        <v>143</v>
      </c>
      <c r="J77" s="29">
        <f>(IF(B67&gt;4,(H67/(B67+2)+J76),0))</f>
        <v>0</v>
      </c>
    </row>
    <row r="78" spans="1:10" ht="15.75" customHeight="1" x14ac:dyDescent="0.3">
      <c r="A78" s="62" t="s">
        <v>131</v>
      </c>
      <c r="B78" s="62" t="s">
        <v>131</v>
      </c>
      <c r="C78" s="42">
        <v>0</v>
      </c>
      <c r="D78" s="19">
        <f ca="1">((100/(H67))*C78)/100</f>
        <v>0</v>
      </c>
      <c r="E78" s="157"/>
      <c r="F78" s="157"/>
      <c r="G78" s="157"/>
      <c r="H78" s="157"/>
      <c r="I78" s="14" t="s">
        <v>145</v>
      </c>
      <c r="J78" s="29">
        <f ca="1">(IF(B67=1,(H67/(B67+3)+J73),IF(B67=0,(H67/4+J73),IF(B67&gt;1,0))))</f>
        <v>2.25</v>
      </c>
    </row>
    <row r="79" spans="1:10" ht="16.2" thickBot="1" x14ac:dyDescent="0.35">
      <c r="A79" s="62" t="s">
        <v>132</v>
      </c>
      <c r="B79" s="62"/>
      <c r="C79" s="42">
        <v>0</v>
      </c>
      <c r="D79" s="19">
        <f ca="1">((100/(H67))*C79)/100</f>
        <v>0</v>
      </c>
      <c r="E79" s="157"/>
      <c r="F79" s="157"/>
      <c r="G79" s="157"/>
      <c r="H79" s="157"/>
      <c r="I79" s="15" t="s">
        <v>103</v>
      </c>
      <c r="J79" s="31">
        <f ca="1">(IF(B67&gt;1.5,(H67/(B67+2)+J73+MAX(0,J74-J73)+MAX(0,J75-J74)+MAX(0,J76-J75)+MAX(0,J77-J76)+MAX(0,J78-J77)),IF(B67=1,(H67/(B67+3)+J78),IF(B67=0,H67/4+J78))))</f>
        <v>3</v>
      </c>
    </row>
    <row r="80" spans="1:10" x14ac:dyDescent="0.3">
      <c r="A80" s="103" t="s">
        <v>151</v>
      </c>
      <c r="B80" s="103"/>
      <c r="C80" s="103"/>
      <c r="D80" s="103"/>
      <c r="E80" s="103"/>
      <c r="F80" s="83" t="s">
        <v>155</v>
      </c>
      <c r="G80" s="83"/>
      <c r="H80" s="83"/>
      <c r="I80" s="57" t="s">
        <v>263</v>
      </c>
    </row>
    <row r="81" spans="1:9" x14ac:dyDescent="0.3">
      <c r="A81" s="66" t="s">
        <v>153</v>
      </c>
      <c r="B81" s="66"/>
      <c r="C81" s="66"/>
      <c r="D81" s="66"/>
      <c r="E81" s="66"/>
      <c r="F81" s="63">
        <v>3800</v>
      </c>
      <c r="G81" s="63"/>
      <c r="H81" s="63"/>
      <c r="I81" s="20" t="s">
        <v>265</v>
      </c>
    </row>
    <row r="82" spans="1:9" hidden="1" x14ac:dyDescent="0.3">
      <c r="A82" s="66" t="s">
        <v>152</v>
      </c>
      <c r="B82" s="66"/>
      <c r="C82" s="66"/>
      <c r="D82" s="66"/>
      <c r="E82" s="66"/>
      <c r="F82" s="63"/>
      <c r="G82" s="63"/>
      <c r="H82" s="63"/>
    </row>
    <row r="83" spans="1:9" hidden="1" x14ac:dyDescent="0.3">
      <c r="A83" s="66" t="s">
        <v>154</v>
      </c>
      <c r="B83" s="66"/>
      <c r="C83" s="66"/>
      <c r="D83" s="66"/>
      <c r="E83" s="66"/>
      <c r="F83" s="63"/>
      <c r="G83" s="63"/>
      <c r="H83" s="63"/>
    </row>
    <row r="84" spans="1:9" s="32" customFormat="1" hidden="1" x14ac:dyDescent="0.25">
      <c r="A84" s="66" t="s">
        <v>170</v>
      </c>
      <c r="B84" s="66"/>
      <c r="C84" s="66"/>
      <c r="D84" s="66"/>
      <c r="E84" s="66"/>
      <c r="F84" s="63"/>
      <c r="G84" s="63"/>
      <c r="H84" s="63"/>
    </row>
    <row r="85" spans="1:9" s="32" customFormat="1" hidden="1" x14ac:dyDescent="0.25">
      <c r="A85" s="66" t="s">
        <v>93</v>
      </c>
      <c r="B85" s="66"/>
      <c r="C85" s="66"/>
      <c r="D85" s="66"/>
      <c r="E85" s="66"/>
      <c r="F85" s="63"/>
      <c r="G85" s="63"/>
      <c r="H85" s="63"/>
    </row>
    <row r="86" spans="1:9" s="32" customFormat="1" hidden="1" x14ac:dyDescent="0.25">
      <c r="A86" s="66" t="s">
        <v>94</v>
      </c>
      <c r="B86" s="66"/>
      <c r="C86" s="66"/>
      <c r="D86" s="66"/>
      <c r="E86" s="66"/>
      <c r="F86" s="63"/>
      <c r="G86" s="63"/>
      <c r="H86" s="63"/>
    </row>
    <row r="87" spans="1:9" s="32" customFormat="1" hidden="1" x14ac:dyDescent="0.25">
      <c r="A87" s="66" t="s">
        <v>156</v>
      </c>
      <c r="B87" s="66"/>
      <c r="C87" s="66"/>
      <c r="D87" s="66"/>
      <c r="E87" s="66"/>
      <c r="F87" s="63"/>
      <c r="G87" s="63"/>
      <c r="H87" s="63"/>
    </row>
    <row r="88" spans="1:9" s="32" customFormat="1" hidden="1" x14ac:dyDescent="0.25">
      <c r="A88" s="66" t="s">
        <v>95</v>
      </c>
      <c r="B88" s="66"/>
      <c r="C88" s="66"/>
      <c r="D88" s="66"/>
      <c r="E88" s="66"/>
      <c r="F88" s="63"/>
      <c r="G88" s="63"/>
      <c r="H88" s="63"/>
    </row>
    <row r="89" spans="1:9" s="32" customFormat="1" hidden="1" x14ac:dyDescent="0.25">
      <c r="A89" s="66" t="s">
        <v>96</v>
      </c>
      <c r="B89" s="66"/>
      <c r="C89" s="66"/>
      <c r="D89" s="66"/>
      <c r="E89" s="66"/>
      <c r="F89" s="63"/>
      <c r="G89" s="63"/>
      <c r="H89" s="63"/>
    </row>
    <row r="90" spans="1:9" s="32" customFormat="1" hidden="1" x14ac:dyDescent="0.25">
      <c r="A90" s="66" t="s">
        <v>97</v>
      </c>
      <c r="B90" s="66"/>
      <c r="C90" s="66"/>
      <c r="D90" s="66"/>
      <c r="E90" s="66"/>
      <c r="F90" s="63"/>
      <c r="G90" s="63"/>
      <c r="H90" s="63"/>
    </row>
    <row r="91" spans="1:9" s="32" customFormat="1" hidden="1" x14ac:dyDescent="0.25">
      <c r="A91" s="66" t="s">
        <v>98</v>
      </c>
      <c r="B91" s="66"/>
      <c r="C91" s="66"/>
      <c r="D91" s="66"/>
      <c r="E91" s="66"/>
      <c r="F91" s="63"/>
      <c r="G91" s="63"/>
      <c r="H91" s="63"/>
    </row>
    <row r="92" spans="1:9" x14ac:dyDescent="0.3">
      <c r="A92" s="66" t="s">
        <v>51</v>
      </c>
      <c r="B92" s="66"/>
      <c r="C92" s="66"/>
      <c r="D92" s="66"/>
      <c r="E92" s="66"/>
      <c r="F92" s="63">
        <v>100000</v>
      </c>
      <c r="G92" s="63"/>
      <c r="H92" s="63"/>
    </row>
    <row r="93" spans="1:9" s="33" customFormat="1" x14ac:dyDescent="0.3">
      <c r="A93" s="103" t="s">
        <v>52</v>
      </c>
      <c r="B93" s="103"/>
      <c r="C93" s="103"/>
      <c r="D93" s="103"/>
      <c r="E93" s="103"/>
      <c r="F93" s="63">
        <f>F81*0.8</f>
        <v>3040</v>
      </c>
      <c r="G93" s="63"/>
      <c r="H93" s="63"/>
    </row>
    <row r="94" spans="1:9" s="34" customFormat="1" x14ac:dyDescent="0.3">
      <c r="A94" s="105" t="s">
        <v>69</v>
      </c>
      <c r="B94" s="105"/>
      <c r="C94" s="105"/>
      <c r="D94" s="105"/>
      <c r="E94" s="105"/>
      <c r="F94" s="105"/>
      <c r="G94" s="105"/>
      <c r="H94" s="105"/>
    </row>
    <row r="95" spans="1:9" s="34" customFormat="1" ht="15.75" customHeight="1" x14ac:dyDescent="0.3">
      <c r="A95" s="71" t="s">
        <v>53</v>
      </c>
      <c r="B95" s="71"/>
      <c r="C95" s="87" t="s">
        <v>76</v>
      </c>
      <c r="D95" s="87"/>
      <c r="E95" s="67" t="s">
        <v>54</v>
      </c>
      <c r="F95" s="67"/>
      <c r="G95" s="71" t="s">
        <v>55</v>
      </c>
      <c r="H95" s="71"/>
    </row>
    <row r="96" spans="1:9" s="34" customFormat="1" ht="16.2" thickBot="1" x14ac:dyDescent="0.35">
      <c r="A96" s="104" t="s">
        <v>241</v>
      </c>
      <c r="B96" s="104"/>
      <c r="C96" s="155">
        <f>COUNT(D104:D108)*3</f>
        <v>15</v>
      </c>
      <c r="D96" s="155"/>
      <c r="E96" s="156">
        <f>SUM(D104:D108)*3</f>
        <v>4888.0852488</v>
      </c>
      <c r="F96" s="156"/>
      <c r="G96" s="156">
        <f>SUM(F104:F108)*3</f>
        <v>7815</v>
      </c>
      <c r="H96" s="156"/>
    </row>
    <row r="97" spans="1:14" s="34" customFormat="1" ht="16.2" thickBot="1" x14ac:dyDescent="0.35">
      <c r="A97" s="125" t="s">
        <v>162</v>
      </c>
      <c r="B97" s="126"/>
      <c r="C97" s="120">
        <f>C96</f>
        <v>15</v>
      </c>
      <c r="D97" s="120"/>
      <c r="E97" s="120">
        <f t="shared" ref="E97" si="0">E96</f>
        <v>4888.0852488</v>
      </c>
      <c r="F97" s="120"/>
      <c r="G97" s="120">
        <f t="shared" ref="G97" si="1">G96</f>
        <v>7815</v>
      </c>
      <c r="H97" s="120"/>
    </row>
    <row r="98" spans="1:14" s="33" customFormat="1" x14ac:dyDescent="0.3">
      <c r="A98" s="68" t="s">
        <v>56</v>
      </c>
      <c r="B98" s="68"/>
      <c r="C98" s="68"/>
      <c r="D98" s="68"/>
      <c r="E98" s="68"/>
      <c r="F98" s="68"/>
      <c r="G98" s="68"/>
      <c r="H98" s="68"/>
    </row>
    <row r="99" spans="1:14" x14ac:dyDescent="0.3">
      <c r="A99" s="83" t="s">
        <v>169</v>
      </c>
      <c r="B99" s="83"/>
      <c r="C99" s="83"/>
      <c r="D99" s="83"/>
      <c r="E99" s="83"/>
      <c r="F99" s="83"/>
      <c r="G99" s="83"/>
      <c r="H99" s="83"/>
    </row>
    <row r="100" spans="1:14" ht="47.25" customHeight="1" x14ac:dyDescent="0.3">
      <c r="A100" s="69" t="s">
        <v>118</v>
      </c>
      <c r="B100" s="72" t="s">
        <v>171</v>
      </c>
      <c r="C100" s="72" t="s">
        <v>57</v>
      </c>
      <c r="D100" s="72" t="s">
        <v>58</v>
      </c>
      <c r="E100" s="74" t="s">
        <v>59</v>
      </c>
      <c r="F100" s="52" t="s">
        <v>259</v>
      </c>
      <c r="G100" s="69" t="s">
        <v>60</v>
      </c>
      <c r="H100" s="76"/>
      <c r="I100" s="35"/>
    </row>
    <row r="101" spans="1:14" s="36" customFormat="1" hidden="1" x14ac:dyDescent="0.3">
      <c r="A101" s="70"/>
      <c r="B101" s="73"/>
      <c r="C101" s="73"/>
      <c r="D101" s="73"/>
      <c r="E101" s="75"/>
      <c r="F101" s="13">
        <v>0.45</v>
      </c>
      <c r="G101" s="70"/>
      <c r="H101" s="77"/>
      <c r="I101" s="35"/>
    </row>
    <row r="102" spans="1:14" s="36" customFormat="1" x14ac:dyDescent="0.3">
      <c r="A102" s="109" t="s">
        <v>238</v>
      </c>
      <c r="B102" s="110"/>
      <c r="C102" s="110"/>
      <c r="D102" s="110"/>
      <c r="E102" s="110"/>
      <c r="F102" s="110"/>
      <c r="G102" s="110"/>
      <c r="H102" s="111"/>
      <c r="J102" s="35"/>
    </row>
    <row r="103" spans="1:14" s="36" customFormat="1" x14ac:dyDescent="0.3">
      <c r="A103" s="109" t="s">
        <v>262</v>
      </c>
      <c r="B103" s="110"/>
      <c r="C103" s="110"/>
      <c r="D103" s="110"/>
      <c r="E103" s="110"/>
      <c r="F103" s="110"/>
      <c r="G103" s="110"/>
      <c r="H103" s="111"/>
      <c r="J103" s="35"/>
    </row>
    <row r="104" spans="1:14" s="36" customFormat="1" ht="15.75" customHeight="1" x14ac:dyDescent="0.3">
      <c r="A104" s="64">
        <v>1</v>
      </c>
      <c r="B104" s="65"/>
      <c r="C104" s="41" t="s">
        <v>239</v>
      </c>
      <c r="D104" s="41">
        <f>(2.7*4.25+2.1*2.1+3*2.72+1.05*1.35+1.2*1.5+1.2*2.1+0.75*(2.7+2.1))*10.764</f>
        <v>359.32923</v>
      </c>
      <c r="E104" s="41">
        <v>0</v>
      </c>
      <c r="F104" s="56">
        <v>565</v>
      </c>
      <c r="G104" s="112" t="str">
        <f>A103</f>
        <v>1st Floor For Residential</v>
      </c>
      <c r="H104" s="113"/>
      <c r="I104" s="35"/>
      <c r="L104" s="55"/>
      <c r="M104" s="55"/>
      <c r="N104" s="35"/>
    </row>
    <row r="105" spans="1:14" s="36" customFormat="1" ht="15.75" customHeight="1" x14ac:dyDescent="0.3">
      <c r="A105" s="64">
        <f t="shared" ref="A105:A108" si="2">A104+1</f>
        <v>2</v>
      </c>
      <c r="B105" s="65"/>
      <c r="C105" s="41" t="s">
        <v>239</v>
      </c>
      <c r="D105" s="41">
        <f>(2.7*4.8+2.1*2.25+2.7*3.05+1.2*1.05+1.2*1.5+1.2*2.6+0.75*2.25)*10.764</f>
        <v>363.68865</v>
      </c>
      <c r="E105" s="41">
        <v>0</v>
      </c>
      <c r="F105" s="56">
        <v>565</v>
      </c>
      <c r="G105" s="114"/>
      <c r="H105" s="115"/>
      <c r="I105" s="35"/>
      <c r="L105" s="55"/>
      <c r="M105" s="55"/>
      <c r="N105" s="35"/>
    </row>
    <row r="106" spans="1:14" s="36" customFormat="1" ht="15.75" customHeight="1" x14ac:dyDescent="0.25">
      <c r="A106" s="64">
        <f t="shared" si="2"/>
        <v>3</v>
      </c>
      <c r="B106" s="65"/>
      <c r="C106" s="41" t="s">
        <v>240</v>
      </c>
      <c r="D106" s="41">
        <f>(2.7*4.35+2.25*2.1+2.25*1.2)*10.764</f>
        <v>206.34587999999997</v>
      </c>
      <c r="E106" s="41">
        <v>0</v>
      </c>
      <c r="F106" s="56">
        <v>365</v>
      </c>
      <c r="G106" s="114"/>
      <c r="H106" s="115"/>
      <c r="I106" s="57" t="s">
        <v>263</v>
      </c>
      <c r="L106" s="55"/>
      <c r="M106" s="55"/>
      <c r="N106" s="35"/>
    </row>
    <row r="107" spans="1:14" s="36" customFormat="1" ht="15.75" customHeight="1" x14ac:dyDescent="0.3">
      <c r="A107" s="64">
        <f t="shared" si="2"/>
        <v>4</v>
      </c>
      <c r="B107" s="65"/>
      <c r="C107" s="41" t="s">
        <v>239</v>
      </c>
      <c r="D107" s="41">
        <f>(2.7*4.35+2.47*2.25+2.7*3.05+1.35*0.9+1.2*1.5+1.2*1.5+1.2*0.9+0.75*2.25)*10.764</f>
        <v>356.50367999999997</v>
      </c>
      <c r="E107" s="41">
        <v>0</v>
      </c>
      <c r="F107" s="56">
        <v>565</v>
      </c>
      <c r="G107" s="114"/>
      <c r="H107" s="115"/>
      <c r="I107" s="35"/>
      <c r="L107" s="55"/>
      <c r="M107" s="55"/>
      <c r="N107" s="35"/>
    </row>
    <row r="108" spans="1:14" s="36" customFormat="1" ht="15.75" customHeight="1" x14ac:dyDescent="0.3">
      <c r="A108" s="64">
        <f t="shared" si="2"/>
        <v>5</v>
      </c>
      <c r="B108" s="65"/>
      <c r="C108" s="41" t="s">
        <v>239</v>
      </c>
      <c r="D108" s="41">
        <f>(2.7*4.4+2.4*2.15+2.87*2.72+0.9*1.2+1.5*1.2+0.9*2.4+0.75*2.7)*10.764</f>
        <v>343.49430960000001</v>
      </c>
      <c r="E108" s="41">
        <v>0</v>
      </c>
      <c r="F108" s="56">
        <v>545</v>
      </c>
      <c r="G108" s="116"/>
      <c r="H108" s="117"/>
      <c r="I108" s="35"/>
      <c r="L108" s="55"/>
      <c r="M108" s="55"/>
      <c r="N108" s="35"/>
    </row>
    <row r="109" spans="1:14" s="36" customFormat="1" x14ac:dyDescent="0.3">
      <c r="A109" s="109" t="s">
        <v>261</v>
      </c>
      <c r="B109" s="110"/>
      <c r="C109" s="110"/>
      <c r="D109" s="110"/>
      <c r="E109" s="110"/>
      <c r="F109" s="110"/>
      <c r="G109" s="110"/>
      <c r="H109" s="111"/>
      <c r="J109" s="35"/>
    </row>
    <row r="110" spans="1:14" s="36" customFormat="1" ht="15.75" customHeight="1" x14ac:dyDescent="0.3">
      <c r="A110" s="64">
        <v>1</v>
      </c>
      <c r="B110" s="65"/>
      <c r="C110" s="41" t="s">
        <v>239</v>
      </c>
      <c r="D110" s="41">
        <f>(2.7*4.25+2.1*2.1+3*2.72+1.05*1.35+1.2*1.5+1.2*2.1+0.75*(2.7+2.1))*10.764</f>
        <v>359.32923</v>
      </c>
      <c r="E110" s="41">
        <v>0</v>
      </c>
      <c r="F110" s="56">
        <v>565</v>
      </c>
      <c r="G110" s="112" t="str">
        <f>A109</f>
        <v>2nd &amp; 3rd Floor For Residential</v>
      </c>
      <c r="H110" s="113"/>
      <c r="I110" s="35"/>
      <c r="K110" s="56">
        <v>565</v>
      </c>
      <c r="L110" s="55">
        <f>K110/D110</f>
        <v>1.5723741706178482</v>
      </c>
      <c r="M110" s="55"/>
      <c r="N110" s="35"/>
    </row>
    <row r="111" spans="1:14" s="36" customFormat="1" ht="15.75" customHeight="1" x14ac:dyDescent="0.3">
      <c r="A111" s="64">
        <f t="shared" ref="A111:A114" si="3">A110+1</f>
        <v>2</v>
      </c>
      <c r="B111" s="65"/>
      <c r="C111" s="41" t="s">
        <v>239</v>
      </c>
      <c r="D111" s="41">
        <f>(2.7*4.8+2.1*2.25+2.7*3.05+1.2*1.05+1.2*1.5+1.2*2.6+0.75*2.25)*10.764</f>
        <v>363.68865</v>
      </c>
      <c r="E111" s="41">
        <v>0</v>
      </c>
      <c r="F111" s="56">
        <v>565</v>
      </c>
      <c r="G111" s="114"/>
      <c r="H111" s="115"/>
      <c r="I111" s="35"/>
      <c r="K111" s="56">
        <v>565</v>
      </c>
      <c r="L111" s="55">
        <f t="shared" ref="L111:L113" si="4">K111/D111</f>
        <v>1.5535266222907973</v>
      </c>
      <c r="M111" s="55"/>
      <c r="N111" s="35"/>
    </row>
    <row r="112" spans="1:14" s="36" customFormat="1" ht="15.75" customHeight="1" x14ac:dyDescent="0.3">
      <c r="A112" s="64">
        <f t="shared" si="3"/>
        <v>3</v>
      </c>
      <c r="B112" s="65"/>
      <c r="C112" s="41" t="s">
        <v>240</v>
      </c>
      <c r="D112" s="41">
        <f>(2.7*4.35+2.25*2.1+2.25*1.2)*10.764</f>
        <v>206.34587999999997</v>
      </c>
      <c r="E112" s="41">
        <v>0</v>
      </c>
      <c r="F112" s="56">
        <v>365</v>
      </c>
      <c r="G112" s="114"/>
      <c r="H112" s="115"/>
      <c r="I112" s="35" t="s">
        <v>264</v>
      </c>
      <c r="K112" s="56">
        <v>325</v>
      </c>
      <c r="L112" s="55">
        <f t="shared" si="4"/>
        <v>1.5750253894092776</v>
      </c>
      <c r="M112" s="55"/>
      <c r="N112" s="35"/>
    </row>
    <row r="113" spans="1:14" s="36" customFormat="1" ht="15.75" customHeight="1" x14ac:dyDescent="0.3">
      <c r="A113" s="64">
        <f t="shared" si="3"/>
        <v>4</v>
      </c>
      <c r="B113" s="65"/>
      <c r="C113" s="41" t="s">
        <v>239</v>
      </c>
      <c r="D113" s="41">
        <f>(2.7*4.35+2.47*2.25+2.7*3.05+1.35*0.9+1.2*1.5+1.2*1.5+1.2*0.9+0.75*2.25)*10.764</f>
        <v>356.50367999999997</v>
      </c>
      <c r="E113" s="41">
        <v>0</v>
      </c>
      <c r="F113" s="56">
        <v>565</v>
      </c>
      <c r="G113" s="114"/>
      <c r="H113" s="115"/>
      <c r="I113" s="35"/>
      <c r="K113" s="56">
        <v>565</v>
      </c>
      <c r="L113" s="55">
        <f t="shared" si="4"/>
        <v>1.5848363753215675</v>
      </c>
      <c r="M113" s="55"/>
      <c r="N113" s="35"/>
    </row>
    <row r="114" spans="1:14" s="36" customFormat="1" ht="15.75" customHeight="1" x14ac:dyDescent="0.3">
      <c r="A114" s="64">
        <f t="shared" si="3"/>
        <v>5</v>
      </c>
      <c r="B114" s="65"/>
      <c r="C114" s="41" t="s">
        <v>239</v>
      </c>
      <c r="D114" s="41">
        <f>(2.7*4.4+2.4*2.15+2.87*2.72+0.9*1.2+1.5*1.2+0.9*2.4+0.75*2.7)*10.764</f>
        <v>343.49430960000001</v>
      </c>
      <c r="E114" s="41">
        <v>0</v>
      </c>
      <c r="F114" s="56">
        <v>545</v>
      </c>
      <c r="G114" s="116"/>
      <c r="H114" s="117"/>
      <c r="I114" s="35"/>
      <c r="K114" s="56">
        <v>545</v>
      </c>
      <c r="L114" s="55">
        <f>K114/D114</f>
        <v>1.5866347265975203</v>
      </c>
      <c r="M114" s="55"/>
      <c r="N114" s="35"/>
    </row>
    <row r="115" spans="1:14" s="34" customFormat="1" x14ac:dyDescent="0.3">
      <c r="A115" s="169" t="s">
        <v>67</v>
      </c>
      <c r="B115" s="169"/>
      <c r="C115" s="169"/>
      <c r="D115" s="169"/>
      <c r="E115" s="169"/>
      <c r="F115" s="169"/>
      <c r="G115" s="169"/>
      <c r="H115" s="169"/>
    </row>
    <row r="116" spans="1:14" s="34" customFormat="1" x14ac:dyDescent="0.3">
      <c r="A116" s="44" t="s">
        <v>149</v>
      </c>
      <c r="B116" s="78" t="s">
        <v>272</v>
      </c>
      <c r="C116" s="79"/>
      <c r="D116" s="79"/>
      <c r="E116" s="79"/>
      <c r="F116" s="79"/>
      <c r="G116" s="79"/>
      <c r="H116" s="80"/>
    </row>
    <row r="117" spans="1:14" s="34" customFormat="1" x14ac:dyDescent="0.3">
      <c r="A117" s="44" t="s">
        <v>149</v>
      </c>
      <c r="B117" s="78" t="str">
        <f>(IF(F100="Saleable area Loading :","We have considered Saleable area of Flats as per our Calculation.","We considered Saleable area of Flat as per Builder area Sheet."))</f>
        <v>We considered Saleable area of Flat as per Builder area Sheet.</v>
      </c>
      <c r="C117" s="79"/>
      <c r="D117" s="79"/>
      <c r="E117" s="79"/>
      <c r="F117" s="79"/>
      <c r="G117" s="79"/>
      <c r="H117" s="80"/>
    </row>
    <row r="118" spans="1:14" s="34" customFormat="1" x14ac:dyDescent="0.3">
      <c r="A118" s="44" t="s">
        <v>149</v>
      </c>
      <c r="B118" s="106" t="s">
        <v>121</v>
      </c>
      <c r="C118" s="107"/>
      <c r="D118" s="107"/>
      <c r="E118" s="107"/>
      <c r="F118" s="107"/>
      <c r="G118" s="107"/>
      <c r="H118" s="108"/>
    </row>
    <row r="119" spans="1:14" s="34" customFormat="1" x14ac:dyDescent="0.3">
      <c r="A119" s="44" t="s">
        <v>149</v>
      </c>
      <c r="B119" s="106" t="s">
        <v>243</v>
      </c>
      <c r="C119" s="107"/>
      <c r="D119" s="107"/>
      <c r="E119" s="107"/>
      <c r="F119" s="107"/>
      <c r="G119" s="107"/>
      <c r="H119" s="108"/>
    </row>
    <row r="120" spans="1:14" s="34" customFormat="1" x14ac:dyDescent="0.3">
      <c r="A120" s="44" t="s">
        <v>149</v>
      </c>
      <c r="B120" s="106" t="s">
        <v>148</v>
      </c>
      <c r="C120" s="107"/>
      <c r="D120" s="107"/>
      <c r="E120" s="107"/>
      <c r="F120" s="107"/>
      <c r="G120" s="107"/>
      <c r="H120" s="108"/>
    </row>
    <row r="121" spans="1:14" s="34" customFormat="1" x14ac:dyDescent="0.3">
      <c r="A121" s="44" t="s">
        <v>149</v>
      </c>
      <c r="B121" s="106" t="s">
        <v>122</v>
      </c>
      <c r="C121" s="107"/>
      <c r="D121" s="107"/>
      <c r="E121" s="107"/>
      <c r="F121" s="107"/>
      <c r="G121" s="107"/>
      <c r="H121" s="108"/>
    </row>
    <row r="122" spans="1:14" s="34" customFormat="1" ht="34.5" customHeight="1" x14ac:dyDescent="0.3">
      <c r="A122" s="44" t="s">
        <v>149</v>
      </c>
      <c r="B122" s="106" t="s">
        <v>150</v>
      </c>
      <c r="C122" s="107"/>
      <c r="D122" s="107"/>
      <c r="E122" s="107"/>
      <c r="F122" s="107"/>
      <c r="G122" s="107"/>
      <c r="H122" s="108"/>
    </row>
    <row r="123" spans="1:14" s="34" customFormat="1" x14ac:dyDescent="0.3">
      <c r="A123" s="44" t="s">
        <v>149</v>
      </c>
      <c r="B123" s="106" t="s">
        <v>123</v>
      </c>
      <c r="C123" s="107"/>
      <c r="D123" s="107"/>
      <c r="E123" s="107"/>
      <c r="F123" s="107"/>
      <c r="G123" s="107"/>
      <c r="H123" s="108"/>
    </row>
    <row r="124" spans="1:14" s="34" customFormat="1" ht="33.75" customHeight="1" x14ac:dyDescent="0.3">
      <c r="A124" s="58" t="s">
        <v>149</v>
      </c>
      <c r="B124" s="59" t="s">
        <v>266</v>
      </c>
      <c r="C124" s="60"/>
      <c r="D124" s="60"/>
      <c r="E124" s="60"/>
      <c r="F124" s="60"/>
      <c r="G124" s="60"/>
      <c r="H124" s="61"/>
    </row>
    <row r="125" spans="1:14" s="34" customFormat="1" ht="31.5" hidden="1" customHeight="1" x14ac:dyDescent="0.3">
      <c r="A125" s="44" t="s">
        <v>149</v>
      </c>
      <c r="B125" s="127" t="s">
        <v>270</v>
      </c>
      <c r="C125" s="128"/>
      <c r="D125" s="128"/>
      <c r="E125" s="128"/>
      <c r="F125" s="128"/>
      <c r="G125" s="128"/>
      <c r="H125" s="129"/>
    </row>
    <row r="126" spans="1:14" x14ac:dyDescent="0.3">
      <c r="A126" s="93" t="s">
        <v>61</v>
      </c>
      <c r="B126" s="93"/>
      <c r="C126" s="93"/>
      <c r="D126" s="93"/>
      <c r="E126" s="93"/>
      <c r="F126" s="93"/>
      <c r="G126" s="93"/>
      <c r="H126" s="93"/>
    </row>
    <row r="127" spans="1:14" x14ac:dyDescent="0.3">
      <c r="A127" s="66" t="s">
        <v>62</v>
      </c>
      <c r="B127" s="66"/>
      <c r="C127" s="66"/>
      <c r="D127" s="66"/>
      <c r="E127" s="66"/>
      <c r="F127" s="66"/>
      <c r="G127" s="66"/>
      <c r="H127" s="66"/>
    </row>
    <row r="128" spans="1:14" ht="15.75" customHeight="1" x14ac:dyDescent="0.3">
      <c r="A128" s="118" t="s">
        <v>269</v>
      </c>
      <c r="B128" s="119"/>
      <c r="C128" s="119"/>
      <c r="D128" s="119"/>
      <c r="E128" s="119"/>
      <c r="F128" s="119"/>
      <c r="G128" s="119"/>
      <c r="H128" s="119"/>
    </row>
    <row r="129" spans="1:8" x14ac:dyDescent="0.3">
      <c r="A129" s="66" t="s">
        <v>63</v>
      </c>
      <c r="B129" s="66"/>
      <c r="C129" s="66"/>
      <c r="D129" s="66"/>
      <c r="E129" s="66"/>
      <c r="F129" s="66"/>
      <c r="G129" s="66"/>
      <c r="H129" s="66"/>
    </row>
    <row r="130" spans="1:8" x14ac:dyDescent="0.3">
      <c r="A130" s="66" t="s">
        <v>64</v>
      </c>
      <c r="B130" s="66"/>
      <c r="C130" s="66"/>
      <c r="D130" s="66"/>
      <c r="E130" s="66"/>
      <c r="F130" s="66"/>
      <c r="G130" s="66"/>
      <c r="H130" s="66"/>
    </row>
    <row r="131" spans="1:8" x14ac:dyDescent="0.3">
      <c r="A131" s="66" t="s">
        <v>124</v>
      </c>
      <c r="B131" s="66"/>
      <c r="C131" s="66"/>
      <c r="D131" s="66"/>
      <c r="E131" s="66"/>
      <c r="F131" s="66"/>
      <c r="G131" s="66"/>
      <c r="H131" s="66"/>
    </row>
    <row r="132" spans="1:8" ht="33.9" customHeight="1" x14ac:dyDescent="0.3">
      <c r="A132" s="94" t="s">
        <v>125</v>
      </c>
      <c r="B132" s="94"/>
      <c r="C132" s="94"/>
      <c r="D132" s="94"/>
      <c r="E132" s="94"/>
      <c r="F132" s="94"/>
      <c r="G132" s="94"/>
      <c r="H132" s="94"/>
    </row>
    <row r="133" spans="1:8" x14ac:dyDescent="0.3">
      <c r="A133" s="102" t="s">
        <v>75</v>
      </c>
      <c r="B133" s="102"/>
      <c r="C133" s="102" t="s">
        <v>256</v>
      </c>
      <c r="D133" s="102"/>
      <c r="E133" s="102" t="s">
        <v>105</v>
      </c>
      <c r="F133" s="102"/>
      <c r="G133" s="102" t="s">
        <v>273</v>
      </c>
      <c r="H133" s="102"/>
    </row>
    <row r="134" spans="1:8" x14ac:dyDescent="0.3">
      <c r="A134" s="101" t="s">
        <v>77</v>
      </c>
      <c r="B134" s="101"/>
      <c r="C134" s="101"/>
      <c r="D134" s="101"/>
      <c r="E134" s="101"/>
      <c r="F134" s="101"/>
      <c r="G134" s="101"/>
      <c r="H134" s="101"/>
    </row>
    <row r="135" spans="1:8" x14ac:dyDescent="0.3">
      <c r="A135" s="101"/>
      <c r="B135" s="101"/>
      <c r="C135" s="101"/>
      <c r="D135" s="101"/>
      <c r="E135" s="101"/>
      <c r="F135" s="101"/>
      <c r="G135" s="101"/>
      <c r="H135" s="101"/>
    </row>
    <row r="136" spans="1:8" x14ac:dyDescent="0.3">
      <c r="A136" s="101"/>
      <c r="B136" s="101"/>
      <c r="C136" s="101"/>
      <c r="D136" s="101"/>
      <c r="E136" s="101"/>
      <c r="F136" s="101"/>
      <c r="G136" s="101"/>
      <c r="H136" s="101"/>
    </row>
    <row r="137" spans="1:8" hidden="1" x14ac:dyDescent="0.3">
      <c r="A137" s="101"/>
      <c r="B137" s="101"/>
      <c r="C137" s="101"/>
      <c r="D137" s="101"/>
      <c r="E137" s="101"/>
      <c r="F137" s="101"/>
      <c r="G137" s="101"/>
      <c r="H137" s="101"/>
    </row>
    <row r="138" spans="1:8" x14ac:dyDescent="0.3">
      <c r="A138" s="37" t="s">
        <v>65</v>
      </c>
      <c r="B138" s="38"/>
      <c r="C138" s="38"/>
      <c r="D138" s="37" t="str">
        <f>E8</f>
        <v>Avnit Plaza</v>
      </c>
      <c r="F138" s="38"/>
      <c r="G138" s="38"/>
      <c r="H138" s="38"/>
    </row>
    <row r="139" spans="1:8" x14ac:dyDescent="0.3">
      <c r="A139" s="38"/>
      <c r="B139" s="38"/>
      <c r="C139" s="38"/>
      <c r="D139" s="38"/>
      <c r="E139" s="38"/>
      <c r="F139" s="38"/>
      <c r="G139" s="38"/>
      <c r="H139" s="38"/>
    </row>
    <row r="140" spans="1:8" x14ac:dyDescent="0.3">
      <c r="A140" s="38"/>
      <c r="B140" s="38"/>
      <c r="C140" s="38"/>
      <c r="D140" s="38"/>
      <c r="E140" s="38"/>
      <c r="F140" s="38"/>
      <c r="G140" s="38"/>
      <c r="H140" s="38"/>
    </row>
    <row r="141" spans="1:8" ht="15" customHeight="1" x14ac:dyDescent="0.3"/>
    <row r="183" spans="1:1" x14ac:dyDescent="0.3">
      <c r="A183" s="40" t="s">
        <v>159</v>
      </c>
    </row>
    <row r="227" spans="1:1" x14ac:dyDescent="0.3">
      <c r="A227" s="40" t="s">
        <v>66</v>
      </c>
    </row>
  </sheetData>
  <mergeCells count="246">
    <mergeCell ref="A61:C61"/>
    <mergeCell ref="A73:B73"/>
    <mergeCell ref="E69:F69"/>
    <mergeCell ref="A108:B108"/>
    <mergeCell ref="G104:H108"/>
    <mergeCell ref="A85:E85"/>
    <mergeCell ref="A39:B39"/>
    <mergeCell ref="C39:H39"/>
    <mergeCell ref="B122:H122"/>
    <mergeCell ref="A48:B48"/>
    <mergeCell ref="C48:H48"/>
    <mergeCell ref="B120:H120"/>
    <mergeCell ref="F82:H82"/>
    <mergeCell ref="A82:E82"/>
    <mergeCell ref="A84:E84"/>
    <mergeCell ref="A83:E83"/>
    <mergeCell ref="A80:E80"/>
    <mergeCell ref="F84:H84"/>
    <mergeCell ref="G97:H97"/>
    <mergeCell ref="A106:B106"/>
    <mergeCell ref="B118:H118"/>
    <mergeCell ref="B119:H119"/>
    <mergeCell ref="A115:H115"/>
    <mergeCell ref="A107:B107"/>
    <mergeCell ref="D61:H61"/>
    <mergeCell ref="C68:H68"/>
    <mergeCell ref="A71:B71"/>
    <mergeCell ref="A38:B38"/>
    <mergeCell ref="C38:H38"/>
    <mergeCell ref="A45:D45"/>
    <mergeCell ref="A77:B77"/>
    <mergeCell ref="C96:D96"/>
    <mergeCell ref="E96:F96"/>
    <mergeCell ref="G96:H96"/>
    <mergeCell ref="F87:H87"/>
    <mergeCell ref="A81:E81"/>
    <mergeCell ref="E70:F79"/>
    <mergeCell ref="G70:H79"/>
    <mergeCell ref="A78:B78"/>
    <mergeCell ref="A79:B79"/>
    <mergeCell ref="A63:C63"/>
    <mergeCell ref="A76:B76"/>
    <mergeCell ref="A69:B69"/>
    <mergeCell ref="A72:B72"/>
    <mergeCell ref="A68:B68"/>
    <mergeCell ref="A66:B66"/>
    <mergeCell ref="C66:H66"/>
    <mergeCell ref="C52:H52"/>
    <mergeCell ref="A37:H37"/>
    <mergeCell ref="A36:B36"/>
    <mergeCell ref="C36:E36"/>
    <mergeCell ref="A41:D41"/>
    <mergeCell ref="E41:H41"/>
    <mergeCell ref="A40:H40"/>
    <mergeCell ref="A59:C59"/>
    <mergeCell ref="A60:C60"/>
    <mergeCell ref="D59:H59"/>
    <mergeCell ref="D60:H60"/>
    <mergeCell ref="A43:D43"/>
    <mergeCell ref="E43:H43"/>
    <mergeCell ref="E44:H44"/>
    <mergeCell ref="E45:H45"/>
    <mergeCell ref="E46:H46"/>
    <mergeCell ref="A44:D44"/>
    <mergeCell ref="F36:H36"/>
    <mergeCell ref="D58:H58"/>
    <mergeCell ref="C50:E50"/>
    <mergeCell ref="A58:C58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C34:E34"/>
    <mergeCell ref="A16:B16"/>
    <mergeCell ref="A13:D13"/>
    <mergeCell ref="E13:H13"/>
    <mergeCell ref="A14:D1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22:D23"/>
    <mergeCell ref="E22:H23"/>
    <mergeCell ref="E14:H14"/>
    <mergeCell ref="A46:D46"/>
    <mergeCell ref="A47:H47"/>
    <mergeCell ref="D57:H57"/>
    <mergeCell ref="A57:C57"/>
    <mergeCell ref="G50:H50"/>
    <mergeCell ref="G53:H53"/>
    <mergeCell ref="F34:H34"/>
    <mergeCell ref="E42:H42"/>
    <mergeCell ref="A42:D42"/>
    <mergeCell ref="F33:H33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31:H131"/>
    <mergeCell ref="A128:H128"/>
    <mergeCell ref="E97:F97"/>
    <mergeCell ref="A62:C62"/>
    <mergeCell ref="D62:H62"/>
    <mergeCell ref="A65:C65"/>
    <mergeCell ref="D65:H65"/>
    <mergeCell ref="D64:H64"/>
    <mergeCell ref="A70:B70"/>
    <mergeCell ref="G69:H69"/>
    <mergeCell ref="D63:H63"/>
    <mergeCell ref="A64:C64"/>
    <mergeCell ref="A103:H103"/>
    <mergeCell ref="A91:E91"/>
    <mergeCell ref="C100:C101"/>
    <mergeCell ref="A105:B105"/>
    <mergeCell ref="F81:H81"/>
    <mergeCell ref="F88:H88"/>
    <mergeCell ref="A102:H102"/>
    <mergeCell ref="A97:B97"/>
    <mergeCell ref="C97:D97"/>
    <mergeCell ref="B125:H125"/>
    <mergeCell ref="A113:B113"/>
    <mergeCell ref="A114:B114"/>
    <mergeCell ref="A134:H137"/>
    <mergeCell ref="A133:B133"/>
    <mergeCell ref="E133:F133"/>
    <mergeCell ref="C133:D133"/>
    <mergeCell ref="G133:H133"/>
    <mergeCell ref="A92:E92"/>
    <mergeCell ref="F92:H92"/>
    <mergeCell ref="A93:E93"/>
    <mergeCell ref="F93:H93"/>
    <mergeCell ref="A96:B96"/>
    <mergeCell ref="A129:H129"/>
    <mergeCell ref="A94:H94"/>
    <mergeCell ref="A132:H132"/>
    <mergeCell ref="A130:H130"/>
    <mergeCell ref="A126:H126"/>
    <mergeCell ref="G95:H95"/>
    <mergeCell ref="A127:H127"/>
    <mergeCell ref="B123:H123"/>
    <mergeCell ref="A109:H109"/>
    <mergeCell ref="A110:B110"/>
    <mergeCell ref="G110:H114"/>
    <mergeCell ref="A111:B111"/>
    <mergeCell ref="A112:B112"/>
    <mergeCell ref="B121:H121"/>
    <mergeCell ref="I14:P14"/>
    <mergeCell ref="F91:H91"/>
    <mergeCell ref="F89:H89"/>
    <mergeCell ref="A99:H99"/>
    <mergeCell ref="A90:E90"/>
    <mergeCell ref="A53:B53"/>
    <mergeCell ref="C53:E53"/>
    <mergeCell ref="D55:H55"/>
    <mergeCell ref="F90:H90"/>
    <mergeCell ref="C95:D95"/>
    <mergeCell ref="A75:B75"/>
    <mergeCell ref="A49:B49"/>
    <mergeCell ref="C49:E49"/>
    <mergeCell ref="G49:H49"/>
    <mergeCell ref="G51:H51"/>
    <mergeCell ref="A50:B50"/>
    <mergeCell ref="A54:H54"/>
    <mergeCell ref="A55:C55"/>
    <mergeCell ref="A56:C56"/>
    <mergeCell ref="D56:H56"/>
    <mergeCell ref="A51:B51"/>
    <mergeCell ref="A52:B52"/>
    <mergeCell ref="C51:E51"/>
    <mergeCell ref="F80:H80"/>
    <mergeCell ref="B124:H124"/>
    <mergeCell ref="A74:B74"/>
    <mergeCell ref="F85:H85"/>
    <mergeCell ref="A104:B104"/>
    <mergeCell ref="A86:E86"/>
    <mergeCell ref="F86:H86"/>
    <mergeCell ref="A87:E87"/>
    <mergeCell ref="A89:E89"/>
    <mergeCell ref="F83:H83"/>
    <mergeCell ref="A88:E88"/>
    <mergeCell ref="E95:F95"/>
    <mergeCell ref="A98:H98"/>
    <mergeCell ref="A100:A101"/>
    <mergeCell ref="A95:B95"/>
    <mergeCell ref="D100:D101"/>
    <mergeCell ref="E100:E101"/>
    <mergeCell ref="G100:H101"/>
    <mergeCell ref="B100:B101"/>
    <mergeCell ref="B116:H116"/>
    <mergeCell ref="B117:H117"/>
  </mergeCells>
  <dataValidations count="10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$S$12:$W$12</formula1>
    </dataValidation>
    <dataValidation type="list" allowBlank="1" showInputMessage="1" showErrorMessage="1" sqref="F101" xr:uid="{00000000-0002-0000-0000-000003000000}">
      <formula1>"45%,50%,55%,60%"</formula1>
    </dataValidation>
    <dataValidation type="list" allowBlank="1" showInputMessage="1" showErrorMessage="1" sqref="F80:H80" xr:uid="{00000000-0002-0000-0000-000005000000}">
      <formula1>"On Saleable Area,On Builtup Area,On Carpet Area,On Plot Area"</formula1>
    </dataValidation>
    <dataValidation type="list" allowBlank="1" showInputMessage="1" showErrorMessage="1" sqref="F92:H92" xr:uid="{00000000-0002-0000-0000-000006000000}">
      <formula1>"100000,150000,200000,250000,300000,350000,400000,500000,600000,700000,800000,900000,1000000,1200000,1400000,1500000"</formula1>
    </dataValidation>
    <dataValidation type="list" allowBlank="1" showInputMessage="1" showErrorMessage="1" sqref="F100" xr:uid="{00000000-0002-0000-0000-000007000000}">
      <formula1>"Saleable area Loading :,Builder Saleable area"</formula1>
    </dataValidation>
    <dataValidation type="list" allowBlank="1" showInputMessage="1" showErrorMessage="1" sqref="B100:B101" xr:uid="{00000000-0002-0000-0000-000008000000}">
      <formula1>"Flat No. (Sale Plan),Sale / Rehab,Sale / Mhada"</formula1>
    </dataValidation>
    <dataValidation type="list" allowBlank="1" showInputMessage="1" showErrorMessage="1" sqref="C20:D20" xr:uid="{00000000-0002-0000-0000-000009000000}">
      <formula1>OFFSET($S$12,1,MATCH($G19,$S$12:$W$12,0)-1,15,1)</formula1>
    </dataValidation>
    <dataValidation type="list" allowBlank="1" showInputMessage="1" showErrorMessage="1" sqref="Y12" xr:uid="{00000000-0002-0000-0000-00000A000000}">
      <formula1>$D$4:$H$4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5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37" max="16383" man="1"/>
    <brk id="182" max="16383" man="1"/>
    <brk id="226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70" t="s">
        <v>106</v>
      </c>
      <c r="C3" s="170"/>
      <c r="D3" s="170"/>
      <c r="E3" s="170"/>
      <c r="F3" s="170"/>
      <c r="G3" s="170"/>
      <c r="H3" s="170"/>
    </row>
    <row r="4" spans="1:9" x14ac:dyDescent="0.3">
      <c r="A4" s="2"/>
      <c r="B4" s="3" t="s">
        <v>107</v>
      </c>
      <c r="C4" s="3" t="s">
        <v>108</v>
      </c>
      <c r="D4" s="3" t="s">
        <v>68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30"/>
  <sheetViews>
    <sheetView topLeftCell="A16" zoomScale="130" zoomScaleNormal="130" workbookViewId="0">
      <selection activeCell="C30" sqref="C30"/>
    </sheetView>
  </sheetViews>
  <sheetFormatPr defaultRowHeight="14.4" x14ac:dyDescent="0.3"/>
  <cols>
    <col min="4" max="4" width="11" bestFit="1" customWidth="1"/>
    <col min="5" max="5" width="10.44140625" bestFit="1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53"/>
      <c r="C4" s="53" t="s">
        <v>12</v>
      </c>
      <c r="D4" s="54" t="s">
        <v>172</v>
      </c>
      <c r="E4" s="54" t="s">
        <v>182</v>
      </c>
      <c r="F4" s="54" t="s">
        <v>167</v>
      </c>
      <c r="G4" s="54" t="s">
        <v>187</v>
      </c>
      <c r="H4" s="54" t="s">
        <v>205</v>
      </c>
      <c r="J4" t="s">
        <v>187</v>
      </c>
      <c r="K4" t="s">
        <v>203</v>
      </c>
    </row>
    <row r="5" spans="2:11" x14ac:dyDescent="0.3">
      <c r="B5" s="53"/>
      <c r="C5" s="53"/>
      <c r="D5" s="54" t="s">
        <v>173</v>
      </c>
      <c r="E5" s="54" t="s">
        <v>180</v>
      </c>
      <c r="F5" s="54" t="s">
        <v>202</v>
      </c>
      <c r="G5" s="54" t="s">
        <v>188</v>
      </c>
      <c r="H5" s="54" t="s">
        <v>206</v>
      </c>
    </row>
    <row r="6" spans="2:11" x14ac:dyDescent="0.3">
      <c r="B6" s="53"/>
      <c r="C6" s="53"/>
      <c r="D6" s="54" t="s">
        <v>174</v>
      </c>
      <c r="E6" s="54" t="s">
        <v>181</v>
      </c>
      <c r="F6" s="54" t="s">
        <v>203</v>
      </c>
      <c r="G6" s="54" t="s">
        <v>189</v>
      </c>
      <c r="H6" s="54" t="s">
        <v>219</v>
      </c>
    </row>
    <row r="7" spans="2:11" x14ac:dyDescent="0.3">
      <c r="B7" s="53"/>
      <c r="C7" s="53"/>
      <c r="D7" s="54" t="s">
        <v>175</v>
      </c>
      <c r="E7" s="54" t="s">
        <v>183</v>
      </c>
      <c r="F7" s="54" t="s">
        <v>204</v>
      </c>
      <c r="G7" s="54" t="s">
        <v>190</v>
      </c>
      <c r="H7" s="54" t="s">
        <v>207</v>
      </c>
    </row>
    <row r="8" spans="2:11" x14ac:dyDescent="0.3">
      <c r="B8" s="53"/>
      <c r="C8" s="53"/>
      <c r="D8" s="54" t="s">
        <v>176</v>
      </c>
      <c r="E8" s="54" t="s">
        <v>184</v>
      </c>
      <c r="F8" s="54"/>
      <c r="G8" s="54" t="s">
        <v>191</v>
      </c>
      <c r="H8" s="54" t="s">
        <v>208</v>
      </c>
    </row>
    <row r="9" spans="2:11" x14ac:dyDescent="0.3">
      <c r="B9" s="53"/>
      <c r="C9" s="53"/>
      <c r="D9" s="54" t="s">
        <v>177</v>
      </c>
      <c r="E9" s="54" t="s">
        <v>182</v>
      </c>
      <c r="F9" s="54"/>
      <c r="G9" s="54" t="s">
        <v>192</v>
      </c>
      <c r="H9" s="54" t="s">
        <v>209</v>
      </c>
    </row>
    <row r="10" spans="2:11" x14ac:dyDescent="0.3">
      <c r="B10" s="53"/>
      <c r="C10" s="53"/>
      <c r="D10" s="54" t="s">
        <v>178</v>
      </c>
      <c r="E10" s="54" t="s">
        <v>185</v>
      </c>
      <c r="F10" s="54"/>
      <c r="G10" s="54" t="s">
        <v>193</v>
      </c>
      <c r="H10" s="54" t="s">
        <v>210</v>
      </c>
    </row>
    <row r="11" spans="2:11" x14ac:dyDescent="0.3">
      <c r="B11" s="53"/>
      <c r="C11" s="53"/>
      <c r="D11" s="54" t="s">
        <v>179</v>
      </c>
      <c r="E11" s="54" t="s">
        <v>186</v>
      </c>
      <c r="F11" s="54"/>
      <c r="G11" s="54" t="s">
        <v>194</v>
      </c>
      <c r="H11" s="54" t="s">
        <v>211</v>
      </c>
    </row>
    <row r="12" spans="2:11" x14ac:dyDescent="0.3">
      <c r="B12" s="53"/>
      <c r="C12" s="53"/>
      <c r="D12" s="54"/>
      <c r="E12" s="54"/>
      <c r="F12" s="54"/>
      <c r="G12" s="54" t="s">
        <v>195</v>
      </c>
      <c r="H12" s="54" t="s">
        <v>212</v>
      </c>
    </row>
    <row r="13" spans="2:11" x14ac:dyDescent="0.3">
      <c r="B13" s="53"/>
      <c r="C13" s="53"/>
      <c r="D13" s="54"/>
      <c r="E13" s="54"/>
      <c r="F13" s="54"/>
      <c r="G13" s="54" t="s">
        <v>196</v>
      </c>
      <c r="H13" s="54" t="s">
        <v>213</v>
      </c>
    </row>
    <row r="14" spans="2:11" x14ac:dyDescent="0.3">
      <c r="B14" s="53"/>
      <c r="C14" s="53"/>
      <c r="D14" s="54"/>
      <c r="E14" s="54"/>
      <c r="F14" s="54"/>
      <c r="G14" s="54" t="s">
        <v>197</v>
      </c>
      <c r="H14" s="54" t="s">
        <v>214</v>
      </c>
    </row>
    <row r="15" spans="2:11" x14ac:dyDescent="0.3">
      <c r="B15" s="53"/>
      <c r="C15" s="53"/>
      <c r="D15" s="54"/>
      <c r="E15" s="54"/>
      <c r="F15" s="54"/>
      <c r="G15" s="54" t="s">
        <v>198</v>
      </c>
      <c r="H15" s="54" t="s">
        <v>215</v>
      </c>
    </row>
    <row r="16" spans="2:11" x14ac:dyDescent="0.3">
      <c r="B16" s="53"/>
      <c r="C16" s="53"/>
      <c r="D16" s="54"/>
      <c r="E16" s="54"/>
      <c r="F16" s="54"/>
      <c r="G16" s="54" t="s">
        <v>199</v>
      </c>
      <c r="H16" s="54" t="s">
        <v>216</v>
      </c>
    </row>
    <row r="17" spans="2:8" x14ac:dyDescent="0.3">
      <c r="B17" s="53"/>
      <c r="C17" s="53"/>
      <c r="D17" s="54"/>
      <c r="E17" s="54"/>
      <c r="F17" s="54"/>
      <c r="G17" s="54" t="s">
        <v>200</v>
      </c>
      <c r="H17" s="54" t="s">
        <v>217</v>
      </c>
    </row>
    <row r="18" spans="2:8" x14ac:dyDescent="0.3">
      <c r="B18" s="53"/>
      <c r="C18" s="53"/>
      <c r="D18" s="54"/>
      <c r="E18" s="54"/>
      <c r="F18" s="54"/>
      <c r="G18" s="54" t="s">
        <v>201</v>
      </c>
      <c r="H18" s="54" t="s">
        <v>218</v>
      </c>
    </row>
    <row r="24" spans="2:8" x14ac:dyDescent="0.3">
      <c r="C24" t="s">
        <v>165</v>
      </c>
    </row>
    <row r="25" spans="2:8" x14ac:dyDescent="0.3">
      <c r="C25" t="s">
        <v>220</v>
      </c>
    </row>
    <row r="26" spans="2:8" x14ac:dyDescent="0.3">
      <c r="C26" t="s">
        <v>221</v>
      </c>
    </row>
    <row r="27" spans="2:8" x14ac:dyDescent="0.3">
      <c r="C27" t="s">
        <v>222</v>
      </c>
    </row>
    <row r="28" spans="2:8" x14ac:dyDescent="0.3">
      <c r="C28" t="s">
        <v>223</v>
      </c>
    </row>
    <row r="29" spans="2:8" x14ac:dyDescent="0.3">
      <c r="C29" t="s">
        <v>224</v>
      </c>
    </row>
    <row r="30" spans="2:8" x14ac:dyDescent="0.3">
      <c r="C30" t="s">
        <v>165</v>
      </c>
    </row>
  </sheetData>
  <dataValidations count="2">
    <dataValidation type="list" allowBlank="1" showInputMessage="1" showErrorMessage="1" sqref="J4" xr:uid="{00000000-0002-0000-0200-000000000000}">
      <formula1>$D$4:$H$4</formula1>
    </dataValidation>
    <dataValidation type="list" allowBlank="1" showInputMessage="1" showErrorMessage="1" sqref="K4" xr:uid="{00000000-0002-0000-0200-000001000000}">
      <formula1>OFFSET($D$4,1,MATCH($J4,$D$4:$H$4,0)-1,15,1)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2025-08-14T12:32:11Z</cp:lastPrinted>
  <dcterms:created xsi:type="dcterms:W3CDTF">2019-07-16T09:29:46Z</dcterms:created>
  <dcterms:modified xsi:type="dcterms:W3CDTF">2025-08-14T12:33:00Z</dcterms:modified>
</cp:coreProperties>
</file>