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D03C1BBA-9753-4329-B20F-7E197A9C67F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1" l="1"/>
  <c r="I129" i="1"/>
  <c r="I120" i="1"/>
  <c r="I132" i="1" l="1"/>
  <c r="G92" i="1"/>
  <c r="G91" i="1"/>
  <c r="D135" i="1"/>
  <c r="D134" i="1"/>
  <c r="D133" i="1"/>
  <c r="D132" i="1"/>
  <c r="D131" i="1"/>
  <c r="I131" i="1" s="1"/>
  <c r="D130" i="1"/>
  <c r="D129" i="1"/>
  <c r="G129" i="1"/>
  <c r="G130" i="1" s="1"/>
  <c r="G131" i="1" s="1"/>
  <c r="G132" i="1" s="1"/>
  <c r="G133" i="1" s="1"/>
  <c r="G134" i="1" s="1"/>
  <c r="G135" i="1" s="1"/>
  <c r="D126" i="1"/>
  <c r="D125" i="1"/>
  <c r="I125" i="1" s="1"/>
  <c r="D124" i="1"/>
  <c r="D123" i="1"/>
  <c r="D122" i="1"/>
  <c r="D121" i="1"/>
  <c r="D120" i="1"/>
  <c r="J120" i="1" s="1"/>
  <c r="I123" i="1"/>
  <c r="D114" i="1"/>
  <c r="F114" i="1" s="1"/>
  <c r="D115" i="1"/>
  <c r="F115" i="1" s="1"/>
  <c r="D113" i="1"/>
  <c r="F113" i="1" s="1"/>
  <c r="D111" i="1"/>
  <c r="F111" i="1" s="1"/>
  <c r="D110" i="1"/>
  <c r="F110" i="1" s="1"/>
  <c r="D109" i="1"/>
  <c r="F109" i="1" s="1"/>
  <c r="D112" i="1"/>
  <c r="F112" i="1" s="1"/>
  <c r="A110" i="1"/>
  <c r="A111" i="1" s="1"/>
  <c r="A112" i="1" s="1"/>
  <c r="A113" i="1" s="1"/>
  <c r="A114" i="1" s="1"/>
  <c r="A115" i="1" s="1"/>
  <c r="G109" i="1"/>
  <c r="G110" i="1" s="1"/>
  <c r="G111" i="1" s="1"/>
  <c r="G112" i="1" s="1"/>
  <c r="G113" i="1" s="1"/>
  <c r="G114" i="1" s="1"/>
  <c r="G115" i="1" s="1"/>
  <c r="D106" i="1"/>
  <c r="D105" i="1"/>
  <c r="D104" i="1"/>
  <c r="D103" i="1"/>
  <c r="D102" i="1"/>
  <c r="D101" i="1"/>
  <c r="D100" i="1"/>
  <c r="P129" i="1"/>
  <c r="O129" i="1"/>
  <c r="C86" i="1" l="1"/>
  <c r="G93" i="1"/>
  <c r="G87" i="1"/>
  <c r="C91" i="1"/>
  <c r="E92" i="1"/>
  <c r="E86" i="1"/>
  <c r="E87" i="1"/>
  <c r="C87" i="1"/>
  <c r="C88" i="1" s="1"/>
  <c r="E91" i="1"/>
  <c r="E93" i="1" s="1"/>
  <c r="C92" i="1"/>
  <c r="P130" i="1"/>
  <c r="P131" i="1" s="1"/>
  <c r="P132" i="1" s="1"/>
  <c r="P133" i="1" s="1"/>
  <c r="P134" i="1" s="1"/>
  <c r="P135" i="1" s="1"/>
  <c r="O130" i="1"/>
  <c r="N129" i="1"/>
  <c r="A129" i="1" s="1"/>
  <c r="C93" i="1" l="1"/>
  <c r="E88" i="1"/>
  <c r="O131" i="1"/>
  <c r="N130" i="1"/>
  <c r="A130" i="1" s="1"/>
  <c r="B139" i="1"/>
  <c r="B138" i="1"/>
  <c r="O132" i="1" l="1"/>
  <c r="N131" i="1"/>
  <c r="A131" i="1" s="1"/>
  <c r="F101" i="1"/>
  <c r="F102" i="1"/>
  <c r="F103" i="1"/>
  <c r="F104" i="1"/>
  <c r="F105" i="1"/>
  <c r="F106" i="1"/>
  <c r="F100" i="1"/>
  <c r="O120" i="1"/>
  <c r="G86" i="1" l="1"/>
  <c r="G88" i="1" s="1"/>
  <c r="O133" i="1"/>
  <c r="N132" i="1"/>
  <c r="A132" i="1" s="1"/>
  <c r="E28" i="1"/>
  <c r="O134" i="1" l="1"/>
  <c r="N133" i="1"/>
  <c r="A133" i="1" s="1"/>
  <c r="G11" i="5"/>
  <c r="G10" i="5"/>
  <c r="F9" i="5"/>
  <c r="G9" i="5" s="1"/>
  <c r="F8" i="5"/>
  <c r="G8" i="5" s="1"/>
  <c r="F7" i="5"/>
  <c r="G7" i="5" s="1"/>
  <c r="F6" i="5"/>
  <c r="G6" i="5" s="1"/>
  <c r="F5" i="5"/>
  <c r="G5" i="5" s="1"/>
  <c r="G12" i="5" s="1"/>
  <c r="D158" i="1"/>
  <c r="A138" i="1"/>
  <c r="G120" i="1"/>
  <c r="G121" i="1" s="1"/>
  <c r="G122" i="1" s="1"/>
  <c r="G123" i="1" s="1"/>
  <c r="G124" i="1" s="1"/>
  <c r="G125" i="1" s="1"/>
  <c r="G126" i="1" s="1"/>
  <c r="A101" i="1"/>
  <c r="A102" i="1" s="1"/>
  <c r="A103" i="1" s="1"/>
  <c r="A104" i="1" s="1"/>
  <c r="A105" i="1" s="1"/>
  <c r="A106" i="1" s="1"/>
  <c r="G100" i="1"/>
  <c r="G101" i="1" s="1"/>
  <c r="G102" i="1" s="1"/>
  <c r="G103" i="1" s="1"/>
  <c r="G104" i="1" s="1"/>
  <c r="G105" i="1" s="1"/>
  <c r="G106" i="1" s="1"/>
  <c r="F83" i="1"/>
  <c r="J74" i="1"/>
  <c r="J73" i="1"/>
  <c r="J72" i="1"/>
  <c r="J71" i="1"/>
  <c r="C63" i="1"/>
  <c r="D57" i="1"/>
  <c r="D52" i="1"/>
  <c r="G47" i="1"/>
  <c r="G48" i="1" s="1"/>
  <c r="C47" i="1"/>
  <c r="C48" i="1" s="1"/>
  <c r="E41" i="1"/>
  <c r="E42" i="1" s="1"/>
  <c r="E25" i="1"/>
  <c r="E23" i="1"/>
  <c r="C14" i="1"/>
  <c r="E7" i="1"/>
  <c r="E3" i="1"/>
  <c r="H64" i="1"/>
  <c r="P120" i="1"/>
  <c r="O135" i="1" l="1"/>
  <c r="N135" i="1" s="1"/>
  <c r="A135" i="1" s="1"/>
  <c r="N134" i="1"/>
  <c r="A134" i="1" s="1"/>
  <c r="A139" i="1"/>
  <c r="A140" i="1" s="1"/>
  <c r="A141" i="1" s="1"/>
  <c r="A142" i="1" s="1"/>
  <c r="A143" i="1" s="1"/>
  <c r="A144" i="1" s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D69" i="1"/>
  <c r="N120" i="1"/>
  <c r="A120" i="1" s="1"/>
  <c r="O121" i="1"/>
  <c r="P121" i="1"/>
  <c r="P122" i="1" s="1"/>
  <c r="P123" i="1" s="1"/>
  <c r="P124" i="1" s="1"/>
  <c r="P125" i="1" s="1"/>
  <c r="P126" i="1" s="1"/>
  <c r="E67" i="1" l="1"/>
  <c r="I63" i="1" s="1"/>
  <c r="C65" i="1" s="1"/>
  <c r="D68" i="1"/>
  <c r="N121" i="1"/>
  <c r="A121" i="1" s="1"/>
  <c r="O122" i="1"/>
  <c r="G67" i="1"/>
  <c r="D61" i="1" s="1"/>
  <c r="F62" i="1" l="1"/>
  <c r="D62" i="1"/>
  <c r="N122" i="1"/>
  <c r="A122" i="1" s="1"/>
  <c r="O123" i="1"/>
  <c r="N123" i="1" l="1"/>
  <c r="A123" i="1" s="1"/>
  <c r="O124" i="1"/>
  <c r="N124" i="1" l="1"/>
  <c r="A124" i="1" s="1"/>
  <c r="O125" i="1"/>
  <c r="N125" i="1" l="1"/>
  <c r="A125" i="1" s="1"/>
  <c r="O126" i="1"/>
  <c r="N126" i="1" s="1"/>
  <c r="A126" i="1" s="1"/>
</calcChain>
</file>

<file path=xl/sharedStrings.xml><?xml version="1.0" encoding="utf-8"?>
<sst xmlns="http://schemas.openxmlformats.org/spreadsheetml/2006/main" count="276" uniqueCount="206">
  <si>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</si>
  <si>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</si>
  <si>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</si>
  <si>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</si>
  <si>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</si>
  <si>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</si>
  <si>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</si>
  <si>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</si>
  <si>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</si>
  <si>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</si>
  <si>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</si>
  <si>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</si>
  <si>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</si>
  <si>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</si>
  <si>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</si>
  <si>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</si>
  <si>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</si>
  <si>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</si>
  <si>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</si>
  <si>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</si>
  <si>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</si>
  <si>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</si>
  <si>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</si>
  <si>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</si>
  <si>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</si>
  <si>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</si>
  <si>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</si>
  <si>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</si>
  <si>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</si>
  <si>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</si>
  <si>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</si>
  <si>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</si>
  <si>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</si>
  <si>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</si>
  <si>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</si>
  <si>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</si>
  <si>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</si>
  <si>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</si>
  <si>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</si>
  <si>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</si>
  <si>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</si>
  <si>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</si>
  <si>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</si>
  <si>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</si>
  <si>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</si>
  <si>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</si>
  <si>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</si>
  <si>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</si>
  <si>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</si>
  <si>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</si>
  <si>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</si>
  <si>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</si>
  <si>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</si>
  <si>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</si>
  <si>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</si>
  <si>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</si>
  <si>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</si>
  <si>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</si>
  <si>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</si>
  <si>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</si>
  <si>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</si>
  <si>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</si>
  <si>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</si>
  <si>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</si>
  <si>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</si>
  <si>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</si>
  <si>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</si>
  <si>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</si>
  <si>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</si>
  <si>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</si>
  <si>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</si>
  <si>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</si>
  <si>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</si>
  <si>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</si>
  <si>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</si>
  <si>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</si>
  <si>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</si>
  <si>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</si>
  <si>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</si>
  <si>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</si>
  <si>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</si>
  <si>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</si>
  <si>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</si>
  <si>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</si>
  <si>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</si>
  <si>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</si>
  <si>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</si>
  <si>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</si>
  <si>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</si>
  <si>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</si>
  <si>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</si>
  <si>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</si>
  <si>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</si>
  <si>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</si>
  <si>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</si>
  <si>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</si>
  <si>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</si>
  <si>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</si>
  <si>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</si>
  <si>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</si>
  <si>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</si>
  <si>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</si>
  <si>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</si>
  <si>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</si>
  <si>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</si>
  <si>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</si>
  <si>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</si>
  <si>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</si>
  <si>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</si>
  <si>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</si>
  <si>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</si>
  <si>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</si>
  <si>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</si>
  <si>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</si>
  <si>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</si>
  <si>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</si>
  <si>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</si>
  <si>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</si>
  <si>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</si>
  <si>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</si>
  <si>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</si>
  <si>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</si>
  <si>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</si>
  <si>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</si>
  <si>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</si>
  <si>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</si>
  <si>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</si>
  <si>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</si>
  <si>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</si>
  <si>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</si>
  <si>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</si>
  <si>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</si>
  <si>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</si>
  <si>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</si>
  <si>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</si>
  <si>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</si>
  <si>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</si>
  <si>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</si>
  <si>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</si>
  <si>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</si>
  <si>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</si>
  <si>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</si>
  <si>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</si>
  <si>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</si>
  <si>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</si>
  <si>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</si>
  <si>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</si>
  <si>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</si>
  <si>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</si>
  <si>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</si>
  <si>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</si>
  <si>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</si>
  <si>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</si>
  <si>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</si>
  <si>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</si>
  <si>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</si>
  <si>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</si>
  <si>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</si>
  <si>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</si>
  <si>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</si>
  <si>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Sanpada</t>
  </si>
  <si>
    <t xml:space="preserve">P52000030075
</t>
  </si>
  <si>
    <t>Pashane</t>
  </si>
  <si>
    <t>Karjat</t>
  </si>
  <si>
    <t>Raigad</t>
  </si>
  <si>
    <t>Gagangiri Complex</t>
  </si>
  <si>
    <t>3.9 KM from Vangani Railway Station</t>
  </si>
  <si>
    <t>Pashane Road</t>
  </si>
  <si>
    <t>234, New Survey No.175, Hissa No. 1B &amp; Hissa No. 1K(pt)</t>
  </si>
  <si>
    <t>Open Plot</t>
  </si>
  <si>
    <t>Old Survey No</t>
  </si>
  <si>
    <t>MS/LNA.1(B)/T.NO.14967/S.R.47/2020</t>
  </si>
  <si>
    <t>2 Wings</t>
  </si>
  <si>
    <t>As per RERA - 31/12/2024</t>
  </si>
  <si>
    <t>A Wing</t>
  </si>
  <si>
    <t>Shop</t>
  </si>
  <si>
    <t>Ground Floor For Parking &amp; Commercial</t>
  </si>
  <si>
    <t>B Wing</t>
  </si>
  <si>
    <t>1RK</t>
  </si>
  <si>
    <t>1BHK</t>
  </si>
  <si>
    <t>Total</t>
  </si>
  <si>
    <t xml:space="preserve">1st to 4th Floor For Residential </t>
  </si>
  <si>
    <t>Flats - 56, Shops - 14</t>
  </si>
  <si>
    <t>Vangani West</t>
  </si>
  <si>
    <t>1,50,000/-</t>
  </si>
  <si>
    <t>Society Formation Charges + Infrastructure + Maintenance</t>
  </si>
  <si>
    <t>1,00,000/-</t>
  </si>
  <si>
    <t xml:space="preserve">Builder Saleable area </t>
  </si>
  <si>
    <t>M/s. Gagangiri Developers</t>
  </si>
  <si>
    <t>A &amp; B Wing</t>
  </si>
  <si>
    <t>Galaxy Garden</t>
  </si>
  <si>
    <t>A &amp; B Wing = G + 1st to 4th Floor</t>
  </si>
  <si>
    <t>Valid Up to: A &amp; B Wing = G + 1st to 4th Floor</t>
  </si>
  <si>
    <t>On Site, we meet Mr.Swapnil - 7378497559.</t>
  </si>
  <si>
    <t>Location Link</t>
  </si>
  <si>
    <t>https://goo.gl/maps/PZKNKxv7cWpMYTZF8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</si>
  <si>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</si>
  <si>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Site Person - Contact Details (Name &amp; Contact No.)</t>
  </si>
  <si>
    <t>Mr. Sandeep 9096218706</t>
  </si>
  <si>
    <t>Latitude &amp; Longitude</t>
  </si>
  <si>
    <t>19.101575,73.320603</t>
  </si>
  <si>
    <t>Mr. Swapnil 7378497559</t>
  </si>
  <si>
    <t>Naynesh</t>
  </si>
  <si>
    <t>As per RERA, completion period of project Gagangiri Complex is expired on 31/12/2024 but still project is under construction.</t>
  </si>
  <si>
    <t>Kunal Kadam</t>
  </si>
  <si>
    <t>Finishing work in process &amp; few tenants have occupied flats in wing A &amp; B. 
Lift installation work pending.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</si>
</sst>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7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8" xfId="1" applyFont="1" applyBorder="1" applyProtection="1">
      <protection hidden="1"/>
    </xf>
    <xf numFmtId="0" fontId="8" fillId="0" borderId="9" xfId="1" applyFont="1" applyBorder="1" applyProtection="1">
      <protection hidden="1"/>
    </xf>
    <xf numFmtId="0" fontId="8" fillId="0" borderId="9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Protection="1">
      <protection hidden="1"/>
    </xf>
    <xf numFmtId="0" fontId="23" fillId="0" borderId="0" xfId="1" applyFont="1"/>
    <xf numFmtId="0" fontId="8" fillId="0" borderId="1" xfId="1" applyFont="1" applyBorder="1" applyAlignment="1" applyProtection="1">
      <alignment horizontal="center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9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4" fillId="0" borderId="9" xfId="0" applyNumberFormat="1" applyFont="1" applyBorder="1"/>
    <xf numFmtId="1" fontId="24" fillId="0" borderId="9" xfId="0" applyNumberFormat="1" applyFont="1" applyBorder="1" applyAlignment="1">
      <alignment horizontal="right"/>
    </xf>
    <xf numFmtId="0" fontId="17" fillId="0" borderId="10" xfId="0" applyFont="1" applyBorder="1" applyProtection="1">
      <protection hidden="1"/>
    </xf>
    <xf numFmtId="1" fontId="24" fillId="0" borderId="11" xfId="0" applyNumberFormat="1" applyFont="1" applyBorder="1"/>
    <xf numFmtId="0" fontId="11" fillId="0" borderId="0" xfId="0" applyFont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vertical="top"/>
      <protection locked="0"/>
    </xf>
    <xf numFmtId="1" fontId="11" fillId="0" borderId="0" xfId="0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5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6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1" fontId="14" fillId="0" borderId="5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6" xfId="0" applyNumberFormat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25" fillId="0" borderId="1" xfId="9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vertical="top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8" fillId="2" borderId="5" xfId="1" applyFont="1" applyFill="1" applyBorder="1" applyAlignment="1" applyProtection="1">
      <alignment horizontal="left" vertical="top" wrapText="1"/>
      <protection locked="0"/>
    </xf>
    <xf numFmtId="0" fontId="8" fillId="2" borderId="20" xfId="1" applyFont="1" applyFill="1" applyBorder="1" applyAlignment="1" applyProtection="1">
      <alignment horizontal="left" vertical="top" wrapText="1"/>
      <protection locked="0"/>
    </xf>
    <xf numFmtId="0" fontId="8" fillId="2" borderId="6" xfId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167" fontId="8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1" fontId="26" fillId="0" borderId="5" xfId="0" applyNumberFormat="1" applyFont="1" applyBorder="1" applyAlignment="1" applyProtection="1">
      <alignment vertical="top" wrapText="1"/>
      <protection locked="0"/>
    </xf>
    <xf numFmtId="1" fontId="26" fillId="0" borderId="20" xfId="0" applyNumberFormat="1" applyFont="1" applyBorder="1" applyAlignment="1" applyProtection="1">
      <alignment vertical="top" wrapText="1"/>
      <protection locked="0"/>
    </xf>
    <xf numFmtId="1" fontId="26" fillId="0" borderId="6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1" fontId="11" fillId="0" borderId="5" xfId="0" applyNumberFormat="1" applyFont="1" applyBorder="1" applyAlignment="1" applyProtection="1">
      <alignment vertical="top" wrapText="1"/>
      <protection locked="0"/>
    </xf>
    <xf numFmtId="1" fontId="11" fillId="0" borderId="20" xfId="0" applyNumberFormat="1" applyFont="1" applyBorder="1" applyAlignment="1" applyProtection="1">
      <alignment vertical="top" wrapText="1"/>
      <protection locked="0"/>
    </xf>
    <xf numFmtId="1" fontId="11" fillId="0" borderId="6" xfId="0" applyNumberFormat="1" applyFont="1" applyBorder="1" applyAlignment="1" applyProtection="1">
      <alignment vertical="top" wrapText="1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427638</xdr:colOff>
      <xdr:row>217</xdr:row>
      <xdr:rowOff>169715</xdr:rowOff>
    </xdr:from>
    <xdr:to>
      <xdr:col>7</xdr:col>
      <xdr:colOff>335288</xdr:colOff>
      <xdr:row>231</xdr:row>
      <xdr:rowOff>192214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7638" y="44302215"/>
          <a:ext cx="6011426" cy="27439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427638</xdr:colOff>
      <xdr:row>202</xdr:row>
      <xdr:rowOff>142549</xdr:rowOff>
    </xdr:from>
    <xdr:to>
      <xdr:col>7</xdr:col>
      <xdr:colOff>335288</xdr:colOff>
      <xdr:row>216</xdr:row>
      <xdr:rowOff>165049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7638" y="41359233"/>
          <a:ext cx="6011426" cy="27439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1022985</xdr:colOff>
      <xdr:row>157</xdr:row>
      <xdr:rowOff>7620</xdr:rowOff>
    </xdr:from>
    <xdr:to>
      <xdr:col>21</xdr:col>
      <xdr:colOff>32385</xdr:colOff>
      <xdr:row>195</xdr:row>
      <xdr:rowOff>93229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8003E1C-3489-4993-A08B-8A8BB90A3E7D}"/>
            </a:ext>
          </a:extLst>
        </xdr:cNvPr>
        <xdr:cNvGrpSpPr/>
      </xdr:nvGrpSpPr>
      <xdr:grpSpPr>
        <a:xfrm>
          <a:off x="7720965" y="33192720"/>
          <a:ext cx="6377940" cy="7606549"/>
          <a:chOff x="235385" y="285750"/>
          <a:chExt cx="6430240" cy="7677034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7F9DA4BB-59F9-4967-A3A2-FCA010960743}"/>
              </a:ext>
            </a:extLst>
          </xdr:cNvPr>
          <xdr:cNvGrpSpPr/>
        </xdr:nvGrpSpPr>
        <xdr:grpSpPr>
          <a:xfrm>
            <a:off x="235385" y="285750"/>
            <a:ext cx="6430240" cy="7677034"/>
            <a:chOff x="235385" y="285750"/>
            <a:chExt cx="6430240" cy="7677034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7A3E77B3-B281-4BC0-931C-043726A77B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5385" y="3674267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663686C3-A792-4166-A28C-BC9D45F58F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48533" y="285750"/>
              <a:ext cx="2427468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FC1A8058-178C-4101-A2AD-3035EC71AC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85750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DE49859B-0308-4083-9CEE-1D7422F2E6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6001" y="367426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BD6C47A3-E939-4C65-BDE5-D01696FC25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47313" y="367426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7305EF70-3CEA-48C6-A4BC-48B6BE385D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5385" y="598278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93E692F2-ACCD-4B92-AD95-C77B54E632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80278" y="598278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A7B8591B-6E38-434D-8877-BAA3F4A645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5171" y="598278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F41D27DF-AF3C-4C26-917D-4415C303BC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70064" y="598278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7" name="TextBox 20">
            <a:extLst>
              <a:ext uri="{FF2B5EF4-FFF2-40B4-BE49-F238E27FC236}">
                <a16:creationId xmlns:a16="http://schemas.microsoft.com/office/drawing/2014/main" id="{FE80A581-B7AC-4936-AE51-CED97003C13B}"/>
              </a:ext>
            </a:extLst>
          </xdr:cNvPr>
          <xdr:cNvSpPr txBox="1"/>
        </xdr:nvSpPr>
        <xdr:spPr>
          <a:xfrm>
            <a:off x="1442497" y="438150"/>
            <a:ext cx="985462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3" name="TextBox 21">
            <a:extLst>
              <a:ext uri="{FF2B5EF4-FFF2-40B4-BE49-F238E27FC236}">
                <a16:creationId xmlns:a16="http://schemas.microsoft.com/office/drawing/2014/main" id="{28CE2708-BBA2-41A7-BEFD-CD46DBB4180A}"/>
              </a:ext>
            </a:extLst>
          </xdr:cNvPr>
          <xdr:cNvSpPr txBox="1"/>
        </xdr:nvSpPr>
        <xdr:spPr>
          <a:xfrm>
            <a:off x="3928368" y="807482"/>
            <a:ext cx="996962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396240</xdr:colOff>
      <xdr:row>159</xdr:row>
      <xdr:rowOff>38101</xdr:rowOff>
    </xdr:from>
    <xdr:to>
      <xdr:col>7</xdr:col>
      <xdr:colOff>388620</xdr:colOff>
      <xdr:row>198</xdr:row>
      <xdr:rowOff>190501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1CF4288-8B38-193C-4AFD-A4B7B525E7FD}"/>
            </a:ext>
          </a:extLst>
        </xdr:cNvPr>
        <xdr:cNvGrpSpPr/>
      </xdr:nvGrpSpPr>
      <xdr:grpSpPr>
        <a:xfrm>
          <a:off x="396240" y="33619441"/>
          <a:ext cx="5836920" cy="7871460"/>
          <a:chOff x="500345" y="230855"/>
          <a:chExt cx="5998098" cy="8557773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1291C8D-056E-E43D-77D2-BBDF6089164F}"/>
              </a:ext>
            </a:extLst>
          </xdr:cNvPr>
          <xdr:cNvGrpSpPr/>
        </xdr:nvGrpSpPr>
        <xdr:grpSpPr>
          <a:xfrm>
            <a:off x="2076603" y="6988628"/>
            <a:ext cx="2845583" cy="1800000"/>
            <a:chOff x="987995" y="6988628"/>
            <a:chExt cx="2845583" cy="1800000"/>
          </a:xfrm>
        </xdr:grpSpPr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795180DF-4B28-98AC-89F0-A0E69042EE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87995" y="698862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862577A6-44D3-4249-1C43-901930DF2E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4" y="698862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15B06544-3D08-0F25-8E2F-47A79DD109FF}"/>
              </a:ext>
            </a:extLst>
          </xdr:cNvPr>
          <xdr:cNvGrpSpPr/>
        </xdr:nvGrpSpPr>
        <xdr:grpSpPr>
          <a:xfrm>
            <a:off x="500345" y="230855"/>
            <a:ext cx="5998098" cy="3844005"/>
            <a:chOff x="552132" y="230855"/>
            <a:chExt cx="5998098" cy="3844005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2A30F2D2-0196-BC78-BB86-8F7CD49CD8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2132" y="23085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4D095469-449D-4B49-008C-83F6628C9E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70230" y="23085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9EB2824D-0297-56A0-C030-20C762275FBA}"/>
              </a:ext>
            </a:extLst>
          </xdr:cNvPr>
          <xdr:cNvGrpSpPr/>
        </xdr:nvGrpSpPr>
        <xdr:grpSpPr>
          <a:xfrm>
            <a:off x="514774" y="4244677"/>
            <a:ext cx="5969240" cy="2551901"/>
            <a:chOff x="448558" y="4244677"/>
            <a:chExt cx="5969240" cy="2551901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17B46AFE-7753-3F09-1D8C-E3F7BC87F5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84984" y="424467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A75D282F-DEED-1E1B-A781-C685D7E8F0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29767" y="427657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32BBDAEC-65F2-1F8E-AF0C-835980C7A8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558" y="427174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" name="TextBox 25">
            <a:extLst>
              <a:ext uri="{FF2B5EF4-FFF2-40B4-BE49-F238E27FC236}">
                <a16:creationId xmlns:a16="http://schemas.microsoft.com/office/drawing/2014/main" id="{2F5CD0AE-0E1B-5562-CB6B-34DE44D26ABF}"/>
              </a:ext>
            </a:extLst>
          </xdr:cNvPr>
          <xdr:cNvSpPr txBox="1"/>
        </xdr:nvSpPr>
        <xdr:spPr>
          <a:xfrm>
            <a:off x="2559556" y="6322655"/>
            <a:ext cx="1009091" cy="4067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Wing B</a:t>
            </a:r>
          </a:p>
        </xdr:txBody>
      </xdr:sp>
      <xdr:sp macro="" textlink="">
        <xdr:nvSpPr>
          <xdr:cNvPr id="8" name="TextBox 26">
            <a:extLst>
              <a:ext uri="{FF2B5EF4-FFF2-40B4-BE49-F238E27FC236}">
                <a16:creationId xmlns:a16="http://schemas.microsoft.com/office/drawing/2014/main" id="{5E76DFFE-DF7D-6AAF-2310-991998E6BAA2}"/>
              </a:ext>
            </a:extLst>
          </xdr:cNvPr>
          <xdr:cNvSpPr txBox="1"/>
        </xdr:nvSpPr>
        <xdr:spPr>
          <a:xfrm>
            <a:off x="1518887" y="6395345"/>
            <a:ext cx="1020298" cy="4067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Wing A</a:t>
            </a:r>
          </a:p>
        </xdr:txBody>
      </xdr:sp>
      <xdr:sp macro="" textlink="">
        <xdr:nvSpPr>
          <xdr:cNvPr id="9" name="TextBox 27">
            <a:extLst>
              <a:ext uri="{FF2B5EF4-FFF2-40B4-BE49-F238E27FC236}">
                <a16:creationId xmlns:a16="http://schemas.microsoft.com/office/drawing/2014/main" id="{92EFCF8F-FA8A-A1E4-D848-621DDE69E3EF}"/>
              </a:ext>
            </a:extLst>
          </xdr:cNvPr>
          <xdr:cNvSpPr txBox="1"/>
        </xdr:nvSpPr>
        <xdr:spPr>
          <a:xfrm>
            <a:off x="4922186" y="884978"/>
            <a:ext cx="1020298" cy="4067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  <xdr:sp macro="" textlink="">
        <xdr:nvSpPr>
          <xdr:cNvPr id="10" name="TextBox 28">
            <a:extLst>
              <a:ext uri="{FF2B5EF4-FFF2-40B4-BE49-F238E27FC236}">
                <a16:creationId xmlns:a16="http://schemas.microsoft.com/office/drawing/2014/main" id="{3F0D7C45-348C-28BC-3321-B5E3159C9A92}"/>
              </a:ext>
            </a:extLst>
          </xdr:cNvPr>
          <xdr:cNvSpPr txBox="1"/>
        </xdr:nvSpPr>
        <xdr:spPr>
          <a:xfrm>
            <a:off x="1638822" y="515646"/>
            <a:ext cx="1020298" cy="40676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459441</xdr:colOff>
      <xdr:row>35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8687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ZKNKxv7cWpMYTZ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1"/>
  <sheetViews>
    <sheetView tabSelected="1" view="pageBreakPreview" zoomScaleNormal="100" zoomScaleSheetLayoutView="100" zoomScalePageLayoutView="55" workbookViewId="0">
      <selection activeCell="I5" sqref="I5"/>
    </sheetView>
  </sheetViews>
  <sheetFormatPr defaultColWidth="9.109375" defaultRowHeight="15.6" x14ac:dyDescent="0.3"/>
  <cols>
    <col min="1" max="1" width="11.44140625" style="10" customWidth="1"/>
    <col min="2" max="2" width="12" style="10" customWidth="1"/>
    <col min="3" max="3" width="12.6640625" style="10" customWidth="1"/>
    <col min="4" max="4" width="14.109375" style="10" customWidth="1"/>
    <col min="5" max="7" width="11.6640625" style="10" customWidth="1"/>
    <col min="8" max="8" width="12.44140625" style="10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88671875" style="3" customWidth="1"/>
    <col min="14" max="14" width="12.5546875" style="3" hidden="1" customWidth="1"/>
    <col min="15" max="15" width="9.88671875" style="3" hidden="1" customWidth="1"/>
    <col min="16" max="16" width="11.6640625" style="3" hidden="1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12" ht="46.5" customHeight="1" x14ac:dyDescent="0.3">
      <c r="A1" s="106" t="s">
        <v>196</v>
      </c>
      <c r="B1" s="106"/>
      <c r="C1" s="106"/>
      <c r="D1" s="106"/>
      <c r="E1" s="106"/>
      <c r="F1" s="106"/>
      <c r="G1" s="106"/>
      <c r="H1" s="106"/>
    </row>
    <row r="2" spans="1:12" ht="16.5" customHeight="1" x14ac:dyDescent="0.3">
      <c r="A2" s="91" t="s">
        <v>0</v>
      </c>
      <c r="B2" s="91"/>
      <c r="C2" s="91"/>
      <c r="D2" s="91"/>
      <c r="E2" s="91"/>
      <c r="F2" s="91"/>
      <c r="G2" s="91"/>
      <c r="H2" s="91"/>
    </row>
    <row r="3" spans="1:12" x14ac:dyDescent="0.3">
      <c r="A3" s="79" t="s">
        <v>1</v>
      </c>
      <c r="B3" s="79"/>
      <c r="C3" s="79"/>
      <c r="D3" s="79"/>
      <c r="E3" s="105" t="str">
        <f ca="1">TEXT(TODAY(),"DD/MM/YYYY")</f>
        <v>14/08/2025</v>
      </c>
      <c r="F3" s="105"/>
      <c r="G3" s="105"/>
      <c r="H3" s="105"/>
    </row>
    <row r="4" spans="1:12" ht="15" customHeight="1" x14ac:dyDescent="0.3">
      <c r="A4" s="79" t="s">
        <v>2</v>
      </c>
      <c r="B4" s="79"/>
      <c r="C4" s="79"/>
      <c r="D4" s="79"/>
      <c r="E4" s="107" t="s">
        <v>160</v>
      </c>
      <c r="F4" s="107"/>
      <c r="G4" s="107"/>
      <c r="H4" s="107"/>
    </row>
    <row r="5" spans="1:12" x14ac:dyDescent="0.3">
      <c r="A5" s="79" t="s">
        <v>3</v>
      </c>
      <c r="B5" s="79"/>
      <c r="C5" s="79"/>
      <c r="D5" s="79"/>
      <c r="E5" s="105">
        <v>45882</v>
      </c>
      <c r="F5" s="105"/>
      <c r="G5" s="105"/>
      <c r="H5" s="105"/>
    </row>
    <row r="6" spans="1:12" ht="16.5" customHeight="1" x14ac:dyDescent="0.3">
      <c r="A6" s="79" t="s">
        <v>4</v>
      </c>
      <c r="B6" s="79"/>
      <c r="C6" s="79"/>
      <c r="D6" s="79"/>
      <c r="E6" s="99" t="s">
        <v>188</v>
      </c>
      <c r="F6" s="99"/>
      <c r="G6" s="99"/>
      <c r="H6" s="99"/>
    </row>
    <row r="7" spans="1:12" ht="15" customHeight="1" x14ac:dyDescent="0.3">
      <c r="A7" s="79" t="s">
        <v>5</v>
      </c>
      <c r="B7" s="79"/>
      <c r="C7" s="79"/>
      <c r="D7" s="79"/>
      <c r="E7" s="99" t="str">
        <f>E6</f>
        <v>M/s. Gagangiri Developers</v>
      </c>
      <c r="F7" s="99"/>
      <c r="G7" s="99"/>
      <c r="H7" s="99"/>
    </row>
    <row r="8" spans="1:12" x14ac:dyDescent="0.3">
      <c r="A8" s="79" t="s">
        <v>6</v>
      </c>
      <c r="B8" s="79"/>
      <c r="C8" s="79"/>
      <c r="D8" s="79"/>
      <c r="E8" s="94" t="s">
        <v>165</v>
      </c>
      <c r="F8" s="94"/>
      <c r="G8" s="94"/>
      <c r="H8" s="94"/>
    </row>
    <row r="9" spans="1:12" x14ac:dyDescent="0.3">
      <c r="A9" s="79" t="s">
        <v>129</v>
      </c>
      <c r="B9" s="79"/>
      <c r="C9" s="79"/>
      <c r="D9" s="79"/>
      <c r="E9" s="79">
        <v>9146863590</v>
      </c>
      <c r="F9" s="79"/>
      <c r="G9" s="79"/>
      <c r="H9" s="79"/>
    </row>
    <row r="10" spans="1:12" x14ac:dyDescent="0.3">
      <c r="A10" s="79" t="s">
        <v>197</v>
      </c>
      <c r="B10" s="79"/>
      <c r="C10" s="79"/>
      <c r="D10" s="79"/>
      <c r="E10" s="79" t="s">
        <v>201</v>
      </c>
      <c r="F10" s="79"/>
      <c r="G10" s="79"/>
      <c r="H10" s="79"/>
      <c r="I10" s="79" t="s">
        <v>198</v>
      </c>
      <c r="J10" s="79"/>
      <c r="K10" s="79"/>
      <c r="L10" s="79"/>
    </row>
    <row r="11" spans="1:12" x14ac:dyDescent="0.3">
      <c r="A11" s="101" t="s">
        <v>7</v>
      </c>
      <c r="B11" s="101"/>
      <c r="C11" s="101"/>
      <c r="D11" s="101"/>
      <c r="E11" s="101" t="s">
        <v>189</v>
      </c>
      <c r="F11" s="101"/>
      <c r="G11" s="101"/>
      <c r="H11" s="101"/>
    </row>
    <row r="12" spans="1:12" ht="32.25" customHeight="1" x14ac:dyDescent="0.3">
      <c r="A12" s="79" t="s">
        <v>8</v>
      </c>
      <c r="B12" s="79"/>
      <c r="C12" s="79"/>
      <c r="D12" s="79"/>
      <c r="E12" s="102" t="s">
        <v>110</v>
      </c>
      <c r="F12" s="102"/>
      <c r="G12" s="102"/>
      <c r="H12" s="102"/>
    </row>
    <row r="13" spans="1:12" x14ac:dyDescent="0.3">
      <c r="A13" s="79" t="s">
        <v>9</v>
      </c>
      <c r="B13" s="79"/>
      <c r="C13" s="79"/>
      <c r="D13" s="79"/>
      <c r="E13" s="102" t="s">
        <v>161</v>
      </c>
      <c r="F13" s="96"/>
      <c r="G13" s="96"/>
      <c r="H13" s="96"/>
    </row>
    <row r="14" spans="1:12" ht="48.75" customHeight="1" x14ac:dyDescent="0.3">
      <c r="A14" s="99" t="s">
        <v>10</v>
      </c>
      <c r="B14" s="99"/>
      <c r="C14" s="9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Gagangiri Complex, Old Survey No.234, New Survey No.175, Hissa No. 1B &amp; Hissa No. 1K(pt), near Galaxy Garden, Pashane Road, Pashane, Vangani West, Karjat, Raigad.</v>
      </c>
      <c r="D14" s="99"/>
      <c r="E14" s="99"/>
      <c r="F14" s="99"/>
      <c r="G14" s="99"/>
      <c r="H14" s="99"/>
    </row>
    <row r="15" spans="1:12" x14ac:dyDescent="0.3">
      <c r="A15" s="102" t="s">
        <v>170</v>
      </c>
      <c r="B15" s="102"/>
      <c r="C15" s="98" t="s">
        <v>168</v>
      </c>
      <c r="D15" s="98"/>
      <c r="E15" s="98"/>
      <c r="F15" s="98"/>
      <c r="G15" s="98"/>
      <c r="H15" s="98"/>
    </row>
    <row r="16" spans="1:12" ht="15.75" customHeight="1" x14ac:dyDescent="0.3">
      <c r="A16" s="99" t="s">
        <v>11</v>
      </c>
      <c r="B16" s="99"/>
      <c r="C16" s="101" t="s">
        <v>167</v>
      </c>
      <c r="D16" s="101"/>
      <c r="E16" s="99" t="s">
        <v>78</v>
      </c>
      <c r="F16" s="99"/>
      <c r="G16" s="98" t="s">
        <v>162</v>
      </c>
      <c r="H16" s="98"/>
    </row>
    <row r="17" spans="1:8" x14ac:dyDescent="0.3">
      <c r="A17" s="79" t="s">
        <v>13</v>
      </c>
      <c r="B17" s="79"/>
      <c r="C17" s="98" t="s">
        <v>183</v>
      </c>
      <c r="D17" s="98"/>
      <c r="E17" s="99" t="s">
        <v>12</v>
      </c>
      <c r="F17" s="99"/>
      <c r="G17" s="103" t="s">
        <v>164</v>
      </c>
      <c r="H17" s="103"/>
    </row>
    <row r="18" spans="1:8" x14ac:dyDescent="0.3">
      <c r="A18" s="79" t="s">
        <v>79</v>
      </c>
      <c r="B18" s="79"/>
      <c r="C18" s="98" t="s">
        <v>163</v>
      </c>
      <c r="D18" s="98"/>
      <c r="E18" s="99" t="s">
        <v>14</v>
      </c>
      <c r="F18" s="99"/>
      <c r="G18" s="98">
        <v>410101</v>
      </c>
      <c r="H18" s="98"/>
    </row>
    <row r="19" spans="1:8" ht="32.25" customHeight="1" x14ac:dyDescent="0.3">
      <c r="A19" s="79" t="s">
        <v>130</v>
      </c>
      <c r="B19" s="79"/>
      <c r="C19" s="104" t="s">
        <v>190</v>
      </c>
      <c r="D19" s="104"/>
      <c r="E19" s="99" t="s">
        <v>15</v>
      </c>
      <c r="F19" s="99"/>
      <c r="G19" s="102" t="s">
        <v>166</v>
      </c>
      <c r="H19" s="102"/>
    </row>
    <row r="20" spans="1:8" ht="15" customHeight="1" x14ac:dyDescent="0.3">
      <c r="A20" s="99" t="s">
        <v>83</v>
      </c>
      <c r="B20" s="99"/>
      <c r="C20" s="99"/>
      <c r="D20" s="99"/>
      <c r="E20" s="101" t="s">
        <v>16</v>
      </c>
      <c r="F20" s="101"/>
      <c r="G20" s="101"/>
      <c r="H20" s="101"/>
    </row>
    <row r="21" spans="1:8" ht="18.75" customHeight="1" x14ac:dyDescent="0.3">
      <c r="A21" s="99"/>
      <c r="B21" s="99"/>
      <c r="C21" s="99"/>
      <c r="D21" s="99"/>
      <c r="E21" s="101"/>
      <c r="F21" s="101"/>
      <c r="G21" s="101"/>
      <c r="H21" s="101"/>
    </row>
    <row r="22" spans="1:8" ht="15" customHeight="1" x14ac:dyDescent="0.3">
      <c r="A22" s="99" t="s">
        <v>17</v>
      </c>
      <c r="B22" s="99"/>
      <c r="C22" s="99"/>
      <c r="D22" s="99"/>
      <c r="E22" s="98" t="s">
        <v>18</v>
      </c>
      <c r="F22" s="98"/>
      <c r="G22" s="98"/>
      <c r="H22" s="98"/>
    </row>
    <row r="23" spans="1:8" ht="15" customHeight="1" x14ac:dyDescent="0.3">
      <c r="A23" s="79" t="s">
        <v>19</v>
      </c>
      <c r="B23" s="79"/>
      <c r="C23" s="79"/>
      <c r="D23" s="79"/>
      <c r="E23" s="98" t="str">
        <f>IF(AND(G17="Mumbai"),"Upper Class","Middle Class")</f>
        <v>Middle Class</v>
      </c>
      <c r="F23" s="98"/>
      <c r="G23" s="98"/>
      <c r="H23" s="98"/>
    </row>
    <row r="24" spans="1:8" x14ac:dyDescent="0.3">
      <c r="A24" s="79" t="s">
        <v>20</v>
      </c>
      <c r="B24" s="79"/>
      <c r="C24" s="79"/>
      <c r="D24" s="79"/>
      <c r="E24" s="98" t="s">
        <v>21</v>
      </c>
      <c r="F24" s="98"/>
      <c r="G24" s="98"/>
      <c r="H24" s="98"/>
    </row>
    <row r="25" spans="1:8" ht="15.75" customHeight="1" x14ac:dyDescent="0.3">
      <c r="A25" s="79" t="s">
        <v>22</v>
      </c>
      <c r="B25" s="79"/>
      <c r="C25" s="79"/>
      <c r="D25" s="79"/>
      <c r="E25" s="98" t="str">
        <f>IF(AND(G17="Mumbai"),"Developed","Developing")</f>
        <v>Developing</v>
      </c>
      <c r="F25" s="98"/>
      <c r="G25" s="98"/>
      <c r="H25" s="98"/>
    </row>
    <row r="26" spans="1:8" x14ac:dyDescent="0.3">
      <c r="A26" s="79" t="s">
        <v>23</v>
      </c>
      <c r="B26" s="79"/>
      <c r="C26" s="79"/>
      <c r="D26" s="79"/>
      <c r="E26" s="98" t="s">
        <v>24</v>
      </c>
      <c r="F26" s="98"/>
      <c r="G26" s="98"/>
      <c r="H26" s="98"/>
    </row>
    <row r="27" spans="1:8" x14ac:dyDescent="0.3">
      <c r="A27" s="79" t="s">
        <v>89</v>
      </c>
      <c r="B27" s="79"/>
      <c r="C27" s="79"/>
      <c r="D27" s="79"/>
      <c r="E27" s="98" t="s">
        <v>90</v>
      </c>
      <c r="F27" s="98"/>
      <c r="G27" s="98"/>
      <c r="H27" s="98"/>
    </row>
    <row r="28" spans="1:8" ht="15" customHeight="1" x14ac:dyDescent="0.3">
      <c r="A28" s="99" t="s">
        <v>33</v>
      </c>
      <c r="B28" s="99"/>
      <c r="C28" s="99"/>
      <c r="D28" s="99"/>
      <c r="E28" s="100" t="str">
        <f>IF(ISNUMBER(SEARCH("Shops",D53)),"Residential + Commercial",IF(SEARCH("Offices",D53),"Residential + Commercial",IF(SEARCH("Flats",D53),"Residential","")))</f>
        <v>Residential + Commercial</v>
      </c>
      <c r="F28" s="100"/>
      <c r="G28" s="100"/>
      <c r="H28" s="100"/>
    </row>
    <row r="29" spans="1:8" x14ac:dyDescent="0.3">
      <c r="A29" s="99" t="s">
        <v>101</v>
      </c>
      <c r="B29" s="99"/>
      <c r="C29" s="99"/>
      <c r="D29" s="99"/>
      <c r="E29" s="99" t="s">
        <v>34</v>
      </c>
      <c r="F29" s="99"/>
      <c r="G29" s="99"/>
      <c r="H29" s="99"/>
    </row>
    <row r="30" spans="1:8" s="6" customFormat="1" x14ac:dyDescent="0.3">
      <c r="A30" s="93" t="s">
        <v>102</v>
      </c>
      <c r="B30" s="93"/>
      <c r="C30" s="90" t="s">
        <v>29</v>
      </c>
      <c r="D30" s="90"/>
      <c r="E30" s="90"/>
      <c r="F30" s="90" t="s">
        <v>31</v>
      </c>
      <c r="G30" s="90"/>
      <c r="H30" s="90"/>
    </row>
    <row r="31" spans="1:8" s="6" customFormat="1" x14ac:dyDescent="0.3">
      <c r="A31" s="92" t="s">
        <v>25</v>
      </c>
      <c r="B31" s="92" t="s">
        <v>30</v>
      </c>
      <c r="C31" s="89" t="s">
        <v>30</v>
      </c>
      <c r="D31" s="89"/>
      <c r="E31" s="89"/>
      <c r="F31" s="89" t="s">
        <v>169</v>
      </c>
      <c r="G31" s="89"/>
      <c r="H31" s="89"/>
    </row>
    <row r="32" spans="1:8" x14ac:dyDescent="0.3">
      <c r="A32" s="92" t="s">
        <v>26</v>
      </c>
      <c r="B32" s="92" t="s">
        <v>30</v>
      </c>
      <c r="C32" s="89" t="s">
        <v>30</v>
      </c>
      <c r="D32" s="89"/>
      <c r="E32" s="89"/>
      <c r="F32" s="89" t="s">
        <v>169</v>
      </c>
      <c r="G32" s="89"/>
      <c r="H32" s="89"/>
    </row>
    <row r="33" spans="1:8" s="6" customFormat="1" x14ac:dyDescent="0.3">
      <c r="A33" s="92" t="s">
        <v>28</v>
      </c>
      <c r="B33" s="92" t="s">
        <v>30</v>
      </c>
      <c r="C33" s="89" t="s">
        <v>30</v>
      </c>
      <c r="D33" s="89"/>
      <c r="E33" s="89"/>
      <c r="F33" s="89" t="s">
        <v>169</v>
      </c>
      <c r="G33" s="89"/>
      <c r="H33" s="89"/>
    </row>
    <row r="34" spans="1:8" x14ac:dyDescent="0.3">
      <c r="A34" s="92" t="s">
        <v>27</v>
      </c>
      <c r="B34" s="92" t="s">
        <v>30</v>
      </c>
      <c r="C34" s="89" t="s">
        <v>30</v>
      </c>
      <c r="D34" s="89"/>
      <c r="E34" s="89"/>
      <c r="F34" s="89" t="s">
        <v>167</v>
      </c>
      <c r="G34" s="89"/>
      <c r="H34" s="89"/>
    </row>
    <row r="35" spans="1:8" x14ac:dyDescent="0.3">
      <c r="A35" s="79" t="s">
        <v>32</v>
      </c>
      <c r="B35" s="79"/>
      <c r="C35" s="79"/>
      <c r="D35" s="79"/>
      <c r="E35" s="79"/>
      <c r="F35" s="79"/>
      <c r="G35" s="79"/>
      <c r="H35" s="79"/>
    </row>
    <row r="36" spans="1:8" ht="15.75" customHeight="1" x14ac:dyDescent="0.3">
      <c r="A36" s="91" t="s">
        <v>199</v>
      </c>
      <c r="B36" s="91"/>
      <c r="C36" s="97" t="s">
        <v>200</v>
      </c>
      <c r="D36" s="97"/>
      <c r="E36" s="97"/>
      <c r="F36" s="97"/>
      <c r="G36" s="97"/>
      <c r="H36" s="97"/>
    </row>
    <row r="37" spans="1:8" ht="15.75" customHeight="1" x14ac:dyDescent="0.3">
      <c r="A37" s="91" t="s">
        <v>194</v>
      </c>
      <c r="B37" s="91"/>
      <c r="C37" s="95" t="s">
        <v>195</v>
      </c>
      <c r="D37" s="96"/>
      <c r="E37" s="96"/>
      <c r="F37" s="96"/>
      <c r="G37" s="96"/>
      <c r="H37" s="96"/>
    </row>
    <row r="38" spans="1:8" x14ac:dyDescent="0.3">
      <c r="A38" s="94" t="s">
        <v>35</v>
      </c>
      <c r="B38" s="94"/>
      <c r="C38" s="94"/>
      <c r="D38" s="94"/>
      <c r="E38" s="94"/>
      <c r="F38" s="94"/>
      <c r="G38" s="94"/>
      <c r="H38" s="94"/>
    </row>
    <row r="39" spans="1:8" x14ac:dyDescent="0.3">
      <c r="A39" s="79" t="s">
        <v>36</v>
      </c>
      <c r="B39" s="79"/>
      <c r="C39" s="79"/>
      <c r="D39" s="79"/>
      <c r="E39" s="88">
        <v>1500</v>
      </c>
      <c r="F39" s="88"/>
      <c r="G39" s="88"/>
      <c r="H39" s="88"/>
    </row>
    <row r="40" spans="1:8" x14ac:dyDescent="0.3">
      <c r="A40" s="79" t="s">
        <v>37</v>
      </c>
      <c r="B40" s="79"/>
      <c r="C40" s="79"/>
      <c r="D40" s="79"/>
      <c r="E40" s="108">
        <v>0.9</v>
      </c>
      <c r="F40" s="108"/>
      <c r="G40" s="108"/>
      <c r="H40" s="108"/>
    </row>
    <row r="41" spans="1:8" x14ac:dyDescent="0.3">
      <c r="A41" s="79" t="s">
        <v>38</v>
      </c>
      <c r="B41" s="79"/>
      <c r="C41" s="79"/>
      <c r="D41" s="79"/>
      <c r="E41" s="108">
        <f>E43/E39-E40</f>
        <v>0.40229333333333328</v>
      </c>
      <c r="F41" s="108"/>
      <c r="G41" s="108"/>
      <c r="H41" s="108"/>
    </row>
    <row r="42" spans="1:8" x14ac:dyDescent="0.3">
      <c r="A42" s="79" t="s">
        <v>39</v>
      </c>
      <c r="B42" s="79"/>
      <c r="C42" s="79"/>
      <c r="D42" s="79"/>
      <c r="E42" s="108">
        <f>E40+E41</f>
        <v>1.3022933333333333</v>
      </c>
      <c r="F42" s="108"/>
      <c r="G42" s="108"/>
      <c r="H42" s="108"/>
    </row>
    <row r="43" spans="1:8" x14ac:dyDescent="0.3">
      <c r="A43" s="79" t="s">
        <v>100</v>
      </c>
      <c r="B43" s="79"/>
      <c r="C43" s="79"/>
      <c r="D43" s="79"/>
      <c r="E43" s="109">
        <v>1953.44</v>
      </c>
      <c r="F43" s="109"/>
      <c r="G43" s="109"/>
      <c r="H43" s="109"/>
    </row>
    <row r="44" spans="1:8" x14ac:dyDescent="0.3">
      <c r="A44" s="101" t="s">
        <v>40</v>
      </c>
      <c r="B44" s="101"/>
      <c r="C44" s="101"/>
      <c r="D44" s="101"/>
      <c r="E44" s="96" t="s">
        <v>172</v>
      </c>
      <c r="F44" s="96"/>
      <c r="G44" s="96"/>
      <c r="H44" s="96"/>
    </row>
    <row r="45" spans="1:8" x14ac:dyDescent="0.3">
      <c r="A45" s="94" t="s">
        <v>41</v>
      </c>
      <c r="B45" s="94"/>
      <c r="C45" s="94"/>
      <c r="D45" s="94"/>
      <c r="E45" s="94"/>
      <c r="F45" s="94"/>
      <c r="G45" s="94"/>
      <c r="H45" s="94"/>
    </row>
    <row r="46" spans="1:8" x14ac:dyDescent="0.3">
      <c r="A46" s="102" t="s">
        <v>42</v>
      </c>
      <c r="B46" s="102"/>
      <c r="C46" s="158" t="s">
        <v>171</v>
      </c>
      <c r="D46" s="158"/>
      <c r="E46" s="158"/>
      <c r="F46" s="53" t="s">
        <v>43</v>
      </c>
      <c r="G46" s="146">
        <v>44378</v>
      </c>
      <c r="H46" s="146"/>
    </row>
    <row r="47" spans="1:8" x14ac:dyDescent="0.3">
      <c r="A47" s="96" t="s">
        <v>44</v>
      </c>
      <c r="B47" s="96"/>
      <c r="C47" s="158" t="str">
        <f>C46</f>
        <v>MS/LNA.1(B)/T.NO.14967/S.R.47/2020</v>
      </c>
      <c r="D47" s="158"/>
      <c r="E47" s="158"/>
      <c r="F47" s="53" t="s">
        <v>43</v>
      </c>
      <c r="G47" s="146">
        <f>G46</f>
        <v>44378</v>
      </c>
      <c r="H47" s="146"/>
    </row>
    <row r="48" spans="1:8" s="5" customFormat="1" x14ac:dyDescent="0.3">
      <c r="A48" s="102" t="s">
        <v>45</v>
      </c>
      <c r="B48" s="102"/>
      <c r="C48" s="158" t="str">
        <f>C47</f>
        <v>MS/LNA.1(B)/T.NO.14967/S.R.47/2020</v>
      </c>
      <c r="D48" s="162"/>
      <c r="E48" s="162"/>
      <c r="F48" s="54" t="s">
        <v>43</v>
      </c>
      <c r="G48" s="146">
        <f>G47</f>
        <v>44378</v>
      </c>
      <c r="H48" s="146"/>
    </row>
    <row r="49" spans="1:14" s="5" customFormat="1" x14ac:dyDescent="0.3">
      <c r="A49" s="102"/>
      <c r="B49" s="102"/>
      <c r="C49" s="138" t="s">
        <v>192</v>
      </c>
      <c r="D49" s="139"/>
      <c r="E49" s="139"/>
      <c r="F49" s="139"/>
      <c r="G49" s="139"/>
      <c r="H49" s="140"/>
    </row>
    <row r="50" spans="1:14" x14ac:dyDescent="0.3">
      <c r="A50" s="133" t="s">
        <v>46</v>
      </c>
      <c r="B50" s="133"/>
      <c r="C50" s="134" t="s">
        <v>111</v>
      </c>
      <c r="D50" s="135"/>
      <c r="E50" s="135" t="s">
        <v>47</v>
      </c>
      <c r="F50" s="38" t="s">
        <v>43</v>
      </c>
      <c r="G50" s="137" t="s">
        <v>30</v>
      </c>
      <c r="H50" s="137"/>
    </row>
    <row r="51" spans="1:14" x14ac:dyDescent="0.3">
      <c r="A51" s="136" t="s">
        <v>49</v>
      </c>
      <c r="B51" s="136"/>
      <c r="C51" s="136"/>
      <c r="D51" s="136"/>
      <c r="E51" s="136"/>
      <c r="F51" s="136"/>
      <c r="G51" s="136"/>
      <c r="H51" s="136"/>
    </row>
    <row r="52" spans="1:14" x14ac:dyDescent="0.3">
      <c r="A52" s="99" t="s">
        <v>99</v>
      </c>
      <c r="B52" s="99"/>
      <c r="C52" s="99"/>
      <c r="D52" s="79">
        <f>E43</f>
        <v>1953.44</v>
      </c>
      <c r="E52" s="79"/>
      <c r="F52" s="79"/>
      <c r="G52" s="79"/>
      <c r="H52" s="79"/>
    </row>
    <row r="53" spans="1:14" x14ac:dyDescent="0.3">
      <c r="A53" s="98" t="s">
        <v>50</v>
      </c>
      <c r="B53" s="101"/>
      <c r="C53" s="101"/>
      <c r="D53" s="96" t="s">
        <v>182</v>
      </c>
      <c r="E53" s="96"/>
      <c r="F53" s="96"/>
      <c r="G53" s="96"/>
      <c r="H53" s="96"/>
      <c r="I53" s="33"/>
    </row>
    <row r="54" spans="1:14" ht="15.75" customHeight="1" x14ac:dyDescent="0.3">
      <c r="A54" s="143" t="s">
        <v>51</v>
      </c>
      <c r="B54" s="144"/>
      <c r="C54" s="145"/>
      <c r="D54" s="142" t="s">
        <v>191</v>
      </c>
      <c r="E54" s="142"/>
      <c r="F54" s="142"/>
      <c r="G54" s="142"/>
      <c r="H54" s="142"/>
    </row>
    <row r="55" spans="1:14" ht="15.75" customHeight="1" x14ac:dyDescent="0.3">
      <c r="A55" s="143" t="s">
        <v>97</v>
      </c>
      <c r="B55" s="144"/>
      <c r="C55" s="144"/>
      <c r="D55" s="163" t="s">
        <v>191</v>
      </c>
      <c r="E55" s="164"/>
      <c r="F55" s="164"/>
      <c r="G55" s="164"/>
      <c r="H55" s="165"/>
    </row>
    <row r="56" spans="1:14" ht="15.75" customHeight="1" x14ac:dyDescent="0.3">
      <c r="A56" s="79" t="s">
        <v>48</v>
      </c>
      <c r="B56" s="79"/>
      <c r="C56" s="79"/>
      <c r="D56" s="99" t="s">
        <v>173</v>
      </c>
      <c r="E56" s="99"/>
      <c r="F56" s="99"/>
      <c r="G56" s="99"/>
      <c r="H56" s="99"/>
      <c r="J56" s="32"/>
      <c r="K56" s="33"/>
      <c r="N56" s="33"/>
    </row>
    <row r="57" spans="1:14" ht="15.75" customHeight="1" x14ac:dyDescent="0.3">
      <c r="A57" s="79" t="s">
        <v>95</v>
      </c>
      <c r="B57" s="79"/>
      <c r="C57" s="79"/>
      <c r="D57" s="141" t="str">
        <f>(IF(G50="NA","60 Years After Completion",IF(G50&lt;&gt;"NA",""&amp;60-ROUNDDOWN((E3-G50)/360,0)&amp;" Years"," ")))</f>
        <v>60 Years After Completion</v>
      </c>
      <c r="E57" s="141"/>
      <c r="F57" s="141"/>
      <c r="G57" s="141"/>
      <c r="H57" s="141"/>
      <c r="N57" s="33"/>
    </row>
    <row r="58" spans="1:14" ht="15.75" customHeight="1" x14ac:dyDescent="0.3">
      <c r="A58" s="79" t="s">
        <v>96</v>
      </c>
      <c r="B58" s="79"/>
      <c r="C58" s="79"/>
      <c r="D58" s="99" t="s">
        <v>24</v>
      </c>
      <c r="E58" s="99"/>
      <c r="F58" s="99"/>
      <c r="G58" s="99"/>
      <c r="H58" s="99"/>
      <c r="J58" s="12"/>
      <c r="K58" s="12"/>
    </row>
    <row r="59" spans="1:14" ht="15" hidden="1" customHeight="1" x14ac:dyDescent="0.3">
      <c r="A59" s="79" t="s">
        <v>80</v>
      </c>
      <c r="B59" s="79"/>
      <c r="C59" s="79"/>
      <c r="D59" s="98" t="s">
        <v>157</v>
      </c>
      <c r="E59" s="99"/>
      <c r="F59" s="99"/>
      <c r="G59" s="99"/>
      <c r="H59" s="99"/>
    </row>
    <row r="60" spans="1:14" x14ac:dyDescent="0.3">
      <c r="A60" s="99" t="s">
        <v>158</v>
      </c>
      <c r="B60" s="99"/>
      <c r="C60" s="99"/>
      <c r="D60" s="99" t="s">
        <v>30</v>
      </c>
      <c r="E60" s="99"/>
      <c r="F60" s="99"/>
      <c r="G60" s="99"/>
      <c r="H60" s="99"/>
      <c r="I60" s="36"/>
      <c r="J60" s="36"/>
      <c r="K60" s="36"/>
      <c r="L60" s="36"/>
      <c r="M60" s="36"/>
      <c r="N60" s="36"/>
    </row>
    <row r="61" spans="1:14" ht="15.75" customHeight="1" x14ac:dyDescent="0.3">
      <c r="A61" s="151" t="s">
        <v>94</v>
      </c>
      <c r="B61" s="151"/>
      <c r="C61" s="151"/>
      <c r="D61" s="150" t="str">
        <f ca="1">(IF(G67&gt;95%,"Nothing",IF(G67&gt;0%,"Cement, Aggregate, Steel, etc",IF(G67=0%,"Work not yet Started"))))</f>
        <v>Cement, Aggregate, Steel, etc</v>
      </c>
      <c r="E61" s="150"/>
      <c r="F61" s="150"/>
      <c r="G61" s="150"/>
      <c r="H61" s="150"/>
      <c r="J61" s="12"/>
    </row>
    <row r="62" spans="1:14" ht="33.75" customHeight="1" thickBot="1" x14ac:dyDescent="0.35">
      <c r="A62" s="149" t="s">
        <v>124</v>
      </c>
      <c r="B62" s="149"/>
      <c r="C62" s="149"/>
      <c r="D62" s="150" t="str">
        <f ca="1">(IF(D61="Nothing","Yes",IF(D61="Cement, Aggregate, Steel, etc","Under Construction",IF(D61="Work not yet Started","Work not yet Started"))))</f>
        <v>Under Construction</v>
      </c>
      <c r="E62" s="150"/>
      <c r="F62" s="150" t="str">
        <f ca="1">(IF(D61="Nothing","Yes",IF(D61="Cement, Aggregate, Steel, etc","Under Construction",IF(D61="Work not yet Started","Work not yet Started"))))</f>
        <v>Under Construction</v>
      </c>
      <c r="G62" s="150"/>
      <c r="H62" s="150"/>
    </row>
    <row r="63" spans="1:14" ht="15.75" customHeight="1" x14ac:dyDescent="0.3">
      <c r="A63" s="114" t="s">
        <v>149</v>
      </c>
      <c r="B63" s="115"/>
      <c r="C63" s="116" t="str">
        <f>D55</f>
        <v>A &amp; B Wing = G + 1st to 4th Floor</v>
      </c>
      <c r="D63" s="117"/>
      <c r="E63" s="117"/>
      <c r="F63" s="117"/>
      <c r="G63" s="117"/>
      <c r="H63" s="118"/>
      <c r="I63" s="3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Plinth, RCC, Brick, Plaster, Flooring, Painting work Completed. Finishing work is in process.</v>
      </c>
      <c r="J63" s="13"/>
    </row>
    <row r="64" spans="1:14" x14ac:dyDescent="0.3">
      <c r="A64" s="39" t="s">
        <v>151</v>
      </c>
      <c r="B64" s="40">
        <v>0</v>
      </c>
      <c r="C64" s="40" t="s">
        <v>77</v>
      </c>
      <c r="D64" s="40">
        <v>1</v>
      </c>
      <c r="E64" s="40" t="s">
        <v>76</v>
      </c>
      <c r="F64" s="40">
        <v>0</v>
      </c>
      <c r="G64" s="40" t="s">
        <v>88</v>
      </c>
      <c r="H64" s="41">
        <f ca="1">--TRIM(RIGHT(SUBSTITUTE(LEFT(C63,_xlfn.AGGREGATE(16,6,FIND({0,1,2,3,4,5,6,7,8,9},C63,ROW(INDIRECT("1:"&amp;LEN(C63)))),1))," ",REPT(" ",LEN(C63))),LEN(C63)))</f>
        <v>4</v>
      </c>
      <c r="I64" s="12"/>
      <c r="J64" s="14"/>
    </row>
    <row r="65" spans="1:10" ht="33.75" customHeight="1" x14ac:dyDescent="0.3">
      <c r="A65" s="112" t="s">
        <v>98</v>
      </c>
      <c r="B65" s="113"/>
      <c r="C65" s="133" t="str">
        <f ca="1">I63</f>
        <v>Plinth, RCC, Brick, Plaster, Flooring, Painting work Completed. Finishing work is in process.</v>
      </c>
      <c r="D65" s="133"/>
      <c r="E65" s="133"/>
      <c r="F65" s="133"/>
      <c r="G65" s="133"/>
      <c r="H65" s="148"/>
      <c r="I65" s="12" t="s">
        <v>109</v>
      </c>
      <c r="J65" s="14"/>
    </row>
    <row r="66" spans="1:10" ht="15.75" customHeight="1" x14ac:dyDescent="0.3">
      <c r="A66" s="120" t="s">
        <v>52</v>
      </c>
      <c r="B66" s="110"/>
      <c r="C66" s="37" t="s">
        <v>148</v>
      </c>
      <c r="D66" s="37" t="s">
        <v>91</v>
      </c>
      <c r="E66" s="110" t="s">
        <v>93</v>
      </c>
      <c r="F66" s="110"/>
      <c r="G66" s="110" t="s">
        <v>92</v>
      </c>
      <c r="H66" s="111"/>
      <c r="I66" s="42" t="s">
        <v>150</v>
      </c>
      <c r="J66" s="15">
        <f ca="1">H64*25%</f>
        <v>1</v>
      </c>
    </row>
    <row r="67" spans="1:10" x14ac:dyDescent="0.3">
      <c r="A67" s="110" t="s">
        <v>137</v>
      </c>
      <c r="B67" s="110"/>
      <c r="C67" s="43">
        <f ca="1">J68</f>
        <v>4</v>
      </c>
      <c r="D67" s="57">
        <f ca="1">((100/H64)*C67)/100</f>
        <v>1</v>
      </c>
      <c r="E67" s="119">
        <f ca="1">(((C68/H64*10)+(40/(D64+F64+H64)*C69)+(7.5/(H64)*C70)+(7.5/(H64)*C71)+(10/H64*C72)+(10/H64*C73)+(5/H64*C74)+(5/H64*C75)+(5/H64*C76))/100)</f>
        <v>0.9</v>
      </c>
      <c r="F67" s="119"/>
      <c r="G67" s="119">
        <f ca="1">((((C67/H64)*20)+((C68/H64)*25)+(30/(H64+F64+D64)*C69)+(5/H64*C70)+(5/H64*C71)+(5/H64*C72)+(5/H64*C73)+(0/H64*C74)+(0/H64*C75)+(5/H64*C76))/100)</f>
        <v>0.95</v>
      </c>
      <c r="H67" s="119"/>
      <c r="I67" s="42" t="s">
        <v>104</v>
      </c>
      <c r="J67" s="44">
        <f ca="1">H64*50%</f>
        <v>2</v>
      </c>
    </row>
    <row r="68" spans="1:10" x14ac:dyDescent="0.3">
      <c r="A68" s="110" t="s">
        <v>53</v>
      </c>
      <c r="B68" s="110"/>
      <c r="C68" s="45">
        <f ca="1">J76</f>
        <v>4</v>
      </c>
      <c r="D68" s="57">
        <f ca="1">((100/H64)*C68)/100</f>
        <v>1</v>
      </c>
      <c r="E68" s="119"/>
      <c r="F68" s="119"/>
      <c r="G68" s="119"/>
      <c r="H68" s="119"/>
      <c r="I68" s="42" t="s">
        <v>105</v>
      </c>
      <c r="J68" s="44">
        <f ca="1">H64</f>
        <v>4</v>
      </c>
    </row>
    <row r="69" spans="1:10" ht="15.75" customHeight="1" x14ac:dyDescent="0.3">
      <c r="A69" s="121" t="s">
        <v>138</v>
      </c>
      <c r="B69" s="121"/>
      <c r="C69" s="45">
        <v>5</v>
      </c>
      <c r="D69" s="57">
        <f ca="1">((100/(D64+F64+H64))*C69)/100</f>
        <v>1</v>
      </c>
      <c r="E69" s="119"/>
      <c r="F69" s="119"/>
      <c r="G69" s="119"/>
      <c r="H69" s="119"/>
      <c r="I69" s="42" t="s">
        <v>106</v>
      </c>
      <c r="J69" s="46">
        <f ca="1">(IF(B64&gt;1,(H64/(B64+2)),H64/4))</f>
        <v>1</v>
      </c>
    </row>
    <row r="70" spans="1:10" ht="15.75" customHeight="1" x14ac:dyDescent="0.3">
      <c r="A70" s="110" t="s">
        <v>145</v>
      </c>
      <c r="B70" s="110" t="s">
        <v>139</v>
      </c>
      <c r="C70" s="43">
        <v>4</v>
      </c>
      <c r="D70" s="57">
        <f ca="1">((100/H64)*C70)/100</f>
        <v>1</v>
      </c>
      <c r="E70" s="119"/>
      <c r="F70" s="119"/>
      <c r="G70" s="119"/>
      <c r="H70" s="119"/>
      <c r="I70" s="42" t="s">
        <v>107</v>
      </c>
      <c r="J70" s="46">
        <f ca="1">(IF(B64&gt;1,(H64/(B64+2)+J69),H64/4+J69))</f>
        <v>2</v>
      </c>
    </row>
    <row r="71" spans="1:10" ht="15.75" customHeight="1" x14ac:dyDescent="0.3">
      <c r="A71" s="110" t="s">
        <v>146</v>
      </c>
      <c r="B71" s="110" t="s">
        <v>139</v>
      </c>
      <c r="C71" s="43">
        <v>4</v>
      </c>
      <c r="D71" s="57">
        <f ca="1">((100/H64)*C71)/100</f>
        <v>1</v>
      </c>
      <c r="E71" s="119"/>
      <c r="F71" s="119"/>
      <c r="G71" s="119"/>
      <c r="H71" s="119"/>
      <c r="I71" s="42" t="s">
        <v>155</v>
      </c>
      <c r="J71" s="46">
        <f>(IF(B64&gt;1,(H64/(B64+2)+J70),0))</f>
        <v>0</v>
      </c>
    </row>
    <row r="72" spans="1:10" ht="15" customHeight="1" x14ac:dyDescent="0.3">
      <c r="A72" s="110" t="s">
        <v>144</v>
      </c>
      <c r="B72" s="110" t="s">
        <v>141</v>
      </c>
      <c r="C72" s="43">
        <v>4</v>
      </c>
      <c r="D72" s="57">
        <f ca="1">((100/(H64))*C72)/100</f>
        <v>1</v>
      </c>
      <c r="E72" s="119"/>
      <c r="F72" s="119"/>
      <c r="G72" s="119"/>
      <c r="H72" s="119"/>
      <c r="I72" s="42" t="s">
        <v>152</v>
      </c>
      <c r="J72" s="46">
        <f>(IF(B64&gt;2,(H64/(B64+2)+J71),0))</f>
        <v>0</v>
      </c>
    </row>
    <row r="73" spans="1:10" ht="15.75" customHeight="1" x14ac:dyDescent="0.3">
      <c r="A73" s="110" t="s">
        <v>140</v>
      </c>
      <c r="B73" s="110" t="s">
        <v>140</v>
      </c>
      <c r="C73" s="43">
        <v>4</v>
      </c>
      <c r="D73" s="57">
        <f ca="1">((100/H64)*C73)/100</f>
        <v>1</v>
      </c>
      <c r="E73" s="119"/>
      <c r="F73" s="119"/>
      <c r="G73" s="119"/>
      <c r="H73" s="119"/>
      <c r="I73" s="42" t="s">
        <v>153</v>
      </c>
      <c r="J73" s="47">
        <f>(IF(B64&gt;3,(H64/(B64+2)+J72),0))</f>
        <v>0</v>
      </c>
    </row>
    <row r="74" spans="1:10" ht="15.75" customHeight="1" x14ac:dyDescent="0.3">
      <c r="A74" s="110" t="s">
        <v>147</v>
      </c>
      <c r="B74" s="110"/>
      <c r="C74" s="43">
        <v>4</v>
      </c>
      <c r="D74" s="57">
        <f ca="1">((100/H64)*C74)/100</f>
        <v>1</v>
      </c>
      <c r="E74" s="119"/>
      <c r="F74" s="119"/>
      <c r="G74" s="119"/>
      <c r="H74" s="119"/>
      <c r="I74" s="42" t="s">
        <v>154</v>
      </c>
      <c r="J74" s="46">
        <f>(IF(B64&gt;4,(H64/(B64+2)+J73),0))</f>
        <v>0</v>
      </c>
    </row>
    <row r="75" spans="1:10" ht="15.75" customHeight="1" x14ac:dyDescent="0.3">
      <c r="A75" s="110" t="s">
        <v>142</v>
      </c>
      <c r="B75" s="110" t="s">
        <v>142</v>
      </c>
      <c r="C75" s="43">
        <v>0</v>
      </c>
      <c r="D75" s="57">
        <f ca="1">((100/(H64))*C75)/100</f>
        <v>0</v>
      </c>
      <c r="E75" s="119"/>
      <c r="F75" s="119"/>
      <c r="G75" s="119"/>
      <c r="H75" s="119"/>
      <c r="I75" s="42" t="s">
        <v>156</v>
      </c>
      <c r="J75" s="46">
        <f ca="1">(IF(B64=1,(H64/(B64+3)+J70),IF(B64=0,(H64/4+J70),IF(B64&gt;1,0))))</f>
        <v>3</v>
      </c>
    </row>
    <row r="76" spans="1:10" ht="16.2" thickBot="1" x14ac:dyDescent="0.35">
      <c r="A76" s="110" t="s">
        <v>143</v>
      </c>
      <c r="B76" s="110"/>
      <c r="C76" s="43">
        <v>0</v>
      </c>
      <c r="D76" s="57">
        <f ca="1">((100/(H64))*C76)/100</f>
        <v>0</v>
      </c>
      <c r="E76" s="119"/>
      <c r="F76" s="119"/>
      <c r="G76" s="119"/>
      <c r="H76" s="119"/>
      <c r="I76" s="48" t="s">
        <v>108</v>
      </c>
      <c r="J76" s="49">
        <f ca="1">(IF(B64&gt;1.5,(H64/(B64+2)+J70+MAX(0,J71-J70)+MAX(0,J72-J71)+MAX(0,J73-J72)+MAX(0,J74-J73)+MAX(0,J75-J74)),IF(B64=1,(H64/(B64+3)+J75),IF(B64=0,H64/4+J75))))</f>
        <v>4</v>
      </c>
    </row>
    <row r="77" spans="1:10" x14ac:dyDescent="0.3">
      <c r="A77" s="94" t="s">
        <v>54</v>
      </c>
      <c r="B77" s="94"/>
      <c r="C77" s="94"/>
      <c r="D77" s="94"/>
      <c r="E77" s="94"/>
      <c r="F77" s="94"/>
      <c r="G77" s="94"/>
      <c r="H77" s="94"/>
    </row>
    <row r="78" spans="1:10" x14ac:dyDescent="0.3">
      <c r="A78" s="79" t="s">
        <v>81</v>
      </c>
      <c r="B78" s="79"/>
      <c r="C78" s="79"/>
      <c r="D78" s="79"/>
      <c r="E78" s="79"/>
      <c r="F78" s="157">
        <v>3200</v>
      </c>
      <c r="G78" s="157"/>
      <c r="H78" s="157"/>
    </row>
    <row r="79" spans="1:10" x14ac:dyDescent="0.3">
      <c r="A79" s="79" t="s">
        <v>87</v>
      </c>
      <c r="B79" s="79"/>
      <c r="C79" s="79"/>
      <c r="D79" s="79"/>
      <c r="E79" s="79"/>
      <c r="F79" s="78">
        <v>7000</v>
      </c>
      <c r="G79" s="78"/>
      <c r="H79" s="78"/>
    </row>
    <row r="80" spans="1:10" s="7" customFormat="1" x14ac:dyDescent="0.25">
      <c r="A80" s="79" t="s">
        <v>103</v>
      </c>
      <c r="B80" s="79"/>
      <c r="C80" s="79"/>
      <c r="D80" s="79"/>
      <c r="E80" s="79"/>
      <c r="F80" s="78" t="s">
        <v>184</v>
      </c>
      <c r="G80" s="78"/>
      <c r="H80" s="78"/>
    </row>
    <row r="81" spans="1:11" s="7" customFormat="1" x14ac:dyDescent="0.25">
      <c r="A81" s="79" t="s">
        <v>185</v>
      </c>
      <c r="B81" s="79"/>
      <c r="C81" s="79"/>
      <c r="D81" s="79"/>
      <c r="E81" s="79"/>
      <c r="F81" s="78" t="s">
        <v>184</v>
      </c>
      <c r="G81" s="78"/>
      <c r="H81" s="78"/>
    </row>
    <row r="82" spans="1:11" x14ac:dyDescent="0.3">
      <c r="A82" s="79" t="s">
        <v>55</v>
      </c>
      <c r="B82" s="79"/>
      <c r="C82" s="79"/>
      <c r="D82" s="79"/>
      <c r="E82" s="79"/>
      <c r="F82" s="124" t="s">
        <v>186</v>
      </c>
      <c r="G82" s="124"/>
      <c r="H82" s="124"/>
    </row>
    <row r="83" spans="1:11" s="4" customFormat="1" x14ac:dyDescent="0.3">
      <c r="A83" s="94" t="s">
        <v>56</v>
      </c>
      <c r="B83" s="94"/>
      <c r="C83" s="94"/>
      <c r="D83" s="94"/>
      <c r="E83" s="94"/>
      <c r="F83" s="78">
        <f>F78*0.8</f>
        <v>2560</v>
      </c>
      <c r="G83" s="78"/>
      <c r="H83" s="78"/>
    </row>
    <row r="84" spans="1:11" s="1" customFormat="1" ht="15.75" customHeight="1" x14ac:dyDescent="0.3">
      <c r="A84" s="80" t="s">
        <v>82</v>
      </c>
      <c r="B84" s="80"/>
      <c r="C84" s="80"/>
      <c r="D84" s="80"/>
      <c r="E84" s="80"/>
      <c r="F84" s="80"/>
      <c r="G84" s="80"/>
      <c r="H84" s="80"/>
    </row>
    <row r="85" spans="1:11" s="1" customFormat="1" ht="15.75" customHeight="1" x14ac:dyDescent="0.3">
      <c r="A85" s="69" t="s">
        <v>57</v>
      </c>
      <c r="B85" s="69"/>
      <c r="C85" s="66" t="s">
        <v>85</v>
      </c>
      <c r="D85" s="66"/>
      <c r="E85" s="68" t="s">
        <v>58</v>
      </c>
      <c r="F85" s="68"/>
      <c r="G85" s="69" t="s">
        <v>59</v>
      </c>
      <c r="H85" s="69"/>
    </row>
    <row r="86" spans="1:11" s="1" customFormat="1" x14ac:dyDescent="0.3">
      <c r="A86" s="77" t="s">
        <v>174</v>
      </c>
      <c r="B86" s="77"/>
      <c r="C86" s="64">
        <f>COUNT(D100:D106)</f>
        <v>7</v>
      </c>
      <c r="D86" s="62"/>
      <c r="E86" s="63">
        <f>SUM(D100:D106)</f>
        <v>712.14624000000003</v>
      </c>
      <c r="F86" s="132"/>
      <c r="G86" s="63">
        <f>SUM(F100:F106)</f>
        <v>1068.2193599999998</v>
      </c>
      <c r="H86" s="132"/>
    </row>
    <row r="87" spans="1:11" s="1" customFormat="1" x14ac:dyDescent="0.3">
      <c r="A87" s="77" t="s">
        <v>177</v>
      </c>
      <c r="B87" s="77"/>
      <c r="C87" s="64">
        <f>COUNT(D109:D115)</f>
        <v>7</v>
      </c>
      <c r="D87" s="62"/>
      <c r="E87" s="63">
        <f>SUM(D109:D115)</f>
        <v>712.14624000000003</v>
      </c>
      <c r="F87" s="132"/>
      <c r="G87" s="63">
        <f>SUM(F109:F115)</f>
        <v>1068.2193600000001</v>
      </c>
      <c r="H87" s="132"/>
    </row>
    <row r="88" spans="1:11" s="50" customFormat="1" x14ac:dyDescent="0.3">
      <c r="A88" s="80" t="s">
        <v>180</v>
      </c>
      <c r="B88" s="80"/>
      <c r="C88" s="65">
        <f>SUM(C86:D87)</f>
        <v>14</v>
      </c>
      <c r="D88" s="66"/>
      <c r="E88" s="67">
        <f>SUM(E86:F87)</f>
        <v>1424.2924800000001</v>
      </c>
      <c r="F88" s="68"/>
      <c r="G88" s="69">
        <f>SUM(G86:H87)</f>
        <v>2136.4387200000001</v>
      </c>
      <c r="H88" s="69"/>
      <c r="J88" s="55"/>
      <c r="K88" s="55"/>
    </row>
    <row r="89" spans="1:11" s="1" customFormat="1" x14ac:dyDescent="0.3">
      <c r="A89" s="80" t="s">
        <v>75</v>
      </c>
      <c r="B89" s="80"/>
      <c r="C89" s="80"/>
      <c r="D89" s="80"/>
      <c r="E89" s="80"/>
      <c r="F89" s="80"/>
      <c r="G89" s="80"/>
      <c r="H89" s="80"/>
    </row>
    <row r="90" spans="1:11" s="1" customFormat="1" ht="15.75" customHeight="1" x14ac:dyDescent="0.3">
      <c r="A90" s="69" t="s">
        <v>57</v>
      </c>
      <c r="B90" s="69"/>
      <c r="C90" s="66" t="s">
        <v>85</v>
      </c>
      <c r="D90" s="66"/>
      <c r="E90" s="68" t="s">
        <v>58</v>
      </c>
      <c r="F90" s="68"/>
      <c r="G90" s="69" t="s">
        <v>59</v>
      </c>
      <c r="H90" s="69"/>
    </row>
    <row r="91" spans="1:11" s="1" customFormat="1" x14ac:dyDescent="0.3">
      <c r="A91" s="77" t="s">
        <v>174</v>
      </c>
      <c r="B91" s="77"/>
      <c r="C91" s="62">
        <f>COUNT(D120:D126)*4</f>
        <v>28</v>
      </c>
      <c r="D91" s="62"/>
      <c r="E91" s="63">
        <f>SUM(D120:D126)*4</f>
        <v>8276.65488</v>
      </c>
      <c r="F91" s="63"/>
      <c r="G91" s="63">
        <f>SUM(F120:F126)*4</f>
        <v>11848</v>
      </c>
      <c r="H91" s="63"/>
    </row>
    <row r="92" spans="1:11" s="1" customFormat="1" x14ac:dyDescent="0.3">
      <c r="A92" s="77" t="s">
        <v>177</v>
      </c>
      <c r="B92" s="77"/>
      <c r="C92" s="62">
        <f>COUNT(D129:D135)*4</f>
        <v>28</v>
      </c>
      <c r="D92" s="62"/>
      <c r="E92" s="63">
        <f>SUM(D129:D135)*4</f>
        <v>8821.7438399999992</v>
      </c>
      <c r="F92" s="63"/>
      <c r="G92" s="63">
        <f>SUM(F129:F135)*4</f>
        <v>12628</v>
      </c>
      <c r="H92" s="63"/>
    </row>
    <row r="93" spans="1:11" s="50" customFormat="1" x14ac:dyDescent="0.3">
      <c r="A93" s="80" t="s">
        <v>180</v>
      </c>
      <c r="B93" s="80"/>
      <c r="C93" s="66">
        <f>SUM(C91:D92)</f>
        <v>56</v>
      </c>
      <c r="D93" s="66"/>
      <c r="E93" s="67">
        <f>SUM(E91:F92)</f>
        <v>17098.398719999997</v>
      </c>
      <c r="F93" s="68"/>
      <c r="G93" s="69">
        <f>SUM(G91:H92)</f>
        <v>24476</v>
      </c>
      <c r="H93" s="69"/>
    </row>
    <row r="94" spans="1:11" s="4" customFormat="1" x14ac:dyDescent="0.3">
      <c r="A94" s="91" t="s">
        <v>60</v>
      </c>
      <c r="B94" s="91"/>
      <c r="C94" s="91"/>
      <c r="D94" s="91"/>
      <c r="E94" s="91"/>
      <c r="F94" s="91"/>
      <c r="G94" s="91"/>
      <c r="H94" s="91"/>
    </row>
    <row r="95" spans="1:11" x14ac:dyDescent="0.3">
      <c r="A95" s="91" t="s">
        <v>61</v>
      </c>
      <c r="B95" s="91"/>
      <c r="C95" s="91"/>
      <c r="D95" s="91"/>
      <c r="E95" s="91"/>
      <c r="F95" s="91"/>
      <c r="G95" s="91"/>
      <c r="H95" s="91"/>
    </row>
    <row r="96" spans="1:11" ht="47.25" customHeight="1" x14ac:dyDescent="0.3">
      <c r="A96" s="73" t="s">
        <v>126</v>
      </c>
      <c r="B96" s="73" t="s">
        <v>125</v>
      </c>
      <c r="C96" s="73" t="s">
        <v>62</v>
      </c>
      <c r="D96" s="73" t="s">
        <v>63</v>
      </c>
      <c r="E96" s="126" t="s">
        <v>64</v>
      </c>
      <c r="F96" s="28" t="s">
        <v>159</v>
      </c>
      <c r="G96" s="128" t="s">
        <v>65</v>
      </c>
      <c r="H96" s="129"/>
    </row>
    <row r="97" spans="1:14" s="2" customFormat="1" x14ac:dyDescent="0.3">
      <c r="A97" s="74"/>
      <c r="B97" s="74"/>
      <c r="C97" s="74"/>
      <c r="D97" s="74"/>
      <c r="E97" s="127"/>
      <c r="F97" s="29">
        <v>0.5</v>
      </c>
      <c r="G97" s="130"/>
      <c r="H97" s="131"/>
    </row>
    <row r="98" spans="1:14" s="2" customFormat="1" x14ac:dyDescent="0.3">
      <c r="A98" s="70" t="s">
        <v>174</v>
      </c>
      <c r="B98" s="71"/>
      <c r="C98" s="71"/>
      <c r="D98" s="71"/>
      <c r="E98" s="71"/>
      <c r="F98" s="71"/>
      <c r="G98" s="71"/>
      <c r="H98" s="72"/>
      <c r="J98" s="31"/>
    </row>
    <row r="99" spans="1:14" s="2" customFormat="1" x14ac:dyDescent="0.3">
      <c r="A99" s="70" t="s">
        <v>176</v>
      </c>
      <c r="B99" s="71"/>
      <c r="C99" s="71"/>
      <c r="D99" s="71"/>
      <c r="E99" s="71"/>
      <c r="F99" s="71"/>
      <c r="G99" s="71"/>
      <c r="H99" s="72"/>
      <c r="J99" s="31"/>
    </row>
    <row r="100" spans="1:14" s="2" customFormat="1" x14ac:dyDescent="0.3">
      <c r="A100" s="60">
        <v>1</v>
      </c>
      <c r="B100" s="61"/>
      <c r="C100" s="30" t="s">
        <v>175</v>
      </c>
      <c r="D100" s="30">
        <f>12.42*10.764</f>
        <v>133.68887999999998</v>
      </c>
      <c r="E100" s="30">
        <v>0</v>
      </c>
      <c r="F100" s="30">
        <f t="shared" ref="F100:F106" si="0">D100*(($F$97)+1)+(IF(E100&lt;101,E100,IF(E100&lt;201,E100/2,IF(E100&lt;=301,E100/3,E100/4))))</f>
        <v>200.53331999999997</v>
      </c>
      <c r="G100" s="60" t="str">
        <f>A99</f>
        <v>Ground Floor For Parking &amp; Commercial</v>
      </c>
      <c r="H100" s="61"/>
      <c r="I100" s="31"/>
      <c r="L100" s="75"/>
      <c r="M100" s="75"/>
      <c r="N100" s="31"/>
    </row>
    <row r="101" spans="1:14" s="2" customFormat="1" x14ac:dyDescent="0.3">
      <c r="A101" s="60">
        <f t="shared" ref="A101:A106" si="1">A100+1</f>
        <v>2</v>
      </c>
      <c r="B101" s="61"/>
      <c r="C101" s="30" t="s">
        <v>175</v>
      </c>
      <c r="D101" s="30">
        <f>8.45*10.764</f>
        <v>90.955799999999982</v>
      </c>
      <c r="E101" s="30">
        <v>0</v>
      </c>
      <c r="F101" s="30">
        <f t="shared" si="0"/>
        <v>136.43369999999999</v>
      </c>
      <c r="G101" s="60" t="str">
        <f t="shared" ref="G101:G106" si="2">G100</f>
        <v>Ground Floor For Parking &amp; Commercial</v>
      </c>
      <c r="H101" s="61"/>
      <c r="I101" s="31"/>
      <c r="L101" s="75"/>
      <c r="M101" s="75"/>
      <c r="N101" s="31"/>
    </row>
    <row r="102" spans="1:14" s="2" customFormat="1" x14ac:dyDescent="0.3">
      <c r="A102" s="60">
        <f t="shared" si="1"/>
        <v>3</v>
      </c>
      <c r="B102" s="61"/>
      <c r="C102" s="30" t="s">
        <v>175</v>
      </c>
      <c r="D102" s="30">
        <f>11.21*10.764</f>
        <v>120.66444</v>
      </c>
      <c r="E102" s="30">
        <v>0</v>
      </c>
      <c r="F102" s="30">
        <f t="shared" si="0"/>
        <v>180.99665999999999</v>
      </c>
      <c r="G102" s="60" t="str">
        <f t="shared" si="2"/>
        <v>Ground Floor For Parking &amp; Commercial</v>
      </c>
      <c r="H102" s="61"/>
      <c r="I102" s="31"/>
      <c r="L102" s="75"/>
      <c r="M102" s="75"/>
      <c r="N102" s="31"/>
    </row>
    <row r="103" spans="1:14" s="2" customFormat="1" x14ac:dyDescent="0.3">
      <c r="A103" s="60">
        <f t="shared" si="1"/>
        <v>4</v>
      </c>
      <c r="B103" s="61"/>
      <c r="C103" s="30" t="s">
        <v>175</v>
      </c>
      <c r="D103" s="30">
        <f>11.21*10.764</f>
        <v>120.66444</v>
      </c>
      <c r="E103" s="30">
        <v>0</v>
      </c>
      <c r="F103" s="30">
        <f t="shared" si="0"/>
        <v>180.99665999999999</v>
      </c>
      <c r="G103" s="60" t="str">
        <f t="shared" si="2"/>
        <v>Ground Floor For Parking &amp; Commercial</v>
      </c>
      <c r="H103" s="61"/>
      <c r="I103" s="31"/>
      <c r="L103" s="75"/>
      <c r="M103" s="75"/>
      <c r="N103" s="31"/>
    </row>
    <row r="104" spans="1:14" s="2" customFormat="1" x14ac:dyDescent="0.3">
      <c r="A104" s="60">
        <f t="shared" si="1"/>
        <v>5</v>
      </c>
      <c r="B104" s="61"/>
      <c r="C104" s="30" t="s">
        <v>175</v>
      </c>
      <c r="D104" s="30">
        <f>5.83*10.764</f>
        <v>62.75412</v>
      </c>
      <c r="E104" s="30">
        <v>0</v>
      </c>
      <c r="F104" s="30">
        <f t="shared" si="0"/>
        <v>94.131180000000001</v>
      </c>
      <c r="G104" s="60" t="str">
        <f t="shared" si="2"/>
        <v>Ground Floor For Parking &amp; Commercial</v>
      </c>
      <c r="H104" s="61"/>
      <c r="I104" s="31"/>
      <c r="L104" s="75"/>
      <c r="M104" s="75"/>
      <c r="N104" s="31"/>
    </row>
    <row r="105" spans="1:14" s="2" customFormat="1" x14ac:dyDescent="0.3">
      <c r="A105" s="60">
        <f t="shared" si="1"/>
        <v>6</v>
      </c>
      <c r="B105" s="61"/>
      <c r="C105" s="30" t="s">
        <v>175</v>
      </c>
      <c r="D105" s="30">
        <f>5.83*10.764</f>
        <v>62.75412</v>
      </c>
      <c r="E105" s="30">
        <v>0</v>
      </c>
      <c r="F105" s="30">
        <f t="shared" si="0"/>
        <v>94.131180000000001</v>
      </c>
      <c r="G105" s="60" t="str">
        <f t="shared" si="2"/>
        <v>Ground Floor For Parking &amp; Commercial</v>
      </c>
      <c r="H105" s="61"/>
      <c r="I105" s="31"/>
      <c r="L105" s="75"/>
      <c r="M105" s="75"/>
      <c r="N105" s="31"/>
    </row>
    <row r="106" spans="1:14" s="2" customFormat="1" x14ac:dyDescent="0.3">
      <c r="A106" s="60">
        <f t="shared" si="1"/>
        <v>7</v>
      </c>
      <c r="B106" s="61"/>
      <c r="C106" s="30" t="s">
        <v>175</v>
      </c>
      <c r="D106" s="30">
        <f>11.21*10.764</f>
        <v>120.66444</v>
      </c>
      <c r="E106" s="30">
        <v>0</v>
      </c>
      <c r="F106" s="30">
        <f t="shared" si="0"/>
        <v>180.99665999999999</v>
      </c>
      <c r="G106" s="60" t="str">
        <f t="shared" si="2"/>
        <v>Ground Floor For Parking &amp; Commercial</v>
      </c>
      <c r="H106" s="61"/>
      <c r="I106" s="31"/>
      <c r="L106" s="75"/>
      <c r="M106" s="75"/>
      <c r="N106" s="31"/>
    </row>
    <row r="107" spans="1:14" s="2" customFormat="1" x14ac:dyDescent="0.3">
      <c r="A107" s="70" t="s">
        <v>177</v>
      </c>
      <c r="B107" s="71"/>
      <c r="C107" s="71"/>
      <c r="D107" s="71"/>
      <c r="E107" s="71"/>
      <c r="F107" s="71"/>
      <c r="G107" s="71"/>
      <c r="H107" s="72"/>
      <c r="J107" s="31"/>
    </row>
    <row r="108" spans="1:14" s="2" customFormat="1" x14ac:dyDescent="0.3">
      <c r="A108" s="70" t="s">
        <v>176</v>
      </c>
      <c r="B108" s="71"/>
      <c r="C108" s="71"/>
      <c r="D108" s="71"/>
      <c r="E108" s="71"/>
      <c r="F108" s="71"/>
      <c r="G108" s="71"/>
      <c r="H108" s="72"/>
      <c r="J108" s="31"/>
    </row>
    <row r="109" spans="1:14" s="2" customFormat="1" x14ac:dyDescent="0.3">
      <c r="A109" s="60">
        <v>8</v>
      </c>
      <c r="B109" s="61"/>
      <c r="C109" s="30" t="s">
        <v>175</v>
      </c>
      <c r="D109" s="30">
        <f>11.21*10.764</f>
        <v>120.66444</v>
      </c>
      <c r="E109" s="30">
        <v>0</v>
      </c>
      <c r="F109" s="30">
        <f t="shared" ref="F109:F115" si="3">D109*(($F$97)+1)+(IF(E109&lt;101,E109,IF(E109&lt;201,E109/2,IF(E109&lt;=301,E109/3,E109/4))))</f>
        <v>180.99665999999999</v>
      </c>
      <c r="G109" s="60" t="str">
        <f>A108</f>
        <v>Ground Floor For Parking &amp; Commercial</v>
      </c>
      <c r="H109" s="61"/>
      <c r="I109" s="31"/>
      <c r="L109" s="75"/>
      <c r="M109" s="75"/>
      <c r="N109" s="31"/>
    </row>
    <row r="110" spans="1:14" s="2" customFormat="1" x14ac:dyDescent="0.3">
      <c r="A110" s="60">
        <f t="shared" ref="A110:A115" si="4">A109+1</f>
        <v>9</v>
      </c>
      <c r="B110" s="61"/>
      <c r="C110" s="30" t="s">
        <v>175</v>
      </c>
      <c r="D110" s="30">
        <f>5.83*10.764</f>
        <v>62.75412</v>
      </c>
      <c r="E110" s="30">
        <v>0</v>
      </c>
      <c r="F110" s="30">
        <f t="shared" si="3"/>
        <v>94.131180000000001</v>
      </c>
      <c r="G110" s="60" t="str">
        <f t="shared" ref="G110:G115" si="5">G109</f>
        <v>Ground Floor For Parking &amp; Commercial</v>
      </c>
      <c r="H110" s="61"/>
      <c r="I110" s="31"/>
      <c r="L110" s="75"/>
      <c r="M110" s="75"/>
      <c r="N110" s="31"/>
    </row>
    <row r="111" spans="1:14" s="2" customFormat="1" x14ac:dyDescent="0.3">
      <c r="A111" s="60">
        <f t="shared" si="4"/>
        <v>10</v>
      </c>
      <c r="B111" s="61"/>
      <c r="C111" s="30" t="s">
        <v>175</v>
      </c>
      <c r="D111" s="30">
        <f>5.83*10.764</f>
        <v>62.75412</v>
      </c>
      <c r="E111" s="30">
        <v>0</v>
      </c>
      <c r="F111" s="30">
        <f t="shared" si="3"/>
        <v>94.131180000000001</v>
      </c>
      <c r="G111" s="60" t="str">
        <f t="shared" si="5"/>
        <v>Ground Floor For Parking &amp; Commercial</v>
      </c>
      <c r="H111" s="61"/>
      <c r="I111" s="31"/>
      <c r="L111" s="75"/>
      <c r="M111" s="75"/>
      <c r="N111" s="31"/>
    </row>
    <row r="112" spans="1:14" s="2" customFormat="1" x14ac:dyDescent="0.3">
      <c r="A112" s="60">
        <f t="shared" si="4"/>
        <v>11</v>
      </c>
      <c r="B112" s="61"/>
      <c r="C112" s="30" t="s">
        <v>175</v>
      </c>
      <c r="D112" s="30">
        <f>11.21*10.764</f>
        <v>120.66444</v>
      </c>
      <c r="E112" s="30">
        <v>0</v>
      </c>
      <c r="F112" s="30">
        <f t="shared" si="3"/>
        <v>180.99665999999999</v>
      </c>
      <c r="G112" s="60" t="str">
        <f t="shared" si="5"/>
        <v>Ground Floor For Parking &amp; Commercial</v>
      </c>
      <c r="H112" s="61"/>
      <c r="I112" s="31"/>
      <c r="L112" s="75"/>
      <c r="M112" s="75"/>
      <c r="N112" s="31"/>
    </row>
    <row r="113" spans="1:16" s="2" customFormat="1" x14ac:dyDescent="0.3">
      <c r="A113" s="60">
        <f t="shared" si="4"/>
        <v>12</v>
      </c>
      <c r="B113" s="61"/>
      <c r="C113" s="30" t="s">
        <v>175</v>
      </c>
      <c r="D113" s="30">
        <f>11.21*10.764</f>
        <v>120.66444</v>
      </c>
      <c r="E113" s="30">
        <v>0</v>
      </c>
      <c r="F113" s="30">
        <f t="shared" si="3"/>
        <v>180.99665999999999</v>
      </c>
      <c r="G113" s="60" t="str">
        <f t="shared" si="5"/>
        <v>Ground Floor For Parking &amp; Commercial</v>
      </c>
      <c r="H113" s="61"/>
      <c r="I113" s="31"/>
      <c r="L113" s="75"/>
      <c r="M113" s="75"/>
      <c r="N113" s="31"/>
    </row>
    <row r="114" spans="1:16" s="2" customFormat="1" x14ac:dyDescent="0.3">
      <c r="A114" s="60">
        <f t="shared" si="4"/>
        <v>13</v>
      </c>
      <c r="B114" s="61"/>
      <c r="C114" s="30" t="s">
        <v>175</v>
      </c>
      <c r="D114" s="30">
        <f>8.45*10.764</f>
        <v>90.955799999999982</v>
      </c>
      <c r="E114" s="30">
        <v>0</v>
      </c>
      <c r="F114" s="30">
        <f t="shared" si="3"/>
        <v>136.43369999999999</v>
      </c>
      <c r="G114" s="60" t="str">
        <f t="shared" si="5"/>
        <v>Ground Floor For Parking &amp; Commercial</v>
      </c>
      <c r="H114" s="61"/>
      <c r="I114" s="31"/>
      <c r="L114" s="75"/>
      <c r="M114" s="75"/>
      <c r="N114" s="31"/>
    </row>
    <row r="115" spans="1:16" s="2" customFormat="1" x14ac:dyDescent="0.3">
      <c r="A115" s="60">
        <f t="shared" si="4"/>
        <v>14</v>
      </c>
      <c r="B115" s="61"/>
      <c r="C115" s="30" t="s">
        <v>175</v>
      </c>
      <c r="D115" s="30">
        <f>12.42*10.764</f>
        <v>133.68887999999998</v>
      </c>
      <c r="E115" s="30">
        <v>0</v>
      </c>
      <c r="F115" s="30">
        <f t="shared" si="3"/>
        <v>200.53331999999997</v>
      </c>
      <c r="G115" s="60" t="str">
        <f t="shared" si="5"/>
        <v>Ground Floor For Parking &amp; Commercial</v>
      </c>
      <c r="H115" s="61"/>
      <c r="I115" s="31"/>
      <c r="L115" s="75"/>
      <c r="M115" s="75"/>
      <c r="N115" s="31"/>
    </row>
    <row r="116" spans="1:16" s="2" customFormat="1" x14ac:dyDescent="0.3">
      <c r="A116" s="87"/>
      <c r="B116" s="87"/>
      <c r="C116" s="87"/>
      <c r="D116" s="87"/>
      <c r="E116" s="87"/>
      <c r="F116" s="87"/>
      <c r="G116" s="87"/>
      <c r="H116" s="87"/>
      <c r="I116" s="31"/>
      <c r="N116" s="31"/>
    </row>
    <row r="117" spans="1:16" ht="47.25" customHeight="1" x14ac:dyDescent="0.3">
      <c r="A117" s="58" t="s">
        <v>127</v>
      </c>
      <c r="B117" s="58" t="s">
        <v>128</v>
      </c>
      <c r="C117" s="58" t="s">
        <v>62</v>
      </c>
      <c r="D117" s="58" t="s">
        <v>63</v>
      </c>
      <c r="E117" s="59" t="s">
        <v>64</v>
      </c>
      <c r="F117" s="58" t="s">
        <v>187</v>
      </c>
      <c r="G117" s="156" t="s">
        <v>65</v>
      </c>
      <c r="H117" s="156"/>
      <c r="I117" s="31"/>
    </row>
    <row r="118" spans="1:16" s="2" customFormat="1" x14ac:dyDescent="0.3">
      <c r="A118" s="76" t="s">
        <v>174</v>
      </c>
      <c r="B118" s="76"/>
      <c r="C118" s="76"/>
      <c r="D118" s="76"/>
      <c r="E118" s="76"/>
      <c r="F118" s="76"/>
      <c r="G118" s="76"/>
      <c r="H118" s="76"/>
      <c r="J118" s="31"/>
    </row>
    <row r="119" spans="1:16" s="2" customFormat="1" x14ac:dyDescent="0.3">
      <c r="A119" s="76" t="s">
        <v>181</v>
      </c>
      <c r="B119" s="76"/>
      <c r="C119" s="76"/>
      <c r="D119" s="76"/>
      <c r="E119" s="76"/>
      <c r="F119" s="76"/>
      <c r="G119" s="76"/>
      <c r="H119" s="76"/>
      <c r="I119" s="31"/>
    </row>
    <row r="120" spans="1:16" s="2" customFormat="1" x14ac:dyDescent="0.3">
      <c r="A120" s="87" t="str">
        <f t="shared" ref="A120:A125" ca="1" si="6">N120</f>
        <v>101 to 401</v>
      </c>
      <c r="B120" s="87"/>
      <c r="C120" s="30" t="s">
        <v>178</v>
      </c>
      <c r="D120" s="30">
        <f>23.82*10.764</f>
        <v>256.39848000000001</v>
      </c>
      <c r="E120" s="30">
        <v>0</v>
      </c>
      <c r="F120" s="30">
        <v>367</v>
      </c>
      <c r="G120" s="87" t="str">
        <f>A119</f>
        <v xml:space="preserve">1st to 4th Floor For Residential </v>
      </c>
      <c r="H120" s="87"/>
      <c r="I120" s="31">
        <f>2.7*4+2.2*2.3+1.2*0.9+1.2*1.8+0.9*0.9+2.7*1</f>
        <v>22.609999999999996</v>
      </c>
      <c r="J120" s="2">
        <f>F120/D120</f>
        <v>1.431365739765696</v>
      </c>
      <c r="N120" s="2" t="str">
        <f t="shared" ref="N120:N125" ca="1" si="7">O120&amp;""&amp;" to "&amp;""&amp;P120</f>
        <v>101 to 401</v>
      </c>
      <c r="O120" s="2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10^ROW(INDIRECT("1:"&amp;LEN((LEFT(A119,SUM(LEN(A119)-LEN(SUBSTITUTE(A119,{"0","1","2"},""))))))))/10))*100+1</f>
        <v>101</v>
      </c>
      <c r="P120" s="2">
        <f ca="1">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",LEN(A119))),LEN(A119)))))))/10))*100+1</f>
        <v>401</v>
      </c>
    </row>
    <row r="121" spans="1:16" s="2" customFormat="1" x14ac:dyDescent="0.3">
      <c r="A121" s="87" t="str">
        <f t="shared" ca="1" si="6"/>
        <v>102 to 402</v>
      </c>
      <c r="B121" s="87"/>
      <c r="C121" s="30" t="s">
        <v>178</v>
      </c>
      <c r="D121" s="30">
        <f>23.8*10.764</f>
        <v>256.1832</v>
      </c>
      <c r="E121" s="30">
        <v>0</v>
      </c>
      <c r="F121" s="30">
        <v>367</v>
      </c>
      <c r="G121" s="87" t="str">
        <f t="shared" ref="G121:G126" si="8">G120</f>
        <v xml:space="preserve">1st to 4th Floor For Residential </v>
      </c>
      <c r="H121" s="87"/>
      <c r="I121" s="31">
        <f>1400000/F121</f>
        <v>3814.7138964577657</v>
      </c>
      <c r="N121" s="2" t="str">
        <f t="shared" ca="1" si="7"/>
        <v>102 to 402</v>
      </c>
      <c r="O121" s="2">
        <f t="shared" ref="O121:P124" ca="1" si="9">O120+1</f>
        <v>102</v>
      </c>
      <c r="P121" s="2">
        <f t="shared" ca="1" si="9"/>
        <v>402</v>
      </c>
    </row>
    <row r="122" spans="1:16" s="2" customFormat="1" x14ac:dyDescent="0.3">
      <c r="A122" s="60" t="str">
        <f t="shared" ca="1" si="6"/>
        <v>103 to 403</v>
      </c>
      <c r="B122" s="61"/>
      <c r="C122" s="30" t="s">
        <v>178</v>
      </c>
      <c r="D122" s="30">
        <f>23.8*10.764</f>
        <v>256.1832</v>
      </c>
      <c r="E122" s="30">
        <v>0</v>
      </c>
      <c r="F122" s="30">
        <v>367</v>
      </c>
      <c r="G122" s="60" t="str">
        <f t="shared" si="8"/>
        <v xml:space="preserve">1st to 4th Floor For Residential </v>
      </c>
      <c r="H122" s="61"/>
      <c r="I122" s="31"/>
      <c r="N122" s="2" t="str">
        <f t="shared" ca="1" si="7"/>
        <v>103 to 403</v>
      </c>
      <c r="O122" s="2">
        <f t="shared" ca="1" si="9"/>
        <v>103</v>
      </c>
      <c r="P122" s="2">
        <f t="shared" ca="1" si="9"/>
        <v>403</v>
      </c>
    </row>
    <row r="123" spans="1:16" s="2" customFormat="1" x14ac:dyDescent="0.3">
      <c r="A123" s="60" t="str">
        <f t="shared" ca="1" si="6"/>
        <v>104 to 404</v>
      </c>
      <c r="B123" s="61"/>
      <c r="C123" s="30" t="s">
        <v>179</v>
      </c>
      <c r="D123" s="30">
        <f>36.56*10.764</f>
        <v>393.53183999999999</v>
      </c>
      <c r="E123" s="30">
        <v>0</v>
      </c>
      <c r="F123" s="30">
        <v>563</v>
      </c>
      <c r="G123" s="60" t="str">
        <f t="shared" si="8"/>
        <v xml:space="preserve">1st to 4th Floor For Residential </v>
      </c>
      <c r="H123" s="61"/>
      <c r="I123" s="31">
        <f>2.7*4+2.25*2.25+2.7*2.7+1.2*1.5+0.9*1.2+2.25*1+2.7*1+2.7*1+2.7*0.45</f>
        <v>34.897500000000008</v>
      </c>
      <c r="N123" s="2" t="str">
        <f t="shared" ca="1" si="7"/>
        <v>104 to 404</v>
      </c>
      <c r="O123" s="2">
        <f t="shared" ca="1" si="9"/>
        <v>104</v>
      </c>
      <c r="P123" s="2">
        <f t="shared" ca="1" si="9"/>
        <v>404</v>
      </c>
    </row>
    <row r="124" spans="1:16" s="2" customFormat="1" x14ac:dyDescent="0.3">
      <c r="A124" s="60" t="str">
        <f t="shared" ca="1" si="6"/>
        <v>105 to 405</v>
      </c>
      <c r="B124" s="61"/>
      <c r="C124" s="30" t="s">
        <v>179</v>
      </c>
      <c r="D124" s="30">
        <f>35*10.764</f>
        <v>376.73999999999995</v>
      </c>
      <c r="E124" s="30">
        <v>0</v>
      </c>
      <c r="F124" s="30">
        <v>539</v>
      </c>
      <c r="G124" s="60" t="str">
        <f t="shared" si="8"/>
        <v xml:space="preserve">1st to 4th Floor For Residential </v>
      </c>
      <c r="H124" s="61"/>
      <c r="I124" s="31"/>
      <c r="N124" s="2" t="str">
        <f t="shared" ca="1" si="7"/>
        <v>105 to 405</v>
      </c>
      <c r="O124" s="2">
        <f t="shared" ca="1" si="9"/>
        <v>105</v>
      </c>
      <c r="P124" s="2">
        <f t="shared" ca="1" si="9"/>
        <v>405</v>
      </c>
    </row>
    <row r="125" spans="1:16" s="2" customFormat="1" x14ac:dyDescent="0.3">
      <c r="A125" s="60" t="str">
        <f t="shared" ca="1" si="6"/>
        <v>106 to 406</v>
      </c>
      <c r="B125" s="61"/>
      <c r="C125" s="30" t="s">
        <v>178</v>
      </c>
      <c r="D125" s="30">
        <f>24.45*10.764</f>
        <v>263.1798</v>
      </c>
      <c r="E125" s="30">
        <v>0</v>
      </c>
      <c r="F125" s="30">
        <v>377</v>
      </c>
      <c r="G125" s="60" t="str">
        <f t="shared" si="8"/>
        <v xml:space="preserve">1st to 4th Floor For Residential </v>
      </c>
      <c r="H125" s="61"/>
      <c r="I125" s="56">
        <f>F125/D125</f>
        <v>1.4324807603015124</v>
      </c>
      <c r="N125" s="2" t="str">
        <f t="shared" ca="1" si="7"/>
        <v>106 to 406</v>
      </c>
      <c r="O125" s="2">
        <f ca="1">O124+1</f>
        <v>106</v>
      </c>
      <c r="P125" s="2">
        <f ca="1">P124+1</f>
        <v>406</v>
      </c>
    </row>
    <row r="126" spans="1:16" s="2" customFormat="1" x14ac:dyDescent="0.3">
      <c r="A126" s="60" t="str">
        <f t="shared" ref="A126" ca="1" si="10">N126</f>
        <v>107 to 407</v>
      </c>
      <c r="B126" s="61"/>
      <c r="C126" s="30" t="s">
        <v>178</v>
      </c>
      <c r="D126" s="30">
        <f>24.8*10.764</f>
        <v>266.94720000000001</v>
      </c>
      <c r="E126" s="30">
        <v>0</v>
      </c>
      <c r="F126" s="30">
        <v>382</v>
      </c>
      <c r="G126" s="60" t="str">
        <f t="shared" si="8"/>
        <v xml:space="preserve">1st to 4th Floor For Residential </v>
      </c>
      <c r="H126" s="61"/>
      <c r="I126" s="31"/>
      <c r="N126" s="2" t="str">
        <f t="shared" ref="N126" ca="1" si="11">O126&amp;""&amp;" to "&amp;""&amp;P126</f>
        <v>107 to 407</v>
      </c>
      <c r="O126" s="2">
        <f ca="1">O125+1</f>
        <v>107</v>
      </c>
      <c r="P126" s="2">
        <f ca="1">P125+1</f>
        <v>407</v>
      </c>
    </row>
    <row r="127" spans="1:16" s="2" customFormat="1" x14ac:dyDescent="0.3">
      <c r="A127" s="70" t="s">
        <v>177</v>
      </c>
      <c r="B127" s="71"/>
      <c r="C127" s="71"/>
      <c r="D127" s="71"/>
      <c r="E127" s="71"/>
      <c r="F127" s="71"/>
      <c r="G127" s="71"/>
      <c r="H127" s="72"/>
      <c r="J127" s="31"/>
    </row>
    <row r="128" spans="1:16" s="2" customFormat="1" x14ac:dyDescent="0.3">
      <c r="A128" s="70" t="s">
        <v>181</v>
      </c>
      <c r="B128" s="71"/>
      <c r="C128" s="71"/>
      <c r="D128" s="71"/>
      <c r="E128" s="71"/>
      <c r="F128" s="71"/>
      <c r="G128" s="71"/>
      <c r="H128" s="72"/>
      <c r="I128" s="31"/>
    </row>
    <row r="129" spans="1:16" s="2" customFormat="1" x14ac:dyDescent="0.3">
      <c r="A129" s="60" t="str">
        <f t="shared" ref="A129:A135" ca="1" si="12">N129</f>
        <v>101 to 401</v>
      </c>
      <c r="B129" s="61"/>
      <c r="C129" s="30" t="s">
        <v>178</v>
      </c>
      <c r="D129" s="30">
        <f>24.8*10.764</f>
        <v>266.94720000000001</v>
      </c>
      <c r="E129" s="30">
        <v>0</v>
      </c>
      <c r="F129" s="30">
        <v>382</v>
      </c>
      <c r="G129" s="60" t="str">
        <f>A128</f>
        <v xml:space="preserve">1st to 4th Floor For Residential </v>
      </c>
      <c r="H129" s="61"/>
      <c r="I129" s="31">
        <f>3200</f>
        <v>3200</v>
      </c>
      <c r="N129" s="2" t="str">
        <f t="shared" ref="N129:N135" ca="1" si="13">O129&amp;""&amp;" to "&amp;""&amp;P129</f>
        <v>101 to 401</v>
      </c>
      <c r="O129" s="2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10^ROW(INDIRECT("1:"&amp;LEN((LEFT(A128,SUM(LEN(A128)-LEN(SUBSTITUTE(A128,{"0","1","2"},""))))))))/10))*100+1</f>
        <v>101</v>
      </c>
      <c r="P129" s="2">
        <f ca="1">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",LEN(A128))),LEN(A128)))))))/10))*100+1</f>
        <v>401</v>
      </c>
    </row>
    <row r="130" spans="1:16" s="2" customFormat="1" x14ac:dyDescent="0.3">
      <c r="A130" s="60" t="str">
        <f t="shared" ca="1" si="12"/>
        <v>102 to 402</v>
      </c>
      <c r="B130" s="61"/>
      <c r="C130" s="30" t="s">
        <v>179</v>
      </c>
      <c r="D130" s="30">
        <f>37.11*10.764</f>
        <v>399.45203999999995</v>
      </c>
      <c r="E130" s="30">
        <v>0</v>
      </c>
      <c r="F130" s="30">
        <v>572</v>
      </c>
      <c r="G130" s="60" t="str">
        <f t="shared" ref="G130:G135" si="14">G129</f>
        <v xml:space="preserve">1st to 4th Floor For Residential </v>
      </c>
      <c r="H130" s="61"/>
      <c r="I130" s="31"/>
      <c r="N130" s="2" t="str">
        <f t="shared" ca="1" si="13"/>
        <v>102 to 402</v>
      </c>
      <c r="O130" s="2">
        <f t="shared" ref="O130:P130" ca="1" si="15">O129+1</f>
        <v>102</v>
      </c>
      <c r="P130" s="2">
        <f t="shared" ca="1" si="15"/>
        <v>402</v>
      </c>
    </row>
    <row r="131" spans="1:16" s="2" customFormat="1" x14ac:dyDescent="0.3">
      <c r="A131" s="60" t="str">
        <f t="shared" ca="1" si="12"/>
        <v>103 to 403</v>
      </c>
      <c r="B131" s="61"/>
      <c r="C131" s="30" t="s">
        <v>179</v>
      </c>
      <c r="D131" s="30">
        <f>35*10.764</f>
        <v>376.73999999999995</v>
      </c>
      <c r="E131" s="30">
        <v>0</v>
      </c>
      <c r="F131" s="30">
        <v>539</v>
      </c>
      <c r="G131" s="60" t="str">
        <f t="shared" si="14"/>
        <v xml:space="preserve">1st to 4th Floor For Residential </v>
      </c>
      <c r="H131" s="61"/>
      <c r="I131" s="51">
        <f>537/D131</f>
        <v>1.4253862079949038</v>
      </c>
      <c r="N131" s="2" t="str">
        <f t="shared" ca="1" si="13"/>
        <v>103 to 403</v>
      </c>
      <c r="O131" s="2">
        <f t="shared" ref="O131:P131" ca="1" si="16">O130+1</f>
        <v>103</v>
      </c>
      <c r="P131" s="2">
        <f t="shared" ca="1" si="16"/>
        <v>403</v>
      </c>
    </row>
    <row r="132" spans="1:16" s="2" customFormat="1" x14ac:dyDescent="0.3">
      <c r="A132" s="60" t="str">
        <f t="shared" ca="1" si="12"/>
        <v>104 to 404</v>
      </c>
      <c r="B132" s="61"/>
      <c r="C132" s="30" t="s">
        <v>179</v>
      </c>
      <c r="D132" s="30">
        <f>36.56*10.764</f>
        <v>393.53183999999999</v>
      </c>
      <c r="E132" s="30">
        <v>0</v>
      </c>
      <c r="F132" s="30">
        <v>563</v>
      </c>
      <c r="G132" s="60" t="str">
        <f t="shared" si="14"/>
        <v xml:space="preserve">1st to 4th Floor For Residential </v>
      </c>
      <c r="H132" s="61"/>
      <c r="I132" s="31">
        <f>2768000/F132</f>
        <v>4916.5186500888103</v>
      </c>
      <c r="N132" s="2" t="str">
        <f t="shared" ca="1" si="13"/>
        <v>104 to 404</v>
      </c>
      <c r="O132" s="2">
        <f t="shared" ref="O132:P132" ca="1" si="17">O131+1</f>
        <v>104</v>
      </c>
      <c r="P132" s="2">
        <f t="shared" ca="1" si="17"/>
        <v>404</v>
      </c>
    </row>
    <row r="133" spans="1:16" s="2" customFormat="1" x14ac:dyDescent="0.3">
      <c r="A133" s="60" t="str">
        <f t="shared" ca="1" si="12"/>
        <v>105 to 405</v>
      </c>
      <c r="B133" s="61"/>
      <c r="C133" s="30" t="s">
        <v>178</v>
      </c>
      <c r="D133" s="30">
        <f>23.8*10.764</f>
        <v>256.1832</v>
      </c>
      <c r="E133" s="30">
        <v>0</v>
      </c>
      <c r="F133" s="30">
        <v>367</v>
      </c>
      <c r="G133" s="60" t="str">
        <f t="shared" si="14"/>
        <v xml:space="preserve">1st to 4th Floor For Residential </v>
      </c>
      <c r="H133" s="61"/>
      <c r="I133" s="31"/>
      <c r="N133" s="2" t="str">
        <f t="shared" ca="1" si="13"/>
        <v>105 to 405</v>
      </c>
      <c r="O133" s="2">
        <f t="shared" ref="O133:P133" ca="1" si="18">O132+1</f>
        <v>105</v>
      </c>
      <c r="P133" s="2">
        <f t="shared" ca="1" si="18"/>
        <v>405</v>
      </c>
    </row>
    <row r="134" spans="1:16" s="2" customFormat="1" x14ac:dyDescent="0.3">
      <c r="A134" s="60" t="str">
        <f t="shared" ca="1" si="12"/>
        <v>106 to 406</v>
      </c>
      <c r="B134" s="61"/>
      <c r="C134" s="30" t="s">
        <v>178</v>
      </c>
      <c r="D134" s="30">
        <f>23.8*10.764</f>
        <v>256.1832</v>
      </c>
      <c r="E134" s="30">
        <v>0</v>
      </c>
      <c r="F134" s="30">
        <v>367</v>
      </c>
      <c r="G134" s="60" t="str">
        <f t="shared" si="14"/>
        <v xml:space="preserve">1st to 4th Floor For Residential </v>
      </c>
      <c r="H134" s="61"/>
      <c r="I134" s="31"/>
      <c r="N134" s="2" t="str">
        <f t="shared" ca="1" si="13"/>
        <v>106 to 406</v>
      </c>
      <c r="O134" s="2">
        <f ca="1">O133+1</f>
        <v>106</v>
      </c>
      <c r="P134" s="2">
        <f ca="1">P133+1</f>
        <v>406</v>
      </c>
    </row>
    <row r="135" spans="1:16" s="2" customFormat="1" x14ac:dyDescent="0.3">
      <c r="A135" s="60" t="str">
        <f t="shared" ca="1" si="12"/>
        <v>107 to 407</v>
      </c>
      <c r="B135" s="61"/>
      <c r="C135" s="30" t="s">
        <v>178</v>
      </c>
      <c r="D135" s="30">
        <f>23.82*10.764</f>
        <v>256.39848000000001</v>
      </c>
      <c r="E135" s="30">
        <v>0</v>
      </c>
      <c r="F135" s="30">
        <v>367</v>
      </c>
      <c r="G135" s="60" t="str">
        <f t="shared" si="14"/>
        <v xml:space="preserve">1st to 4th Floor For Residential </v>
      </c>
      <c r="H135" s="61"/>
      <c r="I135" s="31"/>
      <c r="N135" s="2" t="str">
        <f t="shared" ca="1" si="13"/>
        <v>107 to 407</v>
      </c>
      <c r="O135" s="2">
        <f ca="1">O134+1</f>
        <v>107</v>
      </c>
      <c r="P135" s="2">
        <f ca="1">P134+1</f>
        <v>407</v>
      </c>
    </row>
    <row r="136" spans="1:16" s="1" customFormat="1" x14ac:dyDescent="0.3">
      <c r="A136" s="125" t="s">
        <v>73</v>
      </c>
      <c r="B136" s="125"/>
      <c r="C136" s="125"/>
      <c r="D136" s="125"/>
      <c r="E136" s="125"/>
      <c r="F136" s="125"/>
      <c r="G136" s="125"/>
      <c r="H136" s="125"/>
    </row>
    <row r="137" spans="1:16" s="1" customFormat="1" ht="31.5" customHeight="1" x14ac:dyDescent="0.3">
      <c r="A137" s="34">
        <v>1</v>
      </c>
      <c r="B137" s="84" t="s">
        <v>205</v>
      </c>
      <c r="C137" s="85"/>
      <c r="D137" s="85"/>
      <c r="E137" s="85"/>
      <c r="F137" s="85"/>
      <c r="G137" s="85"/>
      <c r="H137" s="86"/>
    </row>
    <row r="138" spans="1:16" s="1" customFormat="1" x14ac:dyDescent="0.3">
      <c r="A138" s="34">
        <f t="shared" ref="A138:A144" si="19">A137+1</f>
        <v>2</v>
      </c>
      <c r="B138" s="84" t="str">
        <f>(IF(F117="Saleable area Loading :","We have considered Saleable area of Flats as per our Calculation.","We considered Saleable area of Flat as per Builder area Sheet."))</f>
        <v>We considered Saleable area of Flat as per Builder area Sheet.</v>
      </c>
      <c r="C138" s="85"/>
      <c r="D138" s="85"/>
      <c r="E138" s="85"/>
      <c r="F138" s="85"/>
      <c r="G138" s="85"/>
      <c r="H138" s="86"/>
    </row>
    <row r="139" spans="1:16" s="1" customFormat="1" x14ac:dyDescent="0.3">
      <c r="A139" s="34">
        <f t="shared" si="19"/>
        <v>3</v>
      </c>
      <c r="B139" s="84" t="str">
        <f>(IF(F96="Saleable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9" s="85"/>
      <c r="D139" s="85"/>
      <c r="E139" s="85"/>
      <c r="F139" s="85"/>
      <c r="G139" s="85"/>
      <c r="H139" s="86"/>
    </row>
    <row r="140" spans="1:16" s="1" customFormat="1" x14ac:dyDescent="0.3">
      <c r="A140" s="34">
        <f>A139+1</f>
        <v>4</v>
      </c>
      <c r="B140" s="81" t="s">
        <v>131</v>
      </c>
      <c r="C140" s="82"/>
      <c r="D140" s="82"/>
      <c r="E140" s="82"/>
      <c r="F140" s="82"/>
      <c r="G140" s="82"/>
      <c r="H140" s="83"/>
    </row>
    <row r="141" spans="1:16" s="1" customFormat="1" x14ac:dyDescent="0.3">
      <c r="A141" s="34">
        <f t="shared" si="19"/>
        <v>5</v>
      </c>
      <c r="B141" s="81" t="s">
        <v>132</v>
      </c>
      <c r="C141" s="82"/>
      <c r="D141" s="82"/>
      <c r="E141" s="82"/>
      <c r="F141" s="82"/>
      <c r="G141" s="82"/>
      <c r="H141" s="83"/>
    </row>
    <row r="142" spans="1:16" s="1" customFormat="1" x14ac:dyDescent="0.3">
      <c r="A142" s="34">
        <f t="shared" si="19"/>
        <v>6</v>
      </c>
      <c r="B142" s="81" t="s">
        <v>133</v>
      </c>
      <c r="C142" s="82"/>
      <c r="D142" s="82"/>
      <c r="E142" s="82"/>
      <c r="F142" s="82"/>
      <c r="G142" s="82"/>
      <c r="H142" s="83"/>
    </row>
    <row r="143" spans="1:16" s="1" customFormat="1" x14ac:dyDescent="0.3">
      <c r="A143" s="34">
        <f t="shared" si="19"/>
        <v>7</v>
      </c>
      <c r="B143" s="81" t="s">
        <v>134</v>
      </c>
      <c r="C143" s="82"/>
      <c r="D143" s="82"/>
      <c r="E143" s="82"/>
      <c r="F143" s="82"/>
      <c r="G143" s="82"/>
      <c r="H143" s="83"/>
    </row>
    <row r="144" spans="1:16" s="1" customFormat="1" hidden="1" x14ac:dyDescent="0.3">
      <c r="A144" s="34">
        <f t="shared" si="19"/>
        <v>8</v>
      </c>
      <c r="B144" s="159" t="s">
        <v>193</v>
      </c>
      <c r="C144" s="160"/>
      <c r="D144" s="160"/>
      <c r="E144" s="160"/>
      <c r="F144" s="160"/>
      <c r="G144" s="160"/>
      <c r="H144" s="161"/>
    </row>
    <row r="145" spans="1:8" s="1" customFormat="1" ht="31.5" customHeight="1" x14ac:dyDescent="0.3">
      <c r="A145" s="34">
        <v>8</v>
      </c>
      <c r="B145" s="152" t="s">
        <v>203</v>
      </c>
      <c r="C145" s="153"/>
      <c r="D145" s="153"/>
      <c r="E145" s="153"/>
      <c r="F145" s="153"/>
      <c r="G145" s="153"/>
      <c r="H145" s="154"/>
    </row>
    <row r="146" spans="1:8" x14ac:dyDescent="0.3">
      <c r="A146" s="147" t="s">
        <v>66</v>
      </c>
      <c r="B146" s="147"/>
      <c r="C146" s="147"/>
      <c r="D146" s="147"/>
      <c r="E146" s="147"/>
      <c r="F146" s="147"/>
      <c r="G146" s="147"/>
      <c r="H146" s="147"/>
    </row>
    <row r="147" spans="1:8" x14ac:dyDescent="0.3">
      <c r="A147" s="79" t="s">
        <v>67</v>
      </c>
      <c r="B147" s="79"/>
      <c r="C147" s="79"/>
      <c r="D147" s="79"/>
      <c r="E147" s="79"/>
      <c r="F147" s="79"/>
      <c r="G147" s="79"/>
      <c r="H147" s="79"/>
    </row>
    <row r="148" spans="1:8" ht="15.75" customHeight="1" x14ac:dyDescent="0.3">
      <c r="A148" s="155" t="s">
        <v>68</v>
      </c>
      <c r="B148" s="155"/>
      <c r="C148" s="155"/>
      <c r="D148" s="155"/>
      <c r="E148" s="155"/>
      <c r="F148" s="155"/>
      <c r="G148" s="155"/>
      <c r="H148" s="155"/>
    </row>
    <row r="149" spans="1:8" x14ac:dyDescent="0.3">
      <c r="A149" s="79" t="s">
        <v>69</v>
      </c>
      <c r="B149" s="79"/>
      <c r="C149" s="79"/>
      <c r="D149" s="79"/>
      <c r="E149" s="79"/>
      <c r="F149" s="79"/>
      <c r="G149" s="79"/>
      <c r="H149" s="79"/>
    </row>
    <row r="150" spans="1:8" x14ac:dyDescent="0.3">
      <c r="A150" s="79" t="s">
        <v>70</v>
      </c>
      <c r="B150" s="79"/>
      <c r="C150" s="79"/>
      <c r="D150" s="79"/>
      <c r="E150" s="79"/>
      <c r="F150" s="79"/>
      <c r="G150" s="79"/>
      <c r="H150" s="79"/>
    </row>
    <row r="151" spans="1:8" hidden="1" x14ac:dyDescent="0.3">
      <c r="A151" s="79" t="s">
        <v>135</v>
      </c>
      <c r="B151" s="79"/>
      <c r="C151" s="79"/>
      <c r="D151" s="79"/>
      <c r="E151" s="79"/>
      <c r="F151" s="79"/>
      <c r="G151" s="79"/>
      <c r="H151" s="79"/>
    </row>
    <row r="152" spans="1:8" ht="35.25" hidden="1" customHeight="1" x14ac:dyDescent="0.3">
      <c r="A152" s="99" t="s">
        <v>136</v>
      </c>
      <c r="B152" s="99"/>
      <c r="C152" s="99"/>
      <c r="D152" s="99"/>
      <c r="E152" s="99"/>
      <c r="F152" s="99"/>
      <c r="G152" s="99"/>
      <c r="H152" s="99"/>
    </row>
    <row r="153" spans="1:8" x14ac:dyDescent="0.3">
      <c r="A153" s="123" t="s">
        <v>84</v>
      </c>
      <c r="B153" s="123"/>
      <c r="C153" s="123" t="s">
        <v>202</v>
      </c>
      <c r="D153" s="123"/>
      <c r="E153" s="123" t="s">
        <v>112</v>
      </c>
      <c r="F153" s="123"/>
      <c r="G153" s="123" t="s">
        <v>204</v>
      </c>
      <c r="H153" s="123"/>
    </row>
    <row r="154" spans="1:8" x14ac:dyDescent="0.3">
      <c r="A154" s="122" t="s">
        <v>86</v>
      </c>
      <c r="B154" s="122"/>
      <c r="C154" s="122"/>
      <c r="D154" s="122"/>
      <c r="E154" s="122"/>
      <c r="F154" s="122"/>
      <c r="G154" s="122"/>
      <c r="H154" s="122"/>
    </row>
    <row r="155" spans="1:8" x14ac:dyDescent="0.3">
      <c r="A155" s="122"/>
      <c r="B155" s="122"/>
      <c r="C155" s="122"/>
      <c r="D155" s="122"/>
      <c r="E155" s="122"/>
      <c r="F155" s="122"/>
      <c r="G155" s="122"/>
      <c r="H155" s="122"/>
    </row>
    <row r="156" spans="1:8" x14ac:dyDescent="0.3">
      <c r="A156" s="122"/>
      <c r="B156" s="122"/>
      <c r="C156" s="122"/>
      <c r="D156" s="122"/>
      <c r="E156" s="122"/>
      <c r="F156" s="122"/>
      <c r="G156" s="122"/>
      <c r="H156" s="122"/>
    </row>
    <row r="157" spans="1:8" x14ac:dyDescent="0.3">
      <c r="A157" s="122"/>
      <c r="B157" s="122"/>
      <c r="C157" s="122"/>
      <c r="D157" s="122"/>
      <c r="E157" s="122"/>
      <c r="F157" s="122"/>
      <c r="G157" s="122"/>
      <c r="H157" s="122"/>
    </row>
    <row r="158" spans="1:8" x14ac:dyDescent="0.3">
      <c r="A158" s="8" t="s">
        <v>71</v>
      </c>
      <c r="B158" s="9"/>
      <c r="C158" s="9"/>
      <c r="D158" s="8" t="str">
        <f>E8</f>
        <v>Gagangiri Complex</v>
      </c>
      <c r="F158" s="9"/>
      <c r="G158" s="9"/>
      <c r="H158" s="9"/>
    </row>
    <row r="159" spans="1:8" x14ac:dyDescent="0.3">
      <c r="A159" s="9"/>
      <c r="B159" s="9"/>
      <c r="C159" s="9"/>
      <c r="D159" s="9"/>
      <c r="E159" s="9"/>
      <c r="F159" s="9"/>
      <c r="G159" s="9"/>
      <c r="H159" s="9"/>
    </row>
    <row r="160" spans="1:8" x14ac:dyDescent="0.3">
      <c r="A160" s="9"/>
      <c r="B160" s="9"/>
      <c r="C160" s="9"/>
      <c r="D160" s="9"/>
      <c r="E160" s="9"/>
      <c r="F160" s="9"/>
      <c r="G160" s="9"/>
      <c r="H160" s="9"/>
    </row>
    <row r="161" ht="15" customHeight="1" x14ac:dyDescent="0.3"/>
    <row r="192" spans="9:9" x14ac:dyDescent="0.3">
      <c r="I192"/>
    </row>
    <row r="201" spans="1:1" x14ac:dyDescent="0.3">
      <c r="A201" s="11" t="s">
        <v>72</v>
      </c>
    </row>
  </sheetData>
  <mergeCells count="309">
    <mergeCell ref="I10:L10"/>
    <mergeCell ref="E40:H40"/>
    <mergeCell ref="A40:D40"/>
    <mergeCell ref="A151:H151"/>
    <mergeCell ref="A148:H148"/>
    <mergeCell ref="G123:H123"/>
    <mergeCell ref="A90:B90"/>
    <mergeCell ref="G117:H117"/>
    <mergeCell ref="A72:B72"/>
    <mergeCell ref="F78:H78"/>
    <mergeCell ref="A77:H77"/>
    <mergeCell ref="G86:H86"/>
    <mergeCell ref="A46:B46"/>
    <mergeCell ref="C46:E46"/>
    <mergeCell ref="B143:H143"/>
    <mergeCell ref="B144:H144"/>
    <mergeCell ref="G46:H46"/>
    <mergeCell ref="G48:H48"/>
    <mergeCell ref="D52:H52"/>
    <mergeCell ref="C48:E48"/>
    <mergeCell ref="A55:C55"/>
    <mergeCell ref="D55:H55"/>
    <mergeCell ref="C47:E47"/>
    <mergeCell ref="A147:H147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85:B85"/>
    <mergeCell ref="C85:D85"/>
    <mergeCell ref="A95:H95"/>
    <mergeCell ref="G85:H85"/>
    <mergeCell ref="A61:C61"/>
    <mergeCell ref="D61:H61"/>
    <mergeCell ref="A67:B67"/>
    <mergeCell ref="A81:E81"/>
    <mergeCell ref="C86:D86"/>
    <mergeCell ref="E86:F86"/>
    <mergeCell ref="B145:H145"/>
    <mergeCell ref="A56:C56"/>
    <mergeCell ref="A57:C57"/>
    <mergeCell ref="D56:H56"/>
    <mergeCell ref="D57:H57"/>
    <mergeCell ref="D54:H54"/>
    <mergeCell ref="A54:C54"/>
    <mergeCell ref="G47:H47"/>
    <mergeCell ref="A48:B49"/>
    <mergeCell ref="A146:H146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54:H157"/>
    <mergeCell ref="A153:B153"/>
    <mergeCell ref="E153:F153"/>
    <mergeCell ref="C153:D153"/>
    <mergeCell ref="G153:H153"/>
    <mergeCell ref="A84:H84"/>
    <mergeCell ref="A82:E82"/>
    <mergeCell ref="F82:H82"/>
    <mergeCell ref="A83:E83"/>
    <mergeCell ref="F83:H83"/>
    <mergeCell ref="A92:B92"/>
    <mergeCell ref="A129:B129"/>
    <mergeCell ref="A86:B86"/>
    <mergeCell ref="A149:H149"/>
    <mergeCell ref="A89:H89"/>
    <mergeCell ref="A152:H152"/>
    <mergeCell ref="A150:H150"/>
    <mergeCell ref="A136:H136"/>
    <mergeCell ref="A99:H99"/>
    <mergeCell ref="E96:E97"/>
    <mergeCell ref="G96:H97"/>
    <mergeCell ref="A87:B87"/>
    <mergeCell ref="B96:B97"/>
    <mergeCell ref="A96:A97"/>
    <mergeCell ref="A88:B88"/>
    <mergeCell ref="E85:F85"/>
    <mergeCell ref="A94:H94"/>
    <mergeCell ref="E90:F90"/>
    <mergeCell ref="G66:H66"/>
    <mergeCell ref="A65:B65"/>
    <mergeCell ref="A63:B63"/>
    <mergeCell ref="C63:H63"/>
    <mergeCell ref="A71:B71"/>
    <mergeCell ref="A74:B74"/>
    <mergeCell ref="A78:E78"/>
    <mergeCell ref="E67:F76"/>
    <mergeCell ref="G67:H76"/>
    <mergeCell ref="A75:B75"/>
    <mergeCell ref="A76:B76"/>
    <mergeCell ref="A73:B73"/>
    <mergeCell ref="A66:B66"/>
    <mergeCell ref="A69:B69"/>
    <mergeCell ref="E87:F87"/>
    <mergeCell ref="G87:H8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L106:M106"/>
    <mergeCell ref="L105:M105"/>
    <mergeCell ref="G102:H102"/>
    <mergeCell ref="G100:H100"/>
    <mergeCell ref="G106:H106"/>
    <mergeCell ref="G105:H105"/>
    <mergeCell ref="G101:H101"/>
    <mergeCell ref="G104:H104"/>
    <mergeCell ref="G103:H103"/>
    <mergeCell ref="L104:M104"/>
    <mergeCell ref="L103:M103"/>
    <mergeCell ref="L102:M102"/>
    <mergeCell ref="L101:M101"/>
    <mergeCell ref="L100:M100"/>
    <mergeCell ref="B142:H142"/>
    <mergeCell ref="B139:H139"/>
    <mergeCell ref="B137:H137"/>
    <mergeCell ref="B138:H138"/>
    <mergeCell ref="B140:H140"/>
    <mergeCell ref="B141:H141"/>
    <mergeCell ref="A116:H116"/>
    <mergeCell ref="A125:B125"/>
    <mergeCell ref="G125:H125"/>
    <mergeCell ref="A120:B120"/>
    <mergeCell ref="A121:B121"/>
    <mergeCell ref="A122:B122"/>
    <mergeCell ref="A132:B132"/>
    <mergeCell ref="G131:H131"/>
    <mergeCell ref="G130:H130"/>
    <mergeCell ref="G132:H132"/>
    <mergeCell ref="G124:H124"/>
    <mergeCell ref="G120:H120"/>
    <mergeCell ref="A123:B123"/>
    <mergeCell ref="A124:B124"/>
    <mergeCell ref="A131:B131"/>
    <mergeCell ref="A130:B130"/>
    <mergeCell ref="G121:H121"/>
    <mergeCell ref="A134:B134"/>
    <mergeCell ref="L109:M109"/>
    <mergeCell ref="A110:B110"/>
    <mergeCell ref="G110:H110"/>
    <mergeCell ref="L110:M110"/>
    <mergeCell ref="A111:B111"/>
    <mergeCell ref="G111:H111"/>
    <mergeCell ref="L111:M111"/>
    <mergeCell ref="A91:B91"/>
    <mergeCell ref="F79:H79"/>
    <mergeCell ref="A79:E79"/>
    <mergeCell ref="D96:D97"/>
    <mergeCell ref="A106:B106"/>
    <mergeCell ref="A100:B100"/>
    <mergeCell ref="A101:B101"/>
    <mergeCell ref="A102:B102"/>
    <mergeCell ref="A103:B103"/>
    <mergeCell ref="A104:B104"/>
    <mergeCell ref="A80:E80"/>
    <mergeCell ref="F80:H80"/>
    <mergeCell ref="F81:H81"/>
    <mergeCell ref="A98:H98"/>
    <mergeCell ref="A93:B93"/>
    <mergeCell ref="C90:D90"/>
    <mergeCell ref="G90:H90"/>
    <mergeCell ref="L115:M115"/>
    <mergeCell ref="A118:H118"/>
    <mergeCell ref="A126:B126"/>
    <mergeCell ref="G126:H126"/>
    <mergeCell ref="A127:H127"/>
    <mergeCell ref="A128:H128"/>
    <mergeCell ref="A133:B133"/>
    <mergeCell ref="G133:H133"/>
    <mergeCell ref="A112:B112"/>
    <mergeCell ref="G112:H112"/>
    <mergeCell ref="L112:M112"/>
    <mergeCell ref="A113:B113"/>
    <mergeCell ref="G113:H113"/>
    <mergeCell ref="L113:M113"/>
    <mergeCell ref="A114:B114"/>
    <mergeCell ref="G114:H114"/>
    <mergeCell ref="L114:M114"/>
    <mergeCell ref="G129:H129"/>
    <mergeCell ref="G122:H122"/>
    <mergeCell ref="A119:H119"/>
    <mergeCell ref="G134:H134"/>
    <mergeCell ref="A135:B135"/>
    <mergeCell ref="G135:H135"/>
    <mergeCell ref="C91:D91"/>
    <mergeCell ref="E91:F91"/>
    <mergeCell ref="G91:H91"/>
    <mergeCell ref="C87:D87"/>
    <mergeCell ref="C88:D88"/>
    <mergeCell ref="E88:F88"/>
    <mergeCell ref="G88:H88"/>
    <mergeCell ref="C93:D93"/>
    <mergeCell ref="E93:F93"/>
    <mergeCell ref="G93:H93"/>
    <mergeCell ref="A115:B115"/>
    <mergeCell ref="G115:H115"/>
    <mergeCell ref="A107:H107"/>
    <mergeCell ref="A108:H108"/>
    <mergeCell ref="A109:B109"/>
    <mergeCell ref="G109:H109"/>
    <mergeCell ref="A105:B105"/>
    <mergeCell ref="C92:D92"/>
    <mergeCell ref="E92:F92"/>
    <mergeCell ref="G92:H92"/>
    <mergeCell ref="C96:C97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57" max="16383" man="1"/>
    <brk id="2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G12" sqref="G12"/>
    </sheetView>
  </sheetViews>
  <sheetFormatPr defaultColWidth="8.6640625" defaultRowHeight="14.4" x14ac:dyDescent="0.3"/>
  <cols>
    <col min="1" max="1" width="8.6640625" style="16"/>
    <col min="2" max="2" width="22.109375" style="16" customWidth="1"/>
    <col min="3" max="3" width="37" style="16" customWidth="1"/>
    <col min="4" max="5" width="11.44140625" style="16" customWidth="1"/>
    <col min="6" max="6" width="14" style="16" customWidth="1"/>
    <col min="7" max="7" width="20" style="16" customWidth="1"/>
    <col min="8" max="8" width="16.44140625" style="16" customWidth="1"/>
    <col min="9" max="16384" width="8.6640625" style="16"/>
  </cols>
  <sheetData>
    <row r="1" spans="1:9" ht="15" customHeight="1" x14ac:dyDescent="0.3"/>
    <row r="2" spans="1:9" ht="1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ht="15.75" customHeight="1" x14ac:dyDescent="0.3">
      <c r="A3" s="17"/>
      <c r="B3" s="166" t="s">
        <v>113</v>
      </c>
      <c r="C3" s="166"/>
      <c r="D3" s="166"/>
      <c r="E3" s="166"/>
      <c r="F3" s="166"/>
      <c r="G3" s="166"/>
      <c r="H3" s="166"/>
    </row>
    <row r="4" spans="1:9" x14ac:dyDescent="0.3">
      <c r="A4" s="17"/>
      <c r="B4" s="18" t="s">
        <v>114</v>
      </c>
      <c r="C4" s="18" t="s">
        <v>115</v>
      </c>
      <c r="D4" s="18" t="s">
        <v>74</v>
      </c>
      <c r="E4" s="18" t="s">
        <v>116</v>
      </c>
      <c r="F4" s="18" t="s">
        <v>122</v>
      </c>
      <c r="G4" s="18" t="s">
        <v>123</v>
      </c>
      <c r="H4" s="18" t="s">
        <v>117</v>
      </c>
    </row>
    <row r="5" spans="1:9" ht="15" customHeight="1" x14ac:dyDescent="0.3">
      <c r="A5" s="17"/>
      <c r="B5" s="20" t="s">
        <v>118</v>
      </c>
      <c r="C5" s="21"/>
      <c r="D5" s="20"/>
      <c r="E5" s="20"/>
      <c r="F5" s="22">
        <f>E5*1.6</f>
        <v>0</v>
      </c>
      <c r="G5" s="22" t="e">
        <f>H5/F5</f>
        <v>#DIV/0!</v>
      </c>
      <c r="H5" s="23"/>
    </row>
    <row r="6" spans="1:9" x14ac:dyDescent="0.3">
      <c r="A6" s="17"/>
      <c r="B6" s="20" t="s">
        <v>118</v>
      </c>
      <c r="C6" s="24"/>
      <c r="D6" s="20"/>
      <c r="E6" s="20"/>
      <c r="F6" s="22">
        <f t="shared" ref="F6:F9" si="0">E6*1.6</f>
        <v>0</v>
      </c>
      <c r="G6" s="22" t="e">
        <f t="shared" ref="G6:G11" si="1">H6/F6</f>
        <v>#DIV/0!</v>
      </c>
      <c r="H6" s="23"/>
    </row>
    <row r="7" spans="1:9" ht="15" customHeight="1" x14ac:dyDescent="0.3">
      <c r="A7" s="17"/>
      <c r="B7" s="20" t="s">
        <v>118</v>
      </c>
      <c r="C7" s="21"/>
      <c r="D7" s="20"/>
      <c r="E7" s="20"/>
      <c r="F7" s="22">
        <f t="shared" si="0"/>
        <v>0</v>
      </c>
      <c r="G7" s="22" t="e">
        <f t="shared" si="1"/>
        <v>#DIV/0!</v>
      </c>
      <c r="H7" s="23"/>
    </row>
    <row r="8" spans="1:9" x14ac:dyDescent="0.3">
      <c r="A8" s="17"/>
      <c r="B8" s="20" t="s">
        <v>118</v>
      </c>
      <c r="C8" s="24"/>
      <c r="D8" s="20"/>
      <c r="E8" s="20"/>
      <c r="F8" s="22">
        <f t="shared" si="0"/>
        <v>0</v>
      </c>
      <c r="G8" s="22" t="e">
        <f t="shared" si="1"/>
        <v>#DIV/0!</v>
      </c>
      <c r="H8" s="23"/>
    </row>
    <row r="9" spans="1:9" ht="15" customHeight="1" x14ac:dyDescent="0.3">
      <c r="A9" s="17"/>
      <c r="B9" s="20" t="s">
        <v>118</v>
      </c>
      <c r="C9" s="24"/>
      <c r="D9" s="20"/>
      <c r="E9" s="20"/>
      <c r="F9" s="22">
        <f t="shared" si="0"/>
        <v>0</v>
      </c>
      <c r="G9" s="22" t="e">
        <f t="shared" si="1"/>
        <v>#DIV/0!</v>
      </c>
      <c r="H9" s="23"/>
    </row>
    <row r="10" spans="1:9" ht="15" customHeight="1" x14ac:dyDescent="0.3">
      <c r="A10" s="17"/>
      <c r="B10" s="20" t="s">
        <v>119</v>
      </c>
      <c r="C10" s="21"/>
      <c r="D10" s="52" t="s">
        <v>179</v>
      </c>
      <c r="E10" s="20">
        <v>394</v>
      </c>
      <c r="F10" s="22">
        <v>563</v>
      </c>
      <c r="G10" s="22">
        <f t="shared" si="1"/>
        <v>2042.6287744227354</v>
      </c>
      <c r="H10" s="23">
        <v>1150000</v>
      </c>
    </row>
    <row r="11" spans="1:9" ht="15" customHeight="1" x14ac:dyDescent="0.3">
      <c r="A11" s="17"/>
      <c r="B11" s="20" t="s">
        <v>119</v>
      </c>
      <c r="C11" s="21"/>
      <c r="D11" s="52" t="s">
        <v>178</v>
      </c>
      <c r="E11" s="20">
        <v>257</v>
      </c>
      <c r="F11" s="22">
        <v>367</v>
      </c>
      <c r="G11" s="22">
        <f t="shared" si="1"/>
        <v>0</v>
      </c>
      <c r="H11" s="23"/>
    </row>
    <row r="12" spans="1:9" ht="15" customHeight="1" x14ac:dyDescent="0.3">
      <c r="A12" s="17"/>
      <c r="B12" s="25" t="s">
        <v>120</v>
      </c>
      <c r="C12" s="20"/>
      <c r="D12" s="20"/>
      <c r="E12" s="20"/>
      <c r="F12" s="20"/>
      <c r="G12" s="26" t="e">
        <f>AVERAGE(G5:G11)</f>
        <v>#DIV/0!</v>
      </c>
      <c r="H12" s="20"/>
    </row>
    <row r="13" spans="1:9" ht="15" customHeight="1" x14ac:dyDescent="0.3">
      <c r="B13" s="25" t="s">
        <v>121</v>
      </c>
      <c r="C13" s="20"/>
      <c r="D13" s="20"/>
      <c r="E13" s="20"/>
      <c r="F13" s="27"/>
      <c r="G13" s="25"/>
      <c r="H13" s="25"/>
      <c r="I13" s="19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2025-08-14T12:42:09Z</cp:lastPrinted>
  <dcterms:created xsi:type="dcterms:W3CDTF">2019-07-16T09:29:46Z</dcterms:created>
  <dcterms:modified xsi:type="dcterms:W3CDTF">2025-08-14T12:42:10Z</dcterms:modified>
</cp:coreProperties>
</file>