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454B5F7E-6911-47D4-83ED-CFB67ABEDB8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91" i="1"/>
  <c r="C77" i="1"/>
  <c r="C76" i="1"/>
  <c r="C103" i="1"/>
  <c r="C89" i="1"/>
  <c r="C90" i="1" s="1"/>
  <c r="D288" i="1" l="1"/>
  <c r="D287" i="1"/>
  <c r="D286" i="1"/>
  <c r="D285" i="1"/>
  <c r="D284" i="1"/>
  <c r="D283" i="1"/>
  <c r="D282" i="1"/>
  <c r="D281" i="1"/>
  <c r="D279" i="1"/>
  <c r="D278" i="1"/>
  <c r="D277" i="1"/>
  <c r="D276" i="1"/>
  <c r="D275" i="1"/>
  <c r="D274" i="1"/>
  <c r="D273" i="1"/>
  <c r="D272" i="1"/>
  <c r="D270" i="1"/>
  <c r="D269" i="1"/>
  <c r="D268" i="1"/>
  <c r="D267" i="1"/>
  <c r="D266" i="1"/>
  <c r="D265" i="1"/>
  <c r="D264" i="1"/>
  <c r="D263" i="1"/>
  <c r="D261" i="1"/>
  <c r="D260" i="1"/>
  <c r="D259" i="1"/>
  <c r="D258" i="1"/>
  <c r="D257" i="1"/>
  <c r="D256" i="1"/>
  <c r="D254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6" i="1"/>
  <c r="D232" i="1"/>
  <c r="D231" i="1"/>
  <c r="D230" i="1"/>
  <c r="D229" i="1"/>
  <c r="D228" i="1"/>
  <c r="D227" i="1"/>
  <c r="D226" i="1"/>
  <c r="D225" i="1"/>
  <c r="D223" i="1"/>
  <c r="D222" i="1"/>
  <c r="D221" i="1"/>
  <c r="D220" i="1"/>
  <c r="D219" i="1"/>
  <c r="D218" i="1"/>
  <c r="D217" i="1"/>
  <c r="D216" i="1"/>
  <c r="D214" i="1"/>
  <c r="D213" i="1"/>
  <c r="D212" i="1"/>
  <c r="D211" i="1"/>
  <c r="D210" i="1"/>
  <c r="D209" i="1"/>
  <c r="D207" i="1"/>
  <c r="D203" i="1"/>
  <c r="D202" i="1"/>
  <c r="D201" i="1"/>
  <c r="D200" i="1"/>
  <c r="D199" i="1"/>
  <c r="D198" i="1"/>
  <c r="D197" i="1"/>
  <c r="D196" i="1"/>
  <c r="D194" i="1"/>
  <c r="D193" i="1"/>
  <c r="D192" i="1"/>
  <c r="D191" i="1"/>
  <c r="D190" i="1"/>
  <c r="D189" i="1"/>
  <c r="D188" i="1"/>
  <c r="D187" i="1"/>
  <c r="D185" i="1"/>
  <c r="D184" i="1"/>
  <c r="D183" i="1"/>
  <c r="D182" i="1"/>
  <c r="D181" i="1"/>
  <c r="D180" i="1"/>
  <c r="D179" i="1"/>
  <c r="D178" i="1"/>
  <c r="D176" i="1"/>
  <c r="D175" i="1"/>
  <c r="D174" i="1"/>
  <c r="D173" i="1"/>
  <c r="D172" i="1"/>
  <c r="D171" i="1"/>
  <c r="D169" i="1"/>
  <c r="D167" i="1"/>
  <c r="D166" i="1"/>
  <c r="D165" i="1"/>
  <c r="D164" i="1"/>
  <c r="D163" i="1"/>
  <c r="D162" i="1"/>
  <c r="D161" i="1"/>
  <c r="D160" i="1"/>
  <c r="D158" i="1"/>
  <c r="D157" i="1"/>
  <c r="D156" i="1"/>
  <c r="D155" i="1"/>
  <c r="D154" i="1"/>
  <c r="D153" i="1"/>
  <c r="D151" i="1"/>
  <c r="J148" i="1"/>
  <c r="C133" i="1" l="1"/>
  <c r="C132" i="1"/>
  <c r="C131" i="1"/>
  <c r="E133" i="1"/>
  <c r="E132" i="1"/>
  <c r="E131" i="1"/>
  <c r="F288" i="1"/>
  <c r="F287" i="1"/>
  <c r="F286" i="1"/>
  <c r="F285" i="1"/>
  <c r="F284" i="1"/>
  <c r="F283" i="1"/>
  <c r="F282" i="1"/>
  <c r="A282" i="1"/>
  <c r="A283" i="1" s="1"/>
  <c r="A284" i="1" s="1"/>
  <c r="A285" i="1" s="1"/>
  <c r="A286" i="1" s="1"/>
  <c r="A287" i="1" s="1"/>
  <c r="A288" i="1" s="1"/>
  <c r="G281" i="1"/>
  <c r="G282" i="1" s="1"/>
  <c r="G283" i="1" s="1"/>
  <c r="G284" i="1" s="1"/>
  <c r="G285" i="1" s="1"/>
  <c r="G286" i="1" s="1"/>
  <c r="G287" i="1" s="1"/>
  <c r="G288" i="1" s="1"/>
  <c r="F281" i="1"/>
  <c r="F279" i="1"/>
  <c r="F278" i="1"/>
  <c r="F277" i="1"/>
  <c r="F276" i="1"/>
  <c r="F275" i="1"/>
  <c r="F274" i="1"/>
  <c r="F273" i="1"/>
  <c r="A273" i="1"/>
  <c r="A274" i="1" s="1"/>
  <c r="A275" i="1" s="1"/>
  <c r="A276" i="1" s="1"/>
  <c r="A277" i="1" s="1"/>
  <c r="A278" i="1" s="1"/>
  <c r="A279" i="1" s="1"/>
  <c r="G272" i="1"/>
  <c r="G273" i="1" s="1"/>
  <c r="G274" i="1" s="1"/>
  <c r="G275" i="1" s="1"/>
  <c r="G276" i="1" s="1"/>
  <c r="G277" i="1" s="1"/>
  <c r="G278" i="1" s="1"/>
  <c r="G279" i="1" s="1"/>
  <c r="F272" i="1"/>
  <c r="F270" i="1"/>
  <c r="F269" i="1"/>
  <c r="F268" i="1"/>
  <c r="F267" i="1"/>
  <c r="F266" i="1"/>
  <c r="F265" i="1"/>
  <c r="F264" i="1"/>
  <c r="A264" i="1"/>
  <c r="A265" i="1" s="1"/>
  <c r="A266" i="1" s="1"/>
  <c r="A267" i="1" s="1"/>
  <c r="A268" i="1" s="1"/>
  <c r="A269" i="1" s="1"/>
  <c r="A270" i="1" s="1"/>
  <c r="G263" i="1"/>
  <c r="G264" i="1" s="1"/>
  <c r="G265" i="1" s="1"/>
  <c r="G266" i="1" s="1"/>
  <c r="G267" i="1" s="1"/>
  <c r="G268" i="1" s="1"/>
  <c r="G269" i="1" s="1"/>
  <c r="G270" i="1" s="1"/>
  <c r="F263" i="1"/>
  <c r="F261" i="1"/>
  <c r="F260" i="1"/>
  <c r="F259" i="1"/>
  <c r="F258" i="1"/>
  <c r="F257" i="1"/>
  <c r="F256" i="1"/>
  <c r="A255" i="1"/>
  <c r="A256" i="1" s="1"/>
  <c r="A257" i="1" s="1"/>
  <c r="A258" i="1" s="1"/>
  <c r="A259" i="1" s="1"/>
  <c r="A260" i="1" s="1"/>
  <c r="A261" i="1" s="1"/>
  <c r="G254" i="1"/>
  <c r="G255" i="1" s="1"/>
  <c r="G256" i="1" s="1"/>
  <c r="G257" i="1" s="1"/>
  <c r="G258" i="1" s="1"/>
  <c r="G259" i="1" s="1"/>
  <c r="G260" i="1" s="1"/>
  <c r="G261" i="1" s="1"/>
  <c r="F254" i="1"/>
  <c r="F252" i="1"/>
  <c r="F251" i="1"/>
  <c r="F250" i="1"/>
  <c r="F249" i="1"/>
  <c r="F248" i="1"/>
  <c r="F247" i="1"/>
  <c r="F246" i="1"/>
  <c r="A246" i="1"/>
  <c r="A247" i="1" s="1"/>
  <c r="A248" i="1" s="1"/>
  <c r="A249" i="1" s="1"/>
  <c r="A250" i="1" s="1"/>
  <c r="A251" i="1" s="1"/>
  <c r="A252" i="1" s="1"/>
  <c r="G245" i="1"/>
  <c r="G246" i="1" s="1"/>
  <c r="G247" i="1" s="1"/>
  <c r="G248" i="1" s="1"/>
  <c r="G249" i="1" s="1"/>
  <c r="G250" i="1" s="1"/>
  <c r="G251" i="1" s="1"/>
  <c r="G252" i="1" s="1"/>
  <c r="F245" i="1"/>
  <c r="F243" i="1"/>
  <c r="F242" i="1"/>
  <c r="F241" i="1"/>
  <c r="F240" i="1"/>
  <c r="F239" i="1"/>
  <c r="F238" i="1"/>
  <c r="A237" i="1"/>
  <c r="A238" i="1" s="1"/>
  <c r="A239" i="1" s="1"/>
  <c r="A240" i="1" s="1"/>
  <c r="A241" i="1" s="1"/>
  <c r="A242" i="1" s="1"/>
  <c r="A243" i="1" s="1"/>
  <c r="G236" i="1"/>
  <c r="G237" i="1" s="1"/>
  <c r="G238" i="1" s="1"/>
  <c r="G239" i="1" s="1"/>
  <c r="G240" i="1" s="1"/>
  <c r="G241" i="1" s="1"/>
  <c r="G242" i="1" s="1"/>
  <c r="G243" i="1" s="1"/>
  <c r="F236" i="1"/>
  <c r="F232" i="1"/>
  <c r="F231" i="1"/>
  <c r="F230" i="1"/>
  <c r="F229" i="1"/>
  <c r="F228" i="1"/>
  <c r="F227" i="1"/>
  <c r="F226" i="1"/>
  <c r="A226" i="1"/>
  <c r="A227" i="1" s="1"/>
  <c r="A228" i="1" s="1"/>
  <c r="A229" i="1" s="1"/>
  <c r="A230" i="1" s="1"/>
  <c r="A231" i="1" s="1"/>
  <c r="A232" i="1" s="1"/>
  <c r="G225" i="1"/>
  <c r="G226" i="1" s="1"/>
  <c r="G227" i="1" s="1"/>
  <c r="G228" i="1" s="1"/>
  <c r="G229" i="1" s="1"/>
  <c r="G230" i="1" s="1"/>
  <c r="G231" i="1" s="1"/>
  <c r="G232" i="1" s="1"/>
  <c r="F225" i="1"/>
  <c r="F219" i="1"/>
  <c r="F218" i="1"/>
  <c r="F217" i="1"/>
  <c r="F216" i="1"/>
  <c r="F223" i="1"/>
  <c r="F212" i="1"/>
  <c r="F209" i="1"/>
  <c r="F214" i="1"/>
  <c r="F213" i="1"/>
  <c r="F211" i="1"/>
  <c r="F210" i="1"/>
  <c r="A208" i="1"/>
  <c r="A209" i="1" s="1"/>
  <c r="A210" i="1" s="1"/>
  <c r="A211" i="1" s="1"/>
  <c r="A212" i="1" s="1"/>
  <c r="A213" i="1" s="1"/>
  <c r="A214" i="1" s="1"/>
  <c r="G207" i="1"/>
  <c r="G208" i="1" s="1"/>
  <c r="G209" i="1" s="1"/>
  <c r="G210" i="1" s="1"/>
  <c r="G211" i="1" s="1"/>
  <c r="G212" i="1" s="1"/>
  <c r="G213" i="1" s="1"/>
  <c r="G214" i="1" s="1"/>
  <c r="F207" i="1"/>
  <c r="F222" i="1"/>
  <c r="F221" i="1"/>
  <c r="F220" i="1"/>
  <c r="A217" i="1"/>
  <c r="A218" i="1" s="1"/>
  <c r="A219" i="1" s="1"/>
  <c r="A220" i="1" s="1"/>
  <c r="A221" i="1" s="1"/>
  <c r="A222" i="1" s="1"/>
  <c r="A223" i="1" s="1"/>
  <c r="G216" i="1"/>
  <c r="G217" i="1" s="1"/>
  <c r="G218" i="1" s="1"/>
  <c r="G219" i="1" s="1"/>
  <c r="G220" i="1" s="1"/>
  <c r="G221" i="1" s="1"/>
  <c r="G222" i="1" s="1"/>
  <c r="G223" i="1" s="1"/>
  <c r="F203" i="1"/>
  <c r="F202" i="1"/>
  <c r="F201" i="1"/>
  <c r="F200" i="1"/>
  <c r="F199" i="1"/>
  <c r="F198" i="1"/>
  <c r="F197" i="1"/>
  <c r="A197" i="1"/>
  <c r="A198" i="1" s="1"/>
  <c r="A199" i="1" s="1"/>
  <c r="A200" i="1" s="1"/>
  <c r="A201" i="1" s="1"/>
  <c r="A202" i="1" s="1"/>
  <c r="A203" i="1" s="1"/>
  <c r="G196" i="1"/>
  <c r="G197" i="1" s="1"/>
  <c r="G198" i="1" s="1"/>
  <c r="G199" i="1" s="1"/>
  <c r="G200" i="1" s="1"/>
  <c r="G201" i="1" s="1"/>
  <c r="G202" i="1" s="1"/>
  <c r="G203" i="1" s="1"/>
  <c r="F196" i="1"/>
  <c r="F194" i="1"/>
  <c r="F193" i="1"/>
  <c r="F192" i="1"/>
  <c r="F191" i="1"/>
  <c r="F190" i="1"/>
  <c r="F189" i="1"/>
  <c r="F188" i="1"/>
  <c r="A188" i="1"/>
  <c r="A189" i="1" s="1"/>
  <c r="A190" i="1" s="1"/>
  <c r="A191" i="1" s="1"/>
  <c r="A192" i="1" s="1"/>
  <c r="A193" i="1" s="1"/>
  <c r="A194" i="1" s="1"/>
  <c r="G187" i="1"/>
  <c r="G188" i="1" s="1"/>
  <c r="G189" i="1" s="1"/>
  <c r="G190" i="1" s="1"/>
  <c r="G191" i="1" s="1"/>
  <c r="G192" i="1" s="1"/>
  <c r="G193" i="1" s="1"/>
  <c r="G194" i="1" s="1"/>
  <c r="F187" i="1"/>
  <c r="F176" i="1"/>
  <c r="F175" i="1"/>
  <c r="F174" i="1"/>
  <c r="F173" i="1"/>
  <c r="F172" i="1"/>
  <c r="F171" i="1"/>
  <c r="A170" i="1"/>
  <c r="A171" i="1" s="1"/>
  <c r="A172" i="1" s="1"/>
  <c r="A173" i="1" s="1"/>
  <c r="A174" i="1" s="1"/>
  <c r="A175" i="1" s="1"/>
  <c r="A176" i="1" s="1"/>
  <c r="G169" i="1"/>
  <c r="G170" i="1" s="1"/>
  <c r="G171" i="1" s="1"/>
  <c r="G172" i="1" s="1"/>
  <c r="G173" i="1" s="1"/>
  <c r="G174" i="1" s="1"/>
  <c r="G175" i="1" s="1"/>
  <c r="G176" i="1" s="1"/>
  <c r="F169" i="1"/>
  <c r="F185" i="1"/>
  <c r="F184" i="1"/>
  <c r="F183" i="1"/>
  <c r="F182" i="1"/>
  <c r="F181" i="1"/>
  <c r="F180" i="1"/>
  <c r="F179" i="1"/>
  <c r="A179" i="1"/>
  <c r="A180" i="1" s="1"/>
  <c r="A181" i="1" s="1"/>
  <c r="A182" i="1" s="1"/>
  <c r="A183" i="1" s="1"/>
  <c r="A184" i="1" s="1"/>
  <c r="A185" i="1" s="1"/>
  <c r="G178" i="1"/>
  <c r="G179" i="1" s="1"/>
  <c r="G180" i="1" s="1"/>
  <c r="G181" i="1" s="1"/>
  <c r="G182" i="1" s="1"/>
  <c r="G183" i="1" s="1"/>
  <c r="G184" i="1" s="1"/>
  <c r="G185" i="1" s="1"/>
  <c r="F178" i="1"/>
  <c r="F161" i="1"/>
  <c r="K151" i="1"/>
  <c r="F167" i="1"/>
  <c r="F166" i="1"/>
  <c r="F165" i="1"/>
  <c r="F164" i="1"/>
  <c r="F163" i="1"/>
  <c r="F162" i="1"/>
  <c r="A161" i="1"/>
  <c r="A162" i="1" s="1"/>
  <c r="A163" i="1" s="1"/>
  <c r="A164" i="1" s="1"/>
  <c r="A165" i="1" s="1"/>
  <c r="A166" i="1" s="1"/>
  <c r="A167" i="1" s="1"/>
  <c r="G160" i="1"/>
  <c r="G161" i="1" s="1"/>
  <c r="G162" i="1" s="1"/>
  <c r="G163" i="1" s="1"/>
  <c r="G164" i="1" s="1"/>
  <c r="G165" i="1" s="1"/>
  <c r="G166" i="1" s="1"/>
  <c r="G167" i="1" s="1"/>
  <c r="F160" i="1"/>
  <c r="F157" i="1"/>
  <c r="F154" i="1"/>
  <c r="F153" i="1"/>
  <c r="F156" i="1"/>
  <c r="F158" i="1"/>
  <c r="K153" i="1"/>
  <c r="J151" i="1"/>
  <c r="J150" i="1" s="1"/>
  <c r="N151" i="1"/>
  <c r="N153" i="1"/>
  <c r="J153" i="1"/>
  <c r="J154" i="1" s="1"/>
  <c r="F155" i="1"/>
  <c r="A152" i="1"/>
  <c r="A153" i="1" s="1"/>
  <c r="A154" i="1" s="1"/>
  <c r="A155" i="1" s="1"/>
  <c r="A156" i="1" s="1"/>
  <c r="A157" i="1" s="1"/>
  <c r="A158" i="1" s="1"/>
  <c r="G151" i="1"/>
  <c r="F151" i="1"/>
  <c r="L153" i="1" l="1"/>
  <c r="E134" i="1"/>
  <c r="G132" i="1"/>
  <c r="G133" i="1"/>
  <c r="G131" i="1"/>
  <c r="G134" i="1" s="1"/>
  <c r="G135" i="1" s="1"/>
  <c r="C134" i="1"/>
  <c r="C135" i="1" s="1"/>
  <c r="L151" i="1"/>
  <c r="E135" i="1"/>
  <c r="E43" i="1" l="1"/>
  <c r="E44" i="1" s="1"/>
  <c r="C15" i="1" l="1"/>
  <c r="E30" i="1" l="1"/>
  <c r="F292" i="1" l="1"/>
  <c r="F293" i="1"/>
  <c r="F294" i="1"/>
  <c r="F291" i="1"/>
  <c r="A292" i="1"/>
  <c r="A293" i="1" s="1"/>
  <c r="A294" i="1" s="1"/>
  <c r="G291" i="1"/>
  <c r="G292" i="1" s="1"/>
  <c r="G293" i="1" s="1"/>
  <c r="G294" i="1" s="1"/>
  <c r="F123" i="1" l="1"/>
  <c r="F142" i="1" l="1"/>
  <c r="F143" i="1"/>
  <c r="F144" i="1"/>
  <c r="F141" i="1"/>
  <c r="B321" i="1" l="1"/>
  <c r="A308" i="1"/>
  <c r="A314" i="1"/>
  <c r="A302" i="1"/>
  <c r="F318" i="1" l="1"/>
  <c r="F317" i="1"/>
  <c r="F316" i="1"/>
  <c r="F315" i="1"/>
  <c r="F314" i="1"/>
  <c r="F312" i="1"/>
  <c r="F311" i="1"/>
  <c r="F310" i="1"/>
  <c r="F309" i="1"/>
  <c r="F308" i="1"/>
  <c r="F306" i="1"/>
  <c r="F305" i="1"/>
  <c r="F304" i="1"/>
  <c r="F303" i="1"/>
  <c r="F302" i="1"/>
  <c r="F300" i="1"/>
  <c r="F299" i="1"/>
  <c r="F297" i="1"/>
  <c r="F296" i="1"/>
  <c r="F298" i="1"/>
  <c r="A315" i="1"/>
  <c r="A309" i="1"/>
  <c r="A303" i="1"/>
  <c r="B322" i="1" l="1"/>
  <c r="A310" i="1"/>
  <c r="A304" i="1"/>
  <c r="A31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43" i="1"/>
  <c r="G314" i="1"/>
  <c r="G315" i="1" s="1"/>
  <c r="G316" i="1" s="1"/>
  <c r="G317" i="1" s="1"/>
  <c r="G318" i="1" s="1"/>
  <c r="G308" i="1"/>
  <c r="G309" i="1" s="1"/>
  <c r="G310" i="1" s="1"/>
  <c r="G311" i="1" s="1"/>
  <c r="G312" i="1" s="1"/>
  <c r="G302" i="1"/>
  <c r="G303" i="1" s="1"/>
  <c r="G304" i="1" s="1"/>
  <c r="G305" i="1" s="1"/>
  <c r="G306" i="1" s="1"/>
  <c r="G296" i="1"/>
  <c r="G297" i="1" s="1"/>
  <c r="G298" i="1" s="1"/>
  <c r="G299" i="1" s="1"/>
  <c r="G300" i="1" s="1"/>
  <c r="A296" i="1"/>
  <c r="A297" i="1" s="1"/>
  <c r="A298" i="1" s="1"/>
  <c r="A299" i="1" s="1"/>
  <c r="A300" i="1" s="1"/>
  <c r="A142" i="1"/>
  <c r="A143" i="1" s="1"/>
  <c r="A144" i="1" s="1"/>
  <c r="G141" i="1"/>
  <c r="G142" i="1" s="1"/>
  <c r="G143" i="1" s="1"/>
  <c r="G144" i="1" s="1"/>
  <c r="C96" i="1"/>
  <c r="C82" i="1"/>
  <c r="C68" i="1"/>
  <c r="D55" i="1"/>
  <c r="G50" i="1"/>
  <c r="G51" i="1" s="1"/>
  <c r="C50" i="1"/>
  <c r="C51" i="1" s="1"/>
  <c r="E27" i="1"/>
  <c r="E25" i="1"/>
  <c r="E7" i="1"/>
  <c r="E3" i="1"/>
  <c r="H69" i="1"/>
  <c r="A305" i="1"/>
  <c r="H83" i="1"/>
  <c r="A311" i="1"/>
  <c r="A317" i="1"/>
  <c r="H97" i="1"/>
  <c r="D62" i="1" l="1"/>
  <c r="D93" i="1"/>
  <c r="D94" i="1"/>
  <c r="D95" i="1"/>
  <c r="D89" i="1"/>
  <c r="D90" i="1"/>
  <c r="D91" i="1"/>
  <c r="D92" i="1"/>
  <c r="J82" i="1"/>
  <c r="J84" i="1" s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96" i="1"/>
  <c r="J98" i="1" s="1"/>
  <c r="J100" i="1"/>
  <c r="D109" i="1"/>
  <c r="D107" i="1"/>
  <c r="D105" i="1"/>
  <c r="D103" i="1"/>
  <c r="J101" i="1"/>
  <c r="C100" i="1" s="1"/>
  <c r="J99" i="1"/>
  <c r="J102" i="1"/>
  <c r="D108" i="1"/>
  <c r="D106" i="1"/>
  <c r="D104" i="1"/>
  <c r="J88" i="1"/>
  <c r="J86" i="1"/>
  <c r="J87" i="1"/>
  <c r="C86" i="1" s="1"/>
  <c r="J85" i="1"/>
  <c r="A312" i="1"/>
  <c r="A306" i="1"/>
  <c r="A318" i="1"/>
  <c r="J103" i="1" l="1"/>
  <c r="J108" i="1" s="1"/>
  <c r="J89" i="1"/>
  <c r="J94" i="1" s="1"/>
  <c r="J104" i="1"/>
  <c r="J105" i="1" s="1"/>
  <c r="J106" i="1" s="1"/>
  <c r="J107" i="1" s="1"/>
  <c r="J90" i="1"/>
  <c r="J91" i="1" s="1"/>
  <c r="J92" i="1" s="1"/>
  <c r="J93" i="1" s="1"/>
  <c r="J76" i="1"/>
  <c r="J77" i="1" s="1"/>
  <c r="J78" i="1" s="1"/>
  <c r="J79" i="1" s="1"/>
  <c r="D102" i="1"/>
  <c r="D100" i="1"/>
  <c r="D88" i="1"/>
  <c r="D74" i="1"/>
  <c r="J70" i="1"/>
  <c r="D72" i="1"/>
  <c r="D86" i="1"/>
  <c r="J109" i="1" l="1"/>
  <c r="C101" i="1" s="1"/>
  <c r="E100" i="1" s="1"/>
  <c r="J81" i="1"/>
  <c r="J95" i="1"/>
  <c r="C87" i="1" s="1"/>
  <c r="J97" i="1" l="1"/>
  <c r="G100" i="1"/>
  <c r="D101" i="1"/>
  <c r="I97" i="1" s="1"/>
  <c r="I98" i="1" s="1"/>
  <c r="C73" i="1"/>
  <c r="G72" i="1" s="1"/>
  <c r="E86" i="1"/>
  <c r="G86" i="1"/>
  <c r="D66" i="1" s="1"/>
  <c r="D67" i="1" s="1"/>
  <c r="D87" i="1"/>
  <c r="I83" i="1" s="1"/>
  <c r="I84" i="1" s="1"/>
  <c r="J83" i="1"/>
  <c r="I96" i="1" l="1"/>
  <c r="C98" i="1" s="1"/>
  <c r="D73" i="1"/>
  <c r="I69" i="1" s="1"/>
  <c r="I70" i="1" s="1"/>
  <c r="J69" i="1"/>
  <c r="E72" i="1"/>
  <c r="F67" i="1"/>
  <c r="I82" i="1"/>
  <c r="C84" i="1" s="1"/>
  <c r="I68" i="1" l="1"/>
  <c r="C70" i="1" s="1"/>
</calcChain>
</file>

<file path=xl/sharedStrings.xml><?xml version="1.0" encoding="utf-8"?>
<sst xmlns="http://schemas.openxmlformats.org/spreadsheetml/2006/main" count="370" uniqueCount="239">
  <si>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</si>
  <si>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</si>
  <si>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</si>
  <si>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</si>
  <si>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</si>
  <si>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</si>
  <si>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</si>
  <si>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</si>
  <si>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</si>
  <si>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</si>
  <si>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</si>
  <si>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</si>
  <si>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</si>
  <si>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</si>
  <si>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</si>
  <si>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</si>
  <si>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</si>
  <si>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</si>
  <si>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</si>
  <si>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</si>
  <si>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</si>
  <si>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</si>
  <si>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</si>
  <si>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</si>
  <si>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</si>
  <si>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</si>
  <si>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</si>
  <si>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</si>
  <si>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</si>
  <si>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</si>
  <si>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</si>
  <si>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</si>
  <si>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</si>
  <si>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</si>
  <si>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</si>
  <si>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</si>
  <si>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</si>
  <si>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</si>
  <si>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</si>
  <si>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</si>
  <si>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</si>
  <si>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</si>
  <si>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</si>
  <si>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</si>
  <si>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</si>
  <si>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</si>
  <si>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</si>
  <si>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</si>
  <si>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</si>
  <si>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</si>
  <si>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</si>
  <si>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</si>
  <si>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</si>
  <si>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</si>
  <si>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</si>
  <si>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</si>
  <si>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</si>
  <si>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</si>
  <si>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</si>
  <si>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</si>
  <si>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</si>
  <si>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</si>
  <si>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</si>
  <si>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</si>
  <si>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</si>
  <si>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</si>
  <si>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</si>
  <si>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</si>
  <si>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</si>
  <si>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</si>
  <si>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</si>
  <si>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</si>
  <si>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</si>
  <si>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</si>
  <si>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</si>
  <si>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</si>
  <si>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</si>
  <si>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</si>
  <si>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</si>
  <si>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</si>
  <si>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</si>
  <si>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</si>
  <si>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</si>
  <si>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</si>
  <si>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</si>
  <si>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</si>
  <si>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</si>
  <si>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</si>
  <si>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</si>
  <si>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</si>
  <si>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</si>
  <si>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</si>
  <si>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</si>
  <si>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</si>
  <si>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</si>
  <si>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</si>
  <si>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</si>
  <si>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</si>
  <si>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</si>
  <si>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</si>
  <si>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</si>
  <si>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</si>
  <si>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</si>
  <si>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</si>
  <si>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</si>
  <si>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</si>
  <si>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</si>
  <si>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</si>
  <si>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</si>
  <si>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</si>
  <si>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</si>
  <si>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</si>
  <si>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</si>
  <si>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</si>
  <si>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</si>
  <si>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</si>
  <si>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</si>
  <si>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</si>
  <si>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</si>
  <si>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</si>
  <si>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</si>
  <si>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</si>
  <si>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</si>
  <si>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</si>
  <si>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</si>
  <si>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</si>
  <si>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</si>
  <si>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</si>
  <si>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</si>
  <si>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</si>
  <si>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</si>
  <si>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</si>
  <si>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</si>
  <si>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</si>
  <si>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</si>
  <si>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</si>
  <si>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</si>
  <si>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</si>
  <si>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</si>
  <si>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</si>
  <si>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</si>
  <si>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</si>
  <si>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</si>
  <si>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</si>
  <si>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</si>
  <si>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</si>
  <si>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</si>
  <si>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</si>
  <si>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</si>
  <si>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</si>
  <si>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</si>
  <si>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</si>
  <si>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</si>
  <si>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</si>
  <si>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</si>
  <si>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</si>
  <si>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</si>
  <si>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</si>
  <si>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</si>
  <si>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</si>
  <si>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</si>
  <si>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</si>
  <si>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</si>
  <si>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</si>
  <si>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</si>
  <si>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</si>
  <si>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</si>
  <si>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</si>
  <si>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</si>
  <si>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</si>
  <si>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</si>
  <si>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</si>
  <si>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</si>
  <si>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</si>
  <si>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</si>
  <si>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</si>
  <si>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</si>
  <si>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</si>
  <si>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</si>
  <si>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</si>
  <si>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</si>
  <si>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</si>
  <si>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Axis Goregaon</t>
  </si>
  <si>
    <t>P51700050785</t>
  </si>
  <si>
    <t>HOH Kalyan Bldg A­Oakwood Bldg B­Bridgewood Bldg C­Greenwood</t>
  </si>
  <si>
    <t>Name of the Project as per RERA</t>
  </si>
  <si>
    <t>HOH Kalyan</t>
  </si>
  <si>
    <t>Building A, B &amp; C</t>
  </si>
  <si>
    <t>Golden Mile Builders LLP</t>
  </si>
  <si>
    <t>Approved Plans, CC</t>
  </si>
  <si>
    <t>Survey No</t>
  </si>
  <si>
    <t>Gove</t>
  </si>
  <si>
    <t>Thane</t>
  </si>
  <si>
    <t>Bhiwandi</t>
  </si>
  <si>
    <t>3 Buildings</t>
  </si>
  <si>
    <t>Mumbai Metropolitan Region Development Authority (MMRDA)</t>
  </si>
  <si>
    <t>SROT/BSNA/2501/BP/GOVE-15/CC/202/2023</t>
  </si>
  <si>
    <t>1st Floor For Residential &amp; Double Enrance Lobby</t>
  </si>
  <si>
    <t>Stilt Floor For Electric &amp; Meter Room, Entrance Lobby &amp; Parking</t>
  </si>
  <si>
    <t>Net carpet = carpet + balcony</t>
  </si>
  <si>
    <t>Double Entrance Lobby</t>
  </si>
  <si>
    <t>2nd, 4th, 6th, 8th, 10th, 12th, 14th, 16th, 18th &amp; 22nd Floor</t>
  </si>
  <si>
    <t>3rd, 5th, 7th, 9th, 11th, 13th, 15th, 17th, 19th, 21st &amp; 23rd Floor</t>
  </si>
  <si>
    <t>20th Floor (Part Refuge Area)</t>
  </si>
  <si>
    <t>Refuge Area</t>
  </si>
  <si>
    <t>24th Floor</t>
  </si>
  <si>
    <t>25th Floor</t>
  </si>
  <si>
    <t>2nd, 4th, 6th, 8th, 10th, 12th, 14th &amp; 16th Floor</t>
  </si>
  <si>
    <t>3rd, 5th, 7th, 9th, 11th, 13th, 15th &amp; 17th Floor</t>
  </si>
  <si>
    <t>We considered Gross carpet area = Net carpet + balcony + Elevation.</t>
  </si>
  <si>
    <t>As per RERA - 31/01/2028</t>
  </si>
  <si>
    <t>Flats - 531</t>
  </si>
  <si>
    <t>Building A = Gr/St + 1st to 25th Floor
Building B = Gr/St + 1st to 17th Floor
Building C = Gr/St + 1st to 25th Floor</t>
  </si>
  <si>
    <t>19.251393, 73.098549</t>
  </si>
  <si>
    <t>https://goo.gl/maps/aa9KXhH1jMp8ybjh9</t>
  </si>
  <si>
    <t>Open Plot</t>
  </si>
  <si>
    <t>Maruti Suzuki ARENA</t>
  </si>
  <si>
    <t>Pardev Complex</t>
  </si>
  <si>
    <t>Saravali</t>
  </si>
  <si>
    <t>Building A (Oakwood) = Gr/St + 1st to 25th Floor
Building B (Bridgewood) = Gr/St + 1st to 17th Floor
Building C (Greenwood) = Gr/St + 1st to 25th Floor</t>
  </si>
  <si>
    <t>Building A (Oakwood) = Gr/St + 1st to 25th Floor</t>
  </si>
  <si>
    <t>Building B (Bridgewood) = Gr/St + 1st to 28th Floor</t>
  </si>
  <si>
    <t>Building C (Greenwood) = Gr/St + 1st to 25th Floor</t>
  </si>
  <si>
    <t>Building A Oakwood</t>
  </si>
  <si>
    <t>Building B (Bridgewood)</t>
  </si>
  <si>
    <t>Building C (Greenwood)</t>
  </si>
  <si>
    <t>Building A
(Oakwood)</t>
  </si>
  <si>
    <t>Kalyan Bhiwandi Road</t>
  </si>
  <si>
    <t>Kalyan West</t>
  </si>
  <si>
    <t>5.9KM from Kalyan Railway Station</t>
  </si>
  <si>
    <t>98/3, 98/5, 98/15, 98/16/1, 98/24/ 98/32, 98/33, 98/34/1, 98/34/2, 98/34/3, 98/35/A, 98/35/B, 98/35/C, 98/40, 98/49/1, 98/49/2, 98/50, 99/6/B, 99/8, 99/9, 99/10</t>
  </si>
  <si>
    <t xml:space="preserve">Swimming Pool, Lounge, Cricket Pitch, Badminton Court, Yoga/Meditation Area, Indoor Games, Sewage Treatment Plant, Rain Water Harvesting, Gymnasium
</t>
  </si>
  <si>
    <t>Mangesh Laxman Bapardekar</t>
  </si>
  <si>
    <t>Mr.Vinod 8169878066
Mr. Shriniwas 9821470766</t>
  </si>
  <si>
    <t>Development 400000 @ Bhargav COst sheet on 26/11/2024.</t>
  </si>
  <si>
    <t>Recommended Rates/Other Charges of the Property have been revised on 26/11/2024</t>
  </si>
  <si>
    <t>Construction work of Building B Bridgewood goes beyond approved no. of floor. Please provide approved plans &amp; CC.</t>
  </si>
  <si>
    <t>Kunal Kadam</t>
  </si>
  <si>
    <t>Oakwood, Bridgewood &amp; Greenwood = Construction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</si>
</sst>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69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36" xfId="0" applyNumberFormat="1" applyFont="1" applyBorder="1" applyAlignment="1" applyProtection="1">
      <alignment horizontal="center" vertical="top" wrapText="1"/>
      <protection locked="0"/>
    </xf>
    <xf numFmtId="1" fontId="8" fillId="0" borderId="37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  <xf numFmtId="1" fontId="8" fillId="0" borderId="36" xfId="0" applyNumberFormat="1" applyFont="1" applyBorder="1" applyAlignment="1" applyProtection="1">
      <alignment horizontal="center" vertical="center" wrapText="1"/>
      <protection locked="0"/>
    </xf>
    <xf numFmtId="1" fontId="10" fillId="0" borderId="36" xfId="0" applyNumberFormat="1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1" fontId="6" fillId="0" borderId="1" xfId="0" applyNumberFormat="1" applyFont="1" applyBorder="1" applyAlignment="1" applyProtection="1">
      <alignment horizontal="center" vertical="center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424295</xdr:colOff>
      <xdr:row>384</xdr:row>
      <xdr:rowOff>8660</xdr:rowOff>
    </xdr:from>
    <xdr:to>
      <xdr:col>3</xdr:col>
      <xdr:colOff>897068</xdr:colOff>
      <xdr:row>412</xdr:row>
      <xdr:rowOff>79865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295" y="71463478"/>
          <a:ext cx="2880000" cy="56476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133235</xdr:colOff>
      <xdr:row>384</xdr:row>
      <xdr:rowOff>8659</xdr:rowOff>
    </xdr:from>
    <xdr:to>
      <xdr:col>7</xdr:col>
      <xdr:colOff>315280</xdr:colOff>
      <xdr:row>399</xdr:row>
      <xdr:rowOff>127523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4303" y="71463477"/>
          <a:ext cx="2520000" cy="3106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225134</xdr:colOff>
      <xdr:row>418</xdr:row>
      <xdr:rowOff>60613</xdr:rowOff>
    </xdr:from>
    <xdr:to>
      <xdr:col>7</xdr:col>
      <xdr:colOff>656111</xdr:colOff>
      <xdr:row>434</xdr:row>
      <xdr:rowOff>125318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77342999"/>
          <a:ext cx="6120000" cy="32512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225134</xdr:colOff>
      <xdr:row>435</xdr:row>
      <xdr:rowOff>56736</xdr:rowOff>
    </xdr:from>
    <xdr:to>
      <xdr:col>7</xdr:col>
      <xdr:colOff>656111</xdr:colOff>
      <xdr:row>458</xdr:row>
      <xdr:rowOff>75580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80724827"/>
          <a:ext cx="6120000" cy="459950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181841</xdr:colOff>
      <xdr:row>438</xdr:row>
      <xdr:rowOff>112569</xdr:rowOff>
    </xdr:from>
    <xdr:to>
      <xdr:col>5</xdr:col>
      <xdr:colOff>268431</xdr:colOff>
      <xdr:row>454</xdr:row>
      <xdr:rowOff>95250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589068" y="80581501"/>
          <a:ext cx="1809749" cy="3169226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614796</xdr:colOff>
      <xdr:row>394</xdr:row>
      <xdr:rowOff>34636</xdr:rowOff>
    </xdr:from>
    <xdr:ext cx="308995" cy="342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76796" y="72641113"/>
          <a:ext cx="3089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A</a:t>
          </a:r>
        </a:p>
      </xdr:txBody>
    </xdr:sp>
    <xdr:clientData/>
  </xdr:oneCellAnchor>
  <xdr:oneCellAnchor>
    <xdr:from>
      <xdr:col>1</xdr:col>
      <xdr:colOff>346363</xdr:colOff>
      <xdr:row>399</xdr:row>
      <xdr:rowOff>8660</xdr:rowOff>
    </xdr:from>
    <xdr:ext cx="299697" cy="34278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08363" y="73610933"/>
          <a:ext cx="29969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B</a:t>
          </a:r>
        </a:p>
      </xdr:txBody>
    </xdr:sp>
    <xdr:clientData/>
  </xdr:oneCellAnchor>
  <xdr:oneCellAnchor>
    <xdr:from>
      <xdr:col>1</xdr:col>
      <xdr:colOff>640772</xdr:colOff>
      <xdr:row>403</xdr:row>
      <xdr:rowOff>112569</xdr:rowOff>
    </xdr:from>
    <xdr:ext cx="293285" cy="342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02772" y="74511478"/>
          <a:ext cx="29328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C</a:t>
          </a:r>
        </a:p>
      </xdr:txBody>
    </xdr:sp>
    <xdr:clientData/>
  </xdr:oneCellAnchor>
  <xdr:twoCellAnchor editAs="oneCell">
    <xdr:from>
      <xdr:col>14</xdr:col>
      <xdr:colOff>479713</xdr:colOff>
      <xdr:row>365</xdr:row>
      <xdr:rowOff>169024</xdr:rowOff>
    </xdr:from>
    <xdr:to>
      <xdr:col>16</xdr:col>
      <xdr:colOff>460195</xdr:colOff>
      <xdr:row>375</xdr:row>
      <xdr:rowOff>56456</xdr:rowOff>
    </xdr:to>
    <xdr:pic>
      <xdr:nvPicPr>
        <xdr:cNvPr id="39" name="Picture 38" descr="https://vsjcllp.vsjadon.com/upload/insp-216709-1525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" b="4325"/>
        <a:stretch/>
      </xdr:blipFill>
      <xdr:spPr bwMode="auto">
        <a:xfrm>
          <a:off x="12275473" y="68710924"/>
          <a:ext cx="1458762" cy="186863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491144</xdr:colOff>
      <xdr:row>339</xdr:row>
      <xdr:rowOff>78972</xdr:rowOff>
    </xdr:from>
    <xdr:to>
      <xdr:col>14</xdr:col>
      <xdr:colOff>204384</xdr:colOff>
      <xdr:row>353</xdr:row>
      <xdr:rowOff>39139</xdr:rowOff>
    </xdr:to>
    <xdr:pic>
      <xdr:nvPicPr>
        <xdr:cNvPr id="40" name="Picture 39" descr="https://vsjcllp.vsjadon.com/upload/insp-216709-843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4560"/>
        <a:stretch/>
      </xdr:blipFill>
      <xdr:spPr bwMode="auto">
        <a:xfrm>
          <a:off x="9886604" y="63477372"/>
          <a:ext cx="2113540" cy="272622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137160</xdr:colOff>
      <xdr:row>353</xdr:row>
      <xdr:rowOff>125005</xdr:rowOff>
    </xdr:from>
    <xdr:to>
      <xdr:col>16</xdr:col>
      <xdr:colOff>196022</xdr:colOff>
      <xdr:row>365</xdr:row>
      <xdr:rowOff>82433</xdr:rowOff>
    </xdr:to>
    <xdr:pic>
      <xdr:nvPicPr>
        <xdr:cNvPr id="41" name="Picture 40" descr="https://vsjcllp.vsjadon.com/upload/insp-216709-845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56520" y="66289465"/>
          <a:ext cx="3213542" cy="233486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299604</xdr:colOff>
      <xdr:row>339</xdr:row>
      <xdr:rowOff>84166</xdr:rowOff>
    </xdr:from>
    <xdr:to>
      <xdr:col>17</xdr:col>
      <xdr:colOff>286817</xdr:colOff>
      <xdr:row>353</xdr:row>
      <xdr:rowOff>39138</xdr:rowOff>
    </xdr:to>
    <xdr:pic>
      <xdr:nvPicPr>
        <xdr:cNvPr id="42" name="Picture 41" descr="https://vsjcllp.vsjadon.com/upload/insp-216709-847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95364" y="63482566"/>
          <a:ext cx="2090333" cy="272103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454429</xdr:colOff>
      <xdr:row>353</xdr:row>
      <xdr:rowOff>115338</xdr:rowOff>
    </xdr:from>
    <xdr:to>
      <xdr:col>12</xdr:col>
      <xdr:colOff>49711</xdr:colOff>
      <xdr:row>365</xdr:row>
      <xdr:rowOff>72766</xdr:rowOff>
    </xdr:to>
    <xdr:pic>
      <xdr:nvPicPr>
        <xdr:cNvPr id="43" name="Picture 42" descr="https://vsjcllp.vsjadon.com/upload/insp-216709-844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41129" y="66279798"/>
          <a:ext cx="1827942" cy="233486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166947</xdr:colOff>
      <xdr:row>365</xdr:row>
      <xdr:rowOff>156181</xdr:rowOff>
    </xdr:from>
    <xdr:to>
      <xdr:col>12</xdr:col>
      <xdr:colOff>523649</xdr:colOff>
      <xdr:row>375</xdr:row>
      <xdr:rowOff>56158</xdr:rowOff>
    </xdr:to>
    <xdr:pic>
      <xdr:nvPicPr>
        <xdr:cNvPr id="44" name="Picture 43" descr="https://vsjcllp.vsjadon.com/upload/insp-216709-849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3647" y="68698081"/>
          <a:ext cx="2589362" cy="188117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1006533</xdr:colOff>
      <xdr:row>339</xdr:row>
      <xdr:rowOff>85898</xdr:rowOff>
    </xdr:from>
    <xdr:to>
      <xdr:col>11</xdr:col>
      <xdr:colOff>399387</xdr:colOff>
      <xdr:row>353</xdr:row>
      <xdr:rowOff>40870</xdr:rowOff>
    </xdr:to>
    <xdr:pic>
      <xdr:nvPicPr>
        <xdr:cNvPr id="45" name="Picture 44" descr="https://vsjcllp.vsjadon.com/upload/insp-216709-871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96893" y="63484298"/>
          <a:ext cx="2097954" cy="272103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613411</xdr:colOff>
      <xdr:row>365</xdr:row>
      <xdr:rowOff>160366</xdr:rowOff>
    </xdr:from>
    <xdr:to>
      <xdr:col>14</xdr:col>
      <xdr:colOff>398891</xdr:colOff>
      <xdr:row>375</xdr:row>
      <xdr:rowOff>60343</xdr:rowOff>
    </xdr:to>
    <xdr:pic>
      <xdr:nvPicPr>
        <xdr:cNvPr id="46" name="Picture 45" descr="https://vsjcllp.vsjadon.com/upload/insp-216709-874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32771" y="68702266"/>
          <a:ext cx="1461880" cy="188117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344</xdr:row>
      <xdr:rowOff>38100</xdr:rowOff>
    </xdr:from>
    <xdr:to>
      <xdr:col>7</xdr:col>
      <xdr:colOff>523733</xdr:colOff>
      <xdr:row>378</xdr:row>
      <xdr:rowOff>156153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DC8A72E7-7620-11F4-B1FE-C1F0F0EB49A6}"/>
            </a:ext>
          </a:extLst>
        </xdr:cNvPr>
        <xdr:cNvGrpSpPr/>
      </xdr:nvGrpSpPr>
      <xdr:grpSpPr>
        <a:xfrm>
          <a:off x="266700" y="64259460"/>
          <a:ext cx="6101573" cy="6846513"/>
          <a:chOff x="260827" y="228600"/>
          <a:chExt cx="6101573" cy="6846513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2F13432F-E04F-8ABE-BAB3-166216D8F74C}"/>
              </a:ext>
            </a:extLst>
          </xdr:cNvPr>
          <xdr:cNvGrpSpPr/>
        </xdr:nvGrpSpPr>
        <xdr:grpSpPr>
          <a:xfrm>
            <a:off x="563195" y="5275113"/>
            <a:ext cx="5496836" cy="1800000"/>
            <a:chOff x="812164" y="5400771"/>
            <a:chExt cx="5496836" cy="180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2DA7BDC0-5498-3552-4A7A-E022C25632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12164" y="5400771"/>
              <a:ext cx="239809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739C8999-32E8-CDB3-E4E0-799822A79E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540077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4838559-80E4-FC54-FE1D-758DD7D944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60406" y="540077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E9E927AF-2036-F363-F162-4A03B2C72F18}"/>
              </a:ext>
            </a:extLst>
          </xdr:cNvPr>
          <xdr:cNvGrpSpPr/>
        </xdr:nvGrpSpPr>
        <xdr:grpSpPr>
          <a:xfrm>
            <a:off x="260827" y="228600"/>
            <a:ext cx="6101573" cy="2520000"/>
            <a:chOff x="260827" y="228600"/>
            <a:chExt cx="6101573" cy="252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34FFA6A4-95BA-A199-CB93-95A099A6D3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67598" y="2286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BFC70551-55C7-7F9C-818D-9E1F29F43B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0827" y="2286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0613E9D5-5749-ABBB-8821-EE936D8465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74369" y="2286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44F7CA99-D638-1645-63E9-198BC79BD14E}"/>
              </a:ext>
            </a:extLst>
          </xdr:cNvPr>
          <xdr:cNvGrpSpPr/>
        </xdr:nvGrpSpPr>
        <xdr:grpSpPr>
          <a:xfrm>
            <a:off x="322243" y="2930999"/>
            <a:ext cx="5978740" cy="2161716"/>
            <a:chOff x="330260" y="3007199"/>
            <a:chExt cx="5978740" cy="2161716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352F359A-0C56-4B49-9CC4-D9311FDCC7B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0260" y="3007200"/>
              <a:ext cx="2880000" cy="216171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8BBB9EFB-3BA7-A7AE-9B88-2B1609E776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29000" y="3007199"/>
              <a:ext cx="2880000" cy="216171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a9KXhH1jMp8ybjh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17"/>
  <sheetViews>
    <sheetView tabSelected="1" view="pageBreakPreview" zoomScaleNormal="100" zoomScaleSheetLayoutView="100" workbookViewId="0">
      <selection activeCell="K4" sqref="K4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332031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73" t="s">
        <v>179</v>
      </c>
      <c r="B1" s="173"/>
      <c r="C1" s="173"/>
      <c r="D1" s="173"/>
      <c r="E1" s="173"/>
      <c r="F1" s="173"/>
      <c r="G1" s="173"/>
      <c r="H1" s="173"/>
    </row>
    <row r="2" spans="1:8" ht="16.5" customHeight="1" x14ac:dyDescent="0.3">
      <c r="A2" s="137" t="s">
        <v>0</v>
      </c>
      <c r="B2" s="137"/>
      <c r="C2" s="137"/>
      <c r="D2" s="137"/>
      <c r="E2" s="137"/>
      <c r="F2" s="137"/>
      <c r="G2" s="137"/>
      <c r="H2" s="137"/>
    </row>
    <row r="3" spans="1:8" x14ac:dyDescent="0.3">
      <c r="A3" s="131" t="s">
        <v>1</v>
      </c>
      <c r="B3" s="131"/>
      <c r="C3" s="131"/>
      <c r="D3" s="131"/>
      <c r="E3" s="131" t="str">
        <f ca="1">TEXT(TODAY(),"DD/MM/YYYY")</f>
        <v>16/08/2025</v>
      </c>
      <c r="F3" s="131"/>
      <c r="G3" s="131"/>
      <c r="H3" s="131"/>
    </row>
    <row r="4" spans="1:8" ht="15" customHeight="1" x14ac:dyDescent="0.3">
      <c r="A4" s="131" t="s">
        <v>2</v>
      </c>
      <c r="B4" s="131"/>
      <c r="C4" s="131"/>
      <c r="D4" s="131"/>
      <c r="E4" s="131" t="s">
        <v>182</v>
      </c>
      <c r="F4" s="131"/>
      <c r="G4" s="131"/>
      <c r="H4" s="131"/>
    </row>
    <row r="5" spans="1:8" x14ac:dyDescent="0.3">
      <c r="A5" s="131" t="s">
        <v>3</v>
      </c>
      <c r="B5" s="131"/>
      <c r="C5" s="131"/>
      <c r="D5" s="131"/>
      <c r="E5" s="174">
        <v>45882</v>
      </c>
      <c r="F5" s="131"/>
      <c r="G5" s="131"/>
      <c r="H5" s="131"/>
    </row>
    <row r="6" spans="1:8" ht="16.5" customHeight="1" x14ac:dyDescent="0.3">
      <c r="A6" s="131" t="s">
        <v>4</v>
      </c>
      <c r="B6" s="131"/>
      <c r="C6" s="131"/>
      <c r="D6" s="131"/>
      <c r="E6" s="131" t="s">
        <v>188</v>
      </c>
      <c r="F6" s="131"/>
      <c r="G6" s="131"/>
      <c r="H6" s="131"/>
    </row>
    <row r="7" spans="1:8" ht="15" customHeight="1" x14ac:dyDescent="0.3">
      <c r="A7" s="131" t="s">
        <v>5</v>
      </c>
      <c r="B7" s="131"/>
      <c r="C7" s="131"/>
      <c r="D7" s="131"/>
      <c r="E7" s="131" t="str">
        <f>E6</f>
        <v>Golden Mile Builders LLP</v>
      </c>
      <c r="F7" s="131"/>
      <c r="G7" s="131"/>
      <c r="H7" s="131"/>
    </row>
    <row r="8" spans="1:8" x14ac:dyDescent="0.3">
      <c r="A8" s="131" t="s">
        <v>6</v>
      </c>
      <c r="B8" s="131"/>
      <c r="C8" s="131"/>
      <c r="D8" s="131"/>
      <c r="E8" s="166" t="s">
        <v>186</v>
      </c>
      <c r="F8" s="166"/>
      <c r="G8" s="166"/>
      <c r="H8" s="166"/>
    </row>
    <row r="9" spans="1:8" ht="31.5" customHeight="1" x14ac:dyDescent="0.3">
      <c r="A9" s="131" t="s">
        <v>185</v>
      </c>
      <c r="B9" s="131"/>
      <c r="C9" s="131"/>
      <c r="D9" s="131"/>
      <c r="E9" s="170" t="s">
        <v>184</v>
      </c>
      <c r="F9" s="170"/>
      <c r="G9" s="170"/>
      <c r="H9" s="170"/>
    </row>
    <row r="10" spans="1:8" x14ac:dyDescent="0.3">
      <c r="A10" s="131" t="s">
        <v>176</v>
      </c>
      <c r="B10" s="131"/>
      <c r="C10" s="131"/>
      <c r="D10" s="131"/>
      <c r="E10" s="131">
        <v>8928233577</v>
      </c>
      <c r="F10" s="131"/>
      <c r="G10" s="131"/>
      <c r="H10" s="131"/>
    </row>
    <row r="11" spans="1:8" ht="29.25" customHeight="1" x14ac:dyDescent="0.3">
      <c r="A11" s="131" t="s">
        <v>177</v>
      </c>
      <c r="B11" s="131"/>
      <c r="C11" s="131"/>
      <c r="D11" s="131"/>
      <c r="E11" s="130" t="s">
        <v>233</v>
      </c>
      <c r="F11" s="131"/>
      <c r="G11" s="131"/>
      <c r="H11" s="131"/>
    </row>
    <row r="12" spans="1:8" x14ac:dyDescent="0.3">
      <c r="A12" s="131" t="s">
        <v>7</v>
      </c>
      <c r="B12" s="131"/>
      <c r="C12" s="131"/>
      <c r="D12" s="131"/>
      <c r="E12" s="131" t="s">
        <v>187</v>
      </c>
      <c r="F12" s="131"/>
      <c r="G12" s="131"/>
      <c r="H12" s="131"/>
    </row>
    <row r="13" spans="1:8" x14ac:dyDescent="0.3">
      <c r="A13" s="131" t="s">
        <v>8</v>
      </c>
      <c r="B13" s="131"/>
      <c r="C13" s="131"/>
      <c r="D13" s="131"/>
      <c r="E13" s="130" t="s">
        <v>189</v>
      </c>
      <c r="F13" s="130"/>
      <c r="G13" s="130"/>
      <c r="H13" s="130"/>
    </row>
    <row r="14" spans="1:8" x14ac:dyDescent="0.3">
      <c r="A14" s="131" t="s">
        <v>9</v>
      </c>
      <c r="B14" s="131"/>
      <c r="C14" s="131"/>
      <c r="D14" s="131"/>
      <c r="E14" s="130" t="s">
        <v>183</v>
      </c>
      <c r="F14" s="131"/>
      <c r="G14" s="131"/>
      <c r="H14" s="131"/>
    </row>
    <row r="15" spans="1:8" ht="63" customHeight="1" x14ac:dyDescent="0.3">
      <c r="A15" s="129" t="s">
        <v>10</v>
      </c>
      <c r="B15" s="129"/>
      <c r="C15" s="12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HOH Kalyan, Survey No.98/3, 98/5, 98/15, 98/16/1, 98/24/ 98/32, 98/33, 98/34/1, 98/34/2, 98/34/3, 98/35/A, 98/35/B, 98/35/C, 98/40, 98/49/1, 98/49/2, 98/50, 99/6/B, 99/8, 99/9, 99/10, near Pardev Complex, Kalyan Bhiwandi Road, Saravali, Gove, Kalyan West, Bhiwandi, Thane - 421311.</v>
      </c>
      <c r="D15" s="129"/>
      <c r="E15" s="129"/>
      <c r="F15" s="129"/>
      <c r="G15" s="129"/>
      <c r="H15" s="129"/>
    </row>
    <row r="16" spans="1:8" ht="49.5" customHeight="1" x14ac:dyDescent="0.3">
      <c r="A16" s="130" t="s">
        <v>190</v>
      </c>
      <c r="B16" s="130"/>
      <c r="C16" s="130" t="s">
        <v>230</v>
      </c>
      <c r="D16" s="130"/>
      <c r="E16" s="130"/>
      <c r="F16" s="130"/>
      <c r="G16" s="130"/>
      <c r="H16" s="130"/>
    </row>
    <row r="17" spans="1:8" ht="15.75" customHeight="1" x14ac:dyDescent="0.3">
      <c r="A17" s="130" t="s">
        <v>175</v>
      </c>
      <c r="B17" s="130"/>
      <c r="C17" s="130" t="s">
        <v>218</v>
      </c>
      <c r="D17" s="130"/>
      <c r="E17" s="130"/>
      <c r="F17" s="130"/>
      <c r="G17" s="130"/>
      <c r="H17" s="130"/>
    </row>
    <row r="18" spans="1:8" ht="15.75" customHeight="1" x14ac:dyDescent="0.3">
      <c r="A18" s="129" t="s">
        <v>11</v>
      </c>
      <c r="B18" s="129"/>
      <c r="C18" s="131" t="s">
        <v>227</v>
      </c>
      <c r="D18" s="131"/>
      <c r="E18" s="129" t="s">
        <v>75</v>
      </c>
      <c r="F18" s="129"/>
      <c r="G18" s="130" t="s">
        <v>191</v>
      </c>
      <c r="H18" s="130"/>
    </row>
    <row r="19" spans="1:8" x14ac:dyDescent="0.3">
      <c r="A19" s="85" t="s">
        <v>13</v>
      </c>
      <c r="B19" s="85"/>
      <c r="C19" s="130" t="s">
        <v>228</v>
      </c>
      <c r="D19" s="130"/>
      <c r="E19" s="129" t="s">
        <v>12</v>
      </c>
      <c r="F19" s="129"/>
      <c r="G19" s="175" t="s">
        <v>192</v>
      </c>
      <c r="H19" s="175"/>
    </row>
    <row r="20" spans="1:8" x14ac:dyDescent="0.3">
      <c r="A20" s="85" t="s">
        <v>76</v>
      </c>
      <c r="B20" s="85"/>
      <c r="C20" s="130" t="s">
        <v>193</v>
      </c>
      <c r="D20" s="130"/>
      <c r="E20" s="129" t="s">
        <v>14</v>
      </c>
      <c r="F20" s="129"/>
      <c r="G20" s="130">
        <v>421311</v>
      </c>
      <c r="H20" s="130"/>
    </row>
    <row r="21" spans="1:8" ht="32.25" customHeight="1" x14ac:dyDescent="0.3">
      <c r="A21" s="85" t="s">
        <v>129</v>
      </c>
      <c r="B21" s="85"/>
      <c r="C21" s="130" t="s">
        <v>217</v>
      </c>
      <c r="D21" s="130"/>
      <c r="E21" s="129" t="s">
        <v>15</v>
      </c>
      <c r="F21" s="129"/>
      <c r="G21" s="130" t="s">
        <v>229</v>
      </c>
      <c r="H21" s="130"/>
    </row>
    <row r="22" spans="1:8" ht="15" customHeight="1" x14ac:dyDescent="0.3">
      <c r="A22" s="129" t="s">
        <v>79</v>
      </c>
      <c r="B22" s="129"/>
      <c r="C22" s="129"/>
      <c r="D22" s="129"/>
      <c r="E22" s="131" t="s">
        <v>16</v>
      </c>
      <c r="F22" s="131"/>
      <c r="G22" s="131"/>
      <c r="H22" s="131"/>
    </row>
    <row r="23" spans="1:8" ht="18.75" customHeight="1" x14ac:dyDescent="0.3">
      <c r="A23" s="129"/>
      <c r="B23" s="129"/>
      <c r="C23" s="129"/>
      <c r="D23" s="129"/>
      <c r="E23" s="131"/>
      <c r="F23" s="131"/>
      <c r="G23" s="131"/>
      <c r="H23" s="131"/>
    </row>
    <row r="24" spans="1:8" ht="15" customHeight="1" x14ac:dyDescent="0.3">
      <c r="A24" s="129" t="s">
        <v>17</v>
      </c>
      <c r="B24" s="129"/>
      <c r="C24" s="129"/>
      <c r="D24" s="129"/>
      <c r="E24" s="130" t="s">
        <v>18</v>
      </c>
      <c r="F24" s="130"/>
      <c r="G24" s="130"/>
      <c r="H24" s="130"/>
    </row>
    <row r="25" spans="1:8" ht="15" customHeight="1" x14ac:dyDescent="0.3">
      <c r="A25" s="85" t="s">
        <v>19</v>
      </c>
      <c r="B25" s="85"/>
      <c r="C25" s="85"/>
      <c r="D25" s="85"/>
      <c r="E25" s="130" t="str">
        <f>IF(AND(G19="Mumbai"),"Upper Class","Middle Class")</f>
        <v>Middle Class</v>
      </c>
      <c r="F25" s="130"/>
      <c r="G25" s="130"/>
      <c r="H25" s="130"/>
    </row>
    <row r="26" spans="1:8" x14ac:dyDescent="0.3">
      <c r="A26" s="85" t="s">
        <v>20</v>
      </c>
      <c r="B26" s="85"/>
      <c r="C26" s="85"/>
      <c r="D26" s="85"/>
      <c r="E26" s="130" t="s">
        <v>21</v>
      </c>
      <c r="F26" s="130"/>
      <c r="G26" s="130"/>
      <c r="H26" s="130"/>
    </row>
    <row r="27" spans="1:8" ht="15.75" customHeight="1" x14ac:dyDescent="0.3">
      <c r="A27" s="85" t="s">
        <v>22</v>
      </c>
      <c r="B27" s="85"/>
      <c r="C27" s="85"/>
      <c r="D27" s="85"/>
      <c r="E27" s="130" t="str">
        <f>IF(AND(G19="Mumbai"),"Developed","Developing")</f>
        <v>Developing</v>
      </c>
      <c r="F27" s="130"/>
      <c r="G27" s="130"/>
      <c r="H27" s="130"/>
    </row>
    <row r="28" spans="1:8" x14ac:dyDescent="0.3">
      <c r="A28" s="85" t="s">
        <v>23</v>
      </c>
      <c r="B28" s="85"/>
      <c r="C28" s="85"/>
      <c r="D28" s="85"/>
      <c r="E28" s="130" t="s">
        <v>24</v>
      </c>
      <c r="F28" s="130"/>
      <c r="G28" s="130"/>
      <c r="H28" s="130"/>
    </row>
    <row r="29" spans="1:8" ht="15.75" customHeight="1" x14ac:dyDescent="0.3">
      <c r="A29" s="85" t="s">
        <v>84</v>
      </c>
      <c r="B29" s="85"/>
      <c r="C29" s="85"/>
      <c r="D29" s="85"/>
      <c r="E29" s="130" t="s">
        <v>85</v>
      </c>
      <c r="F29" s="130"/>
      <c r="G29" s="130"/>
      <c r="H29" s="130"/>
    </row>
    <row r="30" spans="1:8" ht="15" customHeight="1" x14ac:dyDescent="0.3">
      <c r="A30" s="85" t="s">
        <v>33</v>
      </c>
      <c r="B30" s="85"/>
      <c r="C30" s="85"/>
      <c r="D30" s="85"/>
      <c r="E30" s="13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30"/>
      <c r="G30" s="130"/>
      <c r="H30" s="130"/>
    </row>
    <row r="31" spans="1:8" ht="15.75" customHeight="1" x14ac:dyDescent="0.3">
      <c r="A31" s="85" t="s">
        <v>96</v>
      </c>
      <c r="B31" s="85"/>
      <c r="C31" s="85"/>
      <c r="D31" s="85"/>
      <c r="E31" s="130" t="s">
        <v>34</v>
      </c>
      <c r="F31" s="130"/>
      <c r="G31" s="130"/>
      <c r="H31" s="130"/>
    </row>
    <row r="32" spans="1:8" s="22" customFormat="1" x14ac:dyDescent="0.3">
      <c r="A32" s="179" t="s">
        <v>97</v>
      </c>
      <c r="B32" s="179"/>
      <c r="C32" s="178" t="s">
        <v>29</v>
      </c>
      <c r="D32" s="178"/>
      <c r="E32" s="178"/>
      <c r="F32" s="178" t="s">
        <v>31</v>
      </c>
      <c r="G32" s="178"/>
      <c r="H32" s="178"/>
    </row>
    <row r="33" spans="1:8" s="22" customFormat="1" x14ac:dyDescent="0.3">
      <c r="A33" s="176" t="s">
        <v>25</v>
      </c>
      <c r="B33" s="176" t="s">
        <v>30</v>
      </c>
      <c r="C33" s="177" t="s">
        <v>30</v>
      </c>
      <c r="D33" s="177"/>
      <c r="E33" s="177"/>
      <c r="F33" s="177" t="s">
        <v>216</v>
      </c>
      <c r="G33" s="177"/>
      <c r="H33" s="177"/>
    </row>
    <row r="34" spans="1:8" x14ac:dyDescent="0.3">
      <c r="A34" s="176" t="s">
        <v>26</v>
      </c>
      <c r="B34" s="176" t="s">
        <v>30</v>
      </c>
      <c r="C34" s="177" t="s">
        <v>30</v>
      </c>
      <c r="D34" s="177"/>
      <c r="E34" s="177"/>
      <c r="F34" s="177" t="s">
        <v>217</v>
      </c>
      <c r="G34" s="177"/>
      <c r="H34" s="177"/>
    </row>
    <row r="35" spans="1:8" s="22" customFormat="1" x14ac:dyDescent="0.3">
      <c r="A35" s="176" t="s">
        <v>28</v>
      </c>
      <c r="B35" s="176" t="s">
        <v>30</v>
      </c>
      <c r="C35" s="177" t="s">
        <v>30</v>
      </c>
      <c r="D35" s="177"/>
      <c r="E35" s="177"/>
      <c r="F35" s="177" t="s">
        <v>227</v>
      </c>
      <c r="G35" s="177"/>
      <c r="H35" s="177"/>
    </row>
    <row r="36" spans="1:8" x14ac:dyDescent="0.3">
      <c r="A36" s="176" t="s">
        <v>27</v>
      </c>
      <c r="B36" s="176" t="s">
        <v>30</v>
      </c>
      <c r="C36" s="177" t="s">
        <v>30</v>
      </c>
      <c r="D36" s="177"/>
      <c r="E36" s="177"/>
      <c r="F36" s="177" t="s">
        <v>215</v>
      </c>
      <c r="G36" s="177"/>
      <c r="H36" s="177"/>
    </row>
    <row r="37" spans="1:8" x14ac:dyDescent="0.3">
      <c r="A37" s="85" t="s">
        <v>32</v>
      </c>
      <c r="B37" s="85"/>
      <c r="C37" s="85"/>
      <c r="D37" s="85"/>
      <c r="E37" s="85"/>
      <c r="F37" s="85"/>
      <c r="G37" s="85"/>
      <c r="H37" s="85"/>
    </row>
    <row r="38" spans="1:8" ht="15.75" customHeight="1" x14ac:dyDescent="0.3">
      <c r="A38" s="157" t="s">
        <v>180</v>
      </c>
      <c r="B38" s="157"/>
      <c r="C38" s="85" t="s">
        <v>213</v>
      </c>
      <c r="D38" s="85"/>
      <c r="E38" s="85"/>
      <c r="F38" s="85"/>
      <c r="G38" s="85"/>
      <c r="H38" s="85"/>
    </row>
    <row r="39" spans="1:8" x14ac:dyDescent="0.3">
      <c r="A39" s="157" t="s">
        <v>174</v>
      </c>
      <c r="B39" s="157"/>
      <c r="C39" s="211" t="s">
        <v>214</v>
      </c>
      <c r="D39" s="130"/>
      <c r="E39" s="130"/>
      <c r="F39" s="130"/>
      <c r="G39" s="130"/>
      <c r="H39" s="130"/>
    </row>
    <row r="40" spans="1:8" x14ac:dyDescent="0.3">
      <c r="A40" s="157" t="s">
        <v>35</v>
      </c>
      <c r="B40" s="157"/>
      <c r="C40" s="157"/>
      <c r="D40" s="157"/>
      <c r="E40" s="157"/>
      <c r="F40" s="157"/>
      <c r="G40" s="157"/>
      <c r="H40" s="157"/>
    </row>
    <row r="41" spans="1:8" x14ac:dyDescent="0.3">
      <c r="A41" s="85" t="s">
        <v>36</v>
      </c>
      <c r="B41" s="85"/>
      <c r="C41" s="85"/>
      <c r="D41" s="85"/>
      <c r="E41" s="186">
        <v>17213.5</v>
      </c>
      <c r="F41" s="186"/>
      <c r="G41" s="186"/>
      <c r="H41" s="186"/>
    </row>
    <row r="42" spans="1:8" x14ac:dyDescent="0.3">
      <c r="A42" s="85" t="s">
        <v>37</v>
      </c>
      <c r="B42" s="85"/>
      <c r="C42" s="85"/>
      <c r="D42" s="85"/>
      <c r="E42" s="84">
        <v>1.1000000000000001</v>
      </c>
      <c r="F42" s="84"/>
      <c r="G42" s="84"/>
      <c r="H42" s="84"/>
    </row>
    <row r="43" spans="1:8" x14ac:dyDescent="0.3">
      <c r="A43" s="85" t="s">
        <v>38</v>
      </c>
      <c r="B43" s="85"/>
      <c r="C43" s="85"/>
      <c r="D43" s="85"/>
      <c r="E43" s="84">
        <f>E45/E41-E42</f>
        <v>1.1392802161094489</v>
      </c>
      <c r="F43" s="84"/>
      <c r="G43" s="84"/>
      <c r="H43" s="84"/>
    </row>
    <row r="44" spans="1:8" x14ac:dyDescent="0.3">
      <c r="A44" s="85" t="s">
        <v>39</v>
      </c>
      <c r="B44" s="85"/>
      <c r="C44" s="85"/>
      <c r="D44" s="85"/>
      <c r="E44" s="84">
        <f>E42+E43</f>
        <v>2.2392802161094489</v>
      </c>
      <c r="F44" s="84"/>
      <c r="G44" s="84"/>
      <c r="H44" s="84"/>
    </row>
    <row r="45" spans="1:8" x14ac:dyDescent="0.3">
      <c r="A45" s="85" t="s">
        <v>95</v>
      </c>
      <c r="B45" s="85"/>
      <c r="C45" s="85"/>
      <c r="D45" s="85"/>
      <c r="E45" s="198">
        <v>38545.85</v>
      </c>
      <c r="F45" s="198"/>
      <c r="G45" s="198"/>
      <c r="H45" s="198"/>
    </row>
    <row r="46" spans="1:8" x14ac:dyDescent="0.3">
      <c r="A46" s="131" t="s">
        <v>40</v>
      </c>
      <c r="B46" s="131"/>
      <c r="C46" s="131"/>
      <c r="D46" s="131"/>
      <c r="E46" s="131" t="s">
        <v>194</v>
      </c>
      <c r="F46" s="131"/>
      <c r="G46" s="131"/>
      <c r="H46" s="131"/>
    </row>
    <row r="47" spans="1:8" x14ac:dyDescent="0.3">
      <c r="A47" s="157" t="s">
        <v>41</v>
      </c>
      <c r="B47" s="157"/>
      <c r="C47" s="157"/>
      <c r="D47" s="157"/>
      <c r="E47" s="157"/>
      <c r="F47" s="157"/>
      <c r="G47" s="157"/>
      <c r="H47" s="157"/>
    </row>
    <row r="48" spans="1:8" ht="33.75" customHeight="1" x14ac:dyDescent="0.3">
      <c r="A48" s="108" t="s">
        <v>161</v>
      </c>
      <c r="B48" s="109"/>
      <c r="C48" s="212" t="s">
        <v>195</v>
      </c>
      <c r="D48" s="213"/>
      <c r="E48" s="213"/>
      <c r="F48" s="213"/>
      <c r="G48" s="213"/>
      <c r="H48" s="214"/>
    </row>
    <row r="49" spans="1:14" ht="32.25" customHeight="1" x14ac:dyDescent="0.3">
      <c r="A49" s="108" t="s">
        <v>42</v>
      </c>
      <c r="B49" s="109"/>
      <c r="C49" s="108" t="s">
        <v>196</v>
      </c>
      <c r="D49" s="110"/>
      <c r="E49" s="109"/>
      <c r="F49" s="18" t="s">
        <v>43</v>
      </c>
      <c r="G49" s="111">
        <v>44967</v>
      </c>
      <c r="H49" s="109"/>
    </row>
    <row r="50" spans="1:14" ht="32.25" customHeight="1" x14ac:dyDescent="0.3">
      <c r="A50" s="108" t="s">
        <v>44</v>
      </c>
      <c r="B50" s="109"/>
      <c r="C50" s="108" t="str">
        <f>C49</f>
        <v>SROT/BSNA/2501/BP/GOVE-15/CC/202/2023</v>
      </c>
      <c r="D50" s="110"/>
      <c r="E50" s="109"/>
      <c r="F50" s="18" t="s">
        <v>43</v>
      </c>
      <c r="G50" s="111">
        <f>G49</f>
        <v>44967</v>
      </c>
      <c r="H50" s="112"/>
    </row>
    <row r="51" spans="1:14" s="23" customFormat="1" ht="32.25" customHeight="1" x14ac:dyDescent="0.3">
      <c r="A51" s="161" t="s">
        <v>165</v>
      </c>
      <c r="B51" s="162"/>
      <c r="C51" s="108" t="str">
        <f>C50</f>
        <v>SROT/BSNA/2501/BP/GOVE-15/CC/202/2023</v>
      </c>
      <c r="D51" s="110"/>
      <c r="E51" s="109"/>
      <c r="F51" s="18" t="s">
        <v>43</v>
      </c>
      <c r="G51" s="111">
        <f>G50</f>
        <v>44967</v>
      </c>
      <c r="H51" s="112"/>
    </row>
    <row r="52" spans="1:14" s="23" customFormat="1" ht="48" customHeight="1" x14ac:dyDescent="0.3">
      <c r="A52" s="163"/>
      <c r="B52" s="164"/>
      <c r="C52" s="108" t="s">
        <v>212</v>
      </c>
      <c r="D52" s="110"/>
      <c r="E52" s="110"/>
      <c r="F52" s="110"/>
      <c r="G52" s="110"/>
      <c r="H52" s="109"/>
    </row>
    <row r="53" spans="1:14" x14ac:dyDescent="0.3">
      <c r="A53" s="125" t="s">
        <v>45</v>
      </c>
      <c r="B53" s="126"/>
      <c r="C53" s="125" t="s">
        <v>109</v>
      </c>
      <c r="D53" s="127"/>
      <c r="E53" s="126"/>
      <c r="F53" s="46" t="s">
        <v>43</v>
      </c>
      <c r="G53" s="132" t="s">
        <v>30</v>
      </c>
      <c r="H53" s="133"/>
    </row>
    <row r="54" spans="1:14" x14ac:dyDescent="0.3">
      <c r="A54" s="128" t="s">
        <v>47</v>
      </c>
      <c r="B54" s="128"/>
      <c r="C54" s="128"/>
      <c r="D54" s="128"/>
      <c r="E54" s="128"/>
      <c r="F54" s="128"/>
      <c r="G54" s="128"/>
      <c r="H54" s="128"/>
    </row>
    <row r="55" spans="1:14" x14ac:dyDescent="0.3">
      <c r="A55" s="129" t="s">
        <v>94</v>
      </c>
      <c r="B55" s="129"/>
      <c r="C55" s="129"/>
      <c r="D55" s="85">
        <f>E45</f>
        <v>38545.85</v>
      </c>
      <c r="E55" s="85"/>
      <c r="F55" s="85"/>
      <c r="G55" s="85"/>
      <c r="H55" s="85"/>
    </row>
    <row r="56" spans="1:14" x14ac:dyDescent="0.3">
      <c r="A56" s="130" t="s">
        <v>48</v>
      </c>
      <c r="B56" s="131"/>
      <c r="C56" s="131"/>
      <c r="D56" s="131" t="s">
        <v>211</v>
      </c>
      <c r="E56" s="131"/>
      <c r="F56" s="131"/>
      <c r="G56" s="131"/>
      <c r="H56" s="131"/>
      <c r="I56" s="24"/>
    </row>
    <row r="57" spans="1:14" ht="48.75" customHeight="1" x14ac:dyDescent="0.3">
      <c r="A57" s="113" t="s">
        <v>49</v>
      </c>
      <c r="B57" s="114"/>
      <c r="C57" s="160"/>
      <c r="D57" s="151" t="s">
        <v>219</v>
      </c>
      <c r="E57" s="159"/>
      <c r="F57" s="159"/>
      <c r="G57" s="159"/>
      <c r="H57" s="159"/>
    </row>
    <row r="58" spans="1:14" ht="15.75" customHeight="1" x14ac:dyDescent="0.3">
      <c r="A58" s="113" t="s">
        <v>92</v>
      </c>
      <c r="B58" s="114"/>
      <c r="C58" s="114"/>
      <c r="D58" s="119" t="s">
        <v>220</v>
      </c>
      <c r="E58" s="120"/>
      <c r="F58" s="120"/>
      <c r="G58" s="120"/>
      <c r="H58" s="121"/>
    </row>
    <row r="59" spans="1:14" ht="15.75" customHeight="1" x14ac:dyDescent="0.3">
      <c r="A59" s="115"/>
      <c r="B59" s="116"/>
      <c r="C59" s="116"/>
      <c r="D59" s="122" t="s">
        <v>221</v>
      </c>
      <c r="E59" s="123"/>
      <c r="F59" s="123"/>
      <c r="G59" s="123"/>
      <c r="H59" s="124"/>
    </row>
    <row r="60" spans="1:14" ht="15.75" customHeight="1" x14ac:dyDescent="0.3">
      <c r="A60" s="117"/>
      <c r="B60" s="118"/>
      <c r="C60" s="118"/>
      <c r="D60" s="134" t="s">
        <v>222</v>
      </c>
      <c r="E60" s="135"/>
      <c r="F60" s="135"/>
      <c r="G60" s="135"/>
      <c r="H60" s="136"/>
    </row>
    <row r="61" spans="1:14" ht="15.75" customHeight="1" x14ac:dyDescent="0.3">
      <c r="A61" s="85" t="s">
        <v>46</v>
      </c>
      <c r="B61" s="85"/>
      <c r="C61" s="85"/>
      <c r="D61" s="187" t="s">
        <v>210</v>
      </c>
      <c r="E61" s="187"/>
      <c r="F61" s="187"/>
      <c r="G61" s="187"/>
      <c r="H61" s="187"/>
      <c r="J61" s="25"/>
      <c r="K61" s="24"/>
      <c r="N61" s="24"/>
    </row>
    <row r="62" spans="1:14" ht="15.75" customHeight="1" x14ac:dyDescent="0.3">
      <c r="A62" s="85" t="s">
        <v>90</v>
      </c>
      <c r="B62" s="85"/>
      <c r="C62" s="85"/>
      <c r="D62" s="197" t="str">
        <f>(IF(G53="NA","60 Years After Completion",IF(G53&lt;&gt;"NA",""&amp;60-ROUNDDOWN((E3-G53)/360,0)&amp;" Years"," ")))</f>
        <v>60 Years After Completion</v>
      </c>
      <c r="E62" s="197"/>
      <c r="F62" s="197"/>
      <c r="G62" s="197"/>
      <c r="H62" s="197"/>
      <c r="N62" s="24"/>
    </row>
    <row r="63" spans="1:14" ht="15.75" customHeight="1" x14ac:dyDescent="0.3">
      <c r="A63" s="85" t="s">
        <v>91</v>
      </c>
      <c r="B63" s="85"/>
      <c r="C63" s="85"/>
      <c r="D63" s="129" t="s">
        <v>24</v>
      </c>
      <c r="E63" s="129"/>
      <c r="F63" s="129"/>
      <c r="G63" s="129"/>
      <c r="H63" s="129"/>
      <c r="J63" s="26"/>
      <c r="K63" s="26"/>
    </row>
    <row r="64" spans="1:14" ht="52.5" customHeight="1" x14ac:dyDescent="0.3">
      <c r="A64" s="85" t="s">
        <v>77</v>
      </c>
      <c r="B64" s="85"/>
      <c r="C64" s="85"/>
      <c r="D64" s="130" t="s">
        <v>231</v>
      </c>
      <c r="E64" s="129"/>
      <c r="F64" s="129"/>
      <c r="G64" s="129"/>
      <c r="H64" s="129"/>
    </row>
    <row r="65" spans="1:14" x14ac:dyDescent="0.3">
      <c r="A65" s="129" t="s">
        <v>157</v>
      </c>
      <c r="B65" s="129"/>
      <c r="C65" s="129"/>
      <c r="D65" s="129" t="s">
        <v>30</v>
      </c>
      <c r="E65" s="129"/>
      <c r="F65" s="129"/>
      <c r="G65" s="129"/>
      <c r="H65" s="129"/>
      <c r="I65" s="27"/>
      <c r="J65" s="27"/>
      <c r="K65" s="27"/>
      <c r="L65" s="27"/>
      <c r="M65" s="27"/>
      <c r="N65" s="27"/>
    </row>
    <row r="66" spans="1:14" ht="15.75" customHeight="1" x14ac:dyDescent="0.3">
      <c r="A66" s="150" t="s">
        <v>89</v>
      </c>
      <c r="B66" s="150"/>
      <c r="C66" s="150"/>
      <c r="D66" s="151" t="str">
        <f ca="1">(IF(G86&gt;95%,"Nothing",IF(G86&gt;0%,"Cement, Aggregate, Steel, etc",IF(G86=0%,"Work not yet Started"))))</f>
        <v>Cement, Aggregate, Steel, etc</v>
      </c>
      <c r="E66" s="151"/>
      <c r="F66" s="151"/>
      <c r="G66" s="151"/>
      <c r="H66" s="151"/>
      <c r="J66" s="26"/>
    </row>
    <row r="67" spans="1:14" ht="33.75" customHeight="1" thickBot="1" x14ac:dyDescent="0.35">
      <c r="A67" s="172" t="s">
        <v>122</v>
      </c>
      <c r="B67" s="172"/>
      <c r="C67" s="172"/>
      <c r="D67" s="151" t="str">
        <f ca="1">(IF(D66="Nothing","Yes",IF(D66="Cement, Aggregate, Steel, etc","Under Construction",IF(D66="Work not yet Started","Work not yet Started"))))</f>
        <v>Under Construction</v>
      </c>
      <c r="E67" s="151"/>
      <c r="F67" s="151" t="str">
        <f ca="1">(IF(D66="Nothing","Yes",IF(D66="Cement, Aggregate, Steel, etc","Under Construction",IF(D66="Work not yet Started","Work not yet Started"))))</f>
        <v>Under Construction</v>
      </c>
      <c r="G67" s="151"/>
      <c r="H67" s="151"/>
    </row>
    <row r="68" spans="1:14" ht="15.75" customHeight="1" x14ac:dyDescent="0.3">
      <c r="A68" s="99" t="s">
        <v>147</v>
      </c>
      <c r="B68" s="100"/>
      <c r="C68" s="167" t="str">
        <f>D58</f>
        <v>Building A (Oakwood) = Gr/St + 1st to 25th Floor</v>
      </c>
      <c r="D68" s="168"/>
      <c r="E68" s="168"/>
      <c r="F68" s="168"/>
      <c r="G68" s="168"/>
      <c r="H68" s="169"/>
      <c r="I68" s="50" t="str">
        <f ca="1">IF(D81=100%,"All work Completed. Possession granted to the Building.",IF(D80=100%,"All work Completed, Waiting for OC",I69&amp;""&amp;I70&amp;""&amp;J69&amp;""&amp;J68&amp;" "&amp;J70))</f>
        <v>Excavation, Plinth Completed, RCC upto 15 Slab, Brickwork upto 13 Floor, Internal Plaster upto 9.75 Floor, External Plaster upto 7.8 Floor Completed</v>
      </c>
      <c r="J68" s="51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15 Slab, Brickwork upto 13 Floor, Internal Plaster upto 9.75 Floor, External Plaster upto 7.8 Floor</v>
      </c>
    </row>
    <row r="69" spans="1:14" x14ac:dyDescent="0.3">
      <c r="A69" s="16" t="s">
        <v>149</v>
      </c>
      <c r="B69" s="48">
        <v>0</v>
      </c>
      <c r="C69" s="48" t="s">
        <v>74</v>
      </c>
      <c r="D69" s="48">
        <v>1</v>
      </c>
      <c r="E69" s="48" t="s">
        <v>73</v>
      </c>
      <c r="F69" s="48">
        <v>0</v>
      </c>
      <c r="G69" s="48" t="s">
        <v>83</v>
      </c>
      <c r="H69" s="17">
        <f ca="1">--TRIM(RIGHT(SUBSTITUTE(LEFT(C68,_xlfn.AGGREGATE(16,6,FIND({0,1,2,3,4,5,6,7,8,9},C68,ROW(INDIRECT("1:"&amp;LEN(C68)))),1))," ",REPT(" ",LEN(C68))),LEN(C68)))</f>
        <v>25</v>
      </c>
      <c r="I69" s="52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3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4.799999999999997" customHeight="1" x14ac:dyDescent="0.3">
      <c r="A70" s="165" t="s">
        <v>93</v>
      </c>
      <c r="B70" s="166"/>
      <c r="C70" s="170" t="str">
        <f ca="1">I68</f>
        <v>Excavation, Plinth Completed, RCC upto 15 Slab, Brickwork upto 13 Floor, Internal Plaster upto 9.75 Floor, External Plaster upto 7.8 Floor Completed</v>
      </c>
      <c r="D70" s="170"/>
      <c r="E70" s="170"/>
      <c r="F70" s="170"/>
      <c r="G70" s="170"/>
      <c r="H70" s="171"/>
      <c r="I70" s="52" t="str">
        <f ca="1">IF(I69&lt;&gt;""," Completed","")</f>
        <v xml:space="preserve"> Completed</v>
      </c>
      <c r="J70" s="53" t="str">
        <f ca="1">IF(J68&lt;&gt;"","Completed","")</f>
        <v>Completed</v>
      </c>
    </row>
    <row r="71" spans="1:14" ht="15.75" customHeight="1" x14ac:dyDescent="0.3">
      <c r="A71" s="97" t="s">
        <v>50</v>
      </c>
      <c r="B71" s="98"/>
      <c r="C71" s="57" t="s">
        <v>146</v>
      </c>
      <c r="D71" s="57" t="s">
        <v>86</v>
      </c>
      <c r="E71" s="152" t="s">
        <v>88</v>
      </c>
      <c r="F71" s="152"/>
      <c r="G71" s="152" t="s">
        <v>87</v>
      </c>
      <c r="H71" s="153"/>
      <c r="I71" s="14" t="s">
        <v>148</v>
      </c>
      <c r="J71" s="28">
        <f ca="1">H69*25%</f>
        <v>6.25</v>
      </c>
    </row>
    <row r="72" spans="1:14" x14ac:dyDescent="0.3">
      <c r="A72" s="97" t="s">
        <v>135</v>
      </c>
      <c r="B72" s="98"/>
      <c r="C72" s="57">
        <f ca="1">J73</f>
        <v>25</v>
      </c>
      <c r="D72" s="58">
        <f ca="1">((100/H69)*C72)/100</f>
        <v>1</v>
      </c>
      <c r="E72" s="188">
        <f ca="1">(((C73/H69*10)+(40/(D69+F69+H69)*C74)+(7.5/(H69)*C75)+(7.5/(H69)*C76)+(10/H69*C77)+(10/H69*C78)+(5/H69*C79)+(5/H69*C80)+(5/H69*C81))/100)</f>
        <v>0.43021923076923074</v>
      </c>
      <c r="F72" s="189"/>
      <c r="G72" s="188">
        <f ca="1">((((C72/H69)*20)+((C73/H69)*25)+(30/(H69+F69+D69)*C74)+(5/H69*C75)+(5/H69*C76)+(5/H69*C77)+(5/H69*C78)+(0/H69*C79)+(0/H69*C80)+(5/H69*C81))/100)</f>
        <v>0.68417692307692302</v>
      </c>
      <c r="H72" s="194"/>
      <c r="I72" s="14" t="s">
        <v>104</v>
      </c>
      <c r="J72" s="29">
        <f ca="1">H69*50%</f>
        <v>12.5</v>
      </c>
    </row>
    <row r="73" spans="1:14" x14ac:dyDescent="0.3">
      <c r="A73" s="97" t="s">
        <v>51</v>
      </c>
      <c r="B73" s="98"/>
      <c r="C73" s="62">
        <f ca="1">J81</f>
        <v>25</v>
      </c>
      <c r="D73" s="58">
        <f ca="1">((100/H69)*C73)/100</f>
        <v>1</v>
      </c>
      <c r="E73" s="190"/>
      <c r="F73" s="191"/>
      <c r="G73" s="190"/>
      <c r="H73" s="195"/>
      <c r="I73" s="14" t="s">
        <v>105</v>
      </c>
      <c r="J73" s="29">
        <f ca="1">H69</f>
        <v>25</v>
      </c>
    </row>
    <row r="74" spans="1:14" ht="15.75" customHeight="1" x14ac:dyDescent="0.3">
      <c r="A74" s="97" t="s">
        <v>136</v>
      </c>
      <c r="B74" s="98"/>
      <c r="C74" s="57">
        <v>15</v>
      </c>
      <c r="D74" s="58">
        <f ca="1">((100/(D69+F69+H69))*C74)/100</f>
        <v>0.57692307692307698</v>
      </c>
      <c r="E74" s="190"/>
      <c r="F74" s="191"/>
      <c r="G74" s="190"/>
      <c r="H74" s="195"/>
      <c r="I74" s="14" t="s">
        <v>106</v>
      </c>
      <c r="J74" s="30">
        <f ca="1">(IF(B69&gt;1,(H69/(B69+2)),H69/4))</f>
        <v>6.25</v>
      </c>
    </row>
    <row r="75" spans="1:14" ht="15.75" customHeight="1" x14ac:dyDescent="0.3">
      <c r="A75" s="97" t="s">
        <v>143</v>
      </c>
      <c r="B75" s="98" t="s">
        <v>137</v>
      </c>
      <c r="C75" s="57">
        <v>13</v>
      </c>
      <c r="D75" s="58">
        <f ca="1">((100/H69)*C75)/100</f>
        <v>0.52</v>
      </c>
      <c r="E75" s="190"/>
      <c r="F75" s="191"/>
      <c r="G75" s="190"/>
      <c r="H75" s="195"/>
      <c r="I75" s="14" t="s">
        <v>107</v>
      </c>
      <c r="J75" s="30">
        <f ca="1">(IF(B69&gt;1,(H69/(B69+2)+J74),H69/4+J74))</f>
        <v>12.5</v>
      </c>
    </row>
    <row r="76" spans="1:14" ht="15.75" customHeight="1" x14ac:dyDescent="0.3">
      <c r="A76" s="97" t="s">
        <v>144</v>
      </c>
      <c r="B76" s="98" t="s">
        <v>137</v>
      </c>
      <c r="C76" s="61">
        <f>C75*0.75</f>
        <v>9.75</v>
      </c>
      <c r="D76" s="58">
        <f ca="1">((100/H69)*C76)/100</f>
        <v>0.39</v>
      </c>
      <c r="E76" s="190"/>
      <c r="F76" s="191"/>
      <c r="G76" s="190"/>
      <c r="H76" s="195"/>
      <c r="I76" s="14" t="s">
        <v>155</v>
      </c>
      <c r="J76" s="30">
        <f>(IF(B69&gt;1,(H69/(B69+2)+J75),0))</f>
        <v>0</v>
      </c>
    </row>
    <row r="77" spans="1:14" ht="15" customHeight="1" x14ac:dyDescent="0.3">
      <c r="A77" s="97" t="s">
        <v>142</v>
      </c>
      <c r="B77" s="98" t="s">
        <v>139</v>
      </c>
      <c r="C77" s="61">
        <f>C75*0.6</f>
        <v>7.8</v>
      </c>
      <c r="D77" s="58">
        <f ca="1">((100/(H69))*C77)/100</f>
        <v>0.312</v>
      </c>
      <c r="E77" s="190"/>
      <c r="F77" s="191"/>
      <c r="G77" s="190"/>
      <c r="H77" s="195"/>
      <c r="I77" s="14" t="s">
        <v>150</v>
      </c>
      <c r="J77" s="30">
        <f>(IF(B69&gt;2,(H69/(B69+2)+J76),0))</f>
        <v>0</v>
      </c>
    </row>
    <row r="78" spans="1:14" ht="15.75" customHeight="1" x14ac:dyDescent="0.3">
      <c r="A78" s="97" t="s">
        <v>138</v>
      </c>
      <c r="B78" s="98" t="s">
        <v>138</v>
      </c>
      <c r="C78" s="57">
        <v>0</v>
      </c>
      <c r="D78" s="58">
        <f ca="1">((100/H69)*C78)/100</f>
        <v>0</v>
      </c>
      <c r="E78" s="190"/>
      <c r="F78" s="191"/>
      <c r="G78" s="190"/>
      <c r="H78" s="195"/>
      <c r="I78" s="14" t="s">
        <v>151</v>
      </c>
      <c r="J78" s="31">
        <f>(IF(B69&gt;3,(H69/(B69+2)+J77),0))</f>
        <v>0</v>
      </c>
    </row>
    <row r="79" spans="1:14" ht="15.75" customHeight="1" x14ac:dyDescent="0.3">
      <c r="A79" s="97" t="s">
        <v>145</v>
      </c>
      <c r="B79" s="98"/>
      <c r="C79" s="57">
        <v>0</v>
      </c>
      <c r="D79" s="58">
        <f ca="1">((100/H69)*C79)/100</f>
        <v>0</v>
      </c>
      <c r="E79" s="190"/>
      <c r="F79" s="191"/>
      <c r="G79" s="190"/>
      <c r="H79" s="195"/>
      <c r="I79" s="14" t="s">
        <v>152</v>
      </c>
      <c r="J79" s="30">
        <f>(IF(B69&gt;4,(H69/(B69+2)+J78),0))</f>
        <v>0</v>
      </c>
    </row>
    <row r="80" spans="1:14" ht="15.75" customHeight="1" x14ac:dyDescent="0.3">
      <c r="A80" s="97" t="s">
        <v>140</v>
      </c>
      <c r="B80" s="98" t="s">
        <v>140</v>
      </c>
      <c r="C80" s="57">
        <v>0</v>
      </c>
      <c r="D80" s="58">
        <f ca="1">((100/(H69))*C80)/100</f>
        <v>0</v>
      </c>
      <c r="E80" s="190"/>
      <c r="F80" s="191"/>
      <c r="G80" s="190"/>
      <c r="H80" s="195"/>
      <c r="I80" s="14" t="s">
        <v>156</v>
      </c>
      <c r="J80" s="30">
        <f ca="1">(IF(B69=1,(H69/(B69+3)+J75),IF(B69=0,(H69/4+J75),IF(B69&gt;1,0))))</f>
        <v>18.75</v>
      </c>
    </row>
    <row r="81" spans="1:10" ht="16.2" thickBot="1" x14ac:dyDescent="0.35">
      <c r="A81" s="106" t="s">
        <v>141</v>
      </c>
      <c r="B81" s="107"/>
      <c r="C81" s="59">
        <v>0</v>
      </c>
      <c r="D81" s="60">
        <f ca="1">((100/(H69))*C81)/100</f>
        <v>0</v>
      </c>
      <c r="E81" s="192"/>
      <c r="F81" s="193"/>
      <c r="G81" s="192"/>
      <c r="H81" s="196"/>
      <c r="I81" s="15" t="s">
        <v>108</v>
      </c>
      <c r="J81" s="32">
        <f ca="1">(IF(B69&gt;1.5,(H69/(B69+2)+J75+MAX(0,J76-J75)+MAX(0,J77-J76)+MAX(0,J78-J77)+MAX(0,J79-J78)+MAX(0,J80-J79)),IF(B69=1,(H69/(B69+3)+J80),IF(B69=0,H69/4+J80))))</f>
        <v>25</v>
      </c>
    </row>
    <row r="82" spans="1:10" ht="15.75" customHeight="1" x14ac:dyDescent="0.3">
      <c r="A82" s="99" t="s">
        <v>147</v>
      </c>
      <c r="B82" s="100"/>
      <c r="C82" s="101" t="str">
        <f>D59</f>
        <v>Building B (Bridgewood) = Gr/St + 1st to 28th Floor</v>
      </c>
      <c r="D82" s="102"/>
      <c r="E82" s="102"/>
      <c r="F82" s="102"/>
      <c r="G82" s="102"/>
      <c r="H82" s="103"/>
      <c r="I82" s="50" t="str">
        <f ca="1">IF(D95=100%,"All work Completed. Possession granted to the Building.",IF(D94=100%,"All work Completed, Waiting for OC",I83&amp;""&amp;I84&amp;""&amp;J83&amp;""&amp;J82&amp;" "&amp;J84))</f>
        <v>Excavation, Plinth Completed, RCC upto 27 Slab, Brickwork upto 26 Floor, Internal Plaster upto 19.5 Floor, External Plaster upto 19.5 Floor, Flooring upto 8 Floor Completed</v>
      </c>
      <c r="J82" s="51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27 Slab, Brickwork upto 26 Floor, Internal Plaster upto 19.5 Floor, External Plaster upto 19.5 Floor, Flooring upto 8 Floor</v>
      </c>
    </row>
    <row r="83" spans="1:10" x14ac:dyDescent="0.3">
      <c r="A83" s="16" t="s">
        <v>149</v>
      </c>
      <c r="B83" s="48">
        <v>0</v>
      </c>
      <c r="C83" s="48" t="s">
        <v>74</v>
      </c>
      <c r="D83" s="48">
        <v>1</v>
      </c>
      <c r="E83" s="48" t="s">
        <v>73</v>
      </c>
      <c r="F83" s="48">
        <v>0</v>
      </c>
      <c r="G83" s="48" t="s">
        <v>83</v>
      </c>
      <c r="H83" s="17">
        <f ca="1">--TRIM(RIGHT(SUBSTITUTE(LEFT(C82,_xlfn.AGGREGATE(16,6,FIND({0,1,2,3,4,5,6,7,8,9},C82,ROW(INDIRECT("1:"&amp;LEN(C82)))),1))," ",REPT(" ",LEN(C82))),LEN(C82)))</f>
        <v>28</v>
      </c>
      <c r="I83" s="52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53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1.8" customHeight="1" x14ac:dyDescent="0.3">
      <c r="A84" s="165" t="s">
        <v>93</v>
      </c>
      <c r="B84" s="166"/>
      <c r="C84" s="170" t="str">
        <f ca="1">(IF($G$53="NA",I82,"All work Completed. OC Received."))</f>
        <v>Excavation, Plinth Completed, RCC upto 27 Slab, Brickwork upto 26 Floor, Internal Plaster upto 19.5 Floor, External Plaster upto 19.5 Floor, Flooring upto 8 Floor Completed</v>
      </c>
      <c r="D84" s="170"/>
      <c r="E84" s="170"/>
      <c r="F84" s="170"/>
      <c r="G84" s="170"/>
      <c r="H84" s="171"/>
      <c r="I84" s="52" t="str">
        <f ca="1">IF(I83&lt;&gt;""," Completed","")</f>
        <v xml:space="preserve"> Completed</v>
      </c>
      <c r="J84" s="53" t="str">
        <f ca="1">IF(J82&lt;&gt;"","Completed","")</f>
        <v>Completed</v>
      </c>
    </row>
    <row r="85" spans="1:10" ht="15.75" customHeight="1" x14ac:dyDescent="0.3">
      <c r="A85" s="97" t="s">
        <v>50</v>
      </c>
      <c r="B85" s="98"/>
      <c r="C85" s="44" t="s">
        <v>146</v>
      </c>
      <c r="D85" s="44" t="s">
        <v>86</v>
      </c>
      <c r="E85" s="98" t="s">
        <v>88</v>
      </c>
      <c r="F85" s="98"/>
      <c r="G85" s="98" t="s">
        <v>87</v>
      </c>
      <c r="H85" s="209"/>
      <c r="I85" s="14" t="s">
        <v>148</v>
      </c>
      <c r="J85" s="28">
        <f ca="1">H83*25%</f>
        <v>7</v>
      </c>
    </row>
    <row r="86" spans="1:10" x14ac:dyDescent="0.3">
      <c r="A86" s="97" t="s">
        <v>135</v>
      </c>
      <c r="B86" s="98"/>
      <c r="C86" s="44">
        <f ca="1">J87</f>
        <v>28</v>
      </c>
      <c r="D86" s="19">
        <f ca="1">((100/H83)*C86)/100</f>
        <v>1</v>
      </c>
      <c r="E86" s="180">
        <f ca="1">(((C87/H83*10)+(40/(D83+F83+H83)*C88)+(7.5/(H83)*C89)+(7.5/(H83)*C90)+(10/H83*C91)+(10/H83*C92)+(5/H83*C93)+(5/H83*C94)+(5/H83*C95))/100)</f>
        <v>0.6925030788177341</v>
      </c>
      <c r="F86" s="201"/>
      <c r="G86" s="180">
        <f ca="1">((((C86/H83)*20)+((C87/H83)*25)+(30/(H83+F83+D83)*C88)+(5/H83*C89)+(5/H83*C90)+(5/H83*C91)+(5/H83*C92)+(0/H83*C93)+(0/H83*C94)+(5/H83*C95))/100)</f>
        <v>0.85966748768472911</v>
      </c>
      <c r="H86" s="181"/>
      <c r="I86" s="14" t="s">
        <v>104</v>
      </c>
      <c r="J86" s="29">
        <f ca="1">H83*50%</f>
        <v>14</v>
      </c>
    </row>
    <row r="87" spans="1:10" x14ac:dyDescent="0.3">
      <c r="A87" s="97" t="s">
        <v>51</v>
      </c>
      <c r="B87" s="98"/>
      <c r="C87" s="61">
        <f ca="1">J95</f>
        <v>28</v>
      </c>
      <c r="D87" s="19">
        <f ca="1">((100/H83)*C87)/100</f>
        <v>1</v>
      </c>
      <c r="E87" s="182"/>
      <c r="F87" s="202"/>
      <c r="G87" s="182"/>
      <c r="H87" s="183"/>
      <c r="I87" s="14" t="s">
        <v>105</v>
      </c>
      <c r="J87" s="29">
        <f ca="1">H83</f>
        <v>28</v>
      </c>
    </row>
    <row r="88" spans="1:10" ht="15.75" customHeight="1" x14ac:dyDescent="0.3">
      <c r="A88" s="97" t="s">
        <v>136</v>
      </c>
      <c r="B88" s="98"/>
      <c r="C88" s="44">
        <v>27</v>
      </c>
      <c r="D88" s="19">
        <f ca="1">((100/(D83+F83+H83))*C88)/100</f>
        <v>0.93103448275862066</v>
      </c>
      <c r="E88" s="182"/>
      <c r="F88" s="202"/>
      <c r="G88" s="182"/>
      <c r="H88" s="183"/>
      <c r="I88" s="14" t="s">
        <v>106</v>
      </c>
      <c r="J88" s="30">
        <f ca="1">(IF(B83&gt;1,(H83/(B83+2)),H83/4))</f>
        <v>7</v>
      </c>
    </row>
    <row r="89" spans="1:10" ht="15.75" customHeight="1" x14ac:dyDescent="0.3">
      <c r="A89" s="97" t="s">
        <v>143</v>
      </c>
      <c r="B89" s="98" t="s">
        <v>137</v>
      </c>
      <c r="C89" s="44">
        <f>C88-1</f>
        <v>26</v>
      </c>
      <c r="D89" s="19">
        <f ca="1">((100/H83)*C89)/100</f>
        <v>0.9285714285714286</v>
      </c>
      <c r="E89" s="182"/>
      <c r="F89" s="202"/>
      <c r="G89" s="182"/>
      <c r="H89" s="183"/>
      <c r="I89" s="14" t="s">
        <v>107</v>
      </c>
      <c r="J89" s="30">
        <f ca="1">(IF(B83&gt;1,(H83/(B83+2)+J88),H83/4+J88))</f>
        <v>14</v>
      </c>
    </row>
    <row r="90" spans="1:10" ht="15.75" customHeight="1" x14ac:dyDescent="0.3">
      <c r="A90" s="97" t="s">
        <v>144</v>
      </c>
      <c r="B90" s="98" t="s">
        <v>137</v>
      </c>
      <c r="C90" s="61">
        <f>C89*0.75</f>
        <v>19.5</v>
      </c>
      <c r="D90" s="19">
        <f ca="1">((100/H83)*C90)/100</f>
        <v>0.69642857142857151</v>
      </c>
      <c r="E90" s="182"/>
      <c r="F90" s="202"/>
      <c r="G90" s="182"/>
      <c r="H90" s="183"/>
      <c r="I90" s="14" t="s">
        <v>155</v>
      </c>
      <c r="J90" s="30">
        <f>(IF(B83&gt;1,(H83/(B83+2)+J89),0))</f>
        <v>0</v>
      </c>
    </row>
    <row r="91" spans="1:10" ht="15" customHeight="1" x14ac:dyDescent="0.3">
      <c r="A91" s="97" t="s">
        <v>142</v>
      </c>
      <c r="B91" s="98" t="s">
        <v>139</v>
      </c>
      <c r="C91" s="61">
        <f>C90</f>
        <v>19.5</v>
      </c>
      <c r="D91" s="19">
        <f ca="1">((100/(H83))*C91)/100</f>
        <v>0.69642857142857151</v>
      </c>
      <c r="E91" s="182"/>
      <c r="F91" s="202"/>
      <c r="G91" s="182"/>
      <c r="H91" s="183"/>
      <c r="I91" s="14" t="s">
        <v>150</v>
      </c>
      <c r="J91" s="30">
        <f>(IF(B83&gt;2,(H83/(B83+2)+J90),0))</f>
        <v>0</v>
      </c>
    </row>
    <row r="92" spans="1:10" ht="15.75" customHeight="1" x14ac:dyDescent="0.3">
      <c r="A92" s="97" t="s">
        <v>138</v>
      </c>
      <c r="B92" s="98" t="s">
        <v>138</v>
      </c>
      <c r="C92" s="44">
        <v>8</v>
      </c>
      <c r="D92" s="19">
        <f ca="1">((100/H83)*C92)/100</f>
        <v>0.28571428571428575</v>
      </c>
      <c r="E92" s="182"/>
      <c r="F92" s="202"/>
      <c r="G92" s="182"/>
      <c r="H92" s="183"/>
      <c r="I92" s="14" t="s">
        <v>151</v>
      </c>
      <c r="J92" s="31">
        <f>(IF(B83&gt;3,(H83/(B83+2)+J91),0))</f>
        <v>0</v>
      </c>
    </row>
    <row r="93" spans="1:10" ht="15.75" customHeight="1" x14ac:dyDescent="0.3">
      <c r="A93" s="97" t="s">
        <v>145</v>
      </c>
      <c r="B93" s="98"/>
      <c r="C93" s="44">
        <v>0</v>
      </c>
      <c r="D93" s="19">
        <f ca="1">((100/H83)*C93)/100</f>
        <v>0</v>
      </c>
      <c r="E93" s="182"/>
      <c r="F93" s="202"/>
      <c r="G93" s="182"/>
      <c r="H93" s="183"/>
      <c r="I93" s="14" t="s">
        <v>152</v>
      </c>
      <c r="J93" s="30">
        <f>(IF(B83&gt;4,(H83/(B83+2)+J92),0))</f>
        <v>0</v>
      </c>
    </row>
    <row r="94" spans="1:10" ht="15.75" customHeight="1" x14ac:dyDescent="0.3">
      <c r="A94" s="97" t="s">
        <v>140</v>
      </c>
      <c r="B94" s="98" t="s">
        <v>140</v>
      </c>
      <c r="C94" s="44">
        <v>0</v>
      </c>
      <c r="D94" s="19">
        <f ca="1">((100/(H83))*C94)/100</f>
        <v>0</v>
      </c>
      <c r="E94" s="182"/>
      <c r="F94" s="202"/>
      <c r="G94" s="182"/>
      <c r="H94" s="183"/>
      <c r="I94" s="14" t="s">
        <v>156</v>
      </c>
      <c r="J94" s="30">
        <f ca="1">(IF(B83=1,(H83/(B83+3)+J89),IF(B83=0,(H83/4+J89),IF(B83&gt;1,0))))</f>
        <v>21</v>
      </c>
    </row>
    <row r="95" spans="1:10" ht="16.2" thickBot="1" x14ac:dyDescent="0.35">
      <c r="A95" s="106" t="s">
        <v>141</v>
      </c>
      <c r="B95" s="107"/>
      <c r="C95" s="45">
        <v>0</v>
      </c>
      <c r="D95" s="20">
        <f ca="1">((100/(H83))*C95)/100</f>
        <v>0</v>
      </c>
      <c r="E95" s="184"/>
      <c r="F95" s="203"/>
      <c r="G95" s="184"/>
      <c r="H95" s="185"/>
      <c r="I95" s="15" t="s">
        <v>108</v>
      </c>
      <c r="J95" s="32">
        <f ca="1">(IF(B83&gt;1.5,(H83/(B83+2)+J89+MAX(0,J90-J89)+MAX(0,J91-J90)+MAX(0,J92-J91)+MAX(0,J93-J92)+MAX(0,J94-J93)),IF(B83=1,(H83/(B83+3)+J94),IF(B83=0,H83/4+J94))))</f>
        <v>28</v>
      </c>
    </row>
    <row r="96" spans="1:10" ht="15.75" customHeight="1" x14ac:dyDescent="0.3">
      <c r="A96" s="99" t="s">
        <v>147</v>
      </c>
      <c r="B96" s="100"/>
      <c r="C96" s="167" t="str">
        <f>D60</f>
        <v>Building C (Greenwood) = Gr/St + 1st to 25th Floor</v>
      </c>
      <c r="D96" s="168"/>
      <c r="E96" s="168"/>
      <c r="F96" s="168"/>
      <c r="G96" s="168"/>
      <c r="H96" s="169"/>
      <c r="I96" s="50" t="str">
        <f ca="1">IF(D109=100%,"All work Completed. Possession granted to the Building.",IF(D108=100%,"All work Completed, Waiting for OC",I97&amp;""&amp;I98&amp;""&amp;J97&amp;""&amp;J96&amp;" "&amp;J98))</f>
        <v>Excavation, Plinth, RCC Slab, Brickwork Completed, Internal Plaster upto 21 Floor, External Plaster upto 21 Floor, Flooring upto 10 Floor Completed</v>
      </c>
      <c r="J96" s="51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Internal Plaster upto 21 Floor, External Plaster upto 21 Floor, Flooring upto 10 Floor</v>
      </c>
    </row>
    <row r="97" spans="1:10" x14ac:dyDescent="0.3">
      <c r="A97" s="16" t="s">
        <v>149</v>
      </c>
      <c r="B97" s="48">
        <v>0</v>
      </c>
      <c r="C97" s="48" t="s">
        <v>74</v>
      </c>
      <c r="D97" s="48">
        <v>1</v>
      </c>
      <c r="E97" s="48" t="s">
        <v>73</v>
      </c>
      <c r="F97" s="48">
        <v>0</v>
      </c>
      <c r="G97" s="49" t="s">
        <v>83</v>
      </c>
      <c r="H97" s="17">
        <f ca="1">--TRIM(RIGHT(SUBSTITUTE(LEFT(C96,_xlfn.AGGREGATE(16,6,FIND({0,1,2,3,4,5,6,7,8,9},C96,ROW(INDIRECT("1:"&amp;LEN(C96)))),1))," ",REPT(" ",LEN(C96))),LEN(C96)))</f>
        <v>25</v>
      </c>
      <c r="I97" s="52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</v>
      </c>
      <c r="J97" s="53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3.75" customHeight="1" x14ac:dyDescent="0.3">
      <c r="A98" s="165" t="s">
        <v>93</v>
      </c>
      <c r="B98" s="166"/>
      <c r="C98" s="170" t="str">
        <f ca="1">(IF($G$53="NA",I96,"All work Completed. OC Received."))</f>
        <v>Excavation, Plinth, RCC Slab, Brickwork Completed, Internal Plaster upto 21 Floor, External Plaster upto 21 Floor, Flooring upto 10 Floor Completed</v>
      </c>
      <c r="D98" s="170"/>
      <c r="E98" s="170"/>
      <c r="F98" s="170"/>
      <c r="G98" s="170"/>
      <c r="H98" s="171"/>
      <c r="I98" s="52" t="str">
        <f ca="1">IF(I97&lt;&gt;""," Completed","")</f>
        <v xml:space="preserve"> Completed</v>
      </c>
      <c r="J98" s="53" t="str">
        <f ca="1">IF(J96&lt;&gt;"","Completed","")</f>
        <v>Completed</v>
      </c>
    </row>
    <row r="99" spans="1:10" ht="15.75" customHeight="1" x14ac:dyDescent="0.3">
      <c r="A99" s="97" t="s">
        <v>50</v>
      </c>
      <c r="B99" s="98"/>
      <c r="C99" s="44" t="s">
        <v>146</v>
      </c>
      <c r="D99" s="44" t="s">
        <v>86</v>
      </c>
      <c r="E99" s="98" t="s">
        <v>88</v>
      </c>
      <c r="F99" s="98"/>
      <c r="G99" s="98" t="s">
        <v>87</v>
      </c>
      <c r="H99" s="209"/>
      <c r="I99" s="14" t="s">
        <v>148</v>
      </c>
      <c r="J99" s="28">
        <f ca="1">H97*25%</f>
        <v>6.25</v>
      </c>
    </row>
    <row r="100" spans="1:10" x14ac:dyDescent="0.3">
      <c r="A100" s="97" t="s">
        <v>135</v>
      </c>
      <c r="B100" s="98"/>
      <c r="C100" s="44">
        <f ca="1">J101</f>
        <v>25</v>
      </c>
      <c r="D100" s="19">
        <f ca="1">((100/H97)*C100)/100</f>
        <v>1</v>
      </c>
      <c r="E100" s="180">
        <f ca="1">(((C101/H97*10)+(40/(D97+F97+H97)*C102)+(7.5/(H97)*C103)+(7.5/(H97)*C104)+(10/H97*C105)+(10/H97*C106)+(5/H97*C107)+(5/H97*C108)+(5/H97*C109))/100)</f>
        <v>0.76200000000000001</v>
      </c>
      <c r="F100" s="201"/>
      <c r="G100" s="180">
        <f ca="1">((((C100/H97)*20)+((C101/H97)*25)+(30/(H97+F97+D97)*C102)+(5/H97*C103)+(5/H97*C104)+(5/H97*C105)+(5/H97*C106)+(0/H97*C107)+(0/H97*C108)+(5/H97*C109))/100)</f>
        <v>0.90400000000000003</v>
      </c>
      <c r="H100" s="181"/>
      <c r="I100" s="14" t="s">
        <v>104</v>
      </c>
      <c r="J100" s="29">
        <f ca="1">H97*50%</f>
        <v>12.5</v>
      </c>
    </row>
    <row r="101" spans="1:10" x14ac:dyDescent="0.3">
      <c r="A101" s="97" t="s">
        <v>51</v>
      </c>
      <c r="B101" s="98"/>
      <c r="C101" s="61">
        <f ca="1">J109</f>
        <v>25</v>
      </c>
      <c r="D101" s="19">
        <f ca="1">((100/H97)*C101)/100</f>
        <v>1</v>
      </c>
      <c r="E101" s="182"/>
      <c r="F101" s="202"/>
      <c r="G101" s="182"/>
      <c r="H101" s="183"/>
      <c r="I101" s="14" t="s">
        <v>105</v>
      </c>
      <c r="J101" s="29">
        <f ca="1">H97</f>
        <v>25</v>
      </c>
    </row>
    <row r="102" spans="1:10" ht="15.75" customHeight="1" x14ac:dyDescent="0.3">
      <c r="A102" s="97" t="s">
        <v>136</v>
      </c>
      <c r="B102" s="98"/>
      <c r="C102" s="44">
        <v>26</v>
      </c>
      <c r="D102" s="19">
        <f ca="1">((100/(D97+F97+H97))*C102)/100</f>
        <v>1</v>
      </c>
      <c r="E102" s="182"/>
      <c r="F102" s="202"/>
      <c r="G102" s="182"/>
      <c r="H102" s="183"/>
      <c r="I102" s="14" t="s">
        <v>106</v>
      </c>
      <c r="J102" s="30">
        <f ca="1">(IF(B97&gt;1,(H97/(B97+2)),H97/4))</f>
        <v>6.25</v>
      </c>
    </row>
    <row r="103" spans="1:10" ht="15.75" customHeight="1" x14ac:dyDescent="0.3">
      <c r="A103" s="97" t="s">
        <v>143</v>
      </c>
      <c r="B103" s="98" t="s">
        <v>137</v>
      </c>
      <c r="C103" s="44">
        <f>C102-1</f>
        <v>25</v>
      </c>
      <c r="D103" s="19">
        <f ca="1">((100/H97)*C103)/100</f>
        <v>1</v>
      </c>
      <c r="E103" s="182"/>
      <c r="F103" s="202"/>
      <c r="G103" s="182"/>
      <c r="H103" s="183"/>
      <c r="I103" s="14" t="s">
        <v>107</v>
      </c>
      <c r="J103" s="30">
        <f ca="1">(IF(B97&gt;1,(H97/(B97+2)+J102),H97/4+J102))</f>
        <v>12.5</v>
      </c>
    </row>
    <row r="104" spans="1:10" ht="15.75" customHeight="1" x14ac:dyDescent="0.3">
      <c r="A104" s="97" t="s">
        <v>144</v>
      </c>
      <c r="B104" s="98" t="s">
        <v>137</v>
      </c>
      <c r="C104" s="61">
        <v>21</v>
      </c>
      <c r="D104" s="19">
        <f ca="1">((100/H97)*C104)/100</f>
        <v>0.84</v>
      </c>
      <c r="E104" s="182"/>
      <c r="F104" s="202"/>
      <c r="G104" s="182"/>
      <c r="H104" s="183"/>
      <c r="I104" s="14" t="s">
        <v>155</v>
      </c>
      <c r="J104" s="30">
        <f>(IF(B97&gt;1,(H97/(B97+2)+J103),0))</f>
        <v>0</v>
      </c>
    </row>
    <row r="105" spans="1:10" ht="15" customHeight="1" x14ac:dyDescent="0.3">
      <c r="A105" s="97" t="s">
        <v>142</v>
      </c>
      <c r="B105" s="98" t="s">
        <v>139</v>
      </c>
      <c r="C105" s="61">
        <f>C104</f>
        <v>21</v>
      </c>
      <c r="D105" s="19">
        <f ca="1">((100/(H97))*C105)/100</f>
        <v>0.84</v>
      </c>
      <c r="E105" s="182"/>
      <c r="F105" s="202"/>
      <c r="G105" s="182"/>
      <c r="H105" s="183"/>
      <c r="I105" s="14" t="s">
        <v>150</v>
      </c>
      <c r="J105" s="30">
        <f>(IF(B97&gt;2,(H97/(B97+2)+J104),0))</f>
        <v>0</v>
      </c>
    </row>
    <row r="106" spans="1:10" ht="15.75" customHeight="1" x14ac:dyDescent="0.3">
      <c r="A106" s="97" t="s">
        <v>138</v>
      </c>
      <c r="B106" s="98" t="s">
        <v>138</v>
      </c>
      <c r="C106" s="44">
        <v>10</v>
      </c>
      <c r="D106" s="19">
        <f ca="1">((100/H97)*C106)/100</f>
        <v>0.4</v>
      </c>
      <c r="E106" s="182"/>
      <c r="F106" s="202"/>
      <c r="G106" s="182"/>
      <c r="H106" s="183"/>
      <c r="I106" s="14" t="s">
        <v>151</v>
      </c>
      <c r="J106" s="31">
        <f>(IF(B97&gt;3,(H97/(B97+2)+J105),0))</f>
        <v>0</v>
      </c>
    </row>
    <row r="107" spans="1:10" ht="15.75" customHeight="1" x14ac:dyDescent="0.3">
      <c r="A107" s="97" t="s">
        <v>145</v>
      </c>
      <c r="B107" s="98"/>
      <c r="C107" s="44">
        <v>0</v>
      </c>
      <c r="D107" s="19">
        <f ca="1">((100/H97)*C107)/100</f>
        <v>0</v>
      </c>
      <c r="E107" s="182"/>
      <c r="F107" s="202"/>
      <c r="G107" s="182"/>
      <c r="H107" s="183"/>
      <c r="I107" s="14" t="s">
        <v>152</v>
      </c>
      <c r="J107" s="30">
        <f>(IF(B97&gt;4,(H97/(B97+2)+J106),0))</f>
        <v>0</v>
      </c>
    </row>
    <row r="108" spans="1:10" ht="15.75" customHeight="1" x14ac:dyDescent="0.3">
      <c r="A108" s="97" t="s">
        <v>140</v>
      </c>
      <c r="B108" s="98" t="s">
        <v>140</v>
      </c>
      <c r="C108" s="44">
        <v>0</v>
      </c>
      <c r="D108" s="19">
        <f ca="1">((100/(H97))*C108)/100</f>
        <v>0</v>
      </c>
      <c r="E108" s="182"/>
      <c r="F108" s="202"/>
      <c r="G108" s="182"/>
      <c r="H108" s="183"/>
      <c r="I108" s="14" t="s">
        <v>156</v>
      </c>
      <c r="J108" s="30">
        <f ca="1">(IF(B97=1,(H97/(B97+3)+J103),IF(B97=0,(H97/4+J103),IF(B97&gt;1,0))))</f>
        <v>18.75</v>
      </c>
    </row>
    <row r="109" spans="1:10" ht="16.2" thickBot="1" x14ac:dyDescent="0.35">
      <c r="A109" s="106" t="s">
        <v>141</v>
      </c>
      <c r="B109" s="107"/>
      <c r="C109" s="45">
        <v>0</v>
      </c>
      <c r="D109" s="20">
        <f ca="1">((100/(H97))*C109)/100</f>
        <v>0</v>
      </c>
      <c r="E109" s="184"/>
      <c r="F109" s="203"/>
      <c r="G109" s="184"/>
      <c r="H109" s="185"/>
      <c r="I109" s="15" t="s">
        <v>108</v>
      </c>
      <c r="J109" s="32">
        <f ca="1">(IF(B97&gt;1.5,(H97/(B97+2)+J103+MAX(0,J104-J103)+MAX(0,J105-J104)+MAX(0,J106-J105)+MAX(0,J107-J106)+MAX(0,J108-J107)),IF(B97=1,(H97/(B97+3)+J108),IF(B97=0,H97/4+J108))))</f>
        <v>25</v>
      </c>
    </row>
    <row r="110" spans="1:10" x14ac:dyDescent="0.3">
      <c r="A110" s="210" t="s">
        <v>167</v>
      </c>
      <c r="B110" s="210"/>
      <c r="C110" s="210"/>
      <c r="D110" s="210"/>
      <c r="E110" s="210"/>
      <c r="F110" s="149" t="s">
        <v>172</v>
      </c>
      <c r="G110" s="149"/>
      <c r="H110" s="149"/>
    </row>
    <row r="111" spans="1:10" x14ac:dyDescent="0.3">
      <c r="A111" s="85" t="s">
        <v>170</v>
      </c>
      <c r="B111" s="85"/>
      <c r="C111" s="85"/>
      <c r="D111" s="85"/>
      <c r="E111" s="85"/>
      <c r="F111" s="104">
        <v>7100</v>
      </c>
      <c r="G111" s="104"/>
      <c r="H111" s="104"/>
    </row>
    <row r="112" spans="1:10" hidden="1" x14ac:dyDescent="0.3">
      <c r="A112" s="85" t="s">
        <v>169</v>
      </c>
      <c r="B112" s="85"/>
      <c r="C112" s="85"/>
      <c r="D112" s="85"/>
      <c r="E112" s="85"/>
      <c r="F112" s="104"/>
      <c r="G112" s="104"/>
      <c r="H112" s="104"/>
    </row>
    <row r="113" spans="1:9" hidden="1" x14ac:dyDescent="0.3">
      <c r="A113" s="85" t="s">
        <v>171</v>
      </c>
      <c r="B113" s="85"/>
      <c r="C113" s="85"/>
      <c r="D113" s="85"/>
      <c r="E113" s="85"/>
      <c r="F113" s="104"/>
      <c r="G113" s="104"/>
      <c r="H113" s="104"/>
    </row>
    <row r="114" spans="1:9" s="33" customFormat="1" hidden="1" x14ac:dyDescent="0.25">
      <c r="A114" s="85" t="s">
        <v>168</v>
      </c>
      <c r="B114" s="85"/>
      <c r="C114" s="85"/>
      <c r="D114" s="85"/>
      <c r="E114" s="85"/>
      <c r="F114" s="104"/>
      <c r="G114" s="104"/>
      <c r="H114" s="104"/>
    </row>
    <row r="115" spans="1:9" s="33" customFormat="1" x14ac:dyDescent="0.25">
      <c r="A115" s="85" t="s">
        <v>98</v>
      </c>
      <c r="B115" s="85"/>
      <c r="C115" s="85"/>
      <c r="D115" s="85"/>
      <c r="E115" s="85"/>
      <c r="F115" s="104">
        <v>400000</v>
      </c>
      <c r="G115" s="104"/>
      <c r="H115" s="104"/>
      <c r="I115" s="33" t="s">
        <v>234</v>
      </c>
    </row>
    <row r="116" spans="1:9" s="33" customFormat="1" hidden="1" x14ac:dyDescent="0.25">
      <c r="A116" s="85" t="s">
        <v>99</v>
      </c>
      <c r="B116" s="85"/>
      <c r="C116" s="85"/>
      <c r="D116" s="85"/>
      <c r="E116" s="85"/>
      <c r="F116" s="104"/>
      <c r="G116" s="104"/>
      <c r="H116" s="104"/>
    </row>
    <row r="117" spans="1:9" s="33" customFormat="1" hidden="1" x14ac:dyDescent="0.25">
      <c r="A117" s="85" t="s">
        <v>173</v>
      </c>
      <c r="B117" s="85"/>
      <c r="C117" s="85"/>
      <c r="D117" s="85"/>
      <c r="E117" s="85"/>
      <c r="F117" s="104"/>
      <c r="G117" s="104"/>
      <c r="H117" s="104"/>
    </row>
    <row r="118" spans="1:9" s="33" customFormat="1" hidden="1" x14ac:dyDescent="0.25">
      <c r="A118" s="85" t="s">
        <v>100</v>
      </c>
      <c r="B118" s="85"/>
      <c r="C118" s="85"/>
      <c r="D118" s="85"/>
      <c r="E118" s="85"/>
      <c r="F118" s="104"/>
      <c r="G118" s="104"/>
      <c r="H118" s="104"/>
    </row>
    <row r="119" spans="1:9" s="33" customFormat="1" hidden="1" x14ac:dyDescent="0.25">
      <c r="A119" s="85" t="s">
        <v>101</v>
      </c>
      <c r="B119" s="85"/>
      <c r="C119" s="85"/>
      <c r="D119" s="85"/>
      <c r="E119" s="85"/>
      <c r="F119" s="104"/>
      <c r="G119" s="104"/>
      <c r="H119" s="104"/>
    </row>
    <row r="120" spans="1:9" s="33" customFormat="1" hidden="1" x14ac:dyDescent="0.25">
      <c r="A120" s="85" t="s">
        <v>102</v>
      </c>
      <c r="B120" s="85"/>
      <c r="C120" s="85"/>
      <c r="D120" s="85"/>
      <c r="E120" s="85"/>
      <c r="F120" s="104"/>
      <c r="G120" s="104"/>
      <c r="H120" s="104"/>
    </row>
    <row r="121" spans="1:9" s="33" customFormat="1" hidden="1" x14ac:dyDescent="0.25">
      <c r="A121" s="85" t="s">
        <v>103</v>
      </c>
      <c r="B121" s="85"/>
      <c r="C121" s="85"/>
      <c r="D121" s="85"/>
      <c r="E121" s="85"/>
      <c r="F121" s="104"/>
      <c r="G121" s="104"/>
      <c r="H121" s="104"/>
    </row>
    <row r="122" spans="1:9" x14ac:dyDescent="0.3">
      <c r="A122" s="85" t="s">
        <v>52</v>
      </c>
      <c r="B122" s="85"/>
      <c r="C122" s="85"/>
      <c r="D122" s="85"/>
      <c r="E122" s="85"/>
      <c r="F122" s="104">
        <v>400000</v>
      </c>
      <c r="G122" s="104"/>
      <c r="H122" s="104"/>
    </row>
    <row r="123" spans="1:9" s="34" customFormat="1" x14ac:dyDescent="0.3">
      <c r="A123" s="157" t="s">
        <v>53</v>
      </c>
      <c r="B123" s="157"/>
      <c r="C123" s="157"/>
      <c r="D123" s="157"/>
      <c r="E123" s="157"/>
      <c r="F123" s="104">
        <f>F111*0.8</f>
        <v>5680</v>
      </c>
      <c r="G123" s="104"/>
      <c r="H123" s="104"/>
    </row>
    <row r="124" spans="1:9" s="35" customFormat="1" ht="15.75" hidden="1" customHeight="1" x14ac:dyDescent="0.3">
      <c r="A124" s="156" t="s">
        <v>78</v>
      </c>
      <c r="B124" s="156"/>
      <c r="C124" s="156"/>
      <c r="D124" s="156"/>
      <c r="E124" s="156"/>
      <c r="F124" s="156"/>
      <c r="G124" s="156"/>
      <c r="H124" s="156"/>
    </row>
    <row r="125" spans="1:9" s="35" customFormat="1" ht="15.75" hidden="1" customHeight="1" x14ac:dyDescent="0.3">
      <c r="A125" s="88" t="s">
        <v>54</v>
      </c>
      <c r="B125" s="88"/>
      <c r="C125" s="207" t="s">
        <v>81</v>
      </c>
      <c r="D125" s="207"/>
      <c r="E125" s="141" t="s">
        <v>55</v>
      </c>
      <c r="F125" s="141"/>
      <c r="G125" s="88" t="s">
        <v>56</v>
      </c>
      <c r="H125" s="88"/>
    </row>
    <row r="126" spans="1:9" s="35" customFormat="1" hidden="1" x14ac:dyDescent="0.3">
      <c r="A126" s="142"/>
      <c r="B126" s="142"/>
      <c r="C126" s="138"/>
      <c r="D126" s="138"/>
      <c r="E126" s="139"/>
      <c r="F126" s="139"/>
      <c r="G126" s="105"/>
      <c r="H126" s="105"/>
    </row>
    <row r="127" spans="1:9" s="35" customFormat="1" hidden="1" x14ac:dyDescent="0.3">
      <c r="A127" s="142"/>
      <c r="B127" s="142"/>
      <c r="C127" s="138"/>
      <c r="D127" s="138"/>
      <c r="E127" s="139"/>
      <c r="F127" s="139"/>
      <c r="G127" s="105"/>
      <c r="H127" s="105"/>
    </row>
    <row r="128" spans="1:9" s="35" customFormat="1" hidden="1" x14ac:dyDescent="0.3">
      <c r="A128" s="156" t="s">
        <v>160</v>
      </c>
      <c r="B128" s="156"/>
      <c r="C128" s="207"/>
      <c r="D128" s="207"/>
      <c r="E128" s="141"/>
      <c r="F128" s="141"/>
      <c r="G128" s="88"/>
      <c r="H128" s="88"/>
    </row>
    <row r="129" spans="1:14" s="35" customFormat="1" x14ac:dyDescent="0.3">
      <c r="A129" s="156" t="s">
        <v>72</v>
      </c>
      <c r="B129" s="156"/>
      <c r="C129" s="156"/>
      <c r="D129" s="156"/>
      <c r="E129" s="156"/>
      <c r="F129" s="156"/>
      <c r="G129" s="156"/>
      <c r="H129" s="156"/>
    </row>
    <row r="130" spans="1:14" s="35" customFormat="1" ht="15.75" customHeight="1" x14ac:dyDescent="0.3">
      <c r="A130" s="88" t="s">
        <v>54</v>
      </c>
      <c r="B130" s="88"/>
      <c r="C130" s="207" t="s">
        <v>81</v>
      </c>
      <c r="D130" s="207"/>
      <c r="E130" s="141" t="s">
        <v>55</v>
      </c>
      <c r="F130" s="141"/>
      <c r="G130" s="88" t="s">
        <v>56</v>
      </c>
      <c r="H130" s="88"/>
    </row>
    <row r="131" spans="1:14" s="35" customFormat="1" ht="32.25" customHeight="1" x14ac:dyDescent="0.3">
      <c r="A131" s="222" t="s">
        <v>226</v>
      </c>
      <c r="B131" s="222"/>
      <c r="C131" s="199">
        <f>COUNT(D151,D153:D158)+COUNT(D160:D167)*10+COUNT(D169,D171:D176)+COUNT(D178:D185)*11+COUNT(D187:D194)+COUNT(D196:D203)</f>
        <v>198</v>
      </c>
      <c r="D131" s="199"/>
      <c r="E131" s="200">
        <f>SUM(D151,D153:D158)+SUM(D160:D167)*10+SUM(D169,D171:D176)+SUM(D178:D185)*11+SUM(D187:D194)+SUM(D196:D203)</f>
        <v>108984.69269999999</v>
      </c>
      <c r="F131" s="200"/>
      <c r="G131" s="200">
        <f>SUM(F151,F153:F158)+SUM(F160:F167)*10+SUM(F169,F171:F176)+SUM(F178:F185)*11+SUM(F187:F194)+SUM(F196:F203)</f>
        <v>163477.03904999996</v>
      </c>
      <c r="H131" s="200"/>
    </row>
    <row r="132" spans="1:14" s="35" customFormat="1" ht="32.25" customHeight="1" x14ac:dyDescent="0.3">
      <c r="A132" s="142" t="s">
        <v>224</v>
      </c>
      <c r="B132" s="142"/>
      <c r="C132" s="199">
        <f>COUNT(D207,D209:D214)+COUNT(D216:D223)*8+COUNT(D225:D232)*8</f>
        <v>135</v>
      </c>
      <c r="D132" s="199"/>
      <c r="E132" s="200">
        <f>SUM(D207,D209:D214)+SUM(D216:D223)*8+SUM(D225:D232)*8</f>
        <v>88581.234689999997</v>
      </c>
      <c r="F132" s="200"/>
      <c r="G132" s="200">
        <f>SUM(F207,F209:F214)+SUM(F216:F223)*8+SUM(F225:F232)*8</f>
        <v>132871.85203499999</v>
      </c>
      <c r="H132" s="200"/>
    </row>
    <row r="133" spans="1:14" s="35" customFormat="1" ht="32.25" customHeight="1" thickBot="1" x14ac:dyDescent="0.35">
      <c r="A133" s="66" t="s">
        <v>225</v>
      </c>
      <c r="B133" s="66"/>
      <c r="C133" s="67">
        <f>COUNT(D236,D238:D243)+COUNT(D245:D252)*10+COUNT(D254,D256:D261)+COUNT(D263:D270)*11+COUNT(D272:D279)+COUNT(D281:D288)</f>
        <v>198</v>
      </c>
      <c r="D133" s="67"/>
      <c r="E133" s="68">
        <f t="shared" ref="E133" si="0">SUM(D236,D238:D243)+SUM(D245:D252)*10+SUM(D254,D256:D261)+SUM(D263:D270)*11+SUM(D272:D279)+SUM(D281:D288)</f>
        <v>108984.69269999999</v>
      </c>
      <c r="F133" s="68"/>
      <c r="G133" s="68">
        <f>SUM(F236,F238:F243)+SUM(F245:F252)*10+SUM(F254,F256:F261)+SUM(F263:F270)*11+SUM(F272:F279)+SUM(F281:F288)</f>
        <v>163477.03904999996</v>
      </c>
      <c r="H133" s="68"/>
    </row>
    <row r="134" spans="1:14" s="35" customFormat="1" ht="16.2" thickBot="1" x14ac:dyDescent="0.35">
      <c r="A134" s="215" t="s">
        <v>160</v>
      </c>
      <c r="B134" s="216"/>
      <c r="C134" s="140">
        <f>SUM(C131:C133)</f>
        <v>531</v>
      </c>
      <c r="D134" s="140"/>
      <c r="E134" s="217">
        <f>SUM(E131:E133)</f>
        <v>306550.62008999998</v>
      </c>
      <c r="F134" s="217"/>
      <c r="G134" s="205">
        <f>SUM(G131:G133)</f>
        <v>459825.93013499992</v>
      </c>
      <c r="H134" s="206"/>
    </row>
    <row r="135" spans="1:14" s="35" customFormat="1" ht="16.2" hidden="1" thickBot="1" x14ac:dyDescent="0.35">
      <c r="A135" s="143" t="s">
        <v>181</v>
      </c>
      <c r="B135" s="144"/>
      <c r="C135" s="145">
        <f>C128+C134</f>
        <v>531</v>
      </c>
      <c r="D135" s="145"/>
      <c r="E135" s="218">
        <f>E128+E134</f>
        <v>306550.62008999998</v>
      </c>
      <c r="F135" s="218"/>
      <c r="G135" s="219">
        <f>G128+G134</f>
        <v>459825.93013499992</v>
      </c>
      <c r="H135" s="220"/>
    </row>
    <row r="136" spans="1:14" s="34" customFormat="1" x14ac:dyDescent="0.3">
      <c r="A136" s="149" t="s">
        <v>57</v>
      </c>
      <c r="B136" s="149"/>
      <c r="C136" s="149"/>
      <c r="D136" s="149"/>
      <c r="E136" s="149"/>
      <c r="F136" s="149"/>
      <c r="G136" s="149"/>
      <c r="H136" s="149"/>
    </row>
    <row r="137" spans="1:14" x14ac:dyDescent="0.3">
      <c r="A137" s="137" t="s">
        <v>58</v>
      </c>
      <c r="B137" s="137"/>
      <c r="C137" s="137"/>
      <c r="D137" s="137"/>
      <c r="E137" s="137"/>
      <c r="F137" s="137"/>
      <c r="G137" s="137"/>
      <c r="H137" s="137"/>
    </row>
    <row r="138" spans="1:14" ht="47.25" hidden="1" customHeight="1" x14ac:dyDescent="0.3">
      <c r="A138" s="89" t="s">
        <v>126</v>
      </c>
      <c r="B138" s="89" t="s">
        <v>125</v>
      </c>
      <c r="C138" s="89" t="s">
        <v>59</v>
      </c>
      <c r="D138" s="89" t="s">
        <v>60</v>
      </c>
      <c r="E138" s="91" t="s">
        <v>166</v>
      </c>
      <c r="F138" s="43" t="s">
        <v>158</v>
      </c>
      <c r="G138" s="93" t="s">
        <v>62</v>
      </c>
      <c r="H138" s="94"/>
    </row>
    <row r="139" spans="1:14" s="37" customFormat="1" hidden="1" x14ac:dyDescent="0.3">
      <c r="A139" s="90"/>
      <c r="B139" s="90"/>
      <c r="C139" s="90"/>
      <c r="D139" s="90"/>
      <c r="E139" s="92"/>
      <c r="F139" s="13">
        <v>0.6</v>
      </c>
      <c r="G139" s="95"/>
      <c r="H139" s="96"/>
    </row>
    <row r="140" spans="1:14" s="37" customFormat="1" hidden="1" x14ac:dyDescent="0.3">
      <c r="A140" s="72" t="s">
        <v>123</v>
      </c>
      <c r="B140" s="73"/>
      <c r="C140" s="73"/>
      <c r="D140" s="73"/>
      <c r="E140" s="73"/>
      <c r="F140" s="73"/>
      <c r="G140" s="73"/>
      <c r="H140" s="74"/>
      <c r="J140" s="36"/>
    </row>
    <row r="141" spans="1:14" s="37" customFormat="1" hidden="1" x14ac:dyDescent="0.3">
      <c r="A141" s="69">
        <v>1</v>
      </c>
      <c r="B141" s="70"/>
      <c r="C141" s="42"/>
      <c r="D141" s="42"/>
      <c r="E141" s="42">
        <v>0</v>
      </c>
      <c r="F141" s="42">
        <f>(D141+E141)*(($F$139)+1)</f>
        <v>0</v>
      </c>
      <c r="G141" s="69" t="str">
        <f>A140</f>
        <v>Ground Floor</v>
      </c>
      <c r="H141" s="70"/>
      <c r="I141" s="36"/>
      <c r="L141" s="71"/>
      <c r="M141" s="71"/>
      <c r="N141" s="36"/>
    </row>
    <row r="142" spans="1:14" s="37" customFormat="1" hidden="1" x14ac:dyDescent="0.3">
      <c r="A142" s="69">
        <f t="shared" ref="A142:A144" si="1">A141+1</f>
        <v>2</v>
      </c>
      <c r="B142" s="70"/>
      <c r="C142" s="42"/>
      <c r="D142" s="42"/>
      <c r="E142" s="42">
        <v>0</v>
      </c>
      <c r="F142" s="42">
        <f t="shared" ref="F142:F144" si="2">(D142+E142)*(($F$139)+1)</f>
        <v>0</v>
      </c>
      <c r="G142" s="69" t="str">
        <f t="shared" ref="G142:G144" si="3">G141</f>
        <v>Ground Floor</v>
      </c>
      <c r="H142" s="70"/>
      <c r="I142" s="36"/>
      <c r="L142" s="71"/>
      <c r="M142" s="71"/>
      <c r="N142" s="36"/>
    </row>
    <row r="143" spans="1:14" s="37" customFormat="1" hidden="1" x14ac:dyDescent="0.3">
      <c r="A143" s="69">
        <f t="shared" si="1"/>
        <v>3</v>
      </c>
      <c r="B143" s="70"/>
      <c r="C143" s="42"/>
      <c r="D143" s="42"/>
      <c r="E143" s="42">
        <v>0</v>
      </c>
      <c r="F143" s="42">
        <f t="shared" si="2"/>
        <v>0</v>
      </c>
      <c r="G143" s="69" t="str">
        <f t="shared" si="3"/>
        <v>Ground Floor</v>
      </c>
      <c r="H143" s="70"/>
      <c r="I143" s="36"/>
      <c r="L143" s="71"/>
      <c r="M143" s="71"/>
      <c r="N143" s="36"/>
    </row>
    <row r="144" spans="1:14" s="37" customFormat="1" hidden="1" x14ac:dyDescent="0.3">
      <c r="A144" s="69">
        <f t="shared" si="1"/>
        <v>4</v>
      </c>
      <c r="B144" s="70"/>
      <c r="C144" s="42"/>
      <c r="D144" s="42"/>
      <c r="E144" s="42">
        <v>0</v>
      </c>
      <c r="F144" s="42">
        <f t="shared" si="2"/>
        <v>0</v>
      </c>
      <c r="G144" s="69" t="str">
        <f t="shared" si="3"/>
        <v>Ground Floor</v>
      </c>
      <c r="H144" s="70"/>
      <c r="I144" s="36"/>
      <c r="L144" s="71"/>
      <c r="M144" s="71"/>
      <c r="N144" s="36"/>
    </row>
    <row r="145" spans="1:14" s="37" customFormat="1" hidden="1" x14ac:dyDescent="0.3">
      <c r="A145" s="69"/>
      <c r="B145" s="204"/>
      <c r="C145" s="204"/>
      <c r="D145" s="204"/>
      <c r="E145" s="204"/>
      <c r="F145" s="204"/>
      <c r="G145" s="204"/>
      <c r="H145" s="70"/>
      <c r="I145" s="36"/>
      <c r="N145" s="36"/>
    </row>
    <row r="146" spans="1:14" ht="47.25" customHeight="1" x14ac:dyDescent="0.3">
      <c r="A146" s="93" t="s">
        <v>127</v>
      </c>
      <c r="B146" s="93" t="s">
        <v>128</v>
      </c>
      <c r="C146" s="89" t="s">
        <v>59</v>
      </c>
      <c r="D146" s="89" t="s">
        <v>60</v>
      </c>
      <c r="E146" s="91" t="s">
        <v>61</v>
      </c>
      <c r="F146" s="43" t="s">
        <v>158</v>
      </c>
      <c r="G146" s="93" t="s">
        <v>62</v>
      </c>
      <c r="H146" s="94"/>
      <c r="I146" s="36"/>
    </row>
    <row r="147" spans="1:14" s="37" customFormat="1" x14ac:dyDescent="0.3">
      <c r="A147" s="95"/>
      <c r="B147" s="95"/>
      <c r="C147" s="90"/>
      <c r="D147" s="90"/>
      <c r="E147" s="92"/>
      <c r="F147" s="13">
        <v>0.5</v>
      </c>
      <c r="G147" s="95"/>
      <c r="H147" s="96"/>
      <c r="I147" s="36"/>
    </row>
    <row r="148" spans="1:14" s="37" customFormat="1" x14ac:dyDescent="0.3">
      <c r="A148" s="72" t="s">
        <v>223</v>
      </c>
      <c r="B148" s="73"/>
      <c r="C148" s="73"/>
      <c r="D148" s="73"/>
      <c r="E148" s="73"/>
      <c r="F148" s="73"/>
      <c r="G148" s="73"/>
      <c r="H148" s="74"/>
      <c r="J148" s="56">
        <f>10.764</f>
        <v>10.763999999999999</v>
      </c>
    </row>
    <row r="149" spans="1:14" s="37" customFormat="1" x14ac:dyDescent="0.3">
      <c r="A149" s="72" t="s">
        <v>198</v>
      </c>
      <c r="B149" s="73"/>
      <c r="C149" s="73"/>
      <c r="D149" s="73"/>
      <c r="E149" s="73"/>
      <c r="F149" s="73"/>
      <c r="G149" s="73"/>
      <c r="H149" s="74"/>
      <c r="I149" s="37" t="s">
        <v>199</v>
      </c>
      <c r="J149" s="36"/>
    </row>
    <row r="150" spans="1:14" s="37" customFormat="1" x14ac:dyDescent="0.3">
      <c r="A150" s="72" t="s">
        <v>197</v>
      </c>
      <c r="B150" s="73"/>
      <c r="C150" s="73"/>
      <c r="D150" s="73"/>
      <c r="E150" s="73"/>
      <c r="F150" s="73"/>
      <c r="G150" s="73"/>
      <c r="H150" s="74"/>
      <c r="J150" s="55">
        <f>57.68-J151</f>
        <v>3.0719999999999956</v>
      </c>
    </row>
    <row r="151" spans="1:14" s="37" customFormat="1" ht="15.75" customHeight="1" x14ac:dyDescent="0.3">
      <c r="A151" s="69">
        <v>1</v>
      </c>
      <c r="B151" s="70"/>
      <c r="C151" s="54">
        <v>2</v>
      </c>
      <c r="D151" s="56">
        <f>(57.68+0.75*(1.2+1.3))*(10.764)</f>
        <v>641.0500199999999</v>
      </c>
      <c r="E151" s="42">
        <v>0</v>
      </c>
      <c r="F151" s="42">
        <f>D151*(($F$147)+1)+(IF(E151&lt;101,E151,IF(E151&lt;201,E151/2,IF(E151&lt;=301,E151/3,E151/4))))</f>
        <v>961.57502999999986</v>
      </c>
      <c r="G151" s="75" t="str">
        <f>A150</f>
        <v>1st Floor For Residential &amp; Double Enrance Lobby</v>
      </c>
      <c r="H151" s="76"/>
      <c r="I151" s="36"/>
      <c r="J151" s="37">
        <f>1.18*1.09+3.05*6.1+3.35*2.13+3.05*3.65+1.25*2.21+3.07*3.05+1.24*2.22+1.57*1</f>
        <v>54.608000000000004</v>
      </c>
      <c r="K151" s="37">
        <f>1.9*1.23</f>
        <v>2.3369999999999997</v>
      </c>
      <c r="L151" s="71">
        <f>J151+K151</f>
        <v>56.945000000000007</v>
      </c>
      <c r="M151" s="71"/>
      <c r="N151" s="36">
        <f>0.75*1.25</f>
        <v>0.9375</v>
      </c>
    </row>
    <row r="152" spans="1:14" s="37" customFormat="1" ht="15.75" customHeight="1" x14ac:dyDescent="0.3">
      <c r="A152" s="69">
        <f t="shared" ref="A152:A158" si="4">A151+1</f>
        <v>2</v>
      </c>
      <c r="B152" s="70"/>
      <c r="C152" s="81" t="s">
        <v>200</v>
      </c>
      <c r="D152" s="82"/>
      <c r="E152" s="82"/>
      <c r="F152" s="83"/>
      <c r="G152" s="77"/>
      <c r="H152" s="78"/>
      <c r="I152" s="36"/>
      <c r="L152" s="71"/>
      <c r="M152" s="71"/>
      <c r="N152" s="36"/>
    </row>
    <row r="153" spans="1:14" s="37" customFormat="1" ht="15.75" customHeight="1" x14ac:dyDescent="0.3">
      <c r="A153" s="69">
        <f t="shared" si="4"/>
        <v>3</v>
      </c>
      <c r="B153" s="70"/>
      <c r="C153" s="54">
        <v>1</v>
      </c>
      <c r="D153" s="56">
        <f>(39.45+0.75*(1.6+1.6))*(10.764)</f>
        <v>450.47339999999997</v>
      </c>
      <c r="E153" s="42">
        <v>0</v>
      </c>
      <c r="F153" s="42">
        <f t="shared" ref="F153:F158" si="5">D153*(($F$147)+1)+(IF(E153&lt;101,E153,IF(E153&lt;201,E153/2,IF(E153&lt;=301,E153/3,E153/4))))</f>
        <v>675.71010000000001</v>
      </c>
      <c r="G153" s="77"/>
      <c r="H153" s="78"/>
      <c r="I153" s="36"/>
      <c r="J153" s="37">
        <f>2.89*1.21+3.05*3.67+2.14*3.05+3.2*3.05+2.2*1.34+1.28*1.53+1.11*1.09</f>
        <v>37.093699999999991</v>
      </c>
      <c r="K153" s="37">
        <f>1.9*1.23</f>
        <v>2.3369999999999997</v>
      </c>
      <c r="L153" s="71">
        <f>J153+K153</f>
        <v>39.430699999999987</v>
      </c>
      <c r="M153" s="71"/>
      <c r="N153" s="36">
        <f>0.75*2.14+0.75*1.6</f>
        <v>2.8050000000000002</v>
      </c>
    </row>
    <row r="154" spans="1:14" s="37" customFormat="1" ht="15.75" customHeight="1" x14ac:dyDescent="0.3">
      <c r="A154" s="69">
        <f t="shared" si="4"/>
        <v>4</v>
      </c>
      <c r="B154" s="70"/>
      <c r="C154" s="54">
        <v>2</v>
      </c>
      <c r="D154" s="56">
        <f>(57.68+0.75*(1.2+1.3))*(10.764)</f>
        <v>641.0500199999999</v>
      </c>
      <c r="E154" s="42">
        <v>0</v>
      </c>
      <c r="F154" s="42">
        <f t="shared" si="5"/>
        <v>961.57502999999986</v>
      </c>
      <c r="G154" s="77"/>
      <c r="H154" s="78"/>
      <c r="I154" s="36"/>
      <c r="J154" s="37">
        <f>39.45-J153</f>
        <v>2.3563000000000116</v>
      </c>
      <c r="L154" s="71"/>
      <c r="M154" s="71"/>
      <c r="N154" s="36"/>
    </row>
    <row r="155" spans="1:14" s="37" customFormat="1" ht="15.75" customHeight="1" x14ac:dyDescent="0.3">
      <c r="A155" s="69">
        <f t="shared" si="4"/>
        <v>5</v>
      </c>
      <c r="B155" s="70"/>
      <c r="C155" s="54">
        <v>2</v>
      </c>
      <c r="D155" s="56">
        <f>(57.61+0.75*(1.2+1.25))*(10.764)</f>
        <v>639.89288999999997</v>
      </c>
      <c r="E155" s="42">
        <v>0</v>
      </c>
      <c r="F155" s="42">
        <f t="shared" si="5"/>
        <v>959.83933499999989</v>
      </c>
      <c r="G155" s="77"/>
      <c r="H155" s="78"/>
      <c r="I155" s="36"/>
      <c r="L155" s="71"/>
      <c r="M155" s="71"/>
      <c r="N155" s="36"/>
    </row>
    <row r="156" spans="1:14" s="37" customFormat="1" ht="15.75" customHeight="1" x14ac:dyDescent="0.3">
      <c r="A156" s="69">
        <f t="shared" si="4"/>
        <v>6</v>
      </c>
      <c r="B156" s="70"/>
      <c r="C156" s="54">
        <v>1</v>
      </c>
      <c r="D156" s="56">
        <f>(40.92+0.75*(1.6+1.6))*(10.764)</f>
        <v>466.29647999999997</v>
      </c>
      <c r="E156" s="42">
        <v>0</v>
      </c>
      <c r="F156" s="42">
        <f t="shared" si="5"/>
        <v>699.44471999999996</v>
      </c>
      <c r="G156" s="77"/>
      <c r="H156" s="78"/>
      <c r="I156" s="36"/>
      <c r="L156" s="71"/>
      <c r="M156" s="71"/>
      <c r="N156" s="36"/>
    </row>
    <row r="157" spans="1:14" s="37" customFormat="1" ht="15.75" customHeight="1" x14ac:dyDescent="0.3">
      <c r="A157" s="69">
        <f t="shared" si="4"/>
        <v>7</v>
      </c>
      <c r="B157" s="70"/>
      <c r="C157" s="54">
        <v>1</v>
      </c>
      <c r="D157" s="56">
        <f>(40.92+0.75*(1.6+1.6))*(10.764)</f>
        <v>466.29647999999997</v>
      </c>
      <c r="E157" s="42">
        <v>0</v>
      </c>
      <c r="F157" s="42">
        <f t="shared" si="5"/>
        <v>699.44471999999996</v>
      </c>
      <c r="G157" s="77"/>
      <c r="H157" s="78"/>
      <c r="I157" s="36"/>
      <c r="L157" s="71"/>
      <c r="M157" s="71"/>
      <c r="N157" s="36"/>
    </row>
    <row r="158" spans="1:14" s="37" customFormat="1" ht="15.75" customHeight="1" x14ac:dyDescent="0.3">
      <c r="A158" s="69">
        <f t="shared" si="4"/>
        <v>8</v>
      </c>
      <c r="B158" s="70"/>
      <c r="C158" s="54">
        <v>2</v>
      </c>
      <c r="D158" s="56">
        <f>(57.61+0.75*(1.2+1.25))*(10.764)</f>
        <v>639.89288999999997</v>
      </c>
      <c r="E158" s="42">
        <v>0</v>
      </c>
      <c r="F158" s="42">
        <f t="shared" si="5"/>
        <v>959.83933499999989</v>
      </c>
      <c r="G158" s="79"/>
      <c r="H158" s="80"/>
      <c r="I158" s="36"/>
      <c r="L158" s="71"/>
      <c r="M158" s="71"/>
      <c r="N158" s="36"/>
    </row>
    <row r="159" spans="1:14" s="37" customFormat="1" x14ac:dyDescent="0.3">
      <c r="A159" s="72" t="s">
        <v>201</v>
      </c>
      <c r="B159" s="73"/>
      <c r="C159" s="73"/>
      <c r="D159" s="73"/>
      <c r="E159" s="73"/>
      <c r="F159" s="73"/>
      <c r="G159" s="73"/>
      <c r="H159" s="74"/>
      <c r="J159" s="55"/>
    </row>
    <row r="160" spans="1:14" s="37" customFormat="1" ht="15.75" customHeight="1" x14ac:dyDescent="0.3">
      <c r="A160" s="69">
        <v>1</v>
      </c>
      <c r="B160" s="70"/>
      <c r="C160" s="54">
        <v>2</v>
      </c>
      <c r="D160" s="56">
        <f>(57.68+0.75*(1.2+1.3))*(10.764)</f>
        <v>641.0500199999999</v>
      </c>
      <c r="E160" s="42">
        <v>0</v>
      </c>
      <c r="F160" s="42">
        <f t="shared" ref="F160:F167" si="6">D160*(($F$147)+1)+(IF(E160&lt;101,E160,IF(E160&lt;201,E160/2,IF(E160&lt;=301,E160/3,E160/4))))</f>
        <v>961.57502999999986</v>
      </c>
      <c r="G160" s="75" t="str">
        <f>A159</f>
        <v>2nd, 4th, 6th, 8th, 10th, 12th, 14th, 16th, 18th &amp; 22nd Floor</v>
      </c>
      <c r="H160" s="76"/>
      <c r="I160" s="36"/>
      <c r="L160" s="71"/>
      <c r="M160" s="71"/>
      <c r="N160" s="36"/>
    </row>
    <row r="161" spans="1:14" s="37" customFormat="1" ht="15.75" customHeight="1" x14ac:dyDescent="0.3">
      <c r="A161" s="69">
        <f t="shared" ref="A161:A167" si="7">A160+1</f>
        <v>2</v>
      </c>
      <c r="B161" s="70"/>
      <c r="C161" s="54">
        <v>1</v>
      </c>
      <c r="D161" s="56">
        <f>(39.45+0.75*(1.6+1.6))*(10.764)</f>
        <v>450.47339999999997</v>
      </c>
      <c r="E161" s="42">
        <v>0</v>
      </c>
      <c r="F161" s="42">
        <f t="shared" si="6"/>
        <v>675.71010000000001</v>
      </c>
      <c r="G161" s="77" t="str">
        <f t="shared" ref="G161:G167" si="8">G160</f>
        <v>2nd, 4th, 6th, 8th, 10th, 12th, 14th, 16th, 18th &amp; 22nd Floor</v>
      </c>
      <c r="H161" s="78"/>
      <c r="I161" s="36"/>
      <c r="L161" s="71"/>
      <c r="M161" s="71"/>
      <c r="N161" s="36"/>
    </row>
    <row r="162" spans="1:14" s="37" customFormat="1" ht="15.75" customHeight="1" x14ac:dyDescent="0.3">
      <c r="A162" s="69">
        <f t="shared" si="7"/>
        <v>3</v>
      </c>
      <c r="B162" s="70"/>
      <c r="C162" s="54">
        <v>1</v>
      </c>
      <c r="D162" s="56">
        <f>(39.45+0.75*(1.6+1.6))*(10.764)</f>
        <v>450.47339999999997</v>
      </c>
      <c r="E162" s="42">
        <v>0</v>
      </c>
      <c r="F162" s="42">
        <f t="shared" si="6"/>
        <v>675.71010000000001</v>
      </c>
      <c r="G162" s="77" t="str">
        <f t="shared" si="8"/>
        <v>2nd, 4th, 6th, 8th, 10th, 12th, 14th, 16th, 18th &amp; 22nd Floor</v>
      </c>
      <c r="H162" s="78"/>
      <c r="I162" s="36"/>
      <c r="L162" s="71"/>
      <c r="M162" s="71"/>
      <c r="N162" s="36"/>
    </row>
    <row r="163" spans="1:14" s="37" customFormat="1" ht="15.75" customHeight="1" x14ac:dyDescent="0.3">
      <c r="A163" s="69">
        <f t="shared" si="7"/>
        <v>4</v>
      </c>
      <c r="B163" s="70"/>
      <c r="C163" s="54">
        <v>2</v>
      </c>
      <c r="D163" s="56">
        <f>(57.68+0.75*(1.2+1.3))*(10.764)</f>
        <v>641.0500199999999</v>
      </c>
      <c r="E163" s="42">
        <v>0</v>
      </c>
      <c r="F163" s="42">
        <f t="shared" si="6"/>
        <v>961.57502999999986</v>
      </c>
      <c r="G163" s="77" t="str">
        <f t="shared" si="8"/>
        <v>2nd, 4th, 6th, 8th, 10th, 12th, 14th, 16th, 18th &amp; 22nd Floor</v>
      </c>
      <c r="H163" s="78"/>
      <c r="I163" s="36"/>
      <c r="L163" s="71"/>
      <c r="M163" s="71"/>
      <c r="N163" s="36"/>
    </row>
    <row r="164" spans="1:14" s="37" customFormat="1" ht="15.75" customHeight="1" x14ac:dyDescent="0.3">
      <c r="A164" s="69">
        <f t="shared" si="7"/>
        <v>5</v>
      </c>
      <c r="B164" s="70"/>
      <c r="C164" s="54">
        <v>2</v>
      </c>
      <c r="D164" s="56">
        <f>(57.61+0.75*(1.2+1.25))*(10.764)</f>
        <v>639.89288999999997</v>
      </c>
      <c r="E164" s="42">
        <v>0</v>
      </c>
      <c r="F164" s="42">
        <f t="shared" si="6"/>
        <v>959.83933499999989</v>
      </c>
      <c r="G164" s="77" t="str">
        <f t="shared" si="8"/>
        <v>2nd, 4th, 6th, 8th, 10th, 12th, 14th, 16th, 18th &amp; 22nd Floor</v>
      </c>
      <c r="H164" s="78"/>
      <c r="I164" s="36"/>
      <c r="L164" s="71"/>
      <c r="M164" s="71"/>
      <c r="N164" s="36"/>
    </row>
    <row r="165" spans="1:14" s="37" customFormat="1" ht="15.75" customHeight="1" x14ac:dyDescent="0.3">
      <c r="A165" s="69">
        <f t="shared" si="7"/>
        <v>6</v>
      </c>
      <c r="B165" s="70"/>
      <c r="C165" s="54">
        <v>1</v>
      </c>
      <c r="D165" s="56">
        <f>(40.92+0.75*(1.6+1.6))*(10.764)</f>
        <v>466.29647999999997</v>
      </c>
      <c r="E165" s="42">
        <v>0</v>
      </c>
      <c r="F165" s="42">
        <f t="shared" si="6"/>
        <v>699.44471999999996</v>
      </c>
      <c r="G165" s="77" t="str">
        <f t="shared" si="8"/>
        <v>2nd, 4th, 6th, 8th, 10th, 12th, 14th, 16th, 18th &amp; 22nd Floor</v>
      </c>
      <c r="H165" s="78"/>
      <c r="I165" s="36"/>
      <c r="L165" s="71"/>
      <c r="M165" s="71"/>
      <c r="N165" s="36"/>
    </row>
    <row r="166" spans="1:14" s="37" customFormat="1" ht="15.75" customHeight="1" x14ac:dyDescent="0.3">
      <c r="A166" s="69">
        <f t="shared" si="7"/>
        <v>7</v>
      </c>
      <c r="B166" s="70"/>
      <c r="C166" s="54">
        <v>1</v>
      </c>
      <c r="D166" s="56">
        <f>(40.92+0.75*(1.6+1.6))*(10.764)</f>
        <v>466.29647999999997</v>
      </c>
      <c r="E166" s="42">
        <v>0</v>
      </c>
      <c r="F166" s="42">
        <f t="shared" si="6"/>
        <v>699.44471999999996</v>
      </c>
      <c r="G166" s="77" t="str">
        <f t="shared" si="8"/>
        <v>2nd, 4th, 6th, 8th, 10th, 12th, 14th, 16th, 18th &amp; 22nd Floor</v>
      </c>
      <c r="H166" s="78"/>
      <c r="I166" s="36"/>
      <c r="L166" s="71"/>
      <c r="M166" s="71"/>
      <c r="N166" s="36"/>
    </row>
    <row r="167" spans="1:14" s="37" customFormat="1" ht="15.75" customHeight="1" x14ac:dyDescent="0.3">
      <c r="A167" s="69">
        <f t="shared" si="7"/>
        <v>8</v>
      </c>
      <c r="B167" s="70"/>
      <c r="C167" s="54">
        <v>2</v>
      </c>
      <c r="D167" s="56">
        <f>(57.61+0.75*(1.2+1.25))*(10.764)</f>
        <v>639.89288999999997</v>
      </c>
      <c r="E167" s="42">
        <v>0</v>
      </c>
      <c r="F167" s="42">
        <f t="shared" si="6"/>
        <v>959.83933499999989</v>
      </c>
      <c r="G167" s="79" t="str">
        <f t="shared" si="8"/>
        <v>2nd, 4th, 6th, 8th, 10th, 12th, 14th, 16th, 18th &amp; 22nd Floor</v>
      </c>
      <c r="H167" s="80"/>
      <c r="I167" s="36"/>
      <c r="L167" s="71"/>
      <c r="M167" s="71"/>
      <c r="N167" s="36"/>
    </row>
    <row r="168" spans="1:14" s="37" customFormat="1" x14ac:dyDescent="0.3">
      <c r="A168" s="72" t="s">
        <v>203</v>
      </c>
      <c r="B168" s="73"/>
      <c r="C168" s="73"/>
      <c r="D168" s="73"/>
      <c r="E168" s="73"/>
      <c r="F168" s="73"/>
      <c r="G168" s="73"/>
      <c r="H168" s="74"/>
      <c r="J168" s="55"/>
    </row>
    <row r="169" spans="1:14" s="37" customFormat="1" ht="15.75" customHeight="1" x14ac:dyDescent="0.3">
      <c r="A169" s="69">
        <v>1</v>
      </c>
      <c r="B169" s="70"/>
      <c r="C169" s="54">
        <v>2</v>
      </c>
      <c r="D169" s="56">
        <f>(57.68+0.75*(1.2+1.3))*(10.764)</f>
        <v>641.0500199999999</v>
      </c>
      <c r="E169" s="42">
        <v>0</v>
      </c>
      <c r="F169" s="42">
        <f>D169*(($F$147)+1)+(IF(E169&lt;101,E169,IF(E169&lt;201,E169/2,IF(E169&lt;=301,E169/3,E169/4))))</f>
        <v>961.57502999999986</v>
      </c>
      <c r="G169" s="75" t="str">
        <f>A168</f>
        <v>20th Floor (Part Refuge Area)</v>
      </c>
      <c r="H169" s="76"/>
      <c r="I169" s="36"/>
      <c r="L169" s="71"/>
      <c r="M169" s="71"/>
      <c r="N169" s="36"/>
    </row>
    <row r="170" spans="1:14" s="37" customFormat="1" ht="15.75" customHeight="1" x14ac:dyDescent="0.3">
      <c r="A170" s="69">
        <f t="shared" ref="A170:A176" si="9">A169+1</f>
        <v>2</v>
      </c>
      <c r="B170" s="70"/>
      <c r="C170" s="81" t="s">
        <v>204</v>
      </c>
      <c r="D170" s="82"/>
      <c r="E170" s="82"/>
      <c r="F170" s="83"/>
      <c r="G170" s="77" t="str">
        <f t="shared" ref="G170:G176" si="10">G169</f>
        <v>20th Floor (Part Refuge Area)</v>
      </c>
      <c r="H170" s="78"/>
      <c r="I170" s="36"/>
      <c r="L170" s="71"/>
      <c r="M170" s="71"/>
      <c r="N170" s="36"/>
    </row>
    <row r="171" spans="1:14" s="37" customFormat="1" ht="15.75" customHeight="1" x14ac:dyDescent="0.3">
      <c r="A171" s="69">
        <f t="shared" si="9"/>
        <v>3</v>
      </c>
      <c r="B171" s="70"/>
      <c r="C171" s="54">
        <v>1</v>
      </c>
      <c r="D171" s="56">
        <f>(39.45+0.75*(1.6+1.6))*(10.764)</f>
        <v>450.47339999999997</v>
      </c>
      <c r="E171" s="42">
        <v>0</v>
      </c>
      <c r="F171" s="42">
        <f t="shared" ref="F171:F176" si="11">D171*(($F$147)+1)+(IF(E171&lt;101,E171,IF(E171&lt;201,E171/2,IF(E171&lt;=301,E171/3,E171/4))))</f>
        <v>675.71010000000001</v>
      </c>
      <c r="G171" s="77" t="str">
        <f t="shared" si="10"/>
        <v>20th Floor (Part Refuge Area)</v>
      </c>
      <c r="H171" s="78"/>
      <c r="I171" s="36"/>
      <c r="L171" s="71"/>
      <c r="M171" s="71"/>
      <c r="N171" s="36"/>
    </row>
    <row r="172" spans="1:14" s="37" customFormat="1" ht="15.75" customHeight="1" x14ac:dyDescent="0.3">
      <c r="A172" s="69">
        <f t="shared" si="9"/>
        <v>4</v>
      </c>
      <c r="B172" s="70"/>
      <c r="C172" s="54">
        <v>2</v>
      </c>
      <c r="D172" s="56">
        <f>(57.68+0.75*(1.2+1.3))*(10.764)</f>
        <v>641.0500199999999</v>
      </c>
      <c r="E172" s="42">
        <v>0</v>
      </c>
      <c r="F172" s="42">
        <f t="shared" si="11"/>
        <v>961.57502999999986</v>
      </c>
      <c r="G172" s="77" t="str">
        <f t="shared" si="10"/>
        <v>20th Floor (Part Refuge Area)</v>
      </c>
      <c r="H172" s="78"/>
      <c r="I172" s="36"/>
      <c r="L172" s="71"/>
      <c r="M172" s="71"/>
      <c r="N172" s="36"/>
    </row>
    <row r="173" spans="1:14" s="37" customFormat="1" ht="15.75" customHeight="1" x14ac:dyDescent="0.3">
      <c r="A173" s="69">
        <f t="shared" si="9"/>
        <v>5</v>
      </c>
      <c r="B173" s="70"/>
      <c r="C173" s="54">
        <v>2</v>
      </c>
      <c r="D173" s="56">
        <f>(57.61+0.75*(1.2+1.25))*(10.764)</f>
        <v>639.89288999999997</v>
      </c>
      <c r="E173" s="42">
        <v>0</v>
      </c>
      <c r="F173" s="42">
        <f t="shared" si="11"/>
        <v>959.83933499999989</v>
      </c>
      <c r="G173" s="77" t="str">
        <f t="shared" si="10"/>
        <v>20th Floor (Part Refuge Area)</v>
      </c>
      <c r="H173" s="78"/>
      <c r="I173" s="36"/>
      <c r="L173" s="71"/>
      <c r="M173" s="71"/>
      <c r="N173" s="36"/>
    </row>
    <row r="174" spans="1:14" s="37" customFormat="1" ht="15.75" customHeight="1" x14ac:dyDescent="0.3">
      <c r="A174" s="69">
        <f t="shared" si="9"/>
        <v>6</v>
      </c>
      <c r="B174" s="70"/>
      <c r="C174" s="54">
        <v>1</v>
      </c>
      <c r="D174" s="56">
        <f>(40.92+0.75*(1.6+1.6))*(10.764)</f>
        <v>466.29647999999997</v>
      </c>
      <c r="E174" s="42">
        <v>0</v>
      </c>
      <c r="F174" s="42">
        <f t="shared" si="11"/>
        <v>699.44471999999996</v>
      </c>
      <c r="G174" s="77" t="str">
        <f t="shared" si="10"/>
        <v>20th Floor (Part Refuge Area)</v>
      </c>
      <c r="H174" s="78"/>
      <c r="I174" s="36"/>
      <c r="L174" s="71"/>
      <c r="M174" s="71"/>
      <c r="N174" s="36"/>
    </row>
    <row r="175" spans="1:14" s="37" customFormat="1" ht="15.75" customHeight="1" x14ac:dyDescent="0.3">
      <c r="A175" s="69">
        <f t="shared" si="9"/>
        <v>7</v>
      </c>
      <c r="B175" s="70"/>
      <c r="C175" s="54">
        <v>1</v>
      </c>
      <c r="D175" s="56">
        <f>(40.92+0.75*(1.6+1.6))*(10.764)</f>
        <v>466.29647999999997</v>
      </c>
      <c r="E175" s="42">
        <v>0</v>
      </c>
      <c r="F175" s="42">
        <f t="shared" si="11"/>
        <v>699.44471999999996</v>
      </c>
      <c r="G175" s="77" t="str">
        <f t="shared" si="10"/>
        <v>20th Floor (Part Refuge Area)</v>
      </c>
      <c r="H175" s="78"/>
      <c r="I175" s="36"/>
      <c r="L175" s="71"/>
      <c r="M175" s="71"/>
      <c r="N175" s="36"/>
    </row>
    <row r="176" spans="1:14" s="37" customFormat="1" ht="15.75" customHeight="1" x14ac:dyDescent="0.3">
      <c r="A176" s="69">
        <f t="shared" si="9"/>
        <v>8</v>
      </c>
      <c r="B176" s="70"/>
      <c r="C176" s="54">
        <v>2</v>
      </c>
      <c r="D176" s="56">
        <f>(57.61+0.75*(1.2+1.25))*(10.764)</f>
        <v>639.89288999999997</v>
      </c>
      <c r="E176" s="42">
        <v>0</v>
      </c>
      <c r="F176" s="42">
        <f t="shared" si="11"/>
        <v>959.83933499999989</v>
      </c>
      <c r="G176" s="79" t="str">
        <f t="shared" si="10"/>
        <v>20th Floor (Part Refuge Area)</v>
      </c>
      <c r="H176" s="80"/>
      <c r="I176" s="36"/>
      <c r="L176" s="71"/>
      <c r="M176" s="71"/>
      <c r="N176" s="36"/>
    </row>
    <row r="177" spans="1:14" s="37" customFormat="1" x14ac:dyDescent="0.3">
      <c r="A177" s="72" t="s">
        <v>202</v>
      </c>
      <c r="B177" s="73"/>
      <c r="C177" s="73"/>
      <c r="D177" s="73"/>
      <c r="E177" s="73"/>
      <c r="F177" s="73"/>
      <c r="G177" s="73"/>
      <c r="H177" s="74"/>
      <c r="J177" s="55"/>
    </row>
    <row r="178" spans="1:14" s="37" customFormat="1" ht="15.75" customHeight="1" x14ac:dyDescent="0.3">
      <c r="A178" s="69">
        <v>1</v>
      </c>
      <c r="B178" s="70"/>
      <c r="C178" s="54">
        <v>2</v>
      </c>
      <c r="D178" s="56">
        <f>(57.68+0.75*(1.2+1.3))*(10.764)</f>
        <v>641.0500199999999</v>
      </c>
      <c r="E178" s="42">
        <v>0</v>
      </c>
      <c r="F178" s="42">
        <f t="shared" ref="F178:F185" si="12">D178*(($F$147)+1)+(IF(E178&lt;101,E178,IF(E178&lt;201,E178/2,IF(E178&lt;=301,E178/3,E178/4))))</f>
        <v>961.57502999999986</v>
      </c>
      <c r="G178" s="75" t="str">
        <f>A177</f>
        <v>3rd, 5th, 7th, 9th, 11th, 13th, 15th, 17th, 19th, 21st &amp; 23rd Floor</v>
      </c>
      <c r="H178" s="76"/>
      <c r="I178" s="36"/>
      <c r="L178" s="71"/>
      <c r="M178" s="71"/>
      <c r="N178" s="36"/>
    </row>
    <row r="179" spans="1:14" s="37" customFormat="1" ht="15.75" customHeight="1" x14ac:dyDescent="0.3">
      <c r="A179" s="69">
        <f t="shared" ref="A179:A185" si="13">A178+1</f>
        <v>2</v>
      </c>
      <c r="B179" s="70"/>
      <c r="C179" s="54">
        <v>1</v>
      </c>
      <c r="D179" s="56">
        <f>(39.45+0.75*(1.6+1.6))*(10.764)</f>
        <v>450.47339999999997</v>
      </c>
      <c r="E179" s="42">
        <v>0</v>
      </c>
      <c r="F179" s="42">
        <f t="shared" si="12"/>
        <v>675.71010000000001</v>
      </c>
      <c r="G179" s="77" t="str">
        <f t="shared" ref="G179:G185" si="14">G178</f>
        <v>3rd, 5th, 7th, 9th, 11th, 13th, 15th, 17th, 19th, 21st &amp; 23rd Floor</v>
      </c>
      <c r="H179" s="78"/>
      <c r="I179" s="36"/>
      <c r="L179" s="71"/>
      <c r="M179" s="71"/>
      <c r="N179" s="36"/>
    </row>
    <row r="180" spans="1:14" s="37" customFormat="1" ht="15.75" customHeight="1" x14ac:dyDescent="0.3">
      <c r="A180" s="69">
        <f t="shared" si="13"/>
        <v>3</v>
      </c>
      <c r="B180" s="70"/>
      <c r="C180" s="54">
        <v>1</v>
      </c>
      <c r="D180" s="56">
        <f>(39.45+0.75*(1.6+1.6))*(10.764)</f>
        <v>450.47339999999997</v>
      </c>
      <c r="E180" s="42">
        <v>0</v>
      </c>
      <c r="F180" s="42">
        <f t="shared" si="12"/>
        <v>675.71010000000001</v>
      </c>
      <c r="G180" s="77" t="str">
        <f t="shared" si="14"/>
        <v>3rd, 5th, 7th, 9th, 11th, 13th, 15th, 17th, 19th, 21st &amp; 23rd Floor</v>
      </c>
      <c r="H180" s="78"/>
      <c r="I180" s="36"/>
      <c r="L180" s="71"/>
      <c r="M180" s="71"/>
      <c r="N180" s="36"/>
    </row>
    <row r="181" spans="1:14" s="37" customFormat="1" ht="15.75" customHeight="1" x14ac:dyDescent="0.3">
      <c r="A181" s="69">
        <f t="shared" si="13"/>
        <v>4</v>
      </c>
      <c r="B181" s="70"/>
      <c r="C181" s="54">
        <v>2</v>
      </c>
      <c r="D181" s="56">
        <f>(57.68+0.75*(1.2+1.3))*(10.764)</f>
        <v>641.0500199999999</v>
      </c>
      <c r="E181" s="42">
        <v>0</v>
      </c>
      <c r="F181" s="42">
        <f t="shared" si="12"/>
        <v>961.57502999999986</v>
      </c>
      <c r="G181" s="77" t="str">
        <f t="shared" si="14"/>
        <v>3rd, 5th, 7th, 9th, 11th, 13th, 15th, 17th, 19th, 21st &amp; 23rd Floor</v>
      </c>
      <c r="H181" s="78"/>
      <c r="I181" s="36"/>
      <c r="L181" s="71"/>
      <c r="M181" s="71"/>
      <c r="N181" s="36"/>
    </row>
    <row r="182" spans="1:14" s="37" customFormat="1" ht="15.75" customHeight="1" x14ac:dyDescent="0.3">
      <c r="A182" s="69">
        <f t="shared" si="13"/>
        <v>5</v>
      </c>
      <c r="B182" s="70"/>
      <c r="C182" s="54">
        <v>2</v>
      </c>
      <c r="D182" s="56">
        <f>(57.61+0.75*(1.2+1.25))*(10.764)</f>
        <v>639.89288999999997</v>
      </c>
      <c r="E182" s="42">
        <v>0</v>
      </c>
      <c r="F182" s="42">
        <f t="shared" si="12"/>
        <v>959.83933499999989</v>
      </c>
      <c r="G182" s="77" t="str">
        <f t="shared" si="14"/>
        <v>3rd, 5th, 7th, 9th, 11th, 13th, 15th, 17th, 19th, 21st &amp; 23rd Floor</v>
      </c>
      <c r="H182" s="78"/>
      <c r="I182" s="36"/>
      <c r="L182" s="71"/>
      <c r="M182" s="71"/>
      <c r="N182" s="36"/>
    </row>
    <row r="183" spans="1:14" s="37" customFormat="1" ht="15.75" customHeight="1" x14ac:dyDescent="0.3">
      <c r="A183" s="69">
        <f t="shared" si="13"/>
        <v>6</v>
      </c>
      <c r="B183" s="70"/>
      <c r="C183" s="54">
        <v>1</v>
      </c>
      <c r="D183" s="56">
        <f>(40.92+0.75*(1.6+1.6))*(10.764)</f>
        <v>466.29647999999997</v>
      </c>
      <c r="E183" s="42">
        <v>0</v>
      </c>
      <c r="F183" s="42">
        <f t="shared" si="12"/>
        <v>699.44471999999996</v>
      </c>
      <c r="G183" s="77" t="str">
        <f t="shared" si="14"/>
        <v>3rd, 5th, 7th, 9th, 11th, 13th, 15th, 17th, 19th, 21st &amp; 23rd Floor</v>
      </c>
      <c r="H183" s="78"/>
      <c r="I183" s="36"/>
      <c r="L183" s="71"/>
      <c r="M183" s="71"/>
      <c r="N183" s="36"/>
    </row>
    <row r="184" spans="1:14" s="37" customFormat="1" ht="15.75" customHeight="1" x14ac:dyDescent="0.3">
      <c r="A184" s="69">
        <f t="shared" si="13"/>
        <v>7</v>
      </c>
      <c r="B184" s="70"/>
      <c r="C184" s="54">
        <v>1</v>
      </c>
      <c r="D184" s="56">
        <f>(40.92+0.75*(1.6+1.6))*(10.764)</f>
        <v>466.29647999999997</v>
      </c>
      <c r="E184" s="42">
        <v>0</v>
      </c>
      <c r="F184" s="42">
        <f t="shared" si="12"/>
        <v>699.44471999999996</v>
      </c>
      <c r="G184" s="77" t="str">
        <f t="shared" si="14"/>
        <v>3rd, 5th, 7th, 9th, 11th, 13th, 15th, 17th, 19th, 21st &amp; 23rd Floor</v>
      </c>
      <c r="H184" s="78"/>
      <c r="I184" s="36"/>
      <c r="L184" s="71"/>
      <c r="M184" s="71"/>
      <c r="N184" s="36"/>
    </row>
    <row r="185" spans="1:14" s="37" customFormat="1" ht="15.75" customHeight="1" x14ac:dyDescent="0.3">
      <c r="A185" s="69">
        <f t="shared" si="13"/>
        <v>8</v>
      </c>
      <c r="B185" s="70"/>
      <c r="C185" s="54">
        <v>2</v>
      </c>
      <c r="D185" s="56">
        <f>(57.61+0.75*(1.2+1.25))*(10.764)</f>
        <v>639.89288999999997</v>
      </c>
      <c r="E185" s="42">
        <v>0</v>
      </c>
      <c r="F185" s="42">
        <f t="shared" si="12"/>
        <v>959.83933499999989</v>
      </c>
      <c r="G185" s="79" t="str">
        <f t="shared" si="14"/>
        <v>3rd, 5th, 7th, 9th, 11th, 13th, 15th, 17th, 19th, 21st &amp; 23rd Floor</v>
      </c>
      <c r="H185" s="80"/>
      <c r="I185" s="36"/>
      <c r="L185" s="71"/>
      <c r="M185" s="71"/>
      <c r="N185" s="36"/>
    </row>
    <row r="186" spans="1:14" s="37" customFormat="1" x14ac:dyDescent="0.3">
      <c r="A186" s="72" t="s">
        <v>205</v>
      </c>
      <c r="B186" s="73"/>
      <c r="C186" s="73"/>
      <c r="D186" s="73"/>
      <c r="E186" s="73"/>
      <c r="F186" s="73"/>
      <c r="G186" s="73"/>
      <c r="H186" s="74"/>
      <c r="J186" s="55"/>
    </row>
    <row r="187" spans="1:14" s="37" customFormat="1" x14ac:dyDescent="0.3">
      <c r="A187" s="69">
        <v>1</v>
      </c>
      <c r="B187" s="70"/>
      <c r="C187" s="54">
        <v>2</v>
      </c>
      <c r="D187" s="56">
        <f>(57.68+0.75*(1.2+1.3))*(10.764)</f>
        <v>641.0500199999999</v>
      </c>
      <c r="E187" s="42">
        <v>0</v>
      </c>
      <c r="F187" s="42">
        <f t="shared" ref="F187:F194" si="15">D187*(($F$147)+1)+(IF(E187&lt;101,E187,IF(E187&lt;201,E187/2,IF(E187&lt;=301,E187/3,E187/4))))</f>
        <v>961.57502999999986</v>
      </c>
      <c r="G187" s="75" t="str">
        <f>A186</f>
        <v>24th Floor</v>
      </c>
      <c r="H187" s="76"/>
      <c r="I187" s="36"/>
      <c r="L187" s="71"/>
      <c r="M187" s="71"/>
      <c r="N187" s="36"/>
    </row>
    <row r="188" spans="1:14" s="37" customFormat="1" ht="15.75" customHeight="1" x14ac:dyDescent="0.3">
      <c r="A188" s="69">
        <f t="shared" ref="A188:A194" si="16">A187+1</f>
        <v>2</v>
      </c>
      <c r="B188" s="70"/>
      <c r="C188" s="54">
        <v>1</v>
      </c>
      <c r="D188" s="56">
        <f>(39.45+0.75*(1.6+1.6))*(10.764)</f>
        <v>450.47339999999997</v>
      </c>
      <c r="E188" s="42">
        <v>0</v>
      </c>
      <c r="F188" s="42">
        <f t="shared" si="15"/>
        <v>675.71010000000001</v>
      </c>
      <c r="G188" s="77" t="str">
        <f t="shared" ref="G188:G194" si="17">G187</f>
        <v>24th Floor</v>
      </c>
      <c r="H188" s="78"/>
      <c r="I188" s="36"/>
      <c r="L188" s="71"/>
      <c r="M188" s="71"/>
      <c r="N188" s="36"/>
    </row>
    <row r="189" spans="1:14" s="37" customFormat="1" x14ac:dyDescent="0.3">
      <c r="A189" s="69">
        <f t="shared" si="16"/>
        <v>3</v>
      </c>
      <c r="B189" s="70"/>
      <c r="C189" s="54">
        <v>1</v>
      </c>
      <c r="D189" s="56">
        <f>(39.45+0.75*(1.6+1.6))*(10.764)</f>
        <v>450.47339999999997</v>
      </c>
      <c r="E189" s="42">
        <v>0</v>
      </c>
      <c r="F189" s="42">
        <f t="shared" si="15"/>
        <v>675.71010000000001</v>
      </c>
      <c r="G189" s="77" t="str">
        <f t="shared" si="17"/>
        <v>24th Floor</v>
      </c>
      <c r="H189" s="78"/>
      <c r="I189" s="36"/>
      <c r="L189" s="71"/>
      <c r="M189" s="71"/>
      <c r="N189" s="36"/>
    </row>
    <row r="190" spans="1:14" s="37" customFormat="1" x14ac:dyDescent="0.3">
      <c r="A190" s="69">
        <f t="shared" si="16"/>
        <v>4</v>
      </c>
      <c r="B190" s="70"/>
      <c r="C190" s="54">
        <v>2</v>
      </c>
      <c r="D190" s="56">
        <f>(57.68+0.75*(1.2+1.3))*(10.764)</f>
        <v>641.0500199999999</v>
      </c>
      <c r="E190" s="42">
        <v>0</v>
      </c>
      <c r="F190" s="42">
        <f t="shared" si="15"/>
        <v>961.57502999999986</v>
      </c>
      <c r="G190" s="77" t="str">
        <f t="shared" si="17"/>
        <v>24th Floor</v>
      </c>
      <c r="H190" s="78"/>
      <c r="I190" s="36"/>
      <c r="L190" s="71"/>
      <c r="M190" s="71"/>
      <c r="N190" s="36"/>
    </row>
    <row r="191" spans="1:14" s="37" customFormat="1" x14ac:dyDescent="0.3">
      <c r="A191" s="69">
        <f t="shared" si="16"/>
        <v>5</v>
      </c>
      <c r="B191" s="70"/>
      <c r="C191" s="54">
        <v>2</v>
      </c>
      <c r="D191" s="56">
        <f>(57.61+0.75*(1.2+1.25))*(10.764)</f>
        <v>639.89288999999997</v>
      </c>
      <c r="E191" s="42">
        <v>0</v>
      </c>
      <c r="F191" s="42">
        <f t="shared" si="15"/>
        <v>959.83933499999989</v>
      </c>
      <c r="G191" s="77" t="str">
        <f t="shared" si="17"/>
        <v>24th Floor</v>
      </c>
      <c r="H191" s="78"/>
      <c r="I191" s="36"/>
      <c r="L191" s="71"/>
      <c r="M191" s="71"/>
      <c r="N191" s="36"/>
    </row>
    <row r="192" spans="1:14" s="37" customFormat="1" x14ac:dyDescent="0.3">
      <c r="A192" s="69">
        <f t="shared" si="16"/>
        <v>6</v>
      </c>
      <c r="B192" s="70"/>
      <c r="C192" s="54">
        <v>1</v>
      </c>
      <c r="D192" s="56">
        <f>(40.92+0.75*(1.6+1.6))*(10.764)</f>
        <v>466.29647999999997</v>
      </c>
      <c r="E192" s="42">
        <v>0</v>
      </c>
      <c r="F192" s="42">
        <f t="shared" si="15"/>
        <v>699.44471999999996</v>
      </c>
      <c r="G192" s="77" t="str">
        <f t="shared" si="17"/>
        <v>24th Floor</v>
      </c>
      <c r="H192" s="78"/>
      <c r="I192" s="36"/>
      <c r="L192" s="71"/>
      <c r="M192" s="71"/>
      <c r="N192" s="36"/>
    </row>
    <row r="193" spans="1:14" s="37" customFormat="1" x14ac:dyDescent="0.3">
      <c r="A193" s="69">
        <f t="shared" si="16"/>
        <v>7</v>
      </c>
      <c r="B193" s="70"/>
      <c r="C193" s="54">
        <v>1</v>
      </c>
      <c r="D193" s="56">
        <f>(40.92+0.75*(1.6+1.6))*(10.764)</f>
        <v>466.29647999999997</v>
      </c>
      <c r="E193" s="42">
        <v>0</v>
      </c>
      <c r="F193" s="42">
        <f t="shared" si="15"/>
        <v>699.44471999999996</v>
      </c>
      <c r="G193" s="77" t="str">
        <f t="shared" si="17"/>
        <v>24th Floor</v>
      </c>
      <c r="H193" s="78"/>
      <c r="I193" s="36"/>
      <c r="L193" s="71"/>
      <c r="M193" s="71"/>
      <c r="N193" s="36"/>
    </row>
    <row r="194" spans="1:14" s="37" customFormat="1" x14ac:dyDescent="0.3">
      <c r="A194" s="69">
        <f t="shared" si="16"/>
        <v>8</v>
      </c>
      <c r="B194" s="70"/>
      <c r="C194" s="54">
        <v>2</v>
      </c>
      <c r="D194" s="56">
        <f>(57.61+0.75*(1.2+1.25))*(10.764)</f>
        <v>639.89288999999997</v>
      </c>
      <c r="E194" s="42">
        <v>0</v>
      </c>
      <c r="F194" s="42">
        <f t="shared" si="15"/>
        <v>959.83933499999989</v>
      </c>
      <c r="G194" s="79" t="str">
        <f t="shared" si="17"/>
        <v>24th Floor</v>
      </c>
      <c r="H194" s="80"/>
      <c r="I194" s="36"/>
      <c r="L194" s="71"/>
      <c r="M194" s="71"/>
      <c r="N194" s="36"/>
    </row>
    <row r="195" spans="1:14" s="37" customFormat="1" x14ac:dyDescent="0.3">
      <c r="A195" s="72" t="s">
        <v>206</v>
      </c>
      <c r="B195" s="73"/>
      <c r="C195" s="73"/>
      <c r="D195" s="73"/>
      <c r="E195" s="73"/>
      <c r="F195" s="73"/>
      <c r="G195" s="73"/>
      <c r="H195" s="74"/>
      <c r="J195" s="55"/>
    </row>
    <row r="196" spans="1:14" s="37" customFormat="1" x14ac:dyDescent="0.3">
      <c r="A196" s="69">
        <v>1</v>
      </c>
      <c r="B196" s="70"/>
      <c r="C196" s="54">
        <v>2</v>
      </c>
      <c r="D196" s="56">
        <f>(57.68+0.75*(1.2+1.3))*(10.764)</f>
        <v>641.0500199999999</v>
      </c>
      <c r="E196" s="42">
        <v>0</v>
      </c>
      <c r="F196" s="42">
        <f t="shared" ref="F196:F203" si="18">D196*(($F$147)+1)+(IF(E196&lt;101,E196,IF(E196&lt;201,E196/2,IF(E196&lt;=301,E196/3,E196/4))))</f>
        <v>961.57502999999986</v>
      </c>
      <c r="G196" s="75" t="str">
        <f>A195</f>
        <v>25th Floor</v>
      </c>
      <c r="H196" s="76"/>
      <c r="I196" s="36"/>
      <c r="L196" s="71"/>
      <c r="M196" s="71"/>
      <c r="N196" s="36"/>
    </row>
    <row r="197" spans="1:14" s="37" customFormat="1" ht="15.75" customHeight="1" x14ac:dyDescent="0.3">
      <c r="A197" s="69">
        <f t="shared" ref="A197:A203" si="19">A196+1</f>
        <v>2</v>
      </c>
      <c r="B197" s="70"/>
      <c r="C197" s="54">
        <v>1</v>
      </c>
      <c r="D197" s="56">
        <f>(39.45+0.75*(1.6+1.6))*(10.764)</f>
        <v>450.47339999999997</v>
      </c>
      <c r="E197" s="42">
        <v>0</v>
      </c>
      <c r="F197" s="42">
        <f t="shared" si="18"/>
        <v>675.71010000000001</v>
      </c>
      <c r="G197" s="77" t="str">
        <f t="shared" ref="G197:G203" si="20">G196</f>
        <v>25th Floor</v>
      </c>
      <c r="H197" s="78"/>
      <c r="I197" s="36"/>
      <c r="L197" s="71"/>
      <c r="M197" s="71"/>
      <c r="N197" s="36"/>
    </row>
    <row r="198" spans="1:14" s="37" customFormat="1" x14ac:dyDescent="0.3">
      <c r="A198" s="69">
        <f t="shared" si="19"/>
        <v>3</v>
      </c>
      <c r="B198" s="70"/>
      <c r="C198" s="54">
        <v>1</v>
      </c>
      <c r="D198" s="56">
        <f>(39.45+0.75*(1.6+1.6))*(10.764)</f>
        <v>450.47339999999997</v>
      </c>
      <c r="E198" s="42">
        <v>0</v>
      </c>
      <c r="F198" s="42">
        <f t="shared" si="18"/>
        <v>675.71010000000001</v>
      </c>
      <c r="G198" s="77" t="str">
        <f t="shared" si="20"/>
        <v>25th Floor</v>
      </c>
      <c r="H198" s="78"/>
      <c r="I198" s="36"/>
      <c r="L198" s="71"/>
      <c r="M198" s="71"/>
      <c r="N198" s="36"/>
    </row>
    <row r="199" spans="1:14" s="37" customFormat="1" x14ac:dyDescent="0.3">
      <c r="A199" s="69">
        <f t="shared" si="19"/>
        <v>4</v>
      </c>
      <c r="B199" s="70"/>
      <c r="C199" s="54">
        <v>2</v>
      </c>
      <c r="D199" s="56">
        <f>(57.68+0.75*(1.2+1.3))*(10.764)</f>
        <v>641.0500199999999</v>
      </c>
      <c r="E199" s="42">
        <v>0</v>
      </c>
      <c r="F199" s="42">
        <f t="shared" si="18"/>
        <v>961.57502999999986</v>
      </c>
      <c r="G199" s="77" t="str">
        <f t="shared" si="20"/>
        <v>25th Floor</v>
      </c>
      <c r="H199" s="78"/>
      <c r="I199" s="36"/>
      <c r="L199" s="71"/>
      <c r="M199" s="71"/>
      <c r="N199" s="36"/>
    </row>
    <row r="200" spans="1:14" s="37" customFormat="1" x14ac:dyDescent="0.3">
      <c r="A200" s="69">
        <f t="shared" si="19"/>
        <v>5</v>
      </c>
      <c r="B200" s="70"/>
      <c r="C200" s="54">
        <v>2</v>
      </c>
      <c r="D200" s="56">
        <f>(57.61+0.75*(1.2+1.25))*(10.764)</f>
        <v>639.89288999999997</v>
      </c>
      <c r="E200" s="42">
        <v>0</v>
      </c>
      <c r="F200" s="42">
        <f t="shared" si="18"/>
        <v>959.83933499999989</v>
      </c>
      <c r="G200" s="77" t="str">
        <f t="shared" si="20"/>
        <v>25th Floor</v>
      </c>
      <c r="H200" s="78"/>
      <c r="I200" s="36"/>
      <c r="L200" s="71"/>
      <c r="M200" s="71"/>
      <c r="N200" s="36"/>
    </row>
    <row r="201" spans="1:14" s="37" customFormat="1" x14ac:dyDescent="0.3">
      <c r="A201" s="69">
        <f t="shared" si="19"/>
        <v>6</v>
      </c>
      <c r="B201" s="70"/>
      <c r="C201" s="54">
        <v>1</v>
      </c>
      <c r="D201" s="56">
        <f>(40.92+0.75*(1.6+1.6))*(10.764)</f>
        <v>466.29647999999997</v>
      </c>
      <c r="E201" s="42">
        <v>0</v>
      </c>
      <c r="F201" s="42">
        <f t="shared" si="18"/>
        <v>699.44471999999996</v>
      </c>
      <c r="G201" s="77" t="str">
        <f t="shared" si="20"/>
        <v>25th Floor</v>
      </c>
      <c r="H201" s="78"/>
      <c r="I201" s="36"/>
      <c r="L201" s="71"/>
      <c r="M201" s="71"/>
      <c r="N201" s="36"/>
    </row>
    <row r="202" spans="1:14" s="37" customFormat="1" x14ac:dyDescent="0.3">
      <c r="A202" s="69">
        <f t="shared" si="19"/>
        <v>7</v>
      </c>
      <c r="B202" s="70"/>
      <c r="C202" s="54">
        <v>1</v>
      </c>
      <c r="D202" s="56">
        <f>(40.92+0.75*(1.6+1.6))*(10.764)</f>
        <v>466.29647999999997</v>
      </c>
      <c r="E202" s="42">
        <v>0</v>
      </c>
      <c r="F202" s="42">
        <f t="shared" si="18"/>
        <v>699.44471999999996</v>
      </c>
      <c r="G202" s="77" t="str">
        <f t="shared" si="20"/>
        <v>25th Floor</v>
      </c>
      <c r="H202" s="78"/>
      <c r="I202" s="36"/>
      <c r="L202" s="71"/>
      <c r="M202" s="71"/>
      <c r="N202" s="36"/>
    </row>
    <row r="203" spans="1:14" s="37" customFormat="1" x14ac:dyDescent="0.3">
      <c r="A203" s="69">
        <f t="shared" si="19"/>
        <v>8</v>
      </c>
      <c r="B203" s="70"/>
      <c r="C203" s="54">
        <v>2</v>
      </c>
      <c r="D203" s="56">
        <f>(57.61+0.75*(1.2+1.25))*(10.764)</f>
        <v>639.89288999999997</v>
      </c>
      <c r="E203" s="42">
        <v>0</v>
      </c>
      <c r="F203" s="42">
        <f t="shared" si="18"/>
        <v>959.83933499999989</v>
      </c>
      <c r="G203" s="79" t="str">
        <f t="shared" si="20"/>
        <v>25th Floor</v>
      </c>
      <c r="H203" s="80"/>
      <c r="I203" s="36"/>
      <c r="L203" s="71"/>
      <c r="M203" s="71"/>
      <c r="N203" s="36"/>
    </row>
    <row r="204" spans="1:14" s="37" customFormat="1" x14ac:dyDescent="0.3">
      <c r="A204" s="72" t="s">
        <v>224</v>
      </c>
      <c r="B204" s="73"/>
      <c r="C204" s="73"/>
      <c r="D204" s="73"/>
      <c r="E204" s="73"/>
      <c r="F204" s="73"/>
      <c r="G204" s="73"/>
      <c r="H204" s="74"/>
      <c r="J204" s="36"/>
    </row>
    <row r="205" spans="1:14" s="37" customFormat="1" x14ac:dyDescent="0.3">
      <c r="A205" s="72" t="s">
        <v>198</v>
      </c>
      <c r="B205" s="73"/>
      <c r="C205" s="73"/>
      <c r="D205" s="73"/>
      <c r="E205" s="73"/>
      <c r="F205" s="73"/>
      <c r="G205" s="73"/>
      <c r="H205" s="74"/>
      <c r="J205" s="36"/>
    </row>
    <row r="206" spans="1:14" s="37" customFormat="1" x14ac:dyDescent="0.3">
      <c r="A206" s="72" t="s">
        <v>197</v>
      </c>
      <c r="B206" s="73"/>
      <c r="C206" s="73"/>
      <c r="D206" s="73"/>
      <c r="E206" s="73"/>
      <c r="F206" s="73"/>
      <c r="G206" s="73"/>
      <c r="H206" s="74"/>
      <c r="J206" s="55"/>
    </row>
    <row r="207" spans="1:14" s="37" customFormat="1" ht="15.75" customHeight="1" x14ac:dyDescent="0.3">
      <c r="A207" s="69">
        <v>1</v>
      </c>
      <c r="B207" s="70"/>
      <c r="C207" s="54">
        <v>2</v>
      </c>
      <c r="D207" s="56">
        <f>(57.69+0.75*(1.2+1.3))*(10.764)</f>
        <v>641.15765999999996</v>
      </c>
      <c r="E207" s="42">
        <v>0</v>
      </c>
      <c r="F207" s="42">
        <f>D207*(($F$147)+1)+(IF(E207&lt;101,E207,IF(E207&lt;201,E207/2,IF(E207&lt;=301,E207/3,E207/4))))</f>
        <v>961.73649</v>
      </c>
      <c r="G207" s="75" t="str">
        <f>A206</f>
        <v>1st Floor For Residential &amp; Double Enrance Lobby</v>
      </c>
      <c r="H207" s="76"/>
      <c r="I207" s="36"/>
      <c r="L207" s="71"/>
      <c r="M207" s="71"/>
      <c r="N207" s="36"/>
    </row>
    <row r="208" spans="1:14" s="37" customFormat="1" ht="15.75" customHeight="1" x14ac:dyDescent="0.3">
      <c r="A208" s="69">
        <f t="shared" ref="A208:A214" si="21">A207+1</f>
        <v>2</v>
      </c>
      <c r="B208" s="70"/>
      <c r="C208" s="81" t="s">
        <v>200</v>
      </c>
      <c r="D208" s="82"/>
      <c r="E208" s="82"/>
      <c r="F208" s="83"/>
      <c r="G208" s="77" t="str">
        <f t="shared" ref="G208:G214" si="22">G207</f>
        <v>1st Floor For Residential &amp; Double Enrance Lobby</v>
      </c>
      <c r="H208" s="78"/>
      <c r="I208" s="36"/>
      <c r="L208" s="71"/>
      <c r="M208" s="71"/>
      <c r="N208" s="36"/>
    </row>
    <row r="209" spans="1:14" s="37" customFormat="1" ht="15.75" customHeight="1" x14ac:dyDescent="0.3">
      <c r="A209" s="69">
        <f t="shared" si="21"/>
        <v>3</v>
      </c>
      <c r="B209" s="70"/>
      <c r="C209" s="54">
        <v>2</v>
      </c>
      <c r="D209" s="56">
        <f>(59.42+0.75*(1.7+2.21))*(10.764)</f>
        <v>671.16230999999993</v>
      </c>
      <c r="E209" s="42">
        <v>0</v>
      </c>
      <c r="F209" s="42">
        <f t="shared" ref="F209:F214" si="23">D209*(($F$147)+1)+(IF(E209&lt;101,E209,IF(E209&lt;201,E209/2,IF(E209&lt;=301,E209/3,E209/4))))</f>
        <v>1006.7434649999999</v>
      </c>
      <c r="G209" s="77" t="str">
        <f t="shared" si="22"/>
        <v>1st Floor For Residential &amp; Double Enrance Lobby</v>
      </c>
      <c r="H209" s="78"/>
      <c r="I209" s="36"/>
      <c r="L209" s="71"/>
      <c r="M209" s="71"/>
      <c r="N209" s="36"/>
    </row>
    <row r="210" spans="1:14" s="37" customFormat="1" ht="15.75" customHeight="1" x14ac:dyDescent="0.3">
      <c r="A210" s="69">
        <f t="shared" si="21"/>
        <v>4</v>
      </c>
      <c r="B210" s="70"/>
      <c r="C210" s="54">
        <v>2</v>
      </c>
      <c r="D210" s="56">
        <f>(57.69+0.75*(1.2+1.3))*(10.764)</f>
        <v>641.15765999999996</v>
      </c>
      <c r="E210" s="42">
        <v>0</v>
      </c>
      <c r="F210" s="42">
        <f t="shared" si="23"/>
        <v>961.73649</v>
      </c>
      <c r="G210" s="77" t="str">
        <f t="shared" si="22"/>
        <v>1st Floor For Residential &amp; Double Enrance Lobby</v>
      </c>
      <c r="H210" s="78"/>
      <c r="I210" s="36"/>
      <c r="L210" s="71"/>
      <c r="M210" s="71"/>
      <c r="N210" s="36"/>
    </row>
    <row r="211" spans="1:14" s="37" customFormat="1" ht="15.75" customHeight="1" x14ac:dyDescent="0.3">
      <c r="A211" s="69">
        <f t="shared" si="21"/>
        <v>5</v>
      </c>
      <c r="B211" s="70"/>
      <c r="C211" s="54">
        <v>2</v>
      </c>
      <c r="D211" s="56">
        <f>(57.69+0.75*(1.2+1.3))*(10.764)</f>
        <v>641.15765999999996</v>
      </c>
      <c r="E211" s="42">
        <v>0</v>
      </c>
      <c r="F211" s="42">
        <f t="shared" si="23"/>
        <v>961.73649</v>
      </c>
      <c r="G211" s="77" t="str">
        <f t="shared" si="22"/>
        <v>1st Floor For Residential &amp; Double Enrance Lobby</v>
      </c>
      <c r="H211" s="78"/>
      <c r="I211" s="36"/>
      <c r="L211" s="71"/>
      <c r="M211" s="71"/>
      <c r="N211" s="36"/>
    </row>
    <row r="212" spans="1:14" s="37" customFormat="1" ht="15.75" customHeight="1" x14ac:dyDescent="0.3">
      <c r="A212" s="69">
        <f t="shared" si="21"/>
        <v>6</v>
      </c>
      <c r="B212" s="70"/>
      <c r="C212" s="54">
        <v>2</v>
      </c>
      <c r="D212" s="56">
        <f>(59.46+0.75*(1.7+2.21))*(10.764)</f>
        <v>671.59286999999995</v>
      </c>
      <c r="E212" s="42">
        <v>0</v>
      </c>
      <c r="F212" s="42">
        <f t="shared" si="23"/>
        <v>1007.3893049999999</v>
      </c>
      <c r="G212" s="77" t="str">
        <f t="shared" si="22"/>
        <v>1st Floor For Residential &amp; Double Enrance Lobby</v>
      </c>
      <c r="H212" s="78"/>
      <c r="I212" s="36"/>
      <c r="L212" s="71"/>
      <c r="M212" s="71"/>
      <c r="N212" s="36"/>
    </row>
    <row r="213" spans="1:14" s="37" customFormat="1" ht="15.75" customHeight="1" x14ac:dyDescent="0.3">
      <c r="A213" s="69">
        <f t="shared" si="21"/>
        <v>7</v>
      </c>
      <c r="B213" s="70"/>
      <c r="C213" s="54">
        <v>2</v>
      </c>
      <c r="D213" s="56">
        <f>(59.46+0.75*(1.7+2.21))*(10.764)</f>
        <v>671.59286999999995</v>
      </c>
      <c r="E213" s="42">
        <v>0</v>
      </c>
      <c r="F213" s="42">
        <f t="shared" si="23"/>
        <v>1007.3893049999999</v>
      </c>
      <c r="G213" s="77" t="str">
        <f t="shared" si="22"/>
        <v>1st Floor For Residential &amp; Double Enrance Lobby</v>
      </c>
      <c r="H213" s="78"/>
      <c r="I213" s="36"/>
      <c r="L213" s="71"/>
      <c r="M213" s="71"/>
      <c r="N213" s="36"/>
    </row>
    <row r="214" spans="1:14" s="37" customFormat="1" ht="15.75" customHeight="1" x14ac:dyDescent="0.3">
      <c r="A214" s="69">
        <f t="shared" si="21"/>
        <v>8</v>
      </c>
      <c r="B214" s="70"/>
      <c r="C214" s="54">
        <v>2</v>
      </c>
      <c r="D214" s="56">
        <f>(57.69+0.75*(1.2+1.3))*(10.764)</f>
        <v>641.15765999999996</v>
      </c>
      <c r="E214" s="42">
        <v>0</v>
      </c>
      <c r="F214" s="42">
        <f t="shared" si="23"/>
        <v>961.73649</v>
      </c>
      <c r="G214" s="79" t="str">
        <f t="shared" si="22"/>
        <v>1st Floor For Residential &amp; Double Enrance Lobby</v>
      </c>
      <c r="H214" s="80"/>
      <c r="I214" s="36"/>
      <c r="L214" s="71"/>
      <c r="M214" s="71"/>
      <c r="N214" s="36"/>
    </row>
    <row r="215" spans="1:14" s="37" customFormat="1" x14ac:dyDescent="0.3">
      <c r="A215" s="72" t="s">
        <v>207</v>
      </c>
      <c r="B215" s="73"/>
      <c r="C215" s="73"/>
      <c r="D215" s="73"/>
      <c r="E215" s="73"/>
      <c r="F215" s="73"/>
      <c r="G215" s="73"/>
      <c r="H215" s="74"/>
      <c r="J215" s="55"/>
    </row>
    <row r="216" spans="1:14" s="37" customFormat="1" ht="15.75" customHeight="1" x14ac:dyDescent="0.3">
      <c r="A216" s="69">
        <v>1</v>
      </c>
      <c r="B216" s="70"/>
      <c r="C216" s="54">
        <v>2</v>
      </c>
      <c r="D216" s="56">
        <f>(57.69+0.75*(1.2+1.3))*(10.764)</f>
        <v>641.15765999999996</v>
      </c>
      <c r="E216" s="42">
        <v>0</v>
      </c>
      <c r="F216" s="42">
        <f t="shared" ref="F216:F223" si="24">D216*(($F$147)+1)+(IF(E216&lt;101,E216,IF(E216&lt;201,E216/2,IF(E216&lt;=301,E216/3,E216/4))))</f>
        <v>961.73649</v>
      </c>
      <c r="G216" s="75" t="str">
        <f>A215</f>
        <v>2nd, 4th, 6th, 8th, 10th, 12th, 14th &amp; 16th Floor</v>
      </c>
      <c r="H216" s="76"/>
      <c r="I216" s="36"/>
      <c r="L216" s="71"/>
      <c r="M216" s="71"/>
      <c r="N216" s="36"/>
    </row>
    <row r="217" spans="1:14" s="37" customFormat="1" ht="15.75" customHeight="1" x14ac:dyDescent="0.3">
      <c r="A217" s="69">
        <f t="shared" ref="A217:A223" si="25">A216+1</f>
        <v>2</v>
      </c>
      <c r="B217" s="70"/>
      <c r="C217" s="54">
        <v>2</v>
      </c>
      <c r="D217" s="56">
        <f>(59.42+0.75*(1.7+2.21))*(10.764)</f>
        <v>671.16230999999993</v>
      </c>
      <c r="E217" s="42">
        <v>0</v>
      </c>
      <c r="F217" s="42">
        <f t="shared" si="24"/>
        <v>1006.7434649999999</v>
      </c>
      <c r="G217" s="77" t="str">
        <f t="shared" ref="G217:G223" si="26">G216</f>
        <v>2nd, 4th, 6th, 8th, 10th, 12th, 14th &amp; 16th Floor</v>
      </c>
      <c r="H217" s="78"/>
      <c r="I217" s="36"/>
      <c r="L217" s="71"/>
      <c r="M217" s="71"/>
      <c r="N217" s="36"/>
    </row>
    <row r="218" spans="1:14" s="37" customFormat="1" ht="15.75" customHeight="1" x14ac:dyDescent="0.3">
      <c r="A218" s="69">
        <f t="shared" si="25"/>
        <v>3</v>
      </c>
      <c r="B218" s="70"/>
      <c r="C218" s="54">
        <v>2</v>
      </c>
      <c r="D218" s="56">
        <f>(59.42+0.75*(1.7+2.21))*(10.764)</f>
        <v>671.16230999999993</v>
      </c>
      <c r="E218" s="42">
        <v>0</v>
      </c>
      <c r="F218" s="42">
        <f t="shared" si="24"/>
        <v>1006.7434649999999</v>
      </c>
      <c r="G218" s="77" t="str">
        <f t="shared" si="26"/>
        <v>2nd, 4th, 6th, 8th, 10th, 12th, 14th &amp; 16th Floor</v>
      </c>
      <c r="H218" s="78"/>
      <c r="I218" s="36"/>
      <c r="L218" s="71"/>
      <c r="M218" s="71"/>
      <c r="N218" s="36"/>
    </row>
    <row r="219" spans="1:14" s="37" customFormat="1" ht="15.75" customHeight="1" x14ac:dyDescent="0.3">
      <c r="A219" s="69">
        <f t="shared" si="25"/>
        <v>4</v>
      </c>
      <c r="B219" s="70"/>
      <c r="C219" s="54">
        <v>2</v>
      </c>
      <c r="D219" s="56">
        <f>(57.69+0.75*(1.2+1.3))*(10.764)</f>
        <v>641.15765999999996</v>
      </c>
      <c r="E219" s="42">
        <v>0</v>
      </c>
      <c r="F219" s="42">
        <f t="shared" si="24"/>
        <v>961.73649</v>
      </c>
      <c r="G219" s="77" t="str">
        <f t="shared" si="26"/>
        <v>2nd, 4th, 6th, 8th, 10th, 12th, 14th &amp; 16th Floor</v>
      </c>
      <c r="H219" s="78"/>
      <c r="I219" s="36"/>
      <c r="L219" s="71"/>
      <c r="M219" s="71"/>
      <c r="N219" s="36"/>
    </row>
    <row r="220" spans="1:14" s="37" customFormat="1" ht="15.75" customHeight="1" x14ac:dyDescent="0.3">
      <c r="A220" s="69">
        <f t="shared" si="25"/>
        <v>5</v>
      </c>
      <c r="B220" s="70"/>
      <c r="C220" s="54">
        <v>2</v>
      </c>
      <c r="D220" s="56">
        <f>(57.69+0.75*(1.2+1.3))*(10.764)</f>
        <v>641.15765999999996</v>
      </c>
      <c r="E220" s="42">
        <v>0</v>
      </c>
      <c r="F220" s="42">
        <f t="shared" si="24"/>
        <v>961.73649</v>
      </c>
      <c r="G220" s="77" t="str">
        <f t="shared" si="26"/>
        <v>2nd, 4th, 6th, 8th, 10th, 12th, 14th &amp; 16th Floor</v>
      </c>
      <c r="H220" s="78"/>
      <c r="I220" s="36"/>
      <c r="L220" s="71"/>
      <c r="M220" s="71"/>
      <c r="N220" s="36"/>
    </row>
    <row r="221" spans="1:14" s="37" customFormat="1" ht="15.75" customHeight="1" x14ac:dyDescent="0.3">
      <c r="A221" s="69">
        <f t="shared" si="25"/>
        <v>6</v>
      </c>
      <c r="B221" s="70"/>
      <c r="C221" s="54">
        <v>2</v>
      </c>
      <c r="D221" s="56">
        <f>(59.46+0.75*(1.7+2.21))*(10.764)</f>
        <v>671.59286999999995</v>
      </c>
      <c r="E221" s="42">
        <v>0</v>
      </c>
      <c r="F221" s="42">
        <f t="shared" si="24"/>
        <v>1007.3893049999999</v>
      </c>
      <c r="G221" s="77" t="str">
        <f t="shared" si="26"/>
        <v>2nd, 4th, 6th, 8th, 10th, 12th, 14th &amp; 16th Floor</v>
      </c>
      <c r="H221" s="78"/>
      <c r="I221" s="36"/>
      <c r="L221" s="71"/>
      <c r="M221" s="71"/>
      <c r="N221" s="36"/>
    </row>
    <row r="222" spans="1:14" s="37" customFormat="1" ht="15.75" customHeight="1" x14ac:dyDescent="0.3">
      <c r="A222" s="69">
        <f t="shared" si="25"/>
        <v>7</v>
      </c>
      <c r="B222" s="70"/>
      <c r="C222" s="54">
        <v>2</v>
      </c>
      <c r="D222" s="56">
        <f>(59.46+0.75*(1.7+2.21))*(10.764)</f>
        <v>671.59286999999995</v>
      </c>
      <c r="E222" s="42">
        <v>0</v>
      </c>
      <c r="F222" s="42">
        <f t="shared" si="24"/>
        <v>1007.3893049999999</v>
      </c>
      <c r="G222" s="77" t="str">
        <f t="shared" si="26"/>
        <v>2nd, 4th, 6th, 8th, 10th, 12th, 14th &amp; 16th Floor</v>
      </c>
      <c r="H222" s="78"/>
      <c r="I222" s="36"/>
      <c r="L222" s="71"/>
      <c r="M222" s="71"/>
      <c r="N222" s="36"/>
    </row>
    <row r="223" spans="1:14" s="37" customFormat="1" ht="15.75" customHeight="1" x14ac:dyDescent="0.3">
      <c r="A223" s="69">
        <f t="shared" si="25"/>
        <v>8</v>
      </c>
      <c r="B223" s="70"/>
      <c r="C223" s="54">
        <v>2</v>
      </c>
      <c r="D223" s="56">
        <f>(57.69+0.75*(1.2+1.3))*(10.764)</f>
        <v>641.15765999999996</v>
      </c>
      <c r="E223" s="42">
        <v>0</v>
      </c>
      <c r="F223" s="42">
        <f t="shared" si="24"/>
        <v>961.73649</v>
      </c>
      <c r="G223" s="79" t="str">
        <f t="shared" si="26"/>
        <v>2nd, 4th, 6th, 8th, 10th, 12th, 14th &amp; 16th Floor</v>
      </c>
      <c r="H223" s="80"/>
      <c r="I223" s="36"/>
      <c r="L223" s="71"/>
      <c r="M223" s="71"/>
      <c r="N223" s="36"/>
    </row>
    <row r="224" spans="1:14" s="37" customFormat="1" ht="15.75" customHeight="1" x14ac:dyDescent="0.3">
      <c r="A224" s="72" t="s">
        <v>208</v>
      </c>
      <c r="B224" s="73"/>
      <c r="C224" s="73"/>
      <c r="D224" s="73"/>
      <c r="E224" s="73"/>
      <c r="F224" s="73"/>
      <c r="G224" s="73"/>
      <c r="H224" s="74"/>
      <c r="J224" s="55"/>
    </row>
    <row r="225" spans="1:14" s="37" customFormat="1" ht="15.75" customHeight="1" x14ac:dyDescent="0.3">
      <c r="A225" s="69">
        <v>1</v>
      </c>
      <c r="B225" s="70"/>
      <c r="C225" s="54">
        <v>2</v>
      </c>
      <c r="D225" s="56">
        <f>(57.69+0.75*(1.2+1.3))*(10.764)</f>
        <v>641.15765999999996</v>
      </c>
      <c r="E225" s="42">
        <v>0</v>
      </c>
      <c r="F225" s="42">
        <f t="shared" ref="F225:F232" si="27">D225*(($F$147)+1)+(IF(E225&lt;101,E225,IF(E225&lt;201,E225/2,IF(E225&lt;=301,E225/3,E225/4))))</f>
        <v>961.73649</v>
      </c>
      <c r="G225" s="75" t="str">
        <f>A224</f>
        <v>3rd, 5th, 7th, 9th, 11th, 13th, 15th &amp; 17th Floor</v>
      </c>
      <c r="H225" s="76"/>
      <c r="I225" s="36"/>
      <c r="L225" s="71"/>
      <c r="M225" s="71"/>
      <c r="N225" s="36"/>
    </row>
    <row r="226" spans="1:14" s="37" customFormat="1" ht="15.75" customHeight="1" x14ac:dyDescent="0.3">
      <c r="A226" s="69">
        <f t="shared" ref="A226:A232" si="28">A225+1</f>
        <v>2</v>
      </c>
      <c r="B226" s="70"/>
      <c r="C226" s="54">
        <v>2</v>
      </c>
      <c r="D226" s="56">
        <f>(59.42+0.75*(1.7+2.21))*(10.764)</f>
        <v>671.16230999999993</v>
      </c>
      <c r="E226" s="42">
        <v>0</v>
      </c>
      <c r="F226" s="42">
        <f t="shared" si="27"/>
        <v>1006.7434649999999</v>
      </c>
      <c r="G226" s="77" t="str">
        <f t="shared" ref="G226:G232" si="29">G225</f>
        <v>3rd, 5th, 7th, 9th, 11th, 13th, 15th &amp; 17th Floor</v>
      </c>
      <c r="H226" s="78"/>
      <c r="I226" s="36"/>
      <c r="L226" s="71"/>
      <c r="M226" s="71"/>
      <c r="N226" s="36"/>
    </row>
    <row r="227" spans="1:14" s="37" customFormat="1" ht="15.75" customHeight="1" x14ac:dyDescent="0.3">
      <c r="A227" s="69">
        <f t="shared" si="28"/>
        <v>3</v>
      </c>
      <c r="B227" s="70"/>
      <c r="C227" s="54">
        <v>2</v>
      </c>
      <c r="D227" s="56">
        <f>(59.42+0.75*(1.7+2.21))*(10.764)</f>
        <v>671.16230999999993</v>
      </c>
      <c r="E227" s="42">
        <v>0</v>
      </c>
      <c r="F227" s="42">
        <f t="shared" si="27"/>
        <v>1006.7434649999999</v>
      </c>
      <c r="G227" s="77" t="str">
        <f t="shared" si="29"/>
        <v>3rd, 5th, 7th, 9th, 11th, 13th, 15th &amp; 17th Floor</v>
      </c>
      <c r="H227" s="78"/>
      <c r="I227" s="36"/>
      <c r="L227" s="71"/>
      <c r="M227" s="71"/>
      <c r="N227" s="36"/>
    </row>
    <row r="228" spans="1:14" s="37" customFormat="1" ht="15.75" customHeight="1" x14ac:dyDescent="0.3">
      <c r="A228" s="69">
        <f t="shared" si="28"/>
        <v>4</v>
      </c>
      <c r="B228" s="70"/>
      <c r="C228" s="54">
        <v>2</v>
      </c>
      <c r="D228" s="56">
        <f>(57.69+0.75*(1.2+1.3))*(10.764)</f>
        <v>641.15765999999996</v>
      </c>
      <c r="E228" s="42">
        <v>0</v>
      </c>
      <c r="F228" s="42">
        <f t="shared" si="27"/>
        <v>961.73649</v>
      </c>
      <c r="G228" s="77" t="str">
        <f t="shared" si="29"/>
        <v>3rd, 5th, 7th, 9th, 11th, 13th, 15th &amp; 17th Floor</v>
      </c>
      <c r="H228" s="78"/>
      <c r="I228" s="36"/>
      <c r="L228" s="71"/>
      <c r="M228" s="71"/>
      <c r="N228" s="36"/>
    </row>
    <row r="229" spans="1:14" s="37" customFormat="1" ht="15.75" customHeight="1" x14ac:dyDescent="0.3">
      <c r="A229" s="69">
        <f t="shared" si="28"/>
        <v>5</v>
      </c>
      <c r="B229" s="70"/>
      <c r="C229" s="54">
        <v>2</v>
      </c>
      <c r="D229" s="56">
        <f>(57.69+0.75*(1.2+1.3))*(10.764)</f>
        <v>641.15765999999996</v>
      </c>
      <c r="E229" s="42">
        <v>0</v>
      </c>
      <c r="F229" s="42">
        <f t="shared" si="27"/>
        <v>961.73649</v>
      </c>
      <c r="G229" s="77" t="str">
        <f t="shared" si="29"/>
        <v>3rd, 5th, 7th, 9th, 11th, 13th, 15th &amp; 17th Floor</v>
      </c>
      <c r="H229" s="78"/>
      <c r="I229" s="36"/>
      <c r="L229" s="71"/>
      <c r="M229" s="71"/>
      <c r="N229" s="36"/>
    </row>
    <row r="230" spans="1:14" s="37" customFormat="1" ht="15.75" customHeight="1" x14ac:dyDescent="0.3">
      <c r="A230" s="69">
        <f t="shared" si="28"/>
        <v>6</v>
      </c>
      <c r="B230" s="70"/>
      <c r="C230" s="54">
        <v>2</v>
      </c>
      <c r="D230" s="56">
        <f>(59.46+0.75*(1.7+2.21))*(10.764)</f>
        <v>671.59286999999995</v>
      </c>
      <c r="E230" s="42">
        <v>0</v>
      </c>
      <c r="F230" s="42">
        <f t="shared" si="27"/>
        <v>1007.3893049999999</v>
      </c>
      <c r="G230" s="77" t="str">
        <f t="shared" si="29"/>
        <v>3rd, 5th, 7th, 9th, 11th, 13th, 15th &amp; 17th Floor</v>
      </c>
      <c r="H230" s="78"/>
      <c r="I230" s="36"/>
      <c r="L230" s="71"/>
      <c r="M230" s="71"/>
      <c r="N230" s="36"/>
    </row>
    <row r="231" spans="1:14" s="37" customFormat="1" ht="15.75" customHeight="1" x14ac:dyDescent="0.3">
      <c r="A231" s="69">
        <f t="shared" si="28"/>
        <v>7</v>
      </c>
      <c r="B231" s="70"/>
      <c r="C231" s="54">
        <v>2</v>
      </c>
      <c r="D231" s="56">
        <f>(59.46+0.75*(1.7+2.21))*(10.764)</f>
        <v>671.59286999999995</v>
      </c>
      <c r="E231" s="42">
        <v>0</v>
      </c>
      <c r="F231" s="42">
        <f t="shared" si="27"/>
        <v>1007.3893049999999</v>
      </c>
      <c r="G231" s="77" t="str">
        <f t="shared" si="29"/>
        <v>3rd, 5th, 7th, 9th, 11th, 13th, 15th &amp; 17th Floor</v>
      </c>
      <c r="H231" s="78"/>
      <c r="I231" s="36"/>
      <c r="L231" s="71"/>
      <c r="M231" s="71"/>
      <c r="N231" s="36"/>
    </row>
    <row r="232" spans="1:14" s="37" customFormat="1" ht="15.75" customHeight="1" x14ac:dyDescent="0.3">
      <c r="A232" s="69">
        <f t="shared" si="28"/>
        <v>8</v>
      </c>
      <c r="B232" s="70"/>
      <c r="C232" s="54">
        <v>2</v>
      </c>
      <c r="D232" s="56">
        <f>(57.69+0.75*(1.2+1.3))*(10.764)</f>
        <v>641.15765999999996</v>
      </c>
      <c r="E232" s="42">
        <v>0</v>
      </c>
      <c r="F232" s="42">
        <f t="shared" si="27"/>
        <v>961.73649</v>
      </c>
      <c r="G232" s="79" t="str">
        <f t="shared" si="29"/>
        <v>3rd, 5th, 7th, 9th, 11th, 13th, 15th &amp; 17th Floor</v>
      </c>
      <c r="H232" s="80"/>
      <c r="I232" s="36"/>
      <c r="L232" s="71"/>
      <c r="M232" s="71"/>
      <c r="N232" s="36"/>
    </row>
    <row r="233" spans="1:14" s="37" customFormat="1" x14ac:dyDescent="0.3">
      <c r="A233" s="72" t="s">
        <v>225</v>
      </c>
      <c r="B233" s="73"/>
      <c r="C233" s="73"/>
      <c r="D233" s="73"/>
      <c r="E233" s="73"/>
      <c r="F233" s="73"/>
      <c r="G233" s="73"/>
      <c r="H233" s="74"/>
      <c r="J233" s="36"/>
    </row>
    <row r="234" spans="1:14" s="37" customFormat="1" x14ac:dyDescent="0.3">
      <c r="A234" s="72" t="s">
        <v>198</v>
      </c>
      <c r="B234" s="73"/>
      <c r="C234" s="73"/>
      <c r="D234" s="73"/>
      <c r="E234" s="73"/>
      <c r="F234" s="73"/>
      <c r="G234" s="73"/>
      <c r="H234" s="74"/>
      <c r="J234" s="36"/>
    </row>
    <row r="235" spans="1:14" s="37" customFormat="1" x14ac:dyDescent="0.3">
      <c r="A235" s="72" t="s">
        <v>197</v>
      </c>
      <c r="B235" s="73"/>
      <c r="C235" s="73"/>
      <c r="D235" s="73"/>
      <c r="E235" s="73"/>
      <c r="F235" s="73"/>
      <c r="G235" s="73"/>
      <c r="H235" s="74"/>
      <c r="J235" s="55"/>
    </row>
    <row r="236" spans="1:14" s="37" customFormat="1" ht="15.75" customHeight="1" x14ac:dyDescent="0.3">
      <c r="A236" s="69">
        <v>1</v>
      </c>
      <c r="B236" s="70"/>
      <c r="C236" s="54">
        <v>2</v>
      </c>
      <c r="D236" s="56">
        <f>(57.68+0.75*(1.2+1.3))*(10.764)</f>
        <v>641.0500199999999</v>
      </c>
      <c r="E236" s="42">
        <v>0</v>
      </c>
      <c r="F236" s="42">
        <f>D236*(($F$147)+1)+(IF(E236&lt;101,E236,IF(E236&lt;201,E236/2,IF(E236&lt;=301,E236/3,E236/4))))</f>
        <v>961.57502999999986</v>
      </c>
      <c r="G236" s="75" t="str">
        <f>A235</f>
        <v>1st Floor For Residential &amp; Double Enrance Lobby</v>
      </c>
      <c r="H236" s="76"/>
      <c r="I236" s="36"/>
      <c r="L236" s="71"/>
      <c r="M236" s="71"/>
      <c r="N236" s="36"/>
    </row>
    <row r="237" spans="1:14" s="37" customFormat="1" ht="15.75" customHeight="1" x14ac:dyDescent="0.3">
      <c r="A237" s="69">
        <f t="shared" ref="A237:A243" si="30">A236+1</f>
        <v>2</v>
      </c>
      <c r="B237" s="70"/>
      <c r="C237" s="81" t="s">
        <v>200</v>
      </c>
      <c r="D237" s="82"/>
      <c r="E237" s="82"/>
      <c r="F237" s="83"/>
      <c r="G237" s="77" t="str">
        <f t="shared" ref="G237:G243" si="31">G236</f>
        <v>1st Floor For Residential &amp; Double Enrance Lobby</v>
      </c>
      <c r="H237" s="78"/>
      <c r="I237" s="36"/>
      <c r="L237" s="71"/>
      <c r="M237" s="71"/>
      <c r="N237" s="36"/>
    </row>
    <row r="238" spans="1:14" s="37" customFormat="1" ht="15.75" customHeight="1" x14ac:dyDescent="0.3">
      <c r="A238" s="69">
        <f t="shared" si="30"/>
        <v>3</v>
      </c>
      <c r="B238" s="70"/>
      <c r="C238" s="54">
        <v>1</v>
      </c>
      <c r="D238" s="56">
        <f>(39.45+0.75*(1.6+1.6))*(10.764)</f>
        <v>450.47339999999997</v>
      </c>
      <c r="E238" s="42">
        <v>0</v>
      </c>
      <c r="F238" s="42">
        <f t="shared" ref="F238:F243" si="32">D238*(($F$147)+1)+(IF(E238&lt;101,E238,IF(E238&lt;201,E238/2,IF(E238&lt;=301,E238/3,E238/4))))</f>
        <v>675.71010000000001</v>
      </c>
      <c r="G238" s="77" t="str">
        <f t="shared" si="31"/>
        <v>1st Floor For Residential &amp; Double Enrance Lobby</v>
      </c>
      <c r="H238" s="78"/>
      <c r="I238" s="36"/>
      <c r="L238" s="71"/>
      <c r="M238" s="71"/>
      <c r="N238" s="36"/>
    </row>
    <row r="239" spans="1:14" s="37" customFormat="1" ht="15.75" customHeight="1" x14ac:dyDescent="0.3">
      <c r="A239" s="69">
        <f t="shared" si="30"/>
        <v>4</v>
      </c>
      <c r="B239" s="70"/>
      <c r="C239" s="54">
        <v>2</v>
      </c>
      <c r="D239" s="56">
        <f>(57.68+0.75*(1.2+1.3))*(10.764)</f>
        <v>641.0500199999999</v>
      </c>
      <c r="E239" s="42">
        <v>0</v>
      </c>
      <c r="F239" s="42">
        <f t="shared" si="32"/>
        <v>961.57502999999986</v>
      </c>
      <c r="G239" s="77" t="str">
        <f t="shared" si="31"/>
        <v>1st Floor For Residential &amp; Double Enrance Lobby</v>
      </c>
      <c r="H239" s="78"/>
      <c r="I239" s="36"/>
      <c r="L239" s="71"/>
      <c r="M239" s="71"/>
      <c r="N239" s="36"/>
    </row>
    <row r="240" spans="1:14" s="37" customFormat="1" ht="15.75" customHeight="1" x14ac:dyDescent="0.3">
      <c r="A240" s="69">
        <f t="shared" si="30"/>
        <v>5</v>
      </c>
      <c r="B240" s="70"/>
      <c r="C240" s="54">
        <v>2</v>
      </c>
      <c r="D240" s="56">
        <f>(57.61+0.75*(1.2+1.25))*(10.764)</f>
        <v>639.89288999999997</v>
      </c>
      <c r="E240" s="42">
        <v>0</v>
      </c>
      <c r="F240" s="42">
        <f t="shared" si="32"/>
        <v>959.83933499999989</v>
      </c>
      <c r="G240" s="77" t="str">
        <f t="shared" si="31"/>
        <v>1st Floor For Residential &amp; Double Enrance Lobby</v>
      </c>
      <c r="H240" s="78"/>
      <c r="I240" s="36"/>
      <c r="L240" s="71"/>
      <c r="M240" s="71"/>
      <c r="N240" s="36"/>
    </row>
    <row r="241" spans="1:14" s="37" customFormat="1" ht="15.75" customHeight="1" x14ac:dyDescent="0.3">
      <c r="A241" s="69">
        <f t="shared" si="30"/>
        <v>6</v>
      </c>
      <c r="B241" s="70"/>
      <c r="C241" s="54">
        <v>1</v>
      </c>
      <c r="D241" s="56">
        <f>(40.92+0.75*(1.6+1.6))*(10.764)</f>
        <v>466.29647999999997</v>
      </c>
      <c r="E241" s="42">
        <v>0</v>
      </c>
      <c r="F241" s="42">
        <f t="shared" si="32"/>
        <v>699.44471999999996</v>
      </c>
      <c r="G241" s="77" t="str">
        <f t="shared" si="31"/>
        <v>1st Floor For Residential &amp; Double Enrance Lobby</v>
      </c>
      <c r="H241" s="78"/>
      <c r="I241" s="36"/>
      <c r="L241" s="71"/>
      <c r="M241" s="71"/>
      <c r="N241" s="36"/>
    </row>
    <row r="242" spans="1:14" s="37" customFormat="1" ht="15.75" customHeight="1" x14ac:dyDescent="0.3">
      <c r="A242" s="69">
        <f t="shared" si="30"/>
        <v>7</v>
      </c>
      <c r="B242" s="70"/>
      <c r="C242" s="54">
        <v>1</v>
      </c>
      <c r="D242" s="56">
        <f>(40.92+0.75*(1.6+1.6))*(10.764)</f>
        <v>466.29647999999997</v>
      </c>
      <c r="E242" s="42">
        <v>0</v>
      </c>
      <c r="F242" s="42">
        <f t="shared" si="32"/>
        <v>699.44471999999996</v>
      </c>
      <c r="G242" s="77" t="str">
        <f t="shared" si="31"/>
        <v>1st Floor For Residential &amp; Double Enrance Lobby</v>
      </c>
      <c r="H242" s="78"/>
      <c r="I242" s="36"/>
      <c r="L242" s="71"/>
      <c r="M242" s="71"/>
      <c r="N242" s="36"/>
    </row>
    <row r="243" spans="1:14" s="37" customFormat="1" ht="15.75" customHeight="1" x14ac:dyDescent="0.3">
      <c r="A243" s="69">
        <f t="shared" si="30"/>
        <v>8</v>
      </c>
      <c r="B243" s="70"/>
      <c r="C243" s="54">
        <v>2</v>
      </c>
      <c r="D243" s="56">
        <f>(57.61+0.75*(1.2+1.25))*(10.764)</f>
        <v>639.89288999999997</v>
      </c>
      <c r="E243" s="42">
        <v>0</v>
      </c>
      <c r="F243" s="42">
        <f t="shared" si="32"/>
        <v>959.83933499999989</v>
      </c>
      <c r="G243" s="79" t="str">
        <f t="shared" si="31"/>
        <v>1st Floor For Residential &amp; Double Enrance Lobby</v>
      </c>
      <c r="H243" s="80"/>
      <c r="I243" s="36"/>
      <c r="L243" s="71"/>
      <c r="M243" s="71"/>
      <c r="N243" s="36"/>
    </row>
    <row r="244" spans="1:14" s="37" customFormat="1" x14ac:dyDescent="0.3">
      <c r="A244" s="72" t="s">
        <v>201</v>
      </c>
      <c r="B244" s="73"/>
      <c r="C244" s="73"/>
      <c r="D244" s="73"/>
      <c r="E244" s="73"/>
      <c r="F244" s="73"/>
      <c r="G244" s="73"/>
      <c r="H244" s="74"/>
      <c r="J244" s="55"/>
    </row>
    <row r="245" spans="1:14" s="37" customFormat="1" ht="15.75" customHeight="1" x14ac:dyDescent="0.3">
      <c r="A245" s="69">
        <v>1</v>
      </c>
      <c r="B245" s="70"/>
      <c r="C245" s="54">
        <v>2</v>
      </c>
      <c r="D245" s="56">
        <f>(57.68+0.75*(1.2+1.3))*(10.764)</f>
        <v>641.0500199999999</v>
      </c>
      <c r="E245" s="42">
        <v>0</v>
      </c>
      <c r="F245" s="42">
        <f t="shared" ref="F245:F252" si="33">D245*(($F$147)+1)+(IF(E245&lt;101,E245,IF(E245&lt;201,E245/2,IF(E245&lt;=301,E245/3,E245/4))))</f>
        <v>961.57502999999986</v>
      </c>
      <c r="G245" s="75" t="str">
        <f>A244</f>
        <v>2nd, 4th, 6th, 8th, 10th, 12th, 14th, 16th, 18th &amp; 22nd Floor</v>
      </c>
      <c r="H245" s="76"/>
      <c r="I245" s="36"/>
      <c r="L245" s="71"/>
      <c r="M245" s="71"/>
      <c r="N245" s="36"/>
    </row>
    <row r="246" spans="1:14" s="37" customFormat="1" ht="15.75" customHeight="1" x14ac:dyDescent="0.3">
      <c r="A246" s="69">
        <f t="shared" ref="A246:A252" si="34">A245+1</f>
        <v>2</v>
      </c>
      <c r="B246" s="70"/>
      <c r="C246" s="54">
        <v>1</v>
      </c>
      <c r="D246" s="56">
        <f>(39.45+0.75*(1.6+1.6))*(10.764)</f>
        <v>450.47339999999997</v>
      </c>
      <c r="E246" s="42">
        <v>0</v>
      </c>
      <c r="F246" s="42">
        <f t="shared" si="33"/>
        <v>675.71010000000001</v>
      </c>
      <c r="G246" s="77" t="str">
        <f t="shared" ref="G246:G252" si="35">G245</f>
        <v>2nd, 4th, 6th, 8th, 10th, 12th, 14th, 16th, 18th &amp; 22nd Floor</v>
      </c>
      <c r="H246" s="78"/>
      <c r="I246" s="36"/>
      <c r="L246" s="71"/>
      <c r="M246" s="71"/>
      <c r="N246" s="36"/>
    </row>
    <row r="247" spans="1:14" s="37" customFormat="1" ht="15.75" customHeight="1" x14ac:dyDescent="0.3">
      <c r="A247" s="69">
        <f t="shared" si="34"/>
        <v>3</v>
      </c>
      <c r="B247" s="70"/>
      <c r="C247" s="54">
        <v>1</v>
      </c>
      <c r="D247" s="56">
        <f>(39.45+0.75*(1.6+1.6))*(10.764)</f>
        <v>450.47339999999997</v>
      </c>
      <c r="E247" s="42">
        <v>0</v>
      </c>
      <c r="F247" s="42">
        <f t="shared" si="33"/>
        <v>675.71010000000001</v>
      </c>
      <c r="G247" s="77" t="str">
        <f t="shared" si="35"/>
        <v>2nd, 4th, 6th, 8th, 10th, 12th, 14th, 16th, 18th &amp; 22nd Floor</v>
      </c>
      <c r="H247" s="78"/>
      <c r="I247" s="36"/>
      <c r="L247" s="71"/>
      <c r="M247" s="71"/>
      <c r="N247" s="36"/>
    </row>
    <row r="248" spans="1:14" s="37" customFormat="1" ht="15.75" customHeight="1" x14ac:dyDescent="0.3">
      <c r="A248" s="69">
        <f t="shared" si="34"/>
        <v>4</v>
      </c>
      <c r="B248" s="70"/>
      <c r="C248" s="54">
        <v>2</v>
      </c>
      <c r="D248" s="56">
        <f>(57.68+0.75*(1.2+1.3))*(10.764)</f>
        <v>641.0500199999999</v>
      </c>
      <c r="E248" s="42">
        <v>0</v>
      </c>
      <c r="F248" s="42">
        <f t="shared" si="33"/>
        <v>961.57502999999986</v>
      </c>
      <c r="G248" s="77" t="str">
        <f t="shared" si="35"/>
        <v>2nd, 4th, 6th, 8th, 10th, 12th, 14th, 16th, 18th &amp; 22nd Floor</v>
      </c>
      <c r="H248" s="78"/>
      <c r="I248" s="36"/>
      <c r="L248" s="71"/>
      <c r="M248" s="71"/>
      <c r="N248" s="36"/>
    </row>
    <row r="249" spans="1:14" s="37" customFormat="1" ht="15.75" customHeight="1" x14ac:dyDescent="0.3">
      <c r="A249" s="69">
        <f t="shared" si="34"/>
        <v>5</v>
      </c>
      <c r="B249" s="70"/>
      <c r="C249" s="54">
        <v>2</v>
      </c>
      <c r="D249" s="56">
        <f>(57.61+0.75*(1.2+1.25))*(10.764)</f>
        <v>639.89288999999997</v>
      </c>
      <c r="E249" s="42">
        <v>0</v>
      </c>
      <c r="F249" s="42">
        <f t="shared" si="33"/>
        <v>959.83933499999989</v>
      </c>
      <c r="G249" s="77" t="str">
        <f t="shared" si="35"/>
        <v>2nd, 4th, 6th, 8th, 10th, 12th, 14th, 16th, 18th &amp; 22nd Floor</v>
      </c>
      <c r="H249" s="78"/>
      <c r="I249" s="36"/>
      <c r="L249" s="71"/>
      <c r="M249" s="71"/>
      <c r="N249" s="36"/>
    </row>
    <row r="250" spans="1:14" s="37" customFormat="1" ht="15.75" customHeight="1" x14ac:dyDescent="0.3">
      <c r="A250" s="69">
        <f t="shared" si="34"/>
        <v>6</v>
      </c>
      <c r="B250" s="70"/>
      <c r="C250" s="54">
        <v>1</v>
      </c>
      <c r="D250" s="56">
        <f>(40.92+0.75*(1.6+1.6))*(10.764)</f>
        <v>466.29647999999997</v>
      </c>
      <c r="E250" s="42">
        <v>0</v>
      </c>
      <c r="F250" s="42">
        <f t="shared" si="33"/>
        <v>699.44471999999996</v>
      </c>
      <c r="G250" s="77" t="str">
        <f t="shared" si="35"/>
        <v>2nd, 4th, 6th, 8th, 10th, 12th, 14th, 16th, 18th &amp; 22nd Floor</v>
      </c>
      <c r="H250" s="78"/>
      <c r="I250" s="36"/>
      <c r="L250" s="71"/>
      <c r="M250" s="71"/>
      <c r="N250" s="36"/>
    </row>
    <row r="251" spans="1:14" s="37" customFormat="1" ht="15.75" customHeight="1" x14ac:dyDescent="0.3">
      <c r="A251" s="69">
        <f t="shared" si="34"/>
        <v>7</v>
      </c>
      <c r="B251" s="70"/>
      <c r="C251" s="54">
        <v>1</v>
      </c>
      <c r="D251" s="56">
        <f>(40.92+0.75*(1.6+1.6))*(10.764)</f>
        <v>466.29647999999997</v>
      </c>
      <c r="E251" s="42">
        <v>0</v>
      </c>
      <c r="F251" s="42">
        <f t="shared" si="33"/>
        <v>699.44471999999996</v>
      </c>
      <c r="G251" s="77" t="str">
        <f t="shared" si="35"/>
        <v>2nd, 4th, 6th, 8th, 10th, 12th, 14th, 16th, 18th &amp; 22nd Floor</v>
      </c>
      <c r="H251" s="78"/>
      <c r="I251" s="36"/>
      <c r="L251" s="71"/>
      <c r="M251" s="71"/>
      <c r="N251" s="36"/>
    </row>
    <row r="252" spans="1:14" s="37" customFormat="1" ht="15.75" customHeight="1" x14ac:dyDescent="0.3">
      <c r="A252" s="69">
        <f t="shared" si="34"/>
        <v>8</v>
      </c>
      <c r="B252" s="70"/>
      <c r="C252" s="54">
        <v>2</v>
      </c>
      <c r="D252" s="56">
        <f>(57.61+0.75*(1.2+1.25))*(10.764)</f>
        <v>639.89288999999997</v>
      </c>
      <c r="E252" s="42">
        <v>0</v>
      </c>
      <c r="F252" s="42">
        <f t="shared" si="33"/>
        <v>959.83933499999989</v>
      </c>
      <c r="G252" s="79" t="str">
        <f t="shared" si="35"/>
        <v>2nd, 4th, 6th, 8th, 10th, 12th, 14th, 16th, 18th &amp; 22nd Floor</v>
      </c>
      <c r="H252" s="80"/>
      <c r="I252" s="36"/>
      <c r="L252" s="71"/>
      <c r="M252" s="71"/>
      <c r="N252" s="36"/>
    </row>
    <row r="253" spans="1:14" s="37" customFormat="1" x14ac:dyDescent="0.3">
      <c r="A253" s="72" t="s">
        <v>203</v>
      </c>
      <c r="B253" s="73"/>
      <c r="C253" s="73"/>
      <c r="D253" s="73"/>
      <c r="E253" s="73"/>
      <c r="F253" s="73"/>
      <c r="G253" s="73"/>
      <c r="H253" s="74"/>
      <c r="J253" s="55"/>
    </row>
    <row r="254" spans="1:14" s="37" customFormat="1" ht="15.75" customHeight="1" x14ac:dyDescent="0.3">
      <c r="A254" s="69">
        <v>1</v>
      </c>
      <c r="B254" s="70"/>
      <c r="C254" s="54">
        <v>2</v>
      </c>
      <c r="D254" s="56">
        <f>(57.68+0.75*(1.2+1.3))*(10.764)</f>
        <v>641.0500199999999</v>
      </c>
      <c r="E254" s="42">
        <v>0</v>
      </c>
      <c r="F254" s="42">
        <f>D254*(($F$147)+1)+(IF(E254&lt;101,E254,IF(E254&lt;201,E254/2,IF(E254&lt;=301,E254/3,E254/4))))</f>
        <v>961.57502999999986</v>
      </c>
      <c r="G254" s="75" t="str">
        <f>A253</f>
        <v>20th Floor (Part Refuge Area)</v>
      </c>
      <c r="H254" s="76"/>
      <c r="I254" s="36"/>
      <c r="L254" s="71"/>
      <c r="M254" s="71"/>
      <c r="N254" s="36"/>
    </row>
    <row r="255" spans="1:14" s="37" customFormat="1" ht="15.75" customHeight="1" x14ac:dyDescent="0.3">
      <c r="A255" s="69">
        <f t="shared" ref="A255:A261" si="36">A254+1</f>
        <v>2</v>
      </c>
      <c r="B255" s="70"/>
      <c r="C255" s="81" t="s">
        <v>204</v>
      </c>
      <c r="D255" s="82"/>
      <c r="E255" s="82"/>
      <c r="F255" s="83"/>
      <c r="G255" s="77" t="str">
        <f t="shared" ref="G255:G261" si="37">G254</f>
        <v>20th Floor (Part Refuge Area)</v>
      </c>
      <c r="H255" s="78"/>
      <c r="I255" s="36"/>
      <c r="L255" s="71"/>
      <c r="M255" s="71"/>
      <c r="N255" s="36"/>
    </row>
    <row r="256" spans="1:14" s="37" customFormat="1" ht="15.75" customHeight="1" x14ac:dyDescent="0.3">
      <c r="A256" s="69">
        <f t="shared" si="36"/>
        <v>3</v>
      </c>
      <c r="B256" s="70"/>
      <c r="C256" s="54">
        <v>1</v>
      </c>
      <c r="D256" s="56">
        <f>(39.45+0.75*(1.6+1.6))*(10.764)</f>
        <v>450.47339999999997</v>
      </c>
      <c r="E256" s="42">
        <v>0</v>
      </c>
      <c r="F256" s="42">
        <f t="shared" ref="F256:F261" si="38">D256*(($F$147)+1)+(IF(E256&lt;101,E256,IF(E256&lt;201,E256/2,IF(E256&lt;=301,E256/3,E256/4))))</f>
        <v>675.71010000000001</v>
      </c>
      <c r="G256" s="77" t="str">
        <f t="shared" si="37"/>
        <v>20th Floor (Part Refuge Area)</v>
      </c>
      <c r="H256" s="78"/>
      <c r="I256" s="36"/>
      <c r="L256" s="71"/>
      <c r="M256" s="71"/>
      <c r="N256" s="36"/>
    </row>
    <row r="257" spans="1:14" s="37" customFormat="1" ht="15.75" customHeight="1" x14ac:dyDescent="0.3">
      <c r="A257" s="69">
        <f t="shared" si="36"/>
        <v>4</v>
      </c>
      <c r="B257" s="70"/>
      <c r="C257" s="54">
        <v>2</v>
      </c>
      <c r="D257" s="56">
        <f>(57.68+0.75*(1.2+1.3))*(10.764)</f>
        <v>641.0500199999999</v>
      </c>
      <c r="E257" s="42">
        <v>0</v>
      </c>
      <c r="F257" s="42">
        <f t="shared" si="38"/>
        <v>961.57502999999986</v>
      </c>
      <c r="G257" s="77" t="str">
        <f t="shared" si="37"/>
        <v>20th Floor (Part Refuge Area)</v>
      </c>
      <c r="H257" s="78"/>
      <c r="I257" s="36"/>
      <c r="L257" s="71"/>
      <c r="M257" s="71"/>
      <c r="N257" s="36"/>
    </row>
    <row r="258" spans="1:14" s="37" customFormat="1" ht="15.75" customHeight="1" x14ac:dyDescent="0.3">
      <c r="A258" s="69">
        <f t="shared" si="36"/>
        <v>5</v>
      </c>
      <c r="B258" s="70"/>
      <c r="C258" s="54">
        <v>2</v>
      </c>
      <c r="D258" s="56">
        <f>(57.61+0.75*(1.2+1.25))*(10.764)</f>
        <v>639.89288999999997</v>
      </c>
      <c r="E258" s="42">
        <v>0</v>
      </c>
      <c r="F258" s="42">
        <f t="shared" si="38"/>
        <v>959.83933499999989</v>
      </c>
      <c r="G258" s="77" t="str">
        <f t="shared" si="37"/>
        <v>20th Floor (Part Refuge Area)</v>
      </c>
      <c r="H258" s="78"/>
      <c r="I258" s="36"/>
      <c r="L258" s="71"/>
      <c r="M258" s="71"/>
      <c r="N258" s="36"/>
    </row>
    <row r="259" spans="1:14" s="37" customFormat="1" ht="15.75" customHeight="1" x14ac:dyDescent="0.3">
      <c r="A259" s="69">
        <f t="shared" si="36"/>
        <v>6</v>
      </c>
      <c r="B259" s="70"/>
      <c r="C259" s="54">
        <v>1</v>
      </c>
      <c r="D259" s="56">
        <f>(40.92+0.75*(1.6+1.6))*(10.764)</f>
        <v>466.29647999999997</v>
      </c>
      <c r="E259" s="42">
        <v>0</v>
      </c>
      <c r="F259" s="42">
        <f t="shared" si="38"/>
        <v>699.44471999999996</v>
      </c>
      <c r="G259" s="77" t="str">
        <f t="shared" si="37"/>
        <v>20th Floor (Part Refuge Area)</v>
      </c>
      <c r="H259" s="78"/>
      <c r="I259" s="36"/>
      <c r="L259" s="71"/>
      <c r="M259" s="71"/>
      <c r="N259" s="36"/>
    </row>
    <row r="260" spans="1:14" s="37" customFormat="1" ht="15.75" customHeight="1" x14ac:dyDescent="0.3">
      <c r="A260" s="69">
        <f t="shared" si="36"/>
        <v>7</v>
      </c>
      <c r="B260" s="70"/>
      <c r="C260" s="54">
        <v>1</v>
      </c>
      <c r="D260" s="56">
        <f>(40.92+0.75*(1.6+1.6))*(10.764)</f>
        <v>466.29647999999997</v>
      </c>
      <c r="E260" s="42">
        <v>0</v>
      </c>
      <c r="F260" s="42">
        <f t="shared" si="38"/>
        <v>699.44471999999996</v>
      </c>
      <c r="G260" s="77" t="str">
        <f t="shared" si="37"/>
        <v>20th Floor (Part Refuge Area)</v>
      </c>
      <c r="H260" s="78"/>
      <c r="I260" s="36"/>
      <c r="L260" s="71"/>
      <c r="M260" s="71"/>
      <c r="N260" s="36"/>
    </row>
    <row r="261" spans="1:14" s="37" customFormat="1" ht="15.75" customHeight="1" x14ac:dyDescent="0.3">
      <c r="A261" s="69">
        <f t="shared" si="36"/>
        <v>8</v>
      </c>
      <c r="B261" s="70"/>
      <c r="C261" s="54">
        <v>2</v>
      </c>
      <c r="D261" s="56">
        <f>(57.61+0.75*(1.2+1.25))*(10.764)</f>
        <v>639.89288999999997</v>
      </c>
      <c r="E261" s="42">
        <v>0</v>
      </c>
      <c r="F261" s="42">
        <f t="shared" si="38"/>
        <v>959.83933499999989</v>
      </c>
      <c r="G261" s="79" t="str">
        <f t="shared" si="37"/>
        <v>20th Floor (Part Refuge Area)</v>
      </c>
      <c r="H261" s="80"/>
      <c r="I261" s="36"/>
      <c r="L261" s="71"/>
      <c r="M261" s="71"/>
      <c r="N261" s="36"/>
    </row>
    <row r="262" spans="1:14" s="37" customFormat="1" x14ac:dyDescent="0.3">
      <c r="A262" s="72" t="s">
        <v>202</v>
      </c>
      <c r="B262" s="73"/>
      <c r="C262" s="73"/>
      <c r="D262" s="73"/>
      <c r="E262" s="73"/>
      <c r="F262" s="73"/>
      <c r="G262" s="73"/>
      <c r="H262" s="74"/>
      <c r="J262" s="55"/>
    </row>
    <row r="263" spans="1:14" s="37" customFormat="1" ht="15.75" customHeight="1" x14ac:dyDescent="0.3">
      <c r="A263" s="69">
        <v>1</v>
      </c>
      <c r="B263" s="70"/>
      <c r="C263" s="54">
        <v>2</v>
      </c>
      <c r="D263" s="56">
        <f>(57.68+0.75*(1.2+1.3))*(10.764)</f>
        <v>641.0500199999999</v>
      </c>
      <c r="E263" s="42">
        <v>0</v>
      </c>
      <c r="F263" s="42">
        <f t="shared" ref="F263:F270" si="39">D263*(($F$147)+1)+(IF(E263&lt;101,E263,IF(E263&lt;201,E263/2,IF(E263&lt;=301,E263/3,E263/4))))</f>
        <v>961.57502999999986</v>
      </c>
      <c r="G263" s="75" t="str">
        <f>A262</f>
        <v>3rd, 5th, 7th, 9th, 11th, 13th, 15th, 17th, 19th, 21st &amp; 23rd Floor</v>
      </c>
      <c r="H263" s="76"/>
      <c r="I263" s="36"/>
      <c r="L263" s="71"/>
      <c r="M263" s="71"/>
      <c r="N263" s="36"/>
    </row>
    <row r="264" spans="1:14" s="37" customFormat="1" ht="15.75" customHeight="1" x14ac:dyDescent="0.3">
      <c r="A264" s="69">
        <f t="shared" ref="A264:A270" si="40">A263+1</f>
        <v>2</v>
      </c>
      <c r="B264" s="70"/>
      <c r="C264" s="54">
        <v>1</v>
      </c>
      <c r="D264" s="56">
        <f>(39.45+0.75*(1.6+1.6))*(10.764)</f>
        <v>450.47339999999997</v>
      </c>
      <c r="E264" s="42">
        <v>0</v>
      </c>
      <c r="F264" s="42">
        <f t="shared" si="39"/>
        <v>675.71010000000001</v>
      </c>
      <c r="G264" s="77" t="str">
        <f t="shared" ref="G264:G270" si="41">G263</f>
        <v>3rd, 5th, 7th, 9th, 11th, 13th, 15th, 17th, 19th, 21st &amp; 23rd Floor</v>
      </c>
      <c r="H264" s="78"/>
      <c r="I264" s="36"/>
      <c r="L264" s="71"/>
      <c r="M264" s="71"/>
      <c r="N264" s="36"/>
    </row>
    <row r="265" spans="1:14" s="37" customFormat="1" ht="15.75" customHeight="1" x14ac:dyDescent="0.3">
      <c r="A265" s="69">
        <f t="shared" si="40"/>
        <v>3</v>
      </c>
      <c r="B265" s="70"/>
      <c r="C265" s="54">
        <v>1</v>
      </c>
      <c r="D265" s="56">
        <f>(39.45+0.75*(1.6+1.6))*(10.764)</f>
        <v>450.47339999999997</v>
      </c>
      <c r="E265" s="42">
        <v>0</v>
      </c>
      <c r="F265" s="42">
        <f t="shared" si="39"/>
        <v>675.71010000000001</v>
      </c>
      <c r="G265" s="77" t="str">
        <f t="shared" si="41"/>
        <v>3rd, 5th, 7th, 9th, 11th, 13th, 15th, 17th, 19th, 21st &amp; 23rd Floor</v>
      </c>
      <c r="H265" s="78"/>
      <c r="I265" s="36"/>
      <c r="L265" s="71"/>
      <c r="M265" s="71"/>
      <c r="N265" s="36"/>
    </row>
    <row r="266" spans="1:14" s="37" customFormat="1" ht="15.75" customHeight="1" x14ac:dyDescent="0.3">
      <c r="A266" s="69">
        <f t="shared" si="40"/>
        <v>4</v>
      </c>
      <c r="B266" s="70"/>
      <c r="C266" s="54">
        <v>2</v>
      </c>
      <c r="D266" s="56">
        <f>(57.68+0.75*(1.2+1.3))*(10.764)</f>
        <v>641.0500199999999</v>
      </c>
      <c r="E266" s="42">
        <v>0</v>
      </c>
      <c r="F266" s="42">
        <f t="shared" si="39"/>
        <v>961.57502999999986</v>
      </c>
      <c r="G266" s="77" t="str">
        <f t="shared" si="41"/>
        <v>3rd, 5th, 7th, 9th, 11th, 13th, 15th, 17th, 19th, 21st &amp; 23rd Floor</v>
      </c>
      <c r="H266" s="78"/>
      <c r="I266" s="36"/>
      <c r="L266" s="71"/>
      <c r="M266" s="71"/>
      <c r="N266" s="36"/>
    </row>
    <row r="267" spans="1:14" s="37" customFormat="1" ht="15.75" customHeight="1" x14ac:dyDescent="0.3">
      <c r="A267" s="69">
        <f t="shared" si="40"/>
        <v>5</v>
      </c>
      <c r="B267" s="70"/>
      <c r="C267" s="54">
        <v>2</v>
      </c>
      <c r="D267" s="56">
        <f>(57.61+0.75*(1.2+1.25))*(10.764)</f>
        <v>639.89288999999997</v>
      </c>
      <c r="E267" s="42">
        <v>0</v>
      </c>
      <c r="F267" s="42">
        <f t="shared" si="39"/>
        <v>959.83933499999989</v>
      </c>
      <c r="G267" s="77" t="str">
        <f t="shared" si="41"/>
        <v>3rd, 5th, 7th, 9th, 11th, 13th, 15th, 17th, 19th, 21st &amp; 23rd Floor</v>
      </c>
      <c r="H267" s="78"/>
      <c r="I267" s="36"/>
      <c r="L267" s="71"/>
      <c r="M267" s="71"/>
      <c r="N267" s="36"/>
    </row>
    <row r="268" spans="1:14" s="37" customFormat="1" ht="15.75" customHeight="1" x14ac:dyDescent="0.3">
      <c r="A268" s="69">
        <f t="shared" si="40"/>
        <v>6</v>
      </c>
      <c r="B268" s="70"/>
      <c r="C268" s="54">
        <v>1</v>
      </c>
      <c r="D268" s="56">
        <f>(40.92+0.75*(1.6+1.6))*(10.764)</f>
        <v>466.29647999999997</v>
      </c>
      <c r="E268" s="42">
        <v>0</v>
      </c>
      <c r="F268" s="42">
        <f t="shared" si="39"/>
        <v>699.44471999999996</v>
      </c>
      <c r="G268" s="77" t="str">
        <f t="shared" si="41"/>
        <v>3rd, 5th, 7th, 9th, 11th, 13th, 15th, 17th, 19th, 21st &amp; 23rd Floor</v>
      </c>
      <c r="H268" s="78"/>
      <c r="I268" s="36"/>
      <c r="L268" s="71"/>
      <c r="M268" s="71"/>
      <c r="N268" s="36"/>
    </row>
    <row r="269" spans="1:14" s="37" customFormat="1" ht="15.75" customHeight="1" x14ac:dyDescent="0.3">
      <c r="A269" s="69">
        <f t="shared" si="40"/>
        <v>7</v>
      </c>
      <c r="B269" s="70"/>
      <c r="C269" s="54">
        <v>1</v>
      </c>
      <c r="D269" s="56">
        <f>(40.92+0.75*(1.6+1.6))*(10.764)</f>
        <v>466.29647999999997</v>
      </c>
      <c r="E269" s="42">
        <v>0</v>
      </c>
      <c r="F269" s="42">
        <f t="shared" si="39"/>
        <v>699.44471999999996</v>
      </c>
      <c r="G269" s="77" t="str">
        <f t="shared" si="41"/>
        <v>3rd, 5th, 7th, 9th, 11th, 13th, 15th, 17th, 19th, 21st &amp; 23rd Floor</v>
      </c>
      <c r="H269" s="78"/>
      <c r="I269" s="36"/>
      <c r="L269" s="71"/>
      <c r="M269" s="71"/>
      <c r="N269" s="36"/>
    </row>
    <row r="270" spans="1:14" s="37" customFormat="1" ht="15.75" customHeight="1" x14ac:dyDescent="0.3">
      <c r="A270" s="69">
        <f t="shared" si="40"/>
        <v>8</v>
      </c>
      <c r="B270" s="70"/>
      <c r="C270" s="54">
        <v>2</v>
      </c>
      <c r="D270" s="56">
        <f>(57.61+0.75*(1.2+1.25))*(10.764)</f>
        <v>639.89288999999997</v>
      </c>
      <c r="E270" s="42">
        <v>0</v>
      </c>
      <c r="F270" s="42">
        <f t="shared" si="39"/>
        <v>959.83933499999989</v>
      </c>
      <c r="G270" s="79" t="str">
        <f t="shared" si="41"/>
        <v>3rd, 5th, 7th, 9th, 11th, 13th, 15th, 17th, 19th, 21st &amp; 23rd Floor</v>
      </c>
      <c r="H270" s="80"/>
      <c r="I270" s="36"/>
      <c r="L270" s="71"/>
      <c r="M270" s="71"/>
      <c r="N270" s="36"/>
    </row>
    <row r="271" spans="1:14" s="37" customFormat="1" x14ac:dyDescent="0.3">
      <c r="A271" s="72" t="s">
        <v>205</v>
      </c>
      <c r="B271" s="73"/>
      <c r="C271" s="73"/>
      <c r="D271" s="73"/>
      <c r="E271" s="73"/>
      <c r="F271" s="73"/>
      <c r="G271" s="73"/>
      <c r="H271" s="74"/>
      <c r="J271" s="55"/>
    </row>
    <row r="272" spans="1:14" s="37" customFormat="1" x14ac:dyDescent="0.3">
      <c r="A272" s="69">
        <v>1</v>
      </c>
      <c r="B272" s="70"/>
      <c r="C272" s="54">
        <v>2</v>
      </c>
      <c r="D272" s="56">
        <f>(57.68+0.75*(1.2+1.3))*(10.764)</f>
        <v>641.0500199999999</v>
      </c>
      <c r="E272" s="42">
        <v>0</v>
      </c>
      <c r="F272" s="42">
        <f t="shared" ref="F272:F279" si="42">D272*(($F$147)+1)+(IF(E272&lt;101,E272,IF(E272&lt;201,E272/2,IF(E272&lt;=301,E272/3,E272/4))))</f>
        <v>961.57502999999986</v>
      </c>
      <c r="G272" s="75" t="str">
        <f>A271</f>
        <v>24th Floor</v>
      </c>
      <c r="H272" s="76"/>
      <c r="I272" s="36"/>
      <c r="L272" s="71"/>
      <c r="M272" s="71"/>
      <c r="N272" s="36"/>
    </row>
    <row r="273" spans="1:14" s="37" customFormat="1" ht="15.75" customHeight="1" x14ac:dyDescent="0.3">
      <c r="A273" s="69">
        <f t="shared" ref="A273:A279" si="43">A272+1</f>
        <v>2</v>
      </c>
      <c r="B273" s="70"/>
      <c r="C273" s="54">
        <v>1</v>
      </c>
      <c r="D273" s="56">
        <f>(39.45+0.75*(1.6+1.6))*(10.764)</f>
        <v>450.47339999999997</v>
      </c>
      <c r="E273" s="42">
        <v>0</v>
      </c>
      <c r="F273" s="42">
        <f t="shared" si="42"/>
        <v>675.71010000000001</v>
      </c>
      <c r="G273" s="77" t="str">
        <f t="shared" ref="G273:G279" si="44">G272</f>
        <v>24th Floor</v>
      </c>
      <c r="H273" s="78"/>
      <c r="I273" s="36"/>
      <c r="L273" s="71"/>
      <c r="M273" s="71"/>
      <c r="N273" s="36"/>
    </row>
    <row r="274" spans="1:14" s="37" customFormat="1" x14ac:dyDescent="0.3">
      <c r="A274" s="69">
        <f t="shared" si="43"/>
        <v>3</v>
      </c>
      <c r="B274" s="70"/>
      <c r="C274" s="54">
        <v>1</v>
      </c>
      <c r="D274" s="56">
        <f>(39.45+0.75*(1.6+1.6))*(10.764)</f>
        <v>450.47339999999997</v>
      </c>
      <c r="E274" s="42">
        <v>0</v>
      </c>
      <c r="F274" s="42">
        <f t="shared" si="42"/>
        <v>675.71010000000001</v>
      </c>
      <c r="G274" s="77" t="str">
        <f t="shared" si="44"/>
        <v>24th Floor</v>
      </c>
      <c r="H274" s="78"/>
      <c r="I274" s="36"/>
      <c r="L274" s="71"/>
      <c r="M274" s="71"/>
      <c r="N274" s="36"/>
    </row>
    <row r="275" spans="1:14" s="37" customFormat="1" x14ac:dyDescent="0.3">
      <c r="A275" s="69">
        <f t="shared" si="43"/>
        <v>4</v>
      </c>
      <c r="B275" s="70"/>
      <c r="C275" s="54">
        <v>2</v>
      </c>
      <c r="D275" s="56">
        <f>(57.68+0.75*(1.2+1.3))*(10.764)</f>
        <v>641.0500199999999</v>
      </c>
      <c r="E275" s="42">
        <v>0</v>
      </c>
      <c r="F275" s="42">
        <f t="shared" si="42"/>
        <v>961.57502999999986</v>
      </c>
      <c r="G275" s="77" t="str">
        <f t="shared" si="44"/>
        <v>24th Floor</v>
      </c>
      <c r="H275" s="78"/>
      <c r="I275" s="36"/>
      <c r="L275" s="71"/>
      <c r="M275" s="71"/>
      <c r="N275" s="36"/>
    </row>
    <row r="276" spans="1:14" s="37" customFormat="1" x14ac:dyDescent="0.3">
      <c r="A276" s="69">
        <f t="shared" si="43"/>
        <v>5</v>
      </c>
      <c r="B276" s="70"/>
      <c r="C276" s="54">
        <v>2</v>
      </c>
      <c r="D276" s="56">
        <f>(57.61+0.75*(1.2+1.25))*(10.764)</f>
        <v>639.89288999999997</v>
      </c>
      <c r="E276" s="42">
        <v>0</v>
      </c>
      <c r="F276" s="42">
        <f t="shared" si="42"/>
        <v>959.83933499999989</v>
      </c>
      <c r="G276" s="77" t="str">
        <f t="shared" si="44"/>
        <v>24th Floor</v>
      </c>
      <c r="H276" s="78"/>
      <c r="I276" s="36"/>
      <c r="L276" s="71"/>
      <c r="M276" s="71"/>
      <c r="N276" s="36"/>
    </row>
    <row r="277" spans="1:14" s="37" customFormat="1" x14ac:dyDescent="0.3">
      <c r="A277" s="69">
        <f t="shared" si="43"/>
        <v>6</v>
      </c>
      <c r="B277" s="70"/>
      <c r="C277" s="54">
        <v>1</v>
      </c>
      <c r="D277" s="56">
        <f>(40.92+0.75*(1.6+1.6))*(10.764)</f>
        <v>466.29647999999997</v>
      </c>
      <c r="E277" s="42">
        <v>0</v>
      </c>
      <c r="F277" s="42">
        <f t="shared" si="42"/>
        <v>699.44471999999996</v>
      </c>
      <c r="G277" s="77" t="str">
        <f t="shared" si="44"/>
        <v>24th Floor</v>
      </c>
      <c r="H277" s="78"/>
      <c r="I277" s="36"/>
      <c r="L277" s="71"/>
      <c r="M277" s="71"/>
      <c r="N277" s="36"/>
    </row>
    <row r="278" spans="1:14" s="37" customFormat="1" x14ac:dyDescent="0.3">
      <c r="A278" s="69">
        <f t="shared" si="43"/>
        <v>7</v>
      </c>
      <c r="B278" s="70"/>
      <c r="C278" s="54">
        <v>1</v>
      </c>
      <c r="D278" s="56">
        <f>(40.92+0.75*(1.6+1.6))*(10.764)</f>
        <v>466.29647999999997</v>
      </c>
      <c r="E278" s="42">
        <v>0</v>
      </c>
      <c r="F278" s="42">
        <f t="shared" si="42"/>
        <v>699.44471999999996</v>
      </c>
      <c r="G278" s="77" t="str">
        <f t="shared" si="44"/>
        <v>24th Floor</v>
      </c>
      <c r="H278" s="78"/>
      <c r="I278" s="36"/>
      <c r="L278" s="71"/>
      <c r="M278" s="71"/>
      <c r="N278" s="36"/>
    </row>
    <row r="279" spans="1:14" s="37" customFormat="1" x14ac:dyDescent="0.3">
      <c r="A279" s="69">
        <f t="shared" si="43"/>
        <v>8</v>
      </c>
      <c r="B279" s="70"/>
      <c r="C279" s="54">
        <v>2</v>
      </c>
      <c r="D279" s="56">
        <f>(57.61+0.75*(1.2+1.25))*(10.764)</f>
        <v>639.89288999999997</v>
      </c>
      <c r="E279" s="42">
        <v>0</v>
      </c>
      <c r="F279" s="42">
        <f t="shared" si="42"/>
        <v>959.83933499999989</v>
      </c>
      <c r="G279" s="79" t="str">
        <f t="shared" si="44"/>
        <v>24th Floor</v>
      </c>
      <c r="H279" s="80"/>
      <c r="I279" s="36"/>
      <c r="L279" s="71"/>
      <c r="M279" s="71"/>
      <c r="N279" s="36"/>
    </row>
    <row r="280" spans="1:14" s="37" customFormat="1" x14ac:dyDescent="0.3">
      <c r="A280" s="72" t="s">
        <v>206</v>
      </c>
      <c r="B280" s="73"/>
      <c r="C280" s="73"/>
      <c r="D280" s="73"/>
      <c r="E280" s="73"/>
      <c r="F280" s="73"/>
      <c r="G280" s="73"/>
      <c r="H280" s="74"/>
      <c r="J280" s="55"/>
    </row>
    <row r="281" spans="1:14" s="37" customFormat="1" x14ac:dyDescent="0.3">
      <c r="A281" s="69">
        <v>1</v>
      </c>
      <c r="B281" s="70"/>
      <c r="C281" s="54">
        <v>2</v>
      </c>
      <c r="D281" s="56">
        <f>(57.68+0.75*(1.2+1.3))*(10.764)</f>
        <v>641.0500199999999</v>
      </c>
      <c r="E281" s="42">
        <v>0</v>
      </c>
      <c r="F281" s="42">
        <f t="shared" ref="F281:F288" si="45">D281*(($F$147)+1)+(IF(E281&lt;101,E281,IF(E281&lt;201,E281/2,IF(E281&lt;=301,E281/3,E281/4))))</f>
        <v>961.57502999999986</v>
      </c>
      <c r="G281" s="75" t="str">
        <f>A280</f>
        <v>25th Floor</v>
      </c>
      <c r="H281" s="76"/>
      <c r="I281" s="36"/>
      <c r="L281" s="71"/>
      <c r="M281" s="71"/>
      <c r="N281" s="36"/>
    </row>
    <row r="282" spans="1:14" s="37" customFormat="1" ht="15.75" customHeight="1" x14ac:dyDescent="0.3">
      <c r="A282" s="69">
        <f t="shared" ref="A282:A288" si="46">A281+1</f>
        <v>2</v>
      </c>
      <c r="B282" s="70"/>
      <c r="C282" s="54">
        <v>1</v>
      </c>
      <c r="D282" s="56">
        <f>(39.45+0.75*(1.6+1.6))*(10.764)</f>
        <v>450.47339999999997</v>
      </c>
      <c r="E282" s="42">
        <v>0</v>
      </c>
      <c r="F282" s="42">
        <f t="shared" si="45"/>
        <v>675.71010000000001</v>
      </c>
      <c r="G282" s="77" t="str">
        <f t="shared" ref="G282:G288" si="47">G281</f>
        <v>25th Floor</v>
      </c>
      <c r="H282" s="78"/>
      <c r="I282" s="36"/>
      <c r="L282" s="71"/>
      <c r="M282" s="71"/>
      <c r="N282" s="36"/>
    </row>
    <row r="283" spans="1:14" s="37" customFormat="1" x14ac:dyDescent="0.3">
      <c r="A283" s="69">
        <f t="shared" si="46"/>
        <v>3</v>
      </c>
      <c r="B283" s="70"/>
      <c r="C283" s="54">
        <v>1</v>
      </c>
      <c r="D283" s="56">
        <f>(39.45+0.75*(1.6+1.6))*(10.764)</f>
        <v>450.47339999999997</v>
      </c>
      <c r="E283" s="42">
        <v>0</v>
      </c>
      <c r="F283" s="42">
        <f t="shared" si="45"/>
        <v>675.71010000000001</v>
      </c>
      <c r="G283" s="77" t="str">
        <f t="shared" si="47"/>
        <v>25th Floor</v>
      </c>
      <c r="H283" s="78"/>
      <c r="I283" s="36"/>
      <c r="L283" s="71"/>
      <c r="M283" s="71"/>
      <c r="N283" s="36"/>
    </row>
    <row r="284" spans="1:14" s="37" customFormat="1" x14ac:dyDescent="0.3">
      <c r="A284" s="69">
        <f t="shared" si="46"/>
        <v>4</v>
      </c>
      <c r="B284" s="70"/>
      <c r="C284" s="54">
        <v>2</v>
      </c>
      <c r="D284" s="56">
        <f>(57.68+0.75*(1.2+1.3))*(10.764)</f>
        <v>641.0500199999999</v>
      </c>
      <c r="E284" s="42">
        <v>0</v>
      </c>
      <c r="F284" s="42">
        <f t="shared" si="45"/>
        <v>961.57502999999986</v>
      </c>
      <c r="G284" s="77" t="str">
        <f t="shared" si="47"/>
        <v>25th Floor</v>
      </c>
      <c r="H284" s="78"/>
      <c r="I284" s="36"/>
      <c r="L284" s="71"/>
      <c r="M284" s="71"/>
      <c r="N284" s="36"/>
    </row>
    <row r="285" spans="1:14" s="37" customFormat="1" x14ac:dyDescent="0.3">
      <c r="A285" s="69">
        <f t="shared" si="46"/>
        <v>5</v>
      </c>
      <c r="B285" s="70"/>
      <c r="C285" s="54">
        <v>2</v>
      </c>
      <c r="D285" s="56">
        <f>(57.61+0.75*(1.2+1.25))*(10.764)</f>
        <v>639.89288999999997</v>
      </c>
      <c r="E285" s="42">
        <v>0</v>
      </c>
      <c r="F285" s="42">
        <f t="shared" si="45"/>
        <v>959.83933499999989</v>
      </c>
      <c r="G285" s="77" t="str">
        <f t="shared" si="47"/>
        <v>25th Floor</v>
      </c>
      <c r="H285" s="78"/>
      <c r="I285" s="36"/>
      <c r="L285" s="71"/>
      <c r="M285" s="71"/>
      <c r="N285" s="36"/>
    </row>
    <row r="286" spans="1:14" s="37" customFormat="1" x14ac:dyDescent="0.3">
      <c r="A286" s="69">
        <f t="shared" si="46"/>
        <v>6</v>
      </c>
      <c r="B286" s="70"/>
      <c r="C286" s="54">
        <v>1</v>
      </c>
      <c r="D286" s="56">
        <f>(40.92+0.75*(1.6+1.6))*(10.764)</f>
        <v>466.29647999999997</v>
      </c>
      <c r="E286" s="42">
        <v>0</v>
      </c>
      <c r="F286" s="42">
        <f t="shared" si="45"/>
        <v>699.44471999999996</v>
      </c>
      <c r="G286" s="77" t="str">
        <f t="shared" si="47"/>
        <v>25th Floor</v>
      </c>
      <c r="H286" s="78"/>
      <c r="I286" s="36"/>
      <c r="L286" s="71"/>
      <c r="M286" s="71"/>
      <c r="N286" s="36"/>
    </row>
    <row r="287" spans="1:14" s="37" customFormat="1" x14ac:dyDescent="0.3">
      <c r="A287" s="69">
        <f t="shared" si="46"/>
        <v>7</v>
      </c>
      <c r="B287" s="70"/>
      <c r="C287" s="54">
        <v>1</v>
      </c>
      <c r="D287" s="56">
        <f>(40.92+0.75*(1.6+1.6))*(10.764)</f>
        <v>466.29647999999997</v>
      </c>
      <c r="E287" s="42">
        <v>0</v>
      </c>
      <c r="F287" s="42">
        <f t="shared" si="45"/>
        <v>699.44471999999996</v>
      </c>
      <c r="G287" s="77" t="str">
        <f t="shared" si="47"/>
        <v>25th Floor</v>
      </c>
      <c r="H287" s="78"/>
      <c r="I287" s="36"/>
      <c r="L287" s="71"/>
      <c r="M287" s="71"/>
      <c r="N287" s="36"/>
    </row>
    <row r="288" spans="1:14" s="37" customFormat="1" x14ac:dyDescent="0.3">
      <c r="A288" s="69">
        <f t="shared" si="46"/>
        <v>8</v>
      </c>
      <c r="B288" s="70"/>
      <c r="C288" s="54">
        <v>2</v>
      </c>
      <c r="D288" s="56">
        <f>(57.61+0.75*(1.2+1.25))*(10.764)</f>
        <v>639.89288999999997</v>
      </c>
      <c r="E288" s="42">
        <v>0</v>
      </c>
      <c r="F288" s="42">
        <f t="shared" si="45"/>
        <v>959.83933499999989</v>
      </c>
      <c r="G288" s="79" t="str">
        <f t="shared" si="47"/>
        <v>25th Floor</v>
      </c>
      <c r="H288" s="80"/>
      <c r="I288" s="36"/>
      <c r="L288" s="71"/>
      <c r="M288" s="71"/>
      <c r="N288" s="36"/>
    </row>
    <row r="289" spans="1:14" s="37" customFormat="1" hidden="1" x14ac:dyDescent="0.3">
      <c r="A289" s="72"/>
      <c r="B289" s="73"/>
      <c r="C289" s="73"/>
      <c r="D289" s="73"/>
      <c r="E289" s="73"/>
      <c r="F289" s="73"/>
      <c r="G289" s="73"/>
      <c r="H289" s="74"/>
      <c r="J289" s="36"/>
    </row>
    <row r="290" spans="1:14" s="37" customFormat="1" hidden="1" x14ac:dyDescent="0.3">
      <c r="A290" s="72" t="s">
        <v>123</v>
      </c>
      <c r="B290" s="73"/>
      <c r="C290" s="73"/>
      <c r="D290" s="73"/>
      <c r="E290" s="73"/>
      <c r="F290" s="73"/>
      <c r="G290" s="73"/>
      <c r="H290" s="74"/>
      <c r="J290" s="36"/>
    </row>
    <row r="291" spans="1:14" s="37" customFormat="1" hidden="1" x14ac:dyDescent="0.3">
      <c r="A291" s="69">
        <v>1</v>
      </c>
      <c r="B291" s="70"/>
      <c r="C291" s="54"/>
      <c r="D291" s="42"/>
      <c r="E291" s="42">
        <v>0</v>
      </c>
      <c r="F291" s="42">
        <f>D291*(($F$147)+1)+(IF(E291&lt;101,E291,IF(E291&lt;201,E291/2,IF(E291&lt;=301,E291/3,E291/4))))</f>
        <v>0</v>
      </c>
      <c r="G291" s="69" t="str">
        <f>A290</f>
        <v>Ground Floor</v>
      </c>
      <c r="H291" s="70"/>
      <c r="I291" s="36"/>
      <c r="L291" s="71"/>
      <c r="M291" s="71"/>
      <c r="N291" s="36"/>
    </row>
    <row r="292" spans="1:14" s="37" customFormat="1" hidden="1" x14ac:dyDescent="0.3">
      <c r="A292" s="69">
        <f t="shared" ref="A292:A294" si="48">A291+1</f>
        <v>2</v>
      </c>
      <c r="B292" s="70"/>
      <c r="C292" s="54"/>
      <c r="D292" s="42"/>
      <c r="E292" s="42">
        <v>0</v>
      </c>
      <c r="F292" s="42">
        <f>D292*(($F$147)+1)+(IF(E292&lt;101,E292,IF(E292&lt;201,E292/2,IF(E292&lt;=301,E292/3,E292/4))))</f>
        <v>0</v>
      </c>
      <c r="G292" s="69" t="str">
        <f t="shared" ref="G292:G294" si="49">G291</f>
        <v>Ground Floor</v>
      </c>
      <c r="H292" s="70"/>
      <c r="I292" s="36"/>
      <c r="L292" s="71"/>
      <c r="M292" s="71"/>
      <c r="N292" s="36"/>
    </row>
    <row r="293" spans="1:14" s="37" customFormat="1" hidden="1" x14ac:dyDescent="0.3">
      <c r="A293" s="69">
        <f t="shared" si="48"/>
        <v>3</v>
      </c>
      <c r="B293" s="70"/>
      <c r="C293" s="54"/>
      <c r="D293" s="42"/>
      <c r="E293" s="42">
        <v>0</v>
      </c>
      <c r="F293" s="42">
        <f>D293*(($F$147)+1)+(IF(E293&lt;101,E293,IF(E293&lt;201,E293/2,IF(E293&lt;=301,E293/3,E293/4))))</f>
        <v>0</v>
      </c>
      <c r="G293" s="69" t="str">
        <f t="shared" si="49"/>
        <v>Ground Floor</v>
      </c>
      <c r="H293" s="70"/>
      <c r="I293" s="36"/>
      <c r="L293" s="71"/>
      <c r="M293" s="71"/>
      <c r="N293" s="36"/>
    </row>
    <row r="294" spans="1:14" s="37" customFormat="1" hidden="1" x14ac:dyDescent="0.3">
      <c r="A294" s="69">
        <f t="shared" si="48"/>
        <v>4</v>
      </c>
      <c r="B294" s="70"/>
      <c r="C294" s="54"/>
      <c r="D294" s="42"/>
      <c r="E294" s="42">
        <v>0</v>
      </c>
      <c r="F294" s="42">
        <f>D294*(($F$147)+1)+(IF(E294&lt;101,E294,IF(E294&lt;201,E294/2,IF(E294&lt;=301,E294/3,E294/4))))</f>
        <v>0</v>
      </c>
      <c r="G294" s="69" t="str">
        <f t="shared" si="49"/>
        <v>Ground Floor</v>
      </c>
      <c r="H294" s="70"/>
      <c r="I294" s="36"/>
      <c r="L294" s="71"/>
      <c r="M294" s="71"/>
      <c r="N294" s="36"/>
    </row>
    <row r="295" spans="1:14" s="37" customFormat="1" hidden="1" x14ac:dyDescent="0.3">
      <c r="A295" s="158" t="s">
        <v>124</v>
      </c>
      <c r="B295" s="158"/>
      <c r="C295" s="158"/>
      <c r="D295" s="158"/>
      <c r="E295" s="158"/>
      <c r="F295" s="158"/>
      <c r="G295" s="158"/>
      <c r="H295" s="158"/>
      <c r="I295" s="36"/>
      <c r="L295" s="71"/>
      <c r="M295" s="71"/>
    </row>
    <row r="296" spans="1:14" s="37" customFormat="1" hidden="1" x14ac:dyDescent="0.3">
      <c r="A296" s="87">
        <f>LEFT(A295,SUM(LEN(A295)-LEN(SUBSTITUTE(A295,{"0","1","2","3","4","5","6","7","8","9"},""))))*100+1</f>
        <v>201</v>
      </c>
      <c r="B296" s="87"/>
      <c r="C296" s="54"/>
      <c r="D296" s="42"/>
      <c r="E296" s="42">
        <v>0</v>
      </c>
      <c r="F296" s="42">
        <f t="shared" ref="F296:F297" si="50">D296*(($F$147)+1)+(IF(E296&lt;101,E296,IF(E296&lt;201,E296/2,IF(E296&lt;=301,E296/3,E296/4))))</f>
        <v>0</v>
      </c>
      <c r="G296" s="87" t="str">
        <f>A295</f>
        <v>2nd Floor</v>
      </c>
      <c r="H296" s="87"/>
      <c r="I296" s="36"/>
      <c r="N296" s="36"/>
    </row>
    <row r="297" spans="1:14" s="37" customFormat="1" hidden="1" x14ac:dyDescent="0.3">
      <c r="A297" s="87">
        <f>A296+1</f>
        <v>202</v>
      </c>
      <c r="B297" s="87"/>
      <c r="C297" s="54"/>
      <c r="D297" s="42"/>
      <c r="E297" s="42">
        <v>0</v>
      </c>
      <c r="F297" s="42">
        <f t="shared" si="50"/>
        <v>0</v>
      </c>
      <c r="G297" s="87" t="str">
        <f>G296</f>
        <v>2nd Floor</v>
      </c>
      <c r="H297" s="87"/>
      <c r="I297" s="36"/>
      <c r="N297" s="36"/>
    </row>
    <row r="298" spans="1:14" s="37" customFormat="1" hidden="1" x14ac:dyDescent="0.3">
      <c r="A298" s="87">
        <f>A297+1</f>
        <v>203</v>
      </c>
      <c r="B298" s="87"/>
      <c r="C298" s="54"/>
      <c r="D298" s="42"/>
      <c r="E298" s="42">
        <v>0</v>
      </c>
      <c r="F298" s="42">
        <f>D298*(($F$147)+1)+(IF(E298&lt;101,E298,IF(E298&lt;201,E298/2,IF(E298&lt;=301,E298/3,E298/4))))</f>
        <v>0</v>
      </c>
      <c r="G298" s="87" t="str">
        <f>G297</f>
        <v>2nd Floor</v>
      </c>
      <c r="H298" s="87"/>
      <c r="I298" s="36"/>
      <c r="N298" s="36"/>
    </row>
    <row r="299" spans="1:14" s="37" customFormat="1" hidden="1" x14ac:dyDescent="0.3">
      <c r="A299" s="87">
        <f>A298+1</f>
        <v>204</v>
      </c>
      <c r="B299" s="87"/>
      <c r="C299" s="54"/>
      <c r="D299" s="42"/>
      <c r="E299" s="42">
        <v>0</v>
      </c>
      <c r="F299" s="42">
        <f>D299*(($F$147)+1)+(IF(E299&lt;101,E299,IF(E299&lt;201,E299/2,IF(E299&lt;=301,E299/3,E299/4))))</f>
        <v>0</v>
      </c>
      <c r="G299" s="87" t="str">
        <f>G298</f>
        <v>2nd Floor</v>
      </c>
      <c r="H299" s="87"/>
      <c r="I299" s="36"/>
      <c r="N299" s="36"/>
    </row>
    <row r="300" spans="1:14" s="37" customFormat="1" hidden="1" x14ac:dyDescent="0.3">
      <c r="A300" s="87">
        <f>A299+1</f>
        <v>205</v>
      </c>
      <c r="B300" s="87"/>
      <c r="C300" s="54"/>
      <c r="D300" s="42"/>
      <c r="E300" s="42">
        <v>0</v>
      </c>
      <c r="F300" s="42">
        <f>D300*(($F$147)+1)+(IF(E300&lt;101,E300,IF(E300&lt;201,E300/2,IF(E300&lt;=301,E300/3,E300/4))))</f>
        <v>0</v>
      </c>
      <c r="G300" s="87" t="str">
        <f>G299</f>
        <v>2nd Floor</v>
      </c>
      <c r="H300" s="87"/>
      <c r="I300" s="36"/>
      <c r="N300" s="36"/>
    </row>
    <row r="301" spans="1:14" s="37" customFormat="1" ht="15.75" hidden="1" customHeight="1" x14ac:dyDescent="0.3">
      <c r="A301" s="72" t="s">
        <v>159</v>
      </c>
      <c r="B301" s="73"/>
      <c r="C301" s="73"/>
      <c r="D301" s="73"/>
      <c r="E301" s="73"/>
      <c r="F301" s="73"/>
      <c r="G301" s="73"/>
      <c r="H301" s="74"/>
      <c r="I301" s="36"/>
    </row>
    <row r="302" spans="1:14" s="37" customFormat="1" hidden="1" x14ac:dyDescent="0.3">
      <c r="A302" s="69" t="str">
        <f ca="1">(SUMPRODUCT(MID(0&amp;(LEFT(A301,SUM(LEN(A301)-LEN(SUBSTITUTE(A301,{"0","1","2"},""))))), LARGE(INDEX(ISNUMBER(--MID((LEFT(A301,SUM(LEN(A301)-LEN(SUBSTITUTE(A301,{"0","1","2"},""))))), ROW(INDIRECT("1:"&amp;LEN((LEFT(A301,SUM(LEN(A301)-LEN(SUBSTITUTE(A301,{"0","1","2"},"")))))))), 1)) * ROW(INDIRECT("1:"&amp;LEN((LEFT(A301,SUM(LEN(A301)-LEN(SUBSTITUTE(A301,{"0","1","2"},"")))))))), 0), ROW(INDIRECT("1:"&amp;LEN((LEFT(A301,SUM(LEN(A301)-LEN(SUBSTITUTE(A301,{"0","1","2"},"")))))))))+1, 1) * 10^ROW(INDIRECT("1:"&amp;LEN((LEFT(A301,SUM(LEN(A301)-LEN(SUBSTITUTE(A301,{"0","1","2"},""))))))))/10))*100+1&amp;""&amp;" ,.., "&amp;""&amp;(SUMPRODUCT(MID(0&amp;(--TRIM(RIGHT(SUBSTITUTE(LEFT(A301,_xlfn.AGGREGATE(16,6,FIND({0,1,2,3,4,5,6,7,8,9},A301,ROW(INDIRECT("1:"&amp;LEN(A301)))),1))," ",REPT(" ",LEN(A301))),LEN(A301)))), LARGE(INDEX(ISNUMBER(--MID((--TRIM(RIGHT(SUBSTITUTE(LEFT(A301,_xlfn.AGGREGATE(16,6,FIND({0,1,2,3,4,5,6,7,8,9},A301,ROW(INDIRECT("1:"&amp;LEN(A301)))),1))," ",REPT(" ",LEN(A301))),LEN(A301)))), ROW(INDIRECT("1:"&amp;LEN((--TRIM(RIGHT(SUBSTITUTE(LEFT(A301,_xlfn.AGGREGATE(16,6,FIND({0,1,2,3,4,5,6,7,8,9},A301,ROW(INDIRECT("1:"&amp;LEN(A301)))),1))," ",REPT(" ",LEN(A301))),LEN(A301))))))), 1)) * ROW(INDIRECT("1:"&amp;LEN((--TRIM(RIGHT(SUBSTITUTE(LEFT(A301,_xlfn.AGGREGATE(16,6,FIND({0,1,2,3,4,5,6,7,8,9},A301,ROW(INDIRECT("1:"&amp;LEN(A301)))),1))," ",REPT(" ",LEN(A301))),LEN(A301))))))), 0), ROW(INDIRECT("1:"&amp;LEN((--TRIM(RIGHT(SUBSTITUTE(LEFT(A301,_xlfn.AGGREGATE(16,6,FIND({0,1,2,3,4,5,6,7,8,9},A301,ROW(INDIRECT("1:"&amp;LEN(A301)))),1))," ",REPT(" ",LEN(A301))),LEN(A301))))))))+1, 1) * 10^ROW(INDIRECT("1:"&amp;LEN((--TRIM(RIGHT(SUBSTITUTE(LEFT(A301,_xlfn.AGGREGATE(16,6,FIND({0,1,2,3,4,5,6,7,8,9},A301,ROW(INDIRECT("1:"&amp;LEN(A301)))),1))," ",REPT(" ",LEN(A301))),LEN(A301)))))))/10))*100+1</f>
        <v>301 ,.., 1501</v>
      </c>
      <c r="B302" s="70"/>
      <c r="C302" s="54"/>
      <c r="D302" s="42"/>
      <c r="E302" s="42">
        <v>0</v>
      </c>
      <c r="F302" s="42">
        <f>D302*(($F$147)+1)+(IF(E302&lt;101,E302,IF(E302&lt;201,E302/2,IF(E302&lt;=301,E302/3,E302/4))))</f>
        <v>0</v>
      </c>
      <c r="G302" s="69" t="str">
        <f>A301</f>
        <v>3rd, 5th, 7th, 9th, 11th, 13th, 15th Floor</v>
      </c>
      <c r="H302" s="70"/>
      <c r="I302" s="36"/>
    </row>
    <row r="303" spans="1:14" s="37" customFormat="1" hidden="1" x14ac:dyDescent="0.3">
      <c r="A303" s="69" t="str">
        <f ca="1">(SUMPRODUCT(MID(0&amp;(LEFT(A302,SUM(LEN(A302)-LEN(SUBSTITUTE(A302,{"0","1","2"},""))))), LARGE(INDEX(ISNUMBER(--MID((LEFT(A302,SUM(LEN(A302)-LEN(SUBSTITUTE(A302,{"0","1","2"},""))))), ROW(INDIRECT("1:"&amp;LEN((LEFT(A302,SUM(LEN(A302)-LEN(SUBSTITUTE(A302,{"0","1","2"},"")))))))), 1)) * ROW(INDIRECT("1:"&amp;LEN((LEFT(A302,SUM(LEN(A302)-LEN(SUBSTITUTE(A302,{"0","1","2"},"")))))))), 0), ROW(INDIRECT("1:"&amp;LEN((LEFT(A302,SUM(LEN(A302)-LEN(SUBSTITUTE(A302,{"0","1","2"},"")))))))))+1, 1) * 10^ROW(INDIRECT("1:"&amp;LEN((LEFT(A302,SUM(LEN(A302)-LEN(SUBSTITUTE(A302,{"0","1","2"},""))))))))/10))*1+1&amp;""&amp;" ,.., "&amp;""&amp;(SUMPRODUCT(MID(0&amp;(--TRIM(RIGHT(SUBSTITUTE(LEFT(A302,_xlfn.AGGREGATE(16,6,FIND({0,1,2,3,4,5,6,7,8,9},A302,ROW(INDIRECT("1:"&amp;LEN(A302)))),1))," ",REPT(" ",LEN(A302))),LEN(A302)))), LARGE(INDEX(ISNUMBER(--MID((--TRIM(RIGHT(SUBSTITUTE(LEFT(A302,_xlfn.AGGREGATE(16,6,FIND({0,1,2,3,4,5,6,7,8,9},A302,ROW(INDIRECT("1:"&amp;LEN(A302)))),1))," ",REPT(" ",LEN(A302))),LEN(A302)))), ROW(INDIRECT("1:"&amp;LEN((--TRIM(RIGHT(SUBSTITUTE(LEFT(A302,_xlfn.AGGREGATE(16,6,FIND({0,1,2,3,4,5,6,7,8,9},A302,ROW(INDIRECT("1:"&amp;LEN(A302)))),1))," ",REPT(" ",LEN(A302))),LEN(A302))))))), 1)) * ROW(INDIRECT("1:"&amp;LEN((--TRIM(RIGHT(SUBSTITUTE(LEFT(A302,_xlfn.AGGREGATE(16,6,FIND({0,1,2,3,4,5,6,7,8,9},A302,ROW(INDIRECT("1:"&amp;LEN(A302)))),1))," ",REPT(" ",LEN(A302))),LEN(A302))))))), 0), ROW(INDIRECT("1:"&amp;LEN((--TRIM(RIGHT(SUBSTITUTE(LEFT(A302,_xlfn.AGGREGATE(16,6,FIND({0,1,2,3,4,5,6,7,8,9},A302,ROW(INDIRECT("1:"&amp;LEN(A302)))),1))," ",REPT(" ",LEN(A302))),LEN(A302))))))))+1, 1) * 10^ROW(INDIRECT("1:"&amp;LEN((--TRIM(RIGHT(SUBSTITUTE(LEFT(A302,_xlfn.AGGREGATE(16,6,FIND({0,1,2,3,4,5,6,7,8,9},A302,ROW(INDIRECT("1:"&amp;LEN(A302)))),1))," ",REPT(" ",LEN(A302))),LEN(A302)))))))/10))*1+1</f>
        <v>302 ,.., 1502</v>
      </c>
      <c r="B303" s="70"/>
      <c r="C303" s="54"/>
      <c r="D303" s="42"/>
      <c r="E303" s="42">
        <v>0</v>
      </c>
      <c r="F303" s="42">
        <f>D303*(($F$147)+1)+(IF(E303&lt;101,E303,IF(E303&lt;201,E303/2,IF(E303&lt;=301,E303/3,E303/4))))</f>
        <v>0</v>
      </c>
      <c r="G303" s="69" t="str">
        <f>G302</f>
        <v>3rd, 5th, 7th, 9th, 11th, 13th, 15th Floor</v>
      </c>
      <c r="H303" s="70"/>
      <c r="I303" s="36"/>
    </row>
    <row r="304" spans="1:14" s="37" customFormat="1" ht="15.75" hidden="1" customHeight="1" x14ac:dyDescent="0.3">
      <c r="A304" s="69" t="str">
        <f ca="1">(SUMPRODUCT(MID(0&amp;(LEFT(A303,SUM(LEN(A303)-LEN(SUBSTITUTE(A303,{"0","1","2"},""))))), LARGE(INDEX(ISNUMBER(--MID((LEFT(A303,SUM(LEN(A303)-LEN(SUBSTITUTE(A303,{"0","1","2"},""))))), ROW(INDIRECT("1:"&amp;LEN((LEFT(A303,SUM(LEN(A303)-LEN(SUBSTITUTE(A303,{"0","1","2"},"")))))))), 1)) * ROW(INDIRECT("1:"&amp;LEN((LEFT(A303,SUM(LEN(A303)-LEN(SUBSTITUTE(A303,{"0","1","2"},"")))))))), 0), ROW(INDIRECT("1:"&amp;LEN((LEFT(A303,SUM(LEN(A303)-LEN(SUBSTITUTE(A303,{"0","1","2"},"")))))))))+1, 1) * 10^ROW(INDIRECT("1:"&amp;LEN((LEFT(A303,SUM(LEN(A303)-LEN(SUBSTITUTE(A303,{"0","1","2"},""))))))))/10))*1+1&amp;""&amp;" ,.., "&amp;""&amp;(SUMPRODUCT(MID(0&amp;(--TRIM(RIGHT(SUBSTITUTE(LEFT(A303,_xlfn.AGGREGATE(16,6,FIND({0,1,2,3,4,5,6,7,8,9},A303,ROW(INDIRECT("1:"&amp;LEN(A303)))),1))," ",REPT(" ",LEN(A303))),LEN(A303)))), LARGE(INDEX(ISNUMBER(--MID((--TRIM(RIGHT(SUBSTITUTE(LEFT(A303,_xlfn.AGGREGATE(16,6,FIND({0,1,2,3,4,5,6,7,8,9},A303,ROW(INDIRECT("1:"&amp;LEN(A303)))),1))," ",REPT(" ",LEN(A303))),LEN(A303)))), ROW(INDIRECT("1:"&amp;LEN((--TRIM(RIGHT(SUBSTITUTE(LEFT(A303,_xlfn.AGGREGATE(16,6,FIND({0,1,2,3,4,5,6,7,8,9},A303,ROW(INDIRECT("1:"&amp;LEN(A303)))),1))," ",REPT(" ",LEN(A303))),LEN(A303))))))), 1)) * ROW(INDIRECT("1:"&amp;LEN((--TRIM(RIGHT(SUBSTITUTE(LEFT(A303,_xlfn.AGGREGATE(16,6,FIND({0,1,2,3,4,5,6,7,8,9},A303,ROW(INDIRECT("1:"&amp;LEN(A303)))),1))," ",REPT(" ",LEN(A303))),LEN(A303))))))), 0), ROW(INDIRECT("1:"&amp;LEN((--TRIM(RIGHT(SUBSTITUTE(LEFT(A303,_xlfn.AGGREGATE(16,6,FIND({0,1,2,3,4,5,6,7,8,9},A303,ROW(INDIRECT("1:"&amp;LEN(A303)))),1))," ",REPT(" ",LEN(A303))),LEN(A303))))))))+1, 1) * 10^ROW(INDIRECT("1:"&amp;LEN((--TRIM(RIGHT(SUBSTITUTE(LEFT(A303,_xlfn.AGGREGATE(16,6,FIND({0,1,2,3,4,5,6,7,8,9},A303,ROW(INDIRECT("1:"&amp;LEN(A303)))),1))," ",REPT(" ",LEN(A303))),LEN(A303)))))))/10))*1+1</f>
        <v>303 ,.., 1503</v>
      </c>
      <c r="B304" s="70"/>
      <c r="C304" s="54"/>
      <c r="D304" s="42"/>
      <c r="E304" s="42">
        <v>0</v>
      </c>
      <c r="F304" s="42">
        <f>D304*(($F$147)+1)+(IF(E304&lt;101,E304,IF(E304&lt;201,E304/2,IF(E304&lt;=301,E304/3,E304/4))))</f>
        <v>0</v>
      </c>
      <c r="G304" s="69" t="str">
        <f>G303</f>
        <v>3rd, 5th, 7th, 9th, 11th, 13th, 15th Floor</v>
      </c>
      <c r="H304" s="70"/>
      <c r="I304" s="36"/>
    </row>
    <row r="305" spans="1:9" s="37" customFormat="1" ht="15.75" hidden="1" customHeight="1" x14ac:dyDescent="0.3">
      <c r="A305" s="69" t="str">
        <f ca="1">(SUMPRODUCT(MID(0&amp;(LEFT(A304,SUM(LEN(A304)-LEN(SUBSTITUTE(A304,{"0","1","2"},""))))), LARGE(INDEX(ISNUMBER(--MID((LEFT(A304,SUM(LEN(A304)-LEN(SUBSTITUTE(A304,{"0","1","2"},""))))), ROW(INDIRECT("1:"&amp;LEN((LEFT(A304,SUM(LEN(A304)-LEN(SUBSTITUTE(A304,{"0","1","2"},"")))))))), 1)) * ROW(INDIRECT("1:"&amp;LEN((LEFT(A304,SUM(LEN(A304)-LEN(SUBSTITUTE(A304,{"0","1","2"},"")))))))), 0), ROW(INDIRECT("1:"&amp;LEN((LEFT(A304,SUM(LEN(A304)-LEN(SUBSTITUTE(A304,{"0","1","2"},"")))))))))+1, 1) * 10^ROW(INDIRECT("1:"&amp;LEN((LEFT(A304,SUM(LEN(A304)-LEN(SUBSTITUTE(A304,{"0","1","2"},""))))))))/10))*1+1&amp;""&amp;" ,.., "&amp;""&amp;(SUMPRODUCT(MID(0&amp;(--TRIM(RIGHT(SUBSTITUTE(LEFT(A304,_xlfn.AGGREGATE(16,6,FIND({0,1,2,3,4,5,6,7,8,9},A304,ROW(INDIRECT("1:"&amp;LEN(A304)))),1))," ",REPT(" ",LEN(A304))),LEN(A304)))), LARGE(INDEX(ISNUMBER(--MID((--TRIM(RIGHT(SUBSTITUTE(LEFT(A304,_xlfn.AGGREGATE(16,6,FIND({0,1,2,3,4,5,6,7,8,9},A304,ROW(INDIRECT("1:"&amp;LEN(A304)))),1))," ",REPT(" ",LEN(A304))),LEN(A304)))), ROW(INDIRECT("1:"&amp;LEN((--TRIM(RIGHT(SUBSTITUTE(LEFT(A304,_xlfn.AGGREGATE(16,6,FIND({0,1,2,3,4,5,6,7,8,9},A304,ROW(INDIRECT("1:"&amp;LEN(A304)))),1))," ",REPT(" ",LEN(A304))),LEN(A304))))))), 1)) * ROW(INDIRECT("1:"&amp;LEN((--TRIM(RIGHT(SUBSTITUTE(LEFT(A304,_xlfn.AGGREGATE(16,6,FIND({0,1,2,3,4,5,6,7,8,9},A304,ROW(INDIRECT("1:"&amp;LEN(A304)))),1))," ",REPT(" ",LEN(A304))),LEN(A304))))))), 0), ROW(INDIRECT("1:"&amp;LEN((--TRIM(RIGHT(SUBSTITUTE(LEFT(A304,_xlfn.AGGREGATE(16,6,FIND({0,1,2,3,4,5,6,7,8,9},A304,ROW(INDIRECT("1:"&amp;LEN(A304)))),1))," ",REPT(" ",LEN(A304))),LEN(A304))))))))+1, 1) * 10^ROW(INDIRECT("1:"&amp;LEN((--TRIM(RIGHT(SUBSTITUTE(LEFT(A304,_xlfn.AGGREGATE(16,6,FIND({0,1,2,3,4,5,6,7,8,9},A304,ROW(INDIRECT("1:"&amp;LEN(A304)))),1))," ",REPT(" ",LEN(A304))),LEN(A304)))))))/10))*1+1</f>
        <v>304 ,.., 1504</v>
      </c>
      <c r="B305" s="70"/>
      <c r="C305" s="54"/>
      <c r="D305" s="42"/>
      <c r="E305" s="42">
        <v>0</v>
      </c>
      <c r="F305" s="42">
        <f>D305*(($F$147)+1)+(IF(E305&lt;101,E305,IF(E305&lt;201,E305/2,IF(E305&lt;=301,E305/3,E305/4))))</f>
        <v>0</v>
      </c>
      <c r="G305" s="69" t="str">
        <f>G304</f>
        <v>3rd, 5th, 7th, 9th, 11th, 13th, 15th Floor</v>
      </c>
      <c r="H305" s="70"/>
      <c r="I305" s="36"/>
    </row>
    <row r="306" spans="1:9" s="37" customFormat="1" ht="15.75" hidden="1" customHeight="1" x14ac:dyDescent="0.3">
      <c r="A306" s="69" t="str">
        <f ca="1">(SUMPRODUCT(MID(0&amp;(LEFT(A305,SUM(LEN(A305)-LEN(SUBSTITUTE(A305,{"0","1","2"},""))))), LARGE(INDEX(ISNUMBER(--MID((LEFT(A305,SUM(LEN(A305)-LEN(SUBSTITUTE(A305,{"0","1","2"},""))))), ROW(INDIRECT("1:"&amp;LEN((LEFT(A305,SUM(LEN(A305)-LEN(SUBSTITUTE(A305,{"0","1","2"},"")))))))), 1)) * ROW(INDIRECT("1:"&amp;LEN((LEFT(A305,SUM(LEN(A305)-LEN(SUBSTITUTE(A305,{"0","1","2"},"")))))))), 0), ROW(INDIRECT("1:"&amp;LEN((LEFT(A305,SUM(LEN(A305)-LEN(SUBSTITUTE(A305,{"0","1","2"},"")))))))))+1, 1) * 10^ROW(INDIRECT("1:"&amp;LEN((LEFT(A305,SUM(LEN(A305)-LEN(SUBSTITUTE(A305,{"0","1","2"},""))))))))/10))*1+1&amp;""&amp;" ,.., "&amp;""&amp;(SUMPRODUCT(MID(0&amp;(--TRIM(RIGHT(SUBSTITUTE(LEFT(A305,_xlfn.AGGREGATE(16,6,FIND({0,1,2,3,4,5,6,7,8,9},A305,ROW(INDIRECT("1:"&amp;LEN(A305)))),1))," ",REPT(" ",LEN(A305))),LEN(A305)))), LARGE(INDEX(ISNUMBER(--MID((--TRIM(RIGHT(SUBSTITUTE(LEFT(A305,_xlfn.AGGREGATE(16,6,FIND({0,1,2,3,4,5,6,7,8,9},A305,ROW(INDIRECT("1:"&amp;LEN(A305)))),1))," ",REPT(" ",LEN(A305))),LEN(A305)))), ROW(INDIRECT("1:"&amp;LEN((--TRIM(RIGHT(SUBSTITUTE(LEFT(A305,_xlfn.AGGREGATE(16,6,FIND({0,1,2,3,4,5,6,7,8,9},A305,ROW(INDIRECT("1:"&amp;LEN(A305)))),1))," ",REPT(" ",LEN(A305))),LEN(A305))))))), 1)) * ROW(INDIRECT("1:"&amp;LEN((--TRIM(RIGHT(SUBSTITUTE(LEFT(A305,_xlfn.AGGREGATE(16,6,FIND({0,1,2,3,4,5,6,7,8,9},A305,ROW(INDIRECT("1:"&amp;LEN(A305)))),1))," ",REPT(" ",LEN(A305))),LEN(A305))))))), 0), ROW(INDIRECT("1:"&amp;LEN((--TRIM(RIGHT(SUBSTITUTE(LEFT(A305,_xlfn.AGGREGATE(16,6,FIND({0,1,2,3,4,5,6,7,8,9},A305,ROW(INDIRECT("1:"&amp;LEN(A305)))),1))," ",REPT(" ",LEN(A305))),LEN(A305))))))))+1, 1) * 10^ROW(INDIRECT("1:"&amp;LEN((--TRIM(RIGHT(SUBSTITUTE(LEFT(A305,_xlfn.AGGREGATE(16,6,FIND({0,1,2,3,4,5,6,7,8,9},A305,ROW(INDIRECT("1:"&amp;LEN(A305)))),1))," ",REPT(" ",LEN(A305))),LEN(A305)))))))/10))*1+1</f>
        <v>305 ,.., 1505</v>
      </c>
      <c r="B306" s="70"/>
      <c r="C306" s="54"/>
      <c r="D306" s="42"/>
      <c r="E306" s="42">
        <v>0</v>
      </c>
      <c r="F306" s="42">
        <f>D306*(($F$147)+1)+(IF(E306&lt;101,E306,IF(E306&lt;201,E306/2,IF(E306&lt;=301,E306/3,E306/4))))</f>
        <v>0</v>
      </c>
      <c r="G306" s="69" t="str">
        <f>G305</f>
        <v>3rd, 5th, 7th, 9th, 11th, 13th, 15th Floor</v>
      </c>
      <c r="H306" s="70"/>
      <c r="I306" s="36"/>
    </row>
    <row r="307" spans="1:9" s="37" customFormat="1" hidden="1" x14ac:dyDescent="0.3">
      <c r="A307" s="72" t="s">
        <v>153</v>
      </c>
      <c r="B307" s="73"/>
      <c r="C307" s="73"/>
      <c r="D307" s="73"/>
      <c r="E307" s="73"/>
      <c r="F307" s="73"/>
      <c r="G307" s="73"/>
      <c r="H307" s="74"/>
      <c r="I307" s="36"/>
    </row>
    <row r="308" spans="1:9" s="37" customFormat="1" hidden="1" x14ac:dyDescent="0.3">
      <c r="A308" s="69" t="str">
        <f ca="1">(SUMPRODUCT(MID(0&amp;(LEFT(A307,SUM(LEN(A307)-LEN(SUBSTITUTE(A307,{"0","1","2"},""))))), LARGE(INDEX(ISNUMBER(--MID((LEFT(A307,SUM(LEN(A307)-LEN(SUBSTITUTE(A307,{"0","1","2"},""))))), ROW(INDIRECT("1:"&amp;LEN((LEFT(A307,SUM(LEN(A307)-LEN(SUBSTITUTE(A307,{"0","1","2"},"")))))))), 1)) * ROW(INDIRECT("1:"&amp;LEN((LEFT(A307,SUM(LEN(A307)-LEN(SUBSTITUTE(A307,{"0","1","2"},"")))))))), 0), ROW(INDIRECT("1:"&amp;LEN((LEFT(A307,SUM(LEN(A307)-LEN(SUBSTITUTE(A307,{"0","1","2"},"")))))))))+1, 1) * 10^ROW(INDIRECT("1:"&amp;LEN((LEFT(A307,SUM(LEN(A307)-LEN(SUBSTITUTE(A307,{"0","1","2"},""))))))))/10))*100+1&amp;""&amp;" to "&amp;""&amp;(SUMPRODUCT(MID(0&amp;(--TRIM(RIGHT(SUBSTITUTE(LEFT(A307,_xlfn.AGGREGATE(16,6,FIND({0,1,2,3,4,5,6,7,8,9},A307,ROW(INDIRECT("1:"&amp;LEN(A307)))),1))," ",REPT(" ",LEN(A307))),LEN(A307)))), LARGE(INDEX(ISNUMBER(--MID((--TRIM(RIGHT(SUBSTITUTE(LEFT(A307,_xlfn.AGGREGATE(16,6,FIND({0,1,2,3,4,5,6,7,8,9},A307,ROW(INDIRECT("1:"&amp;LEN(A307)))),1))," ",REPT(" ",LEN(A307))),LEN(A307)))), ROW(INDIRECT("1:"&amp;LEN((--TRIM(RIGHT(SUBSTITUTE(LEFT(A307,_xlfn.AGGREGATE(16,6,FIND({0,1,2,3,4,5,6,7,8,9},A307,ROW(INDIRECT("1:"&amp;LEN(A307)))),1))," ",REPT(" ",LEN(A307))),LEN(A307))))))), 1)) * ROW(INDIRECT("1:"&amp;LEN((--TRIM(RIGHT(SUBSTITUTE(LEFT(A307,_xlfn.AGGREGATE(16,6,FIND({0,1,2,3,4,5,6,7,8,9},A307,ROW(INDIRECT("1:"&amp;LEN(A307)))),1))," ",REPT(" ",LEN(A307))),LEN(A307))))))), 0), ROW(INDIRECT("1:"&amp;LEN((--TRIM(RIGHT(SUBSTITUTE(LEFT(A307,_xlfn.AGGREGATE(16,6,FIND({0,1,2,3,4,5,6,7,8,9},A307,ROW(INDIRECT("1:"&amp;LEN(A307)))),1))," ",REPT(" ",LEN(A307))),LEN(A307))))))))+1, 1) * 10^ROW(INDIRECT("1:"&amp;LEN((--TRIM(RIGHT(SUBSTITUTE(LEFT(A307,_xlfn.AGGREGATE(16,6,FIND({0,1,2,3,4,5,6,7,8,9},A307,ROW(INDIRECT("1:"&amp;LEN(A307)))),1))," ",REPT(" ",LEN(A307))),LEN(A307)))))))/10))*100+1</f>
        <v>201 to 501</v>
      </c>
      <c r="B308" s="70"/>
      <c r="C308" s="54"/>
      <c r="D308" s="42"/>
      <c r="E308" s="42">
        <v>0</v>
      </c>
      <c r="F308" s="42">
        <f>D308*(($F$147)+1)+(IF(E308&lt;101,E308,IF(E308&lt;201,E308/2,IF(E308&lt;=301,E308/3,E308/4))))</f>
        <v>0</v>
      </c>
      <c r="G308" s="69" t="str">
        <f>A307</f>
        <v>2nd to 5th Floor</v>
      </c>
      <c r="H308" s="70"/>
      <c r="I308" s="36"/>
    </row>
    <row r="309" spans="1:9" s="37" customFormat="1" hidden="1" x14ac:dyDescent="0.3">
      <c r="A309" s="69" t="str">
        <f ca="1">(SUMPRODUCT(MID(0&amp;(LEFT(A308,SUM(LEN(A308)-LEN(SUBSTITUTE(A308,{"0","1","2"},""))))), LARGE(INDEX(ISNUMBER(--MID((LEFT(A308,SUM(LEN(A308)-LEN(SUBSTITUTE(A308,{"0","1","2"},""))))), ROW(INDIRECT("1:"&amp;LEN((LEFT(A308,SUM(LEN(A308)-LEN(SUBSTITUTE(A308,{"0","1","2"},"")))))))), 1)) * ROW(INDIRECT("1:"&amp;LEN((LEFT(A308,SUM(LEN(A308)-LEN(SUBSTITUTE(A308,{"0","1","2"},"")))))))), 0), ROW(INDIRECT("1:"&amp;LEN((LEFT(A308,SUM(LEN(A308)-LEN(SUBSTITUTE(A308,{"0","1","2"},"")))))))))+1, 1) * 10^ROW(INDIRECT("1:"&amp;LEN((LEFT(A308,SUM(LEN(A308)-LEN(SUBSTITUTE(A308,{"0","1","2"},""))))))))/10))*1+1&amp;""&amp;" to "&amp;""&amp;(SUMPRODUCT(MID(0&amp;(--TRIM(RIGHT(SUBSTITUTE(LEFT(A308,_xlfn.AGGREGATE(16,6,FIND({0,1,2,3,4,5,6,7,8,9},A308,ROW(INDIRECT("1:"&amp;LEN(A308)))),1))," ",REPT(" ",LEN(A308))),LEN(A308)))), LARGE(INDEX(ISNUMBER(--MID((--TRIM(RIGHT(SUBSTITUTE(LEFT(A308,_xlfn.AGGREGATE(16,6,FIND({0,1,2,3,4,5,6,7,8,9},A308,ROW(INDIRECT("1:"&amp;LEN(A308)))),1))," ",REPT(" ",LEN(A308))),LEN(A308)))), ROW(INDIRECT("1:"&amp;LEN((--TRIM(RIGHT(SUBSTITUTE(LEFT(A308,_xlfn.AGGREGATE(16,6,FIND({0,1,2,3,4,5,6,7,8,9},A308,ROW(INDIRECT("1:"&amp;LEN(A308)))),1))," ",REPT(" ",LEN(A308))),LEN(A308))))))), 1)) * ROW(INDIRECT("1:"&amp;LEN((--TRIM(RIGHT(SUBSTITUTE(LEFT(A308,_xlfn.AGGREGATE(16,6,FIND({0,1,2,3,4,5,6,7,8,9},A308,ROW(INDIRECT("1:"&amp;LEN(A308)))),1))," ",REPT(" ",LEN(A308))),LEN(A308))))))), 0), ROW(INDIRECT("1:"&amp;LEN((--TRIM(RIGHT(SUBSTITUTE(LEFT(A308,_xlfn.AGGREGATE(16,6,FIND({0,1,2,3,4,5,6,7,8,9},A308,ROW(INDIRECT("1:"&amp;LEN(A308)))),1))," ",REPT(" ",LEN(A308))),LEN(A308))))))))+1, 1) * 10^ROW(INDIRECT("1:"&amp;LEN((--TRIM(RIGHT(SUBSTITUTE(LEFT(A308,_xlfn.AGGREGATE(16,6,FIND({0,1,2,3,4,5,6,7,8,9},A308,ROW(INDIRECT("1:"&amp;LEN(A308)))),1))," ",REPT(" ",LEN(A308))),LEN(A308)))))))/10))*1+1</f>
        <v>202 to 502</v>
      </c>
      <c r="B309" s="70"/>
      <c r="C309" s="54"/>
      <c r="D309" s="42"/>
      <c r="E309" s="42">
        <v>0</v>
      </c>
      <c r="F309" s="42">
        <f>D309*(($F$147)+1)+(IF(E309&lt;101,E309,IF(E309&lt;201,E309/2,IF(E309&lt;=301,E309/3,E309/4))))</f>
        <v>0</v>
      </c>
      <c r="G309" s="69" t="str">
        <f>G308</f>
        <v>2nd to 5th Floor</v>
      </c>
      <c r="H309" s="70"/>
      <c r="I309" s="36"/>
    </row>
    <row r="310" spans="1:9" s="37" customFormat="1" hidden="1" x14ac:dyDescent="0.3">
      <c r="A310" s="69" t="str">
        <f ca="1">(SUMPRODUCT(MID(0&amp;(LEFT(A309,SUM(LEN(A309)-LEN(SUBSTITUTE(A309,{"0","1","2"},""))))), LARGE(INDEX(ISNUMBER(--MID((LEFT(A309,SUM(LEN(A309)-LEN(SUBSTITUTE(A309,{"0","1","2"},""))))), ROW(INDIRECT("1:"&amp;LEN((LEFT(A309,SUM(LEN(A309)-LEN(SUBSTITUTE(A309,{"0","1","2"},"")))))))), 1)) * ROW(INDIRECT("1:"&amp;LEN((LEFT(A309,SUM(LEN(A309)-LEN(SUBSTITUTE(A309,{"0","1","2"},"")))))))), 0), ROW(INDIRECT("1:"&amp;LEN((LEFT(A309,SUM(LEN(A309)-LEN(SUBSTITUTE(A309,{"0","1","2"},"")))))))))+1, 1) * 10^ROW(INDIRECT("1:"&amp;LEN((LEFT(A309,SUM(LEN(A309)-LEN(SUBSTITUTE(A309,{"0","1","2"},""))))))))/10))*1+1&amp;""&amp;" to "&amp;""&amp;(SUMPRODUCT(MID(0&amp;(--TRIM(RIGHT(SUBSTITUTE(LEFT(A309,_xlfn.AGGREGATE(16,6,FIND({0,1,2,3,4,5,6,7,8,9},A309,ROW(INDIRECT("1:"&amp;LEN(A309)))),1))," ",REPT(" ",LEN(A309))),LEN(A309)))), LARGE(INDEX(ISNUMBER(--MID((--TRIM(RIGHT(SUBSTITUTE(LEFT(A309,_xlfn.AGGREGATE(16,6,FIND({0,1,2,3,4,5,6,7,8,9},A309,ROW(INDIRECT("1:"&amp;LEN(A309)))),1))," ",REPT(" ",LEN(A309))),LEN(A309)))), ROW(INDIRECT("1:"&amp;LEN((--TRIM(RIGHT(SUBSTITUTE(LEFT(A309,_xlfn.AGGREGATE(16,6,FIND({0,1,2,3,4,5,6,7,8,9},A309,ROW(INDIRECT("1:"&amp;LEN(A309)))),1))," ",REPT(" ",LEN(A309))),LEN(A309))))))), 1)) * ROW(INDIRECT("1:"&amp;LEN((--TRIM(RIGHT(SUBSTITUTE(LEFT(A309,_xlfn.AGGREGATE(16,6,FIND({0,1,2,3,4,5,6,7,8,9},A309,ROW(INDIRECT("1:"&amp;LEN(A309)))),1))," ",REPT(" ",LEN(A309))),LEN(A309))))))), 0), ROW(INDIRECT("1:"&amp;LEN((--TRIM(RIGHT(SUBSTITUTE(LEFT(A309,_xlfn.AGGREGATE(16,6,FIND({0,1,2,3,4,5,6,7,8,9},A309,ROW(INDIRECT("1:"&amp;LEN(A309)))),1))," ",REPT(" ",LEN(A309))),LEN(A309))))))))+1, 1) * 10^ROW(INDIRECT("1:"&amp;LEN((--TRIM(RIGHT(SUBSTITUTE(LEFT(A309,_xlfn.AGGREGATE(16,6,FIND({0,1,2,3,4,5,6,7,8,9},A309,ROW(INDIRECT("1:"&amp;LEN(A309)))),1))," ",REPT(" ",LEN(A309))),LEN(A309)))))))/10))*1+1</f>
        <v>203 to 503</v>
      </c>
      <c r="B310" s="70"/>
      <c r="C310" s="54"/>
      <c r="D310" s="42"/>
      <c r="E310" s="42">
        <v>0</v>
      </c>
      <c r="F310" s="42">
        <f>D310*(($F$147)+1)+(IF(E310&lt;101,E310,IF(E310&lt;201,E310/2,IF(E310&lt;=301,E310/3,E310/4))))</f>
        <v>0</v>
      </c>
      <c r="G310" s="69" t="str">
        <f>G309</f>
        <v>2nd to 5th Floor</v>
      </c>
      <c r="H310" s="70"/>
      <c r="I310" s="36"/>
    </row>
    <row r="311" spans="1:9" s="37" customFormat="1" hidden="1" x14ac:dyDescent="0.3">
      <c r="A311" s="69" t="str">
        <f ca="1">(SUMPRODUCT(MID(0&amp;(LEFT(A310,SUM(LEN(A310)-LEN(SUBSTITUTE(A310,{"0","1","2"},""))))), LARGE(INDEX(ISNUMBER(--MID((LEFT(A310,SUM(LEN(A310)-LEN(SUBSTITUTE(A310,{"0","1","2"},""))))), ROW(INDIRECT("1:"&amp;LEN((LEFT(A310,SUM(LEN(A310)-LEN(SUBSTITUTE(A310,{"0","1","2"},"")))))))), 1)) * ROW(INDIRECT("1:"&amp;LEN((LEFT(A310,SUM(LEN(A310)-LEN(SUBSTITUTE(A310,{"0","1","2"},"")))))))), 0), ROW(INDIRECT("1:"&amp;LEN((LEFT(A310,SUM(LEN(A310)-LEN(SUBSTITUTE(A310,{"0","1","2"},"")))))))))+1, 1) * 10^ROW(INDIRECT("1:"&amp;LEN((LEFT(A310,SUM(LEN(A310)-LEN(SUBSTITUTE(A310,{"0","1","2"},""))))))))/10))*1+1&amp;""&amp;" to "&amp;""&amp;(SUMPRODUCT(MID(0&amp;(--TRIM(RIGHT(SUBSTITUTE(LEFT(A310,_xlfn.AGGREGATE(16,6,FIND({0,1,2,3,4,5,6,7,8,9},A310,ROW(INDIRECT("1:"&amp;LEN(A310)))),1))," ",REPT(" ",LEN(A310))),LEN(A310)))), LARGE(INDEX(ISNUMBER(--MID((--TRIM(RIGHT(SUBSTITUTE(LEFT(A310,_xlfn.AGGREGATE(16,6,FIND({0,1,2,3,4,5,6,7,8,9},A310,ROW(INDIRECT("1:"&amp;LEN(A310)))),1))," ",REPT(" ",LEN(A310))),LEN(A310)))), ROW(INDIRECT("1:"&amp;LEN((--TRIM(RIGHT(SUBSTITUTE(LEFT(A310,_xlfn.AGGREGATE(16,6,FIND({0,1,2,3,4,5,6,7,8,9},A310,ROW(INDIRECT("1:"&amp;LEN(A310)))),1))," ",REPT(" ",LEN(A310))),LEN(A310))))))), 1)) * ROW(INDIRECT("1:"&amp;LEN((--TRIM(RIGHT(SUBSTITUTE(LEFT(A310,_xlfn.AGGREGATE(16,6,FIND({0,1,2,3,4,5,6,7,8,9},A310,ROW(INDIRECT("1:"&amp;LEN(A310)))),1))," ",REPT(" ",LEN(A310))),LEN(A310))))))), 0), ROW(INDIRECT("1:"&amp;LEN((--TRIM(RIGHT(SUBSTITUTE(LEFT(A310,_xlfn.AGGREGATE(16,6,FIND({0,1,2,3,4,5,6,7,8,9},A310,ROW(INDIRECT("1:"&amp;LEN(A310)))),1))," ",REPT(" ",LEN(A310))),LEN(A310))))))))+1, 1) * 10^ROW(INDIRECT("1:"&amp;LEN((--TRIM(RIGHT(SUBSTITUTE(LEFT(A310,_xlfn.AGGREGATE(16,6,FIND({0,1,2,3,4,5,6,7,8,9},A310,ROW(INDIRECT("1:"&amp;LEN(A310)))),1))," ",REPT(" ",LEN(A310))),LEN(A310)))))))/10))*1+1</f>
        <v>204 to 504</v>
      </c>
      <c r="B311" s="70"/>
      <c r="C311" s="54"/>
      <c r="D311" s="42"/>
      <c r="E311" s="42">
        <v>0</v>
      </c>
      <c r="F311" s="42">
        <f>D311*(($F$147)+1)+(IF(E311&lt;101,E311,IF(E311&lt;201,E311/2,IF(E311&lt;=301,E311/3,E311/4))))</f>
        <v>0</v>
      </c>
      <c r="G311" s="69" t="str">
        <f>G310</f>
        <v>2nd to 5th Floor</v>
      </c>
      <c r="H311" s="70"/>
      <c r="I311" s="36"/>
    </row>
    <row r="312" spans="1:9" s="37" customFormat="1" hidden="1" x14ac:dyDescent="0.3">
      <c r="A312" s="69" t="str">
        <f ca="1">(SUMPRODUCT(MID(0&amp;(LEFT(A311,SUM(LEN(A311)-LEN(SUBSTITUTE(A311,{"0","1","2"},""))))), LARGE(INDEX(ISNUMBER(--MID((LEFT(A311,SUM(LEN(A311)-LEN(SUBSTITUTE(A311,{"0","1","2"},""))))), ROW(INDIRECT("1:"&amp;LEN((LEFT(A311,SUM(LEN(A311)-LEN(SUBSTITUTE(A311,{"0","1","2"},"")))))))), 1)) * ROW(INDIRECT("1:"&amp;LEN((LEFT(A311,SUM(LEN(A311)-LEN(SUBSTITUTE(A311,{"0","1","2"},"")))))))), 0), ROW(INDIRECT("1:"&amp;LEN((LEFT(A311,SUM(LEN(A311)-LEN(SUBSTITUTE(A311,{"0","1","2"},"")))))))))+1, 1) * 10^ROW(INDIRECT("1:"&amp;LEN((LEFT(A311,SUM(LEN(A311)-LEN(SUBSTITUTE(A311,{"0","1","2"},""))))))))/10))*1+1&amp;""&amp;" to "&amp;""&amp;(SUMPRODUCT(MID(0&amp;(--TRIM(RIGHT(SUBSTITUTE(LEFT(A311,_xlfn.AGGREGATE(16,6,FIND({0,1,2,3,4,5,6,7,8,9},A311,ROW(INDIRECT("1:"&amp;LEN(A311)))),1))," ",REPT(" ",LEN(A311))),LEN(A311)))), LARGE(INDEX(ISNUMBER(--MID((--TRIM(RIGHT(SUBSTITUTE(LEFT(A311,_xlfn.AGGREGATE(16,6,FIND({0,1,2,3,4,5,6,7,8,9},A311,ROW(INDIRECT("1:"&amp;LEN(A311)))),1))," ",REPT(" ",LEN(A311))),LEN(A311)))), ROW(INDIRECT("1:"&amp;LEN((--TRIM(RIGHT(SUBSTITUTE(LEFT(A311,_xlfn.AGGREGATE(16,6,FIND({0,1,2,3,4,5,6,7,8,9},A311,ROW(INDIRECT("1:"&amp;LEN(A311)))),1))," ",REPT(" ",LEN(A311))),LEN(A311))))))), 1)) * ROW(INDIRECT("1:"&amp;LEN((--TRIM(RIGHT(SUBSTITUTE(LEFT(A311,_xlfn.AGGREGATE(16,6,FIND({0,1,2,3,4,5,6,7,8,9},A311,ROW(INDIRECT("1:"&amp;LEN(A311)))),1))," ",REPT(" ",LEN(A311))),LEN(A311))))))), 0), ROW(INDIRECT("1:"&amp;LEN((--TRIM(RIGHT(SUBSTITUTE(LEFT(A311,_xlfn.AGGREGATE(16,6,FIND({0,1,2,3,4,5,6,7,8,9},A311,ROW(INDIRECT("1:"&amp;LEN(A311)))),1))," ",REPT(" ",LEN(A311))),LEN(A311))))))))+1, 1) * 10^ROW(INDIRECT("1:"&amp;LEN((--TRIM(RIGHT(SUBSTITUTE(LEFT(A311,_xlfn.AGGREGATE(16,6,FIND({0,1,2,3,4,5,6,7,8,9},A311,ROW(INDIRECT("1:"&amp;LEN(A311)))),1))," ",REPT(" ",LEN(A311))),LEN(A311)))))))/10))*1+1</f>
        <v>205 to 505</v>
      </c>
      <c r="B312" s="70"/>
      <c r="C312" s="54"/>
      <c r="D312" s="42"/>
      <c r="E312" s="42">
        <v>0</v>
      </c>
      <c r="F312" s="42">
        <f>D312*(($F$147)+1)+(IF(E312&lt;101,E312,IF(E312&lt;201,E312/2,IF(E312&lt;=301,E312/3,E312/4))))</f>
        <v>0</v>
      </c>
      <c r="G312" s="69" t="str">
        <f>G311</f>
        <v>2nd to 5th Floor</v>
      </c>
      <c r="H312" s="70"/>
      <c r="I312" s="36"/>
    </row>
    <row r="313" spans="1:9" s="37" customFormat="1" hidden="1" x14ac:dyDescent="0.3">
      <c r="A313" s="72" t="s">
        <v>154</v>
      </c>
      <c r="B313" s="73"/>
      <c r="C313" s="73"/>
      <c r="D313" s="73"/>
      <c r="E313" s="73"/>
      <c r="F313" s="73"/>
      <c r="G313" s="73"/>
      <c r="H313" s="74"/>
      <c r="I313" s="36"/>
    </row>
    <row r="314" spans="1:9" s="37" customFormat="1" hidden="1" x14ac:dyDescent="0.3">
      <c r="A314" s="69" t="str">
        <f ca="1">(SUMPRODUCT(MID(0&amp;(LEFT(A313,SUM(LEN(A313)-LEN(SUBSTITUTE(A313,{"0","1","2"},""))))), LARGE(INDEX(ISNUMBER(--MID((LEFT(A313,SUM(LEN(A313)-LEN(SUBSTITUTE(A313,{"0","1","2"},""))))), ROW(INDIRECT("1:"&amp;LEN((LEFT(A313,SUM(LEN(A313)-LEN(SUBSTITUTE(A313,{"0","1","2"},"")))))))), 1)) * ROW(INDIRECT("1:"&amp;LEN((LEFT(A313,SUM(LEN(A313)-LEN(SUBSTITUTE(A313,{"0","1","2"},"")))))))), 0), ROW(INDIRECT("1:"&amp;LEN((LEFT(A313,SUM(LEN(A313)-LEN(SUBSTITUTE(A313,{"0","1","2"},"")))))))))+1, 1) * 10^ROW(INDIRECT("1:"&amp;LEN((LEFT(A313,SUM(LEN(A313)-LEN(SUBSTITUTE(A313,{"0","1","2"},""))))))))/10))*100+1&amp;""&amp;" &amp; "&amp;""&amp;(SUMPRODUCT(MID(0&amp;(--TRIM(RIGHT(SUBSTITUTE(LEFT(A313,_xlfn.AGGREGATE(16,6,FIND({0,1,2,3,4,5,6,7,8,9},A313,ROW(INDIRECT("1:"&amp;LEN(A313)))),1))," ",REPT(" ",LEN(A313))),LEN(A313)))), LARGE(INDEX(ISNUMBER(--MID((--TRIM(RIGHT(SUBSTITUTE(LEFT(A313,_xlfn.AGGREGATE(16,6,FIND({0,1,2,3,4,5,6,7,8,9},A313,ROW(INDIRECT("1:"&amp;LEN(A313)))),1))," ",REPT(" ",LEN(A313))),LEN(A313)))), ROW(INDIRECT("1:"&amp;LEN((--TRIM(RIGHT(SUBSTITUTE(LEFT(A313,_xlfn.AGGREGATE(16,6,FIND({0,1,2,3,4,5,6,7,8,9},A313,ROW(INDIRECT("1:"&amp;LEN(A313)))),1))," ",REPT(" ",LEN(A313))),LEN(A313))))))), 1)) * ROW(INDIRECT("1:"&amp;LEN((--TRIM(RIGHT(SUBSTITUTE(LEFT(A313,_xlfn.AGGREGATE(16,6,FIND({0,1,2,3,4,5,6,7,8,9},A313,ROW(INDIRECT("1:"&amp;LEN(A313)))),1))," ",REPT(" ",LEN(A313))),LEN(A313))))))), 0), ROW(INDIRECT("1:"&amp;LEN((--TRIM(RIGHT(SUBSTITUTE(LEFT(A313,_xlfn.AGGREGATE(16,6,FIND({0,1,2,3,4,5,6,7,8,9},A313,ROW(INDIRECT("1:"&amp;LEN(A313)))),1))," ",REPT(" ",LEN(A313))),LEN(A313))))))))+1, 1) * 10^ROW(INDIRECT("1:"&amp;LEN((--TRIM(RIGHT(SUBSTITUTE(LEFT(A313,_xlfn.AGGREGATE(16,6,FIND({0,1,2,3,4,5,6,7,8,9},A313,ROW(INDIRECT("1:"&amp;LEN(A313)))),1))," ",REPT(" ",LEN(A313))),LEN(A313)))))))/10))*100+1</f>
        <v>201 &amp; 501</v>
      </c>
      <c r="B314" s="70"/>
      <c r="C314" s="54"/>
      <c r="D314" s="42"/>
      <c r="E314" s="42">
        <v>0</v>
      </c>
      <c r="F314" s="42">
        <f>D314*(($F$147)+1)+(IF(E314&lt;101,E314,IF(E314&lt;201,E314/2,IF(E314&lt;=301,E314/3,E314/4))))</f>
        <v>0</v>
      </c>
      <c r="G314" s="69" t="str">
        <f>A313</f>
        <v>2nd &amp; 5th Floor</v>
      </c>
      <c r="H314" s="70"/>
      <c r="I314" s="36"/>
    </row>
    <row r="315" spans="1:9" s="37" customFormat="1" hidden="1" x14ac:dyDescent="0.3">
      <c r="A315" s="69" t="str">
        <f ca="1">(SUMPRODUCT(MID(0&amp;(LEFT(A314,SUM(LEN(A314)-LEN(SUBSTITUTE(A314,{"0","1","2"},""))))), LARGE(INDEX(ISNUMBER(--MID((LEFT(A314,SUM(LEN(A314)-LEN(SUBSTITUTE(A314,{"0","1","2"},""))))), ROW(INDIRECT("1:"&amp;LEN((LEFT(A314,SUM(LEN(A314)-LEN(SUBSTITUTE(A314,{"0","1","2"},"")))))))), 1)) * ROW(INDIRECT("1:"&amp;LEN((LEFT(A314,SUM(LEN(A314)-LEN(SUBSTITUTE(A314,{"0","1","2"},"")))))))), 0), ROW(INDIRECT("1:"&amp;LEN((LEFT(A314,SUM(LEN(A314)-LEN(SUBSTITUTE(A314,{"0","1","2"},"")))))))))+1, 1) * 10^ROW(INDIRECT("1:"&amp;LEN((LEFT(A314,SUM(LEN(A314)-LEN(SUBSTITUTE(A314,{"0","1","2"},""))))))))/10))*1+1&amp;""&amp;" &amp; "&amp;""&amp;(SUMPRODUCT(MID(0&amp;(--TRIM(RIGHT(SUBSTITUTE(LEFT(A314,_xlfn.AGGREGATE(16,6,FIND({0,1,2,3,4,5,6,7,8,9},A314,ROW(INDIRECT("1:"&amp;LEN(A314)))),1))," ",REPT(" ",LEN(A314))),LEN(A314)))), LARGE(INDEX(ISNUMBER(--MID((--TRIM(RIGHT(SUBSTITUTE(LEFT(A314,_xlfn.AGGREGATE(16,6,FIND({0,1,2,3,4,5,6,7,8,9},A314,ROW(INDIRECT("1:"&amp;LEN(A314)))),1))," ",REPT(" ",LEN(A314))),LEN(A314)))), ROW(INDIRECT("1:"&amp;LEN((--TRIM(RIGHT(SUBSTITUTE(LEFT(A314,_xlfn.AGGREGATE(16,6,FIND({0,1,2,3,4,5,6,7,8,9},A314,ROW(INDIRECT("1:"&amp;LEN(A314)))),1))," ",REPT(" ",LEN(A314))),LEN(A314))))))), 1)) * ROW(INDIRECT("1:"&amp;LEN((--TRIM(RIGHT(SUBSTITUTE(LEFT(A314,_xlfn.AGGREGATE(16,6,FIND({0,1,2,3,4,5,6,7,8,9},A314,ROW(INDIRECT("1:"&amp;LEN(A314)))),1))," ",REPT(" ",LEN(A314))),LEN(A314))))))), 0), ROW(INDIRECT("1:"&amp;LEN((--TRIM(RIGHT(SUBSTITUTE(LEFT(A314,_xlfn.AGGREGATE(16,6,FIND({0,1,2,3,4,5,6,7,8,9},A314,ROW(INDIRECT("1:"&amp;LEN(A314)))),1))," ",REPT(" ",LEN(A314))),LEN(A314))))))))+1, 1) * 10^ROW(INDIRECT("1:"&amp;LEN((--TRIM(RIGHT(SUBSTITUTE(LEFT(A314,_xlfn.AGGREGATE(16,6,FIND({0,1,2,3,4,5,6,7,8,9},A314,ROW(INDIRECT("1:"&amp;LEN(A314)))),1))," ",REPT(" ",LEN(A314))),LEN(A314)))))))/10))*1+1</f>
        <v>202 &amp; 502</v>
      </c>
      <c r="B315" s="70"/>
      <c r="C315" s="54"/>
      <c r="D315" s="42"/>
      <c r="E315" s="42">
        <v>0</v>
      </c>
      <c r="F315" s="42">
        <f>D315*(($F$147)+1)+(IF(E315&lt;101,E315,IF(E315&lt;201,E315/2,IF(E315&lt;=301,E315/3,E315/4))))</f>
        <v>0</v>
      </c>
      <c r="G315" s="69" t="str">
        <f t="shared" ref="G315:G318" si="51">G314</f>
        <v>2nd &amp; 5th Floor</v>
      </c>
      <c r="H315" s="70"/>
      <c r="I315" s="36"/>
    </row>
    <row r="316" spans="1:9" s="37" customFormat="1" hidden="1" x14ac:dyDescent="0.3">
      <c r="A316" s="69" t="str">
        <f ca="1">(SUMPRODUCT(MID(0&amp;(LEFT(A315,SUM(LEN(A315)-LEN(SUBSTITUTE(A315,{"0","1","2"},""))))), LARGE(INDEX(ISNUMBER(--MID((LEFT(A315,SUM(LEN(A315)-LEN(SUBSTITUTE(A315,{"0","1","2"},""))))), ROW(INDIRECT("1:"&amp;LEN((LEFT(A315,SUM(LEN(A315)-LEN(SUBSTITUTE(A315,{"0","1","2"},"")))))))), 1)) * ROW(INDIRECT("1:"&amp;LEN((LEFT(A315,SUM(LEN(A315)-LEN(SUBSTITUTE(A315,{"0","1","2"},"")))))))), 0), ROW(INDIRECT("1:"&amp;LEN((LEFT(A315,SUM(LEN(A315)-LEN(SUBSTITUTE(A315,{"0","1","2"},"")))))))))+1, 1) * 10^ROW(INDIRECT("1:"&amp;LEN((LEFT(A315,SUM(LEN(A315)-LEN(SUBSTITUTE(A315,{"0","1","2"},""))))))))/10))*1+1&amp;""&amp;" &amp; "&amp;""&amp;(SUMPRODUCT(MID(0&amp;(--TRIM(RIGHT(SUBSTITUTE(LEFT(A315,_xlfn.AGGREGATE(16,6,FIND({0,1,2,3,4,5,6,7,8,9},A315,ROW(INDIRECT("1:"&amp;LEN(A315)))),1))," ",REPT(" ",LEN(A315))),LEN(A315)))), LARGE(INDEX(ISNUMBER(--MID((--TRIM(RIGHT(SUBSTITUTE(LEFT(A315,_xlfn.AGGREGATE(16,6,FIND({0,1,2,3,4,5,6,7,8,9},A315,ROW(INDIRECT("1:"&amp;LEN(A315)))),1))," ",REPT(" ",LEN(A315))),LEN(A315)))), ROW(INDIRECT("1:"&amp;LEN((--TRIM(RIGHT(SUBSTITUTE(LEFT(A315,_xlfn.AGGREGATE(16,6,FIND({0,1,2,3,4,5,6,7,8,9},A315,ROW(INDIRECT("1:"&amp;LEN(A315)))),1))," ",REPT(" ",LEN(A315))),LEN(A315))))))), 1)) * ROW(INDIRECT("1:"&amp;LEN((--TRIM(RIGHT(SUBSTITUTE(LEFT(A315,_xlfn.AGGREGATE(16,6,FIND({0,1,2,3,4,5,6,7,8,9},A315,ROW(INDIRECT("1:"&amp;LEN(A315)))),1))," ",REPT(" ",LEN(A315))),LEN(A315))))))), 0), ROW(INDIRECT("1:"&amp;LEN((--TRIM(RIGHT(SUBSTITUTE(LEFT(A315,_xlfn.AGGREGATE(16,6,FIND({0,1,2,3,4,5,6,7,8,9},A315,ROW(INDIRECT("1:"&amp;LEN(A315)))),1))," ",REPT(" ",LEN(A315))),LEN(A315))))))))+1, 1) * 10^ROW(INDIRECT("1:"&amp;LEN((--TRIM(RIGHT(SUBSTITUTE(LEFT(A315,_xlfn.AGGREGATE(16,6,FIND({0,1,2,3,4,5,6,7,8,9},A315,ROW(INDIRECT("1:"&amp;LEN(A315)))),1))," ",REPT(" ",LEN(A315))),LEN(A315)))))))/10))*1+1</f>
        <v>203 &amp; 503</v>
      </c>
      <c r="B316" s="70"/>
      <c r="C316" s="54"/>
      <c r="D316" s="42"/>
      <c r="E316" s="42">
        <v>0</v>
      </c>
      <c r="F316" s="42">
        <f>D316*(($F$147)+1)+(IF(E316&lt;101,E316,IF(E316&lt;201,E316/2,IF(E316&lt;=301,E316/3,E316/4))))</f>
        <v>0</v>
      </c>
      <c r="G316" s="69" t="str">
        <f t="shared" si="51"/>
        <v>2nd &amp; 5th Floor</v>
      </c>
      <c r="H316" s="70"/>
      <c r="I316" s="36"/>
    </row>
    <row r="317" spans="1:9" s="37" customFormat="1" hidden="1" x14ac:dyDescent="0.3">
      <c r="A317" s="69" t="str">
        <f ca="1">(SUMPRODUCT(MID(0&amp;(LEFT(A316,SUM(LEN(A316)-LEN(SUBSTITUTE(A316,{"0","1","2"},""))))), LARGE(INDEX(ISNUMBER(--MID((LEFT(A316,SUM(LEN(A316)-LEN(SUBSTITUTE(A316,{"0","1","2"},""))))), ROW(INDIRECT("1:"&amp;LEN((LEFT(A316,SUM(LEN(A316)-LEN(SUBSTITUTE(A316,{"0","1","2"},"")))))))), 1)) * ROW(INDIRECT("1:"&amp;LEN((LEFT(A316,SUM(LEN(A316)-LEN(SUBSTITUTE(A316,{"0","1","2"},"")))))))), 0), ROW(INDIRECT("1:"&amp;LEN((LEFT(A316,SUM(LEN(A316)-LEN(SUBSTITUTE(A316,{"0","1","2"},"")))))))))+1, 1) * 10^ROW(INDIRECT("1:"&amp;LEN((LEFT(A316,SUM(LEN(A316)-LEN(SUBSTITUTE(A316,{"0","1","2"},""))))))))/10))*1+1&amp;""&amp;" &amp; "&amp;""&amp;(SUMPRODUCT(MID(0&amp;(--TRIM(RIGHT(SUBSTITUTE(LEFT(A316,_xlfn.AGGREGATE(16,6,FIND({0,1,2,3,4,5,6,7,8,9},A316,ROW(INDIRECT("1:"&amp;LEN(A316)))),1))," ",REPT(" ",LEN(A316))),LEN(A316)))), LARGE(INDEX(ISNUMBER(--MID((--TRIM(RIGHT(SUBSTITUTE(LEFT(A316,_xlfn.AGGREGATE(16,6,FIND({0,1,2,3,4,5,6,7,8,9},A316,ROW(INDIRECT("1:"&amp;LEN(A316)))),1))," ",REPT(" ",LEN(A316))),LEN(A316)))), ROW(INDIRECT("1:"&amp;LEN((--TRIM(RIGHT(SUBSTITUTE(LEFT(A316,_xlfn.AGGREGATE(16,6,FIND({0,1,2,3,4,5,6,7,8,9},A316,ROW(INDIRECT("1:"&amp;LEN(A316)))),1))," ",REPT(" ",LEN(A316))),LEN(A316))))))), 1)) * ROW(INDIRECT("1:"&amp;LEN((--TRIM(RIGHT(SUBSTITUTE(LEFT(A316,_xlfn.AGGREGATE(16,6,FIND({0,1,2,3,4,5,6,7,8,9},A316,ROW(INDIRECT("1:"&amp;LEN(A316)))),1))," ",REPT(" ",LEN(A316))),LEN(A316))))))), 0), ROW(INDIRECT("1:"&amp;LEN((--TRIM(RIGHT(SUBSTITUTE(LEFT(A316,_xlfn.AGGREGATE(16,6,FIND({0,1,2,3,4,5,6,7,8,9},A316,ROW(INDIRECT("1:"&amp;LEN(A316)))),1))," ",REPT(" ",LEN(A316))),LEN(A316))))))))+1, 1) * 10^ROW(INDIRECT("1:"&amp;LEN((--TRIM(RIGHT(SUBSTITUTE(LEFT(A316,_xlfn.AGGREGATE(16,6,FIND({0,1,2,3,4,5,6,7,8,9},A316,ROW(INDIRECT("1:"&amp;LEN(A316)))),1))," ",REPT(" ",LEN(A316))),LEN(A316)))))))/10))*1+1</f>
        <v>204 &amp; 504</v>
      </c>
      <c r="B317" s="70"/>
      <c r="C317" s="54"/>
      <c r="D317" s="42"/>
      <c r="E317" s="42">
        <v>0</v>
      </c>
      <c r="F317" s="42">
        <f>D317*(($F$147)+1)+(IF(E317&lt;101,E317,IF(E317&lt;201,E317/2,IF(E317&lt;=301,E317/3,E317/4))))</f>
        <v>0</v>
      </c>
      <c r="G317" s="69" t="str">
        <f t="shared" si="51"/>
        <v>2nd &amp; 5th Floor</v>
      </c>
      <c r="H317" s="70"/>
      <c r="I317" s="36"/>
    </row>
    <row r="318" spans="1:9" s="37" customFormat="1" hidden="1" x14ac:dyDescent="0.3">
      <c r="A318" s="69" t="str">
        <f ca="1">(SUMPRODUCT(MID(0&amp;(LEFT(A317,SUM(LEN(A317)-LEN(SUBSTITUTE(A317,{"0","1","2"},""))))), LARGE(INDEX(ISNUMBER(--MID((LEFT(A317,SUM(LEN(A317)-LEN(SUBSTITUTE(A317,{"0","1","2"},""))))), ROW(INDIRECT("1:"&amp;LEN((LEFT(A317,SUM(LEN(A317)-LEN(SUBSTITUTE(A317,{"0","1","2"},"")))))))), 1)) * ROW(INDIRECT("1:"&amp;LEN((LEFT(A317,SUM(LEN(A317)-LEN(SUBSTITUTE(A317,{"0","1","2"},"")))))))), 0), ROW(INDIRECT("1:"&amp;LEN((LEFT(A317,SUM(LEN(A317)-LEN(SUBSTITUTE(A317,{"0","1","2"},"")))))))))+1, 1) * 10^ROW(INDIRECT("1:"&amp;LEN((LEFT(A317,SUM(LEN(A317)-LEN(SUBSTITUTE(A317,{"0","1","2"},""))))))))/10))*1+1&amp;""&amp;" &amp; "&amp;""&amp;(SUMPRODUCT(MID(0&amp;(--TRIM(RIGHT(SUBSTITUTE(LEFT(A317,_xlfn.AGGREGATE(16,6,FIND({0,1,2,3,4,5,6,7,8,9},A317,ROW(INDIRECT("1:"&amp;LEN(A317)))),1))," ",REPT(" ",LEN(A317))),LEN(A317)))), LARGE(INDEX(ISNUMBER(--MID((--TRIM(RIGHT(SUBSTITUTE(LEFT(A317,_xlfn.AGGREGATE(16,6,FIND({0,1,2,3,4,5,6,7,8,9},A317,ROW(INDIRECT("1:"&amp;LEN(A317)))),1))," ",REPT(" ",LEN(A317))),LEN(A317)))), ROW(INDIRECT("1:"&amp;LEN((--TRIM(RIGHT(SUBSTITUTE(LEFT(A317,_xlfn.AGGREGATE(16,6,FIND({0,1,2,3,4,5,6,7,8,9},A317,ROW(INDIRECT("1:"&amp;LEN(A317)))),1))," ",REPT(" ",LEN(A317))),LEN(A317))))))), 1)) * ROW(INDIRECT("1:"&amp;LEN((--TRIM(RIGHT(SUBSTITUTE(LEFT(A317,_xlfn.AGGREGATE(16,6,FIND({0,1,2,3,4,5,6,7,8,9},A317,ROW(INDIRECT("1:"&amp;LEN(A317)))),1))," ",REPT(" ",LEN(A317))),LEN(A317))))))), 0), ROW(INDIRECT("1:"&amp;LEN((--TRIM(RIGHT(SUBSTITUTE(LEFT(A317,_xlfn.AGGREGATE(16,6,FIND({0,1,2,3,4,5,6,7,8,9},A317,ROW(INDIRECT("1:"&amp;LEN(A317)))),1))," ",REPT(" ",LEN(A317))),LEN(A317))))))))+1, 1) * 10^ROW(INDIRECT("1:"&amp;LEN((--TRIM(RIGHT(SUBSTITUTE(LEFT(A317,_xlfn.AGGREGATE(16,6,FIND({0,1,2,3,4,5,6,7,8,9},A317,ROW(INDIRECT("1:"&amp;LEN(A317)))),1))," ",REPT(" ",LEN(A317))),LEN(A317)))))))/10))*1+1</f>
        <v>205 &amp; 505</v>
      </c>
      <c r="B318" s="70"/>
      <c r="C318" s="54"/>
      <c r="D318" s="42"/>
      <c r="E318" s="42">
        <v>0</v>
      </c>
      <c r="F318" s="42">
        <f>D318*(($F$147)+1)+(IF(E318&lt;101,E318,IF(E318&lt;201,E318/2,IF(E318&lt;=301,E318/3,E318/4))))</f>
        <v>0</v>
      </c>
      <c r="G318" s="69" t="str">
        <f t="shared" si="51"/>
        <v>2nd &amp; 5th Floor</v>
      </c>
      <c r="H318" s="70"/>
      <c r="I318" s="36"/>
    </row>
    <row r="319" spans="1:9" s="35" customFormat="1" x14ac:dyDescent="0.3">
      <c r="A319" s="208" t="s">
        <v>70</v>
      </c>
      <c r="B319" s="208"/>
      <c r="C319" s="208"/>
      <c r="D319" s="208"/>
      <c r="E319" s="208"/>
      <c r="F319" s="208"/>
      <c r="G319" s="208"/>
      <c r="H319" s="208"/>
    </row>
    <row r="320" spans="1:9" s="35" customFormat="1" ht="36" customHeight="1" x14ac:dyDescent="0.3">
      <c r="A320" s="47" t="s">
        <v>163</v>
      </c>
      <c r="B320" s="146" t="s">
        <v>238</v>
      </c>
      <c r="C320" s="147"/>
      <c r="D320" s="147"/>
      <c r="E320" s="147"/>
      <c r="F320" s="147"/>
      <c r="G320" s="147"/>
      <c r="H320" s="148"/>
    </row>
    <row r="321" spans="1:8" s="35" customFormat="1" x14ac:dyDescent="0.3">
      <c r="A321" s="47" t="s">
        <v>163</v>
      </c>
      <c r="B321" s="146" t="str">
        <f>(IF(F146="Saleable area Loading :","We have considered Saleable area of Flats as per our Calculation.","We considered Saleable area of Flat as per Builder area Sheet."))</f>
        <v>We have considered Saleable area of Flats as per our Calculation.</v>
      </c>
      <c r="C321" s="147"/>
      <c r="D321" s="147"/>
      <c r="E321" s="147"/>
      <c r="F321" s="147"/>
      <c r="G321" s="147"/>
      <c r="H321" s="148"/>
    </row>
    <row r="322" spans="1:8" s="35" customFormat="1" hidden="1" x14ac:dyDescent="0.3">
      <c r="A322" s="47" t="s">
        <v>163</v>
      </c>
      <c r="B322" s="146" t="str">
        <f>(IF(F138="Saleable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22" s="147"/>
      <c r="D322" s="147"/>
      <c r="E322" s="147"/>
      <c r="F322" s="147"/>
      <c r="G322" s="147"/>
      <c r="H322" s="148"/>
    </row>
    <row r="323" spans="1:8" s="35" customFormat="1" x14ac:dyDescent="0.3">
      <c r="A323" s="47" t="s">
        <v>163</v>
      </c>
      <c r="B323" s="63" t="s">
        <v>130</v>
      </c>
      <c r="C323" s="64"/>
      <c r="D323" s="64"/>
      <c r="E323" s="64"/>
      <c r="F323" s="64"/>
      <c r="G323" s="64"/>
      <c r="H323" s="65"/>
    </row>
    <row r="324" spans="1:8" s="35" customFormat="1" x14ac:dyDescent="0.3">
      <c r="A324" s="47" t="s">
        <v>163</v>
      </c>
      <c r="B324" s="63" t="s">
        <v>209</v>
      </c>
      <c r="C324" s="64"/>
      <c r="D324" s="64"/>
      <c r="E324" s="64"/>
      <c r="F324" s="64"/>
      <c r="G324" s="64"/>
      <c r="H324" s="65"/>
    </row>
    <row r="325" spans="1:8" s="35" customFormat="1" x14ac:dyDescent="0.3">
      <c r="A325" s="47" t="s">
        <v>163</v>
      </c>
      <c r="B325" s="63" t="s">
        <v>162</v>
      </c>
      <c r="C325" s="64"/>
      <c r="D325" s="64"/>
      <c r="E325" s="64"/>
      <c r="F325" s="64"/>
      <c r="G325" s="64"/>
      <c r="H325" s="65"/>
    </row>
    <row r="326" spans="1:8" s="35" customFormat="1" x14ac:dyDescent="0.3">
      <c r="A326" s="47" t="s">
        <v>163</v>
      </c>
      <c r="B326" s="63" t="s">
        <v>131</v>
      </c>
      <c r="C326" s="64"/>
      <c r="D326" s="64"/>
      <c r="E326" s="64"/>
      <c r="F326" s="64"/>
      <c r="G326" s="64"/>
      <c r="H326" s="65"/>
    </row>
    <row r="327" spans="1:8" s="35" customFormat="1" ht="34.5" customHeight="1" x14ac:dyDescent="0.3">
      <c r="A327" s="47" t="s">
        <v>163</v>
      </c>
      <c r="B327" s="63" t="s">
        <v>164</v>
      </c>
      <c r="C327" s="64"/>
      <c r="D327" s="64"/>
      <c r="E327" s="64"/>
      <c r="F327" s="64"/>
      <c r="G327" s="64"/>
      <c r="H327" s="65"/>
    </row>
    <row r="328" spans="1:8" s="35" customFormat="1" x14ac:dyDescent="0.3">
      <c r="A328" s="47" t="s">
        <v>163</v>
      </c>
      <c r="B328" s="63" t="s">
        <v>132</v>
      </c>
      <c r="C328" s="64"/>
      <c r="D328" s="64"/>
      <c r="E328" s="64"/>
      <c r="F328" s="64"/>
      <c r="G328" s="64"/>
      <c r="H328" s="65"/>
    </row>
    <row r="329" spans="1:8" s="35" customFormat="1" x14ac:dyDescent="0.3">
      <c r="A329" s="47" t="s">
        <v>163</v>
      </c>
      <c r="B329" s="63" t="s">
        <v>235</v>
      </c>
      <c r="C329" s="64"/>
      <c r="D329" s="64"/>
      <c r="E329" s="64"/>
      <c r="F329" s="64"/>
      <c r="G329" s="64"/>
      <c r="H329" s="65"/>
    </row>
    <row r="330" spans="1:8" s="35" customFormat="1" ht="32.25" customHeight="1" x14ac:dyDescent="0.3">
      <c r="A330" s="47" t="s">
        <v>163</v>
      </c>
      <c r="B330" s="63" t="s">
        <v>236</v>
      </c>
      <c r="C330" s="64"/>
      <c r="D330" s="64"/>
      <c r="E330" s="64"/>
      <c r="F330" s="64"/>
      <c r="G330" s="64"/>
      <c r="H330" s="65"/>
    </row>
    <row r="331" spans="1:8" x14ac:dyDescent="0.3">
      <c r="A331" s="128" t="s">
        <v>63</v>
      </c>
      <c r="B331" s="128"/>
      <c r="C331" s="128"/>
      <c r="D331" s="128"/>
      <c r="E331" s="128"/>
      <c r="F331" s="128"/>
      <c r="G331" s="128"/>
      <c r="H331" s="128"/>
    </row>
    <row r="332" spans="1:8" x14ac:dyDescent="0.3">
      <c r="A332" s="85" t="s">
        <v>64</v>
      </c>
      <c r="B332" s="85"/>
      <c r="C332" s="85"/>
      <c r="D332" s="85"/>
      <c r="E332" s="85"/>
      <c r="F332" s="85"/>
      <c r="G332" s="85"/>
      <c r="H332" s="85"/>
    </row>
    <row r="333" spans="1:8" ht="15.75" customHeight="1" x14ac:dyDescent="0.3">
      <c r="A333" s="86" t="s">
        <v>65</v>
      </c>
      <c r="B333" s="86"/>
      <c r="C333" s="86"/>
      <c r="D333" s="86"/>
      <c r="E333" s="86"/>
      <c r="F333" s="86"/>
      <c r="G333" s="86"/>
      <c r="H333" s="86"/>
    </row>
    <row r="334" spans="1:8" x14ac:dyDescent="0.3">
      <c r="A334" s="85" t="s">
        <v>66</v>
      </c>
      <c r="B334" s="85"/>
      <c r="C334" s="85"/>
      <c r="D334" s="85"/>
      <c r="E334" s="85"/>
      <c r="F334" s="85"/>
      <c r="G334" s="85"/>
      <c r="H334" s="85"/>
    </row>
    <row r="335" spans="1:8" x14ac:dyDescent="0.3">
      <c r="A335" s="85" t="s">
        <v>67</v>
      </c>
      <c r="B335" s="85"/>
      <c r="C335" s="85"/>
      <c r="D335" s="85"/>
      <c r="E335" s="85"/>
      <c r="F335" s="85"/>
      <c r="G335" s="85"/>
      <c r="H335" s="85"/>
    </row>
    <row r="336" spans="1:8" x14ac:dyDescent="0.3">
      <c r="A336" s="85" t="s">
        <v>133</v>
      </c>
      <c r="B336" s="85"/>
      <c r="C336" s="85"/>
      <c r="D336" s="85"/>
      <c r="E336" s="85"/>
      <c r="F336" s="85"/>
      <c r="G336" s="85"/>
      <c r="H336" s="85"/>
    </row>
    <row r="337" spans="1:8" x14ac:dyDescent="0.3">
      <c r="A337" s="129" t="s">
        <v>134</v>
      </c>
      <c r="B337" s="129"/>
      <c r="C337" s="129"/>
      <c r="D337" s="129"/>
      <c r="E337" s="129"/>
      <c r="F337" s="129"/>
      <c r="G337" s="129"/>
      <c r="H337" s="129"/>
    </row>
    <row r="338" spans="1:8" x14ac:dyDescent="0.3">
      <c r="A338" s="155" t="s">
        <v>80</v>
      </c>
      <c r="B338" s="155"/>
      <c r="C338" s="155" t="s">
        <v>232</v>
      </c>
      <c r="D338" s="155"/>
      <c r="E338" s="155" t="s">
        <v>110</v>
      </c>
      <c r="F338" s="155"/>
      <c r="G338" s="155" t="s">
        <v>237</v>
      </c>
      <c r="H338" s="155"/>
    </row>
    <row r="339" spans="1:8" x14ac:dyDescent="0.3">
      <c r="A339" s="154" t="s">
        <v>82</v>
      </c>
      <c r="B339" s="154"/>
      <c r="C339" s="154"/>
      <c r="D339" s="154"/>
      <c r="E339" s="154"/>
      <c r="F339" s="154"/>
      <c r="G339" s="154"/>
      <c r="H339" s="154"/>
    </row>
    <row r="340" spans="1:8" x14ac:dyDescent="0.3">
      <c r="A340" s="154"/>
      <c r="B340" s="154"/>
      <c r="C340" s="154"/>
      <c r="D340" s="154"/>
      <c r="E340" s="154"/>
      <c r="F340" s="154"/>
      <c r="G340" s="154"/>
      <c r="H340" s="154"/>
    </row>
    <row r="341" spans="1:8" x14ac:dyDescent="0.3">
      <c r="A341" s="154"/>
      <c r="B341" s="154"/>
      <c r="C341" s="154"/>
      <c r="D341" s="154"/>
      <c r="E341" s="154"/>
      <c r="F341" s="154"/>
      <c r="G341" s="154"/>
      <c r="H341" s="154"/>
    </row>
    <row r="342" spans="1:8" x14ac:dyDescent="0.3">
      <c r="A342" s="154"/>
      <c r="B342" s="154"/>
      <c r="C342" s="154"/>
      <c r="D342" s="154"/>
      <c r="E342" s="154"/>
      <c r="F342" s="154"/>
      <c r="G342" s="154"/>
      <c r="H342" s="154"/>
    </row>
    <row r="343" spans="1:8" x14ac:dyDescent="0.3">
      <c r="A343" s="38" t="s">
        <v>68</v>
      </c>
      <c r="B343" s="39"/>
      <c r="C343" s="39"/>
      <c r="D343" s="38" t="str">
        <f>E8</f>
        <v>HOH Kalyan</v>
      </c>
      <c r="F343" s="39"/>
      <c r="G343" s="39"/>
      <c r="H343" s="39"/>
    </row>
    <row r="344" spans="1:8" x14ac:dyDescent="0.3">
      <c r="A344" s="39"/>
      <c r="B344" s="39"/>
      <c r="C344" s="39"/>
      <c r="D344" s="39"/>
      <c r="E344" s="39"/>
      <c r="F344" s="39"/>
      <c r="G344" s="39"/>
      <c r="H344" s="39"/>
    </row>
    <row r="345" spans="1:8" x14ac:dyDescent="0.3">
      <c r="A345" s="39"/>
      <c r="B345" s="39"/>
      <c r="C345" s="39"/>
      <c r="D345" s="39"/>
      <c r="E345" s="39"/>
      <c r="F345" s="39"/>
      <c r="G345" s="39"/>
      <c r="H345" s="39"/>
    </row>
    <row r="346" spans="1:8" ht="15" customHeight="1" x14ac:dyDescent="0.3"/>
    <row r="383" spans="1:1" x14ac:dyDescent="0.3">
      <c r="A383" s="41" t="s">
        <v>178</v>
      </c>
    </row>
    <row r="417" spans="1:1" x14ac:dyDescent="0.3">
      <c r="A417" s="41" t="s">
        <v>69</v>
      </c>
    </row>
  </sheetData>
  <mergeCells count="659">
    <mergeCell ref="B329:H329"/>
    <mergeCell ref="G236:H243"/>
    <mergeCell ref="G245:H252"/>
    <mergeCell ref="G254:H261"/>
    <mergeCell ref="G263:H270"/>
    <mergeCell ref="G272:H279"/>
    <mergeCell ref="A115:E115"/>
    <mergeCell ref="A134:B134"/>
    <mergeCell ref="E134:F134"/>
    <mergeCell ref="G130:H130"/>
    <mergeCell ref="C125:D125"/>
    <mergeCell ref="E135:F135"/>
    <mergeCell ref="G135:H135"/>
    <mergeCell ref="A159:H159"/>
    <mergeCell ref="A160:B160"/>
    <mergeCell ref="A184:B184"/>
    <mergeCell ref="A186:H186"/>
    <mergeCell ref="A187:B187"/>
    <mergeCell ref="A195:H195"/>
    <mergeCell ref="A196:B196"/>
    <mergeCell ref="A204:H204"/>
    <mergeCell ref="A215:H215"/>
    <mergeCell ref="A177:H177"/>
    <mergeCell ref="A178:B178"/>
    <mergeCell ref="A39:B39"/>
    <mergeCell ref="C39:H39"/>
    <mergeCell ref="B327:H327"/>
    <mergeCell ref="A48:B48"/>
    <mergeCell ref="C48:H48"/>
    <mergeCell ref="B325:H325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G303:H303"/>
    <mergeCell ref="G299:H299"/>
    <mergeCell ref="G296:H296"/>
    <mergeCell ref="D138:D139"/>
    <mergeCell ref="A114:E114"/>
    <mergeCell ref="A141:B141"/>
    <mergeCell ref="A142:B142"/>
    <mergeCell ref="A143:B143"/>
    <mergeCell ref="A84:B84"/>
    <mergeCell ref="C84:H84"/>
    <mergeCell ref="A85:B85"/>
    <mergeCell ref="E85:F85"/>
    <mergeCell ref="G85:H85"/>
    <mergeCell ref="A116:E116"/>
    <mergeCell ref="F116:H116"/>
    <mergeCell ref="A117:E117"/>
    <mergeCell ref="A119:E119"/>
    <mergeCell ref="F113:H113"/>
    <mergeCell ref="A118:E118"/>
    <mergeCell ref="A103:B103"/>
    <mergeCell ref="A104:B104"/>
    <mergeCell ref="A105:B105"/>
    <mergeCell ref="A107:B107"/>
    <mergeCell ref="A108:B108"/>
    <mergeCell ref="A113:E113"/>
    <mergeCell ref="A110:E110"/>
    <mergeCell ref="F114:H114"/>
    <mergeCell ref="G99:H99"/>
    <mergeCell ref="A98:B98"/>
    <mergeCell ref="C98:H98"/>
    <mergeCell ref="A99:B99"/>
    <mergeCell ref="E99:F99"/>
    <mergeCell ref="F118:H118"/>
    <mergeCell ref="B323:H323"/>
    <mergeCell ref="B324:H324"/>
    <mergeCell ref="G314:H314"/>
    <mergeCell ref="G312:H312"/>
    <mergeCell ref="A319:H319"/>
    <mergeCell ref="A311:B311"/>
    <mergeCell ref="A312:B312"/>
    <mergeCell ref="G310:H310"/>
    <mergeCell ref="C138:C139"/>
    <mergeCell ref="B146:B147"/>
    <mergeCell ref="A307:H307"/>
    <mergeCell ref="A301:H301"/>
    <mergeCell ref="A294:B294"/>
    <mergeCell ref="G304:H304"/>
    <mergeCell ref="G302:H302"/>
    <mergeCell ref="A291:B291"/>
    <mergeCell ref="A144:B144"/>
    <mergeCell ref="A309:B309"/>
    <mergeCell ref="A310:B310"/>
    <mergeCell ref="A299:B299"/>
    <mergeCell ref="G300:H300"/>
    <mergeCell ref="G306:H306"/>
    <mergeCell ref="G305:H305"/>
    <mergeCell ref="G308:H308"/>
    <mergeCell ref="L294:M294"/>
    <mergeCell ref="G291:H291"/>
    <mergeCell ref="L291:M291"/>
    <mergeCell ref="A292:B292"/>
    <mergeCell ref="G292:H292"/>
    <mergeCell ref="L292:M292"/>
    <mergeCell ref="A293:B293"/>
    <mergeCell ref="G293:H293"/>
    <mergeCell ref="L293:M293"/>
    <mergeCell ref="A306:B306"/>
    <mergeCell ref="E100:F109"/>
    <mergeCell ref="F110:H110"/>
    <mergeCell ref="F115:H115"/>
    <mergeCell ref="L295:M295"/>
    <mergeCell ref="A145:H145"/>
    <mergeCell ref="A146:A147"/>
    <mergeCell ref="A300:B300"/>
    <mergeCell ref="A297:B297"/>
    <mergeCell ref="A298:B298"/>
    <mergeCell ref="A121:E121"/>
    <mergeCell ref="G134:H134"/>
    <mergeCell ref="C127:D127"/>
    <mergeCell ref="E127:F127"/>
    <mergeCell ref="G127:H127"/>
    <mergeCell ref="A128:B128"/>
    <mergeCell ref="C128:D128"/>
    <mergeCell ref="E128:F128"/>
    <mergeCell ref="G128:H128"/>
    <mergeCell ref="A132:B132"/>
    <mergeCell ref="C132:D132"/>
    <mergeCell ref="E132:F132"/>
    <mergeCell ref="G132:H132"/>
    <mergeCell ref="C130:D130"/>
    <mergeCell ref="A38:B38"/>
    <mergeCell ref="C38:H38"/>
    <mergeCell ref="A45:D45"/>
    <mergeCell ref="L144:M144"/>
    <mergeCell ref="L143:M143"/>
    <mergeCell ref="L142:M142"/>
    <mergeCell ref="L141:M141"/>
    <mergeCell ref="A79:B79"/>
    <mergeCell ref="C131:D131"/>
    <mergeCell ref="E131:F131"/>
    <mergeCell ref="G131:H131"/>
    <mergeCell ref="F117:H117"/>
    <mergeCell ref="A111:E111"/>
    <mergeCell ref="A96:B96"/>
    <mergeCell ref="C96:H96"/>
    <mergeCell ref="A140:H140"/>
    <mergeCell ref="E138:E139"/>
    <mergeCell ref="G138:H139"/>
    <mergeCell ref="A86:B86"/>
    <mergeCell ref="E86:F95"/>
    <mergeCell ref="A93:B93"/>
    <mergeCell ref="A94:B94"/>
    <mergeCell ref="A95:B95"/>
    <mergeCell ref="A100:B100"/>
    <mergeCell ref="A37:H37"/>
    <mergeCell ref="A36:B36"/>
    <mergeCell ref="C36:E36"/>
    <mergeCell ref="G100:H109"/>
    <mergeCell ref="A41:D41"/>
    <mergeCell ref="E41:H41"/>
    <mergeCell ref="F33:H33"/>
    <mergeCell ref="F34:H34"/>
    <mergeCell ref="A40:H40"/>
    <mergeCell ref="A61:C61"/>
    <mergeCell ref="A62:C62"/>
    <mergeCell ref="D61:H61"/>
    <mergeCell ref="E72:F81"/>
    <mergeCell ref="G72:H81"/>
    <mergeCell ref="A80:B80"/>
    <mergeCell ref="A81:B81"/>
    <mergeCell ref="D62:H62"/>
    <mergeCell ref="A43:D43"/>
    <mergeCell ref="E43:H43"/>
    <mergeCell ref="E44:H44"/>
    <mergeCell ref="E45:H45"/>
    <mergeCell ref="E46:H46"/>
    <mergeCell ref="A44:D4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1:D11"/>
    <mergeCell ref="E11:H11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5:D5"/>
    <mergeCell ref="E5:H5"/>
    <mergeCell ref="A6:D6"/>
    <mergeCell ref="E6:H6"/>
    <mergeCell ref="A7:D7"/>
    <mergeCell ref="E7:H7"/>
    <mergeCell ref="A46:D46"/>
    <mergeCell ref="A47:H47"/>
    <mergeCell ref="D57:H57"/>
    <mergeCell ref="A57:C57"/>
    <mergeCell ref="G50:H50"/>
    <mergeCell ref="A51:B52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A339:H342"/>
    <mergeCell ref="A338:B338"/>
    <mergeCell ref="E338:F338"/>
    <mergeCell ref="C338:D338"/>
    <mergeCell ref="G338:H338"/>
    <mergeCell ref="A124:H124"/>
    <mergeCell ref="A122:E122"/>
    <mergeCell ref="F122:H122"/>
    <mergeCell ref="A123:E123"/>
    <mergeCell ref="F123:H123"/>
    <mergeCell ref="A295:H295"/>
    <mergeCell ref="A131:B131"/>
    <mergeCell ref="A304:B304"/>
    <mergeCell ref="A126:B126"/>
    <mergeCell ref="A334:H334"/>
    <mergeCell ref="A129:H129"/>
    <mergeCell ref="A337:H337"/>
    <mergeCell ref="A335:H335"/>
    <mergeCell ref="A331:H331"/>
    <mergeCell ref="A332:H332"/>
    <mergeCell ref="E130:F130"/>
    <mergeCell ref="B330:H330"/>
    <mergeCell ref="G143:H143"/>
    <mergeCell ref="G141:H141"/>
    <mergeCell ref="G142:H142"/>
    <mergeCell ref="G144:H144"/>
    <mergeCell ref="B326:H326"/>
    <mergeCell ref="B322:H322"/>
    <mergeCell ref="A316:B316"/>
    <mergeCell ref="G316:H316"/>
    <mergeCell ref="G315:H315"/>
    <mergeCell ref="A313:H313"/>
    <mergeCell ref="A314:B314"/>
    <mergeCell ref="A315:B315"/>
    <mergeCell ref="A318:B318"/>
    <mergeCell ref="G318:H318"/>
    <mergeCell ref="A317:B317"/>
    <mergeCell ref="A136:H136"/>
    <mergeCell ref="G298:H298"/>
    <mergeCell ref="G317:H317"/>
    <mergeCell ref="B320:H320"/>
    <mergeCell ref="B321:H321"/>
    <mergeCell ref="A308:B308"/>
    <mergeCell ref="G309:H309"/>
    <mergeCell ref="F121:H121"/>
    <mergeCell ref="F119:H119"/>
    <mergeCell ref="A303:B303"/>
    <mergeCell ref="A137:H137"/>
    <mergeCell ref="G125:H125"/>
    <mergeCell ref="A120:E120"/>
    <mergeCell ref="C126:D126"/>
    <mergeCell ref="E126:F126"/>
    <mergeCell ref="G297:H297"/>
    <mergeCell ref="B138:B139"/>
    <mergeCell ref="A138:A139"/>
    <mergeCell ref="C146:C147"/>
    <mergeCell ref="C134:D134"/>
    <mergeCell ref="A290:H290"/>
    <mergeCell ref="A305:B305"/>
    <mergeCell ref="A302:B302"/>
    <mergeCell ref="G294:H294"/>
    <mergeCell ref="F120:H120"/>
    <mergeCell ref="E125:F125"/>
    <mergeCell ref="A125:B125"/>
    <mergeCell ref="A127:B127"/>
    <mergeCell ref="A135:B135"/>
    <mergeCell ref="C135:D135"/>
    <mergeCell ref="A49:B49"/>
    <mergeCell ref="C49:E49"/>
    <mergeCell ref="G49:H49"/>
    <mergeCell ref="G51:H51"/>
    <mergeCell ref="D55:H55"/>
    <mergeCell ref="C51:E51"/>
    <mergeCell ref="A58:C60"/>
    <mergeCell ref="D58:H58"/>
    <mergeCell ref="D59:H59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D60:H60"/>
    <mergeCell ref="C52:H52"/>
    <mergeCell ref="E42:H42"/>
    <mergeCell ref="A42:D42"/>
    <mergeCell ref="A336:H336"/>
    <mergeCell ref="A333:H333"/>
    <mergeCell ref="G311:H311"/>
    <mergeCell ref="A296:B296"/>
    <mergeCell ref="A130:B130"/>
    <mergeCell ref="D146:D147"/>
    <mergeCell ref="E146:E147"/>
    <mergeCell ref="G146:H147"/>
    <mergeCell ref="A90:B90"/>
    <mergeCell ref="A91:B91"/>
    <mergeCell ref="A92:B92"/>
    <mergeCell ref="A82:B82"/>
    <mergeCell ref="C82:H82"/>
    <mergeCell ref="A106:B106"/>
    <mergeCell ref="A77:B77"/>
    <mergeCell ref="F111:H111"/>
    <mergeCell ref="G126:H126"/>
    <mergeCell ref="A109:B109"/>
    <mergeCell ref="A148:H148"/>
    <mergeCell ref="A149:H149"/>
    <mergeCell ref="A150:H150"/>
    <mergeCell ref="A151:B151"/>
    <mergeCell ref="L151:M151"/>
    <mergeCell ref="A152:B152"/>
    <mergeCell ref="L152:M152"/>
    <mergeCell ref="C152:F152"/>
    <mergeCell ref="G151:H158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L160:M160"/>
    <mergeCell ref="A161:B161"/>
    <mergeCell ref="L161:M161"/>
    <mergeCell ref="A162:B162"/>
    <mergeCell ref="L162:M162"/>
    <mergeCell ref="G160:H167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A167:B167"/>
    <mergeCell ref="L167:M167"/>
    <mergeCell ref="A168:H168"/>
    <mergeCell ref="A169:B169"/>
    <mergeCell ref="L169:M169"/>
    <mergeCell ref="A170:B170"/>
    <mergeCell ref="C170:F170"/>
    <mergeCell ref="L170:M170"/>
    <mergeCell ref="A182:B182"/>
    <mergeCell ref="L182:M182"/>
    <mergeCell ref="A183:B183"/>
    <mergeCell ref="L183:M183"/>
    <mergeCell ref="A179:B179"/>
    <mergeCell ref="L179:M179"/>
    <mergeCell ref="A180:B180"/>
    <mergeCell ref="A171:B171"/>
    <mergeCell ref="L171:M171"/>
    <mergeCell ref="A172:B172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L180:M180"/>
    <mergeCell ref="A181:B181"/>
    <mergeCell ref="L181:M181"/>
    <mergeCell ref="L178:M178"/>
    <mergeCell ref="G169:H176"/>
    <mergeCell ref="G178:H185"/>
    <mergeCell ref="A185:B185"/>
    <mergeCell ref="L185:M185"/>
    <mergeCell ref="L184:M184"/>
    <mergeCell ref="L187:M187"/>
    <mergeCell ref="A188:B188"/>
    <mergeCell ref="L188:M188"/>
    <mergeCell ref="A189:B189"/>
    <mergeCell ref="L189:M189"/>
    <mergeCell ref="G187:H194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L196:M196"/>
    <mergeCell ref="G196:H203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A201:B201"/>
    <mergeCell ref="L201:M201"/>
    <mergeCell ref="A202:B202"/>
    <mergeCell ref="L202:M202"/>
    <mergeCell ref="A203:B203"/>
    <mergeCell ref="L203:M203"/>
    <mergeCell ref="L216:M216"/>
    <mergeCell ref="A217:B217"/>
    <mergeCell ref="L217:M217"/>
    <mergeCell ref="A205:H205"/>
    <mergeCell ref="A206:H206"/>
    <mergeCell ref="A207:B207"/>
    <mergeCell ref="L207:M207"/>
    <mergeCell ref="A208:B208"/>
    <mergeCell ref="L208:M208"/>
    <mergeCell ref="A209:B209"/>
    <mergeCell ref="L209:M209"/>
    <mergeCell ref="A210:B210"/>
    <mergeCell ref="A214:B214"/>
    <mergeCell ref="L214:M214"/>
    <mergeCell ref="C208:F208"/>
    <mergeCell ref="G207:H214"/>
    <mergeCell ref="G216:H223"/>
    <mergeCell ref="A216:B216"/>
    <mergeCell ref="A224:H224"/>
    <mergeCell ref="A225:B225"/>
    <mergeCell ref="L225:M225"/>
    <mergeCell ref="A226:B226"/>
    <mergeCell ref="L226:M226"/>
    <mergeCell ref="L210:M210"/>
    <mergeCell ref="A211:B211"/>
    <mergeCell ref="L211:M211"/>
    <mergeCell ref="A212:B212"/>
    <mergeCell ref="L212:M212"/>
    <mergeCell ref="A213:B213"/>
    <mergeCell ref="L213:M213"/>
    <mergeCell ref="A221:B221"/>
    <mergeCell ref="L221:M221"/>
    <mergeCell ref="A222:B222"/>
    <mergeCell ref="L222:M222"/>
    <mergeCell ref="A223:B223"/>
    <mergeCell ref="L223:M223"/>
    <mergeCell ref="A218:B218"/>
    <mergeCell ref="L218:M218"/>
    <mergeCell ref="A219:B219"/>
    <mergeCell ref="L219:M219"/>
    <mergeCell ref="A220:B220"/>
    <mergeCell ref="L220:M220"/>
    <mergeCell ref="A227:B227"/>
    <mergeCell ref="L227:M227"/>
    <mergeCell ref="A228:B228"/>
    <mergeCell ref="L228:M228"/>
    <mergeCell ref="A229:B229"/>
    <mergeCell ref="L229:M229"/>
    <mergeCell ref="A230:B230"/>
    <mergeCell ref="L230:M230"/>
    <mergeCell ref="A231:B231"/>
    <mergeCell ref="L231:M231"/>
    <mergeCell ref="G225:H232"/>
    <mergeCell ref="A232:B232"/>
    <mergeCell ref="L232:M232"/>
    <mergeCell ref="A289:H289"/>
    <mergeCell ref="A233:H233"/>
    <mergeCell ref="A234:H234"/>
    <mergeCell ref="A235:H235"/>
    <mergeCell ref="A236:B236"/>
    <mergeCell ref="L236:M236"/>
    <mergeCell ref="A237:B237"/>
    <mergeCell ref="C237:F237"/>
    <mergeCell ref="L237:M237"/>
    <mergeCell ref="A238:B238"/>
    <mergeCell ref="L238:M238"/>
    <mergeCell ref="A239:B239"/>
    <mergeCell ref="L239:M239"/>
    <mergeCell ref="A240:B240"/>
    <mergeCell ref="L240:M240"/>
    <mergeCell ref="A241:B241"/>
    <mergeCell ref="L241:M241"/>
    <mergeCell ref="A242:B242"/>
    <mergeCell ref="L242:M242"/>
    <mergeCell ref="A243:B243"/>
    <mergeCell ref="L243:M243"/>
    <mergeCell ref="A244:H244"/>
    <mergeCell ref="A245:B245"/>
    <mergeCell ref="L245:M245"/>
    <mergeCell ref="A246:B246"/>
    <mergeCell ref="L246:M246"/>
    <mergeCell ref="A247:B247"/>
    <mergeCell ref="L247:M247"/>
    <mergeCell ref="A248:B248"/>
    <mergeCell ref="L248:M248"/>
    <mergeCell ref="A249:B249"/>
    <mergeCell ref="L249:M249"/>
    <mergeCell ref="A250:B250"/>
    <mergeCell ref="L250:M250"/>
    <mergeCell ref="A251:B251"/>
    <mergeCell ref="L251:M251"/>
    <mergeCell ref="A252:B252"/>
    <mergeCell ref="L252:M252"/>
    <mergeCell ref="A253:H253"/>
    <mergeCell ref="A254:B254"/>
    <mergeCell ref="L254:M254"/>
    <mergeCell ref="A255:B255"/>
    <mergeCell ref="C255:F255"/>
    <mergeCell ref="L255:M255"/>
    <mergeCell ref="A256:B256"/>
    <mergeCell ref="L256:M256"/>
    <mergeCell ref="A257:B257"/>
    <mergeCell ref="L257:M257"/>
    <mergeCell ref="A258:B258"/>
    <mergeCell ref="L258:M258"/>
    <mergeCell ref="A259:B259"/>
    <mergeCell ref="L259:M259"/>
    <mergeCell ref="A260:B260"/>
    <mergeCell ref="L260:M260"/>
    <mergeCell ref="A261:B261"/>
    <mergeCell ref="L261:M261"/>
    <mergeCell ref="A262:H262"/>
    <mergeCell ref="A263:B263"/>
    <mergeCell ref="L263:M263"/>
    <mergeCell ref="A264:B264"/>
    <mergeCell ref="L264:M264"/>
    <mergeCell ref="A265:B265"/>
    <mergeCell ref="L265:M265"/>
    <mergeCell ref="A266:B266"/>
    <mergeCell ref="L266:M266"/>
    <mergeCell ref="A267:B267"/>
    <mergeCell ref="L267:M267"/>
    <mergeCell ref="A268:B268"/>
    <mergeCell ref="L268:M268"/>
    <mergeCell ref="L272:M272"/>
    <mergeCell ref="L277:M277"/>
    <mergeCell ref="A278:B278"/>
    <mergeCell ref="L278:M278"/>
    <mergeCell ref="A273:B273"/>
    <mergeCell ref="L273:M273"/>
    <mergeCell ref="A274:B274"/>
    <mergeCell ref="L274:M274"/>
    <mergeCell ref="A275:B275"/>
    <mergeCell ref="L275:M275"/>
    <mergeCell ref="A272:B272"/>
    <mergeCell ref="A288:B288"/>
    <mergeCell ref="L288:M288"/>
    <mergeCell ref="A283:B283"/>
    <mergeCell ref="L283:M283"/>
    <mergeCell ref="A284:B284"/>
    <mergeCell ref="L284:M284"/>
    <mergeCell ref="A285:B285"/>
    <mergeCell ref="L285:M285"/>
    <mergeCell ref="G281:H288"/>
    <mergeCell ref="B328:H328"/>
    <mergeCell ref="A133:B133"/>
    <mergeCell ref="C133:D133"/>
    <mergeCell ref="E133:F133"/>
    <mergeCell ref="G133:H133"/>
    <mergeCell ref="A286:B286"/>
    <mergeCell ref="L286:M286"/>
    <mergeCell ref="A287:B287"/>
    <mergeCell ref="L287:M287"/>
    <mergeCell ref="A279:B279"/>
    <mergeCell ref="L279:M279"/>
    <mergeCell ref="A280:H280"/>
    <mergeCell ref="A281:B281"/>
    <mergeCell ref="L281:M281"/>
    <mergeCell ref="A282:B282"/>
    <mergeCell ref="L282:M282"/>
    <mergeCell ref="A276:B276"/>
    <mergeCell ref="L276:M276"/>
    <mergeCell ref="A277:B277"/>
    <mergeCell ref="A269:B269"/>
    <mergeCell ref="L269:M269"/>
    <mergeCell ref="A270:B270"/>
    <mergeCell ref="L270:M270"/>
    <mergeCell ref="A271:H271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5" max="7" man="1"/>
    <brk id="342" max="16383" man="1"/>
    <brk id="382" max="16383" man="1"/>
    <brk id="41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21" t="s">
        <v>111</v>
      </c>
      <c r="C3" s="221"/>
      <c r="D3" s="221"/>
      <c r="E3" s="221"/>
      <c r="F3" s="221"/>
      <c r="G3" s="221"/>
      <c r="H3" s="221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2025-08-16T13:02:56Z</cp:lastPrinted>
  <dcterms:created xsi:type="dcterms:W3CDTF">2019-07-16T09:29:46Z</dcterms:created>
  <dcterms:modified xsi:type="dcterms:W3CDTF">2025-08-16T13:05:12Z</dcterms:modified>
</cp:coreProperties>
</file>