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871306B7-F2C5-48ED-ACA9-DED0F014036A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 l="1"/>
  <c r="J90" i="1"/>
  <c r="J89" i="1"/>
  <c r="J88" i="1"/>
  <c r="J87" i="1"/>
  <c r="K203" i="1" l="1"/>
  <c r="K168" i="1"/>
  <c r="I257" i="1"/>
  <c r="I277" i="1"/>
  <c r="I246" i="1"/>
  <c r="I274" i="1"/>
  <c r="I259" i="1"/>
  <c r="G272" i="1" l="1"/>
  <c r="G263" i="1"/>
  <c r="G254" i="1"/>
  <c r="G245" i="1"/>
  <c r="G234" i="1"/>
  <c r="G231" i="1"/>
  <c r="G216" i="1"/>
  <c r="G199" i="1"/>
  <c r="G182" i="1"/>
  <c r="G164" i="1"/>
  <c r="G151" i="1"/>
  <c r="K233" i="1"/>
  <c r="K242" i="1"/>
  <c r="K243" i="1"/>
  <c r="K244" i="1"/>
  <c r="K251" i="1"/>
  <c r="K252" i="1"/>
  <c r="K253" i="1"/>
  <c r="K260" i="1"/>
  <c r="K261" i="1"/>
  <c r="K262" i="1"/>
  <c r="K269" i="1"/>
  <c r="K270" i="1"/>
  <c r="K271" i="1"/>
  <c r="K278" i="1"/>
  <c r="K285" i="1"/>
  <c r="K292" i="1"/>
  <c r="K299" i="1"/>
  <c r="K306" i="1"/>
  <c r="J161" i="1"/>
  <c r="J162" i="1"/>
  <c r="J163" i="1"/>
  <c r="J179" i="1"/>
  <c r="J180" i="1"/>
  <c r="J181" i="1"/>
  <c r="J196" i="1"/>
  <c r="J197" i="1"/>
  <c r="J198" i="1"/>
  <c r="J213" i="1"/>
  <c r="J214" i="1"/>
  <c r="J215" i="1"/>
  <c r="J226" i="1"/>
  <c r="G135" i="1" l="1"/>
  <c r="C107" i="1"/>
  <c r="J118" i="1"/>
  <c r="J117" i="1"/>
  <c r="J116" i="1"/>
  <c r="J115" i="1"/>
  <c r="C93" i="1"/>
  <c r="G139" i="1"/>
  <c r="G140" i="1"/>
  <c r="G131" i="1"/>
  <c r="G133" i="1"/>
  <c r="G134" i="1"/>
  <c r="D277" i="1"/>
  <c r="K277" i="1" s="1"/>
  <c r="D276" i="1"/>
  <c r="F276" i="1" s="1"/>
  <c r="K276" i="1" s="1"/>
  <c r="D275" i="1"/>
  <c r="D274" i="1"/>
  <c r="D273" i="1"/>
  <c r="K273" i="1" s="1"/>
  <c r="D272" i="1"/>
  <c r="K272" i="1" s="1"/>
  <c r="I272" i="1"/>
  <c r="O272" i="1"/>
  <c r="P272" i="1"/>
  <c r="F275" i="1" l="1"/>
  <c r="K275" i="1" s="1"/>
  <c r="F274" i="1"/>
  <c r="E143" i="1"/>
  <c r="C143" i="1"/>
  <c r="N272" i="1"/>
  <c r="O273" i="1"/>
  <c r="P273" i="1"/>
  <c r="P274" i="1" s="1"/>
  <c r="P275" i="1" s="1"/>
  <c r="P276" i="1" s="1"/>
  <c r="P277" i="1" s="1"/>
  <c r="D225" i="1"/>
  <c r="J225" i="1" s="1"/>
  <c r="D224" i="1"/>
  <c r="J224" i="1" s="1"/>
  <c r="D223" i="1"/>
  <c r="J223" i="1" s="1"/>
  <c r="D222" i="1"/>
  <c r="J222" i="1" s="1"/>
  <c r="D221" i="1"/>
  <c r="J221" i="1" s="1"/>
  <c r="D220" i="1"/>
  <c r="J220" i="1" s="1"/>
  <c r="D219" i="1"/>
  <c r="J219" i="1" s="1"/>
  <c r="D218" i="1"/>
  <c r="J218" i="1" s="1"/>
  <c r="D217" i="1"/>
  <c r="J217" i="1" s="1"/>
  <c r="D216" i="1"/>
  <c r="A217" i="1"/>
  <c r="A218" i="1" s="1"/>
  <c r="A219" i="1" s="1"/>
  <c r="A220" i="1" s="1"/>
  <c r="A221" i="1" s="1"/>
  <c r="A222" i="1" s="1"/>
  <c r="A223" i="1" s="1"/>
  <c r="A224" i="1" s="1"/>
  <c r="A225" i="1" s="1"/>
  <c r="D268" i="1"/>
  <c r="K268" i="1" s="1"/>
  <c r="D267" i="1"/>
  <c r="D266" i="1"/>
  <c r="K266" i="1" s="1"/>
  <c r="D265" i="1"/>
  <c r="K265" i="1" s="1"/>
  <c r="D264" i="1"/>
  <c r="D263" i="1"/>
  <c r="F263" i="1" s="1"/>
  <c r="I263" i="1"/>
  <c r="D212" i="1"/>
  <c r="J212" i="1" s="1"/>
  <c r="D211" i="1"/>
  <c r="J211" i="1" s="1"/>
  <c r="D210" i="1"/>
  <c r="J210" i="1" s="1"/>
  <c r="D209" i="1"/>
  <c r="J209" i="1" s="1"/>
  <c r="D208" i="1"/>
  <c r="J208" i="1" s="1"/>
  <c r="D207" i="1"/>
  <c r="J207" i="1" s="1"/>
  <c r="D206" i="1"/>
  <c r="J206" i="1" s="1"/>
  <c r="D205" i="1"/>
  <c r="J205" i="1" s="1"/>
  <c r="D204" i="1"/>
  <c r="J204" i="1" s="1"/>
  <c r="D203" i="1"/>
  <c r="J203" i="1" s="1"/>
  <c r="D202" i="1"/>
  <c r="J202" i="1" s="1"/>
  <c r="D201" i="1"/>
  <c r="J201" i="1" s="1"/>
  <c r="D200" i="1"/>
  <c r="J200" i="1" s="1"/>
  <c r="D199" i="1"/>
  <c r="A200" i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D259" i="1"/>
  <c r="D258" i="1"/>
  <c r="D257" i="1"/>
  <c r="K257" i="1" s="1"/>
  <c r="D256" i="1"/>
  <c r="K256" i="1" s="1"/>
  <c r="L256" i="1" s="1"/>
  <c r="D255" i="1"/>
  <c r="D254" i="1"/>
  <c r="I254" i="1"/>
  <c r="D195" i="1"/>
  <c r="J195" i="1" s="1"/>
  <c r="D194" i="1"/>
  <c r="J194" i="1" s="1"/>
  <c r="D193" i="1"/>
  <c r="J193" i="1" s="1"/>
  <c r="D192" i="1"/>
  <c r="J192" i="1" s="1"/>
  <c r="D191" i="1"/>
  <c r="J191" i="1" s="1"/>
  <c r="D190" i="1"/>
  <c r="J190" i="1" s="1"/>
  <c r="D189" i="1"/>
  <c r="J189" i="1" s="1"/>
  <c r="D188" i="1"/>
  <c r="J188" i="1" s="1"/>
  <c r="D187" i="1"/>
  <c r="J187" i="1" s="1"/>
  <c r="D186" i="1"/>
  <c r="J186" i="1" s="1"/>
  <c r="D185" i="1"/>
  <c r="J185" i="1" s="1"/>
  <c r="D184" i="1"/>
  <c r="J184" i="1" s="1"/>
  <c r="D183" i="1"/>
  <c r="J183" i="1" s="1"/>
  <c r="D182" i="1"/>
  <c r="A183" i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D241" i="1"/>
  <c r="K241" i="1" s="1"/>
  <c r="D240" i="1"/>
  <c r="K240" i="1" s="1"/>
  <c r="D239" i="1"/>
  <c r="K239" i="1" s="1"/>
  <c r="D238" i="1"/>
  <c r="K238" i="1" s="1"/>
  <c r="D237" i="1"/>
  <c r="K237" i="1" s="1"/>
  <c r="D236" i="1"/>
  <c r="K236" i="1" s="1"/>
  <c r="D235" i="1"/>
  <c r="K235" i="1" s="1"/>
  <c r="D234" i="1"/>
  <c r="K234" i="1" s="1"/>
  <c r="I234" i="1"/>
  <c r="D232" i="1"/>
  <c r="K232" i="1" s="1"/>
  <c r="D231" i="1"/>
  <c r="I231" i="1"/>
  <c r="D160" i="1"/>
  <c r="J160" i="1" s="1"/>
  <c r="D159" i="1"/>
  <c r="J159" i="1" s="1"/>
  <c r="D158" i="1"/>
  <c r="J158" i="1" s="1"/>
  <c r="D157" i="1"/>
  <c r="J157" i="1" s="1"/>
  <c r="D156" i="1"/>
  <c r="J156" i="1" s="1"/>
  <c r="D155" i="1"/>
  <c r="J155" i="1" s="1"/>
  <c r="D154" i="1"/>
  <c r="J154" i="1" s="1"/>
  <c r="D153" i="1"/>
  <c r="J153" i="1" s="1"/>
  <c r="D152" i="1"/>
  <c r="J152" i="1" s="1"/>
  <c r="D151" i="1"/>
  <c r="J151" i="1" s="1"/>
  <c r="A152" i="1"/>
  <c r="A153" i="1" s="1"/>
  <c r="A154" i="1" s="1"/>
  <c r="A155" i="1" s="1"/>
  <c r="A156" i="1" s="1"/>
  <c r="A157" i="1" s="1"/>
  <c r="A158" i="1" s="1"/>
  <c r="A159" i="1" s="1"/>
  <c r="A160" i="1" s="1"/>
  <c r="I245" i="1"/>
  <c r="D250" i="1"/>
  <c r="K250" i="1" s="1"/>
  <c r="D247" i="1"/>
  <c r="K247" i="1" s="1"/>
  <c r="D248" i="1"/>
  <c r="K248" i="1" s="1"/>
  <c r="D249" i="1"/>
  <c r="K249" i="1" s="1"/>
  <c r="D246" i="1"/>
  <c r="K246" i="1" s="1"/>
  <c r="D245" i="1"/>
  <c r="D178" i="1"/>
  <c r="J178" i="1" s="1"/>
  <c r="D177" i="1"/>
  <c r="J177" i="1" s="1"/>
  <c r="D176" i="1"/>
  <c r="J176" i="1" s="1"/>
  <c r="D175" i="1"/>
  <c r="J175" i="1" s="1"/>
  <c r="D174" i="1"/>
  <c r="J174" i="1" s="1"/>
  <c r="D173" i="1"/>
  <c r="J173" i="1" s="1"/>
  <c r="D172" i="1"/>
  <c r="J172" i="1" s="1"/>
  <c r="D171" i="1"/>
  <c r="J171" i="1" s="1"/>
  <c r="D170" i="1"/>
  <c r="F170" i="1" s="1"/>
  <c r="D169" i="1"/>
  <c r="J169" i="1" s="1"/>
  <c r="D168" i="1"/>
  <c r="J168" i="1" s="1"/>
  <c r="D167" i="1"/>
  <c r="J167" i="1" s="1"/>
  <c r="D166" i="1"/>
  <c r="J166" i="1" s="1"/>
  <c r="D165" i="1"/>
  <c r="J165" i="1" s="1"/>
  <c r="D164" i="1"/>
  <c r="P254" i="1"/>
  <c r="O231" i="1"/>
  <c r="O245" i="1"/>
  <c r="P234" i="1"/>
  <c r="O234" i="1"/>
  <c r="O263" i="1"/>
  <c r="P263" i="1"/>
  <c r="P231" i="1"/>
  <c r="P245" i="1"/>
  <c r="O254" i="1"/>
  <c r="G143" i="1" l="1"/>
  <c r="F255" i="1"/>
  <c r="F259" i="1"/>
  <c r="K259" i="1" s="1"/>
  <c r="F264" i="1"/>
  <c r="K264" i="1" s="1"/>
  <c r="F258" i="1"/>
  <c r="K258" i="1" s="1"/>
  <c r="J263" i="1"/>
  <c r="F267" i="1"/>
  <c r="K267" i="1" s="1"/>
  <c r="K274" i="1"/>
  <c r="J182" i="1"/>
  <c r="E133" i="1"/>
  <c r="C133" i="1"/>
  <c r="K254" i="1"/>
  <c r="E141" i="1"/>
  <c r="C141" i="1"/>
  <c r="J199" i="1"/>
  <c r="E134" i="1"/>
  <c r="C134" i="1"/>
  <c r="K263" i="1"/>
  <c r="E142" i="1"/>
  <c r="C142" i="1"/>
  <c r="J216" i="1"/>
  <c r="C135" i="1"/>
  <c r="E135" i="1"/>
  <c r="K231" i="1"/>
  <c r="E139" i="1"/>
  <c r="C139" i="1"/>
  <c r="J170" i="1"/>
  <c r="G132" i="1"/>
  <c r="G136" i="1" s="1"/>
  <c r="J164" i="1"/>
  <c r="E132" i="1"/>
  <c r="C132" i="1"/>
  <c r="K245" i="1"/>
  <c r="E140" i="1"/>
  <c r="C140" i="1"/>
  <c r="E131" i="1"/>
  <c r="C131" i="1"/>
  <c r="N273" i="1"/>
  <c r="O274" i="1"/>
  <c r="N263" i="1"/>
  <c r="O264" i="1"/>
  <c r="P264" i="1"/>
  <c r="P265" i="1" s="1"/>
  <c r="P266" i="1" s="1"/>
  <c r="P267" i="1" s="1"/>
  <c r="P268" i="1" s="1"/>
  <c r="P255" i="1"/>
  <c r="P256" i="1" s="1"/>
  <c r="P257" i="1" s="1"/>
  <c r="P258" i="1" s="1"/>
  <c r="P259" i="1" s="1"/>
  <c r="N254" i="1"/>
  <c r="O255" i="1"/>
  <c r="P235" i="1"/>
  <c r="P236" i="1" s="1"/>
  <c r="P237" i="1" s="1"/>
  <c r="P238" i="1" s="1"/>
  <c r="P239" i="1" s="1"/>
  <c r="P240" i="1" s="1"/>
  <c r="P241" i="1" s="1"/>
  <c r="N234" i="1"/>
  <c r="O235" i="1"/>
  <c r="P232" i="1"/>
  <c r="N231" i="1"/>
  <c r="O232" i="1"/>
  <c r="N245" i="1"/>
  <c r="O246" i="1"/>
  <c r="P246" i="1"/>
  <c r="P247" i="1" s="1"/>
  <c r="P248" i="1" s="1"/>
  <c r="P249" i="1" s="1"/>
  <c r="P250" i="1" s="1"/>
  <c r="F305" i="1"/>
  <c r="K305" i="1" s="1"/>
  <c r="F304" i="1"/>
  <c r="K304" i="1" s="1"/>
  <c r="F303" i="1"/>
  <c r="K303" i="1" s="1"/>
  <c r="F302" i="1"/>
  <c r="K302" i="1" s="1"/>
  <c r="F301" i="1"/>
  <c r="K301" i="1" s="1"/>
  <c r="F300" i="1"/>
  <c r="K300" i="1" s="1"/>
  <c r="F298" i="1"/>
  <c r="K298" i="1" s="1"/>
  <c r="F297" i="1"/>
  <c r="K297" i="1" s="1"/>
  <c r="F296" i="1"/>
  <c r="K296" i="1" s="1"/>
  <c r="F295" i="1"/>
  <c r="K295" i="1" s="1"/>
  <c r="F294" i="1"/>
  <c r="K294" i="1" s="1"/>
  <c r="F293" i="1"/>
  <c r="K293" i="1" s="1"/>
  <c r="F291" i="1"/>
  <c r="K291" i="1" s="1"/>
  <c r="F290" i="1"/>
  <c r="K290" i="1" s="1"/>
  <c r="F289" i="1"/>
  <c r="K289" i="1" s="1"/>
  <c r="F288" i="1"/>
  <c r="K288" i="1" s="1"/>
  <c r="F287" i="1"/>
  <c r="K287" i="1" s="1"/>
  <c r="F286" i="1"/>
  <c r="K286" i="1" s="1"/>
  <c r="F284" i="1"/>
  <c r="K284" i="1" s="1"/>
  <c r="F283" i="1"/>
  <c r="K283" i="1" s="1"/>
  <c r="F282" i="1"/>
  <c r="K282" i="1" s="1"/>
  <c r="F280" i="1"/>
  <c r="K280" i="1" s="1"/>
  <c r="F279" i="1"/>
  <c r="K279" i="1" s="1"/>
  <c r="F281" i="1"/>
  <c r="K281" i="1" s="1"/>
  <c r="C136" i="1" l="1"/>
  <c r="G142" i="1"/>
  <c r="G141" i="1"/>
  <c r="K255" i="1"/>
  <c r="E136" i="1"/>
  <c r="C144" i="1"/>
  <c r="E144" i="1"/>
  <c r="N274" i="1"/>
  <c r="O275" i="1"/>
  <c r="O265" i="1"/>
  <c r="N264" i="1"/>
  <c r="N255" i="1"/>
  <c r="O256" i="1"/>
  <c r="N235" i="1"/>
  <c r="O236" i="1"/>
  <c r="N232" i="1"/>
  <c r="N246" i="1"/>
  <c r="O247" i="1"/>
  <c r="O286" i="1"/>
  <c r="P286" i="1"/>
  <c r="G144" i="1" l="1"/>
  <c r="N275" i="1"/>
  <c r="O276" i="1"/>
  <c r="N265" i="1"/>
  <c r="O266" i="1"/>
  <c r="N256" i="1"/>
  <c r="O257" i="1"/>
  <c r="N236" i="1"/>
  <c r="O237" i="1"/>
  <c r="N247" i="1"/>
  <c r="O248" i="1"/>
  <c r="B309" i="1"/>
  <c r="B308" i="1"/>
  <c r="O293" i="1"/>
  <c r="N276" i="1" l="1"/>
  <c r="O277" i="1"/>
  <c r="N277" i="1" s="1"/>
  <c r="N266" i="1"/>
  <c r="O267" i="1"/>
  <c r="O258" i="1"/>
  <c r="N257" i="1"/>
  <c r="O238" i="1"/>
  <c r="N237" i="1"/>
  <c r="N248" i="1"/>
  <c r="O249" i="1"/>
  <c r="F11" i="5"/>
  <c r="G11" i="5" s="1"/>
  <c r="F10" i="5"/>
  <c r="G10" i="5" s="1"/>
  <c r="F9" i="5"/>
  <c r="G9" i="5" s="1"/>
  <c r="F8" i="5"/>
  <c r="G8" i="5" s="1"/>
  <c r="F7" i="5"/>
  <c r="G7" i="5" s="1"/>
  <c r="G6" i="5"/>
  <c r="F6" i="5"/>
  <c r="F5" i="5"/>
  <c r="G5" i="5" s="1"/>
  <c r="G12" i="5" s="1"/>
  <c r="D334" i="1"/>
  <c r="A308" i="1"/>
  <c r="G300" i="1"/>
  <c r="G301" i="1" s="1"/>
  <c r="G302" i="1" s="1"/>
  <c r="G303" i="1" s="1"/>
  <c r="G304" i="1" s="1"/>
  <c r="G305" i="1" s="1"/>
  <c r="G293" i="1"/>
  <c r="G294" i="1" s="1"/>
  <c r="G295" i="1" s="1"/>
  <c r="G296" i="1" s="1"/>
  <c r="G297" i="1" s="1"/>
  <c r="G298" i="1" s="1"/>
  <c r="G286" i="1"/>
  <c r="G287" i="1" s="1"/>
  <c r="G288" i="1" s="1"/>
  <c r="G289" i="1" s="1"/>
  <c r="G290" i="1" s="1"/>
  <c r="G291" i="1" s="1"/>
  <c r="G279" i="1"/>
  <c r="G280" i="1" s="1"/>
  <c r="G281" i="1" s="1"/>
  <c r="G282" i="1" s="1"/>
  <c r="G283" i="1" s="1"/>
  <c r="G284" i="1" s="1"/>
  <c r="A279" i="1"/>
  <c r="A280" i="1" s="1"/>
  <c r="A281" i="1" s="1"/>
  <c r="A282" i="1" s="1"/>
  <c r="A283" i="1" s="1"/>
  <c r="A284" i="1" s="1"/>
  <c r="A165" i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F128" i="1"/>
  <c r="J104" i="1"/>
  <c r="J103" i="1"/>
  <c r="J102" i="1"/>
  <c r="J101" i="1"/>
  <c r="J76" i="1"/>
  <c r="J75" i="1"/>
  <c r="J74" i="1"/>
  <c r="J73" i="1"/>
  <c r="D59" i="1"/>
  <c r="D51" i="1"/>
  <c r="G46" i="1"/>
  <c r="G47" i="1" s="1"/>
  <c r="C46" i="1"/>
  <c r="E40" i="1"/>
  <c r="E41" i="1" s="1"/>
  <c r="E24" i="1"/>
  <c r="E22" i="1"/>
  <c r="C13" i="1"/>
  <c r="E7" i="1"/>
  <c r="E3" i="1"/>
  <c r="H66" i="1"/>
  <c r="P300" i="1"/>
  <c r="H94" i="1"/>
  <c r="P293" i="1"/>
  <c r="O300" i="1"/>
  <c r="N267" i="1" l="1"/>
  <c r="O268" i="1"/>
  <c r="N268" i="1" s="1"/>
  <c r="N258" i="1"/>
  <c r="O259" i="1"/>
  <c r="N259" i="1" s="1"/>
  <c r="N238" i="1"/>
  <c r="O239" i="1"/>
  <c r="N249" i="1"/>
  <c r="O250" i="1"/>
  <c r="N250" i="1" s="1"/>
  <c r="A309" i="1"/>
  <c r="A310" i="1" s="1"/>
  <c r="A311" i="1" s="1"/>
  <c r="C71" i="1"/>
  <c r="D71" i="1" s="1"/>
  <c r="J69" i="1"/>
  <c r="D78" i="1"/>
  <c r="D76" i="1"/>
  <c r="D74" i="1"/>
  <c r="D72" i="1"/>
  <c r="J70" i="1"/>
  <c r="C69" i="1" s="1"/>
  <c r="D69" i="1" s="1"/>
  <c r="J68" i="1"/>
  <c r="J71" i="1"/>
  <c r="J72" i="1" s="1"/>
  <c r="J77" i="1" s="1"/>
  <c r="J78" i="1" s="1"/>
  <c r="C70" i="1" s="1"/>
  <c r="D77" i="1"/>
  <c r="D73" i="1"/>
  <c r="D75" i="1"/>
  <c r="J99" i="1"/>
  <c r="J100" i="1" s="1"/>
  <c r="J105" i="1" s="1"/>
  <c r="J106" i="1" s="1"/>
  <c r="C98" i="1" s="1"/>
  <c r="D105" i="1"/>
  <c r="D103" i="1"/>
  <c r="D101" i="1"/>
  <c r="C99" i="1"/>
  <c r="D99" i="1" s="1"/>
  <c r="J97" i="1"/>
  <c r="D106" i="1"/>
  <c r="J98" i="1"/>
  <c r="C97" i="1" s="1"/>
  <c r="D97" i="1" s="1"/>
  <c r="D100" i="1"/>
  <c r="D102" i="1"/>
  <c r="D104" i="1"/>
  <c r="J96" i="1"/>
  <c r="N286" i="1"/>
  <c r="A286" i="1" s="1"/>
  <c r="O287" i="1"/>
  <c r="N293" i="1"/>
  <c r="A293" i="1" s="1"/>
  <c r="O294" i="1"/>
  <c r="P287" i="1"/>
  <c r="P288" i="1" s="1"/>
  <c r="P289" i="1" s="1"/>
  <c r="P290" i="1" s="1"/>
  <c r="P291" i="1" s="1"/>
  <c r="P294" i="1"/>
  <c r="P295" i="1" s="1"/>
  <c r="P296" i="1" s="1"/>
  <c r="P297" i="1" s="1"/>
  <c r="P298" i="1" s="1"/>
  <c r="P301" i="1"/>
  <c r="P302" i="1" s="1"/>
  <c r="P303" i="1" s="1"/>
  <c r="P304" i="1" s="1"/>
  <c r="P305" i="1" s="1"/>
  <c r="N300" i="1"/>
  <c r="A300" i="1" s="1"/>
  <c r="O301" i="1"/>
  <c r="H80" i="1"/>
  <c r="C85" i="1" l="1"/>
  <c r="D85" i="1" s="1"/>
  <c r="J83" i="1"/>
  <c r="J85" i="1"/>
  <c r="J86" i="1" s="1"/>
  <c r="J91" i="1" s="1"/>
  <c r="J92" i="1" s="1"/>
  <c r="C84" i="1" s="1"/>
  <c r="D91" i="1"/>
  <c r="D87" i="1"/>
  <c r="D92" i="1"/>
  <c r="D90" i="1"/>
  <c r="D88" i="1"/>
  <c r="D86" i="1"/>
  <c r="J84" i="1"/>
  <c r="C83" i="1" s="1"/>
  <c r="D83" i="1" s="1"/>
  <c r="J82" i="1"/>
  <c r="D89" i="1"/>
  <c r="N239" i="1"/>
  <c r="O240" i="1"/>
  <c r="E97" i="1"/>
  <c r="I93" i="1" s="1"/>
  <c r="C95" i="1" s="1"/>
  <c r="D98" i="1"/>
  <c r="E69" i="1"/>
  <c r="D70" i="1"/>
  <c r="N301" i="1"/>
  <c r="A301" i="1" s="1"/>
  <c r="O302" i="1"/>
  <c r="N294" i="1"/>
  <c r="A294" i="1" s="1"/>
  <c r="O295" i="1"/>
  <c r="G97" i="1"/>
  <c r="N287" i="1"/>
  <c r="A287" i="1" s="1"/>
  <c r="O288" i="1"/>
  <c r="G69" i="1"/>
  <c r="D63" i="1" s="1"/>
  <c r="H108" i="1"/>
  <c r="I65" i="1" l="1"/>
  <c r="C67" i="1" s="1"/>
  <c r="E83" i="1"/>
  <c r="I79" i="1" s="1"/>
  <c r="C81" i="1" s="1"/>
  <c r="D84" i="1"/>
  <c r="G83" i="1"/>
  <c r="D119" i="1"/>
  <c r="D115" i="1"/>
  <c r="J111" i="1"/>
  <c r="D118" i="1"/>
  <c r="D114" i="1"/>
  <c r="J113" i="1"/>
  <c r="J114" i="1" s="1"/>
  <c r="J119" i="1" s="1"/>
  <c r="J120" i="1" s="1"/>
  <c r="C112" i="1" s="1"/>
  <c r="D117" i="1"/>
  <c r="C113" i="1"/>
  <c r="D113" i="1" s="1"/>
  <c r="D120" i="1"/>
  <c r="D116" i="1"/>
  <c r="J112" i="1"/>
  <c r="C111" i="1" s="1"/>
  <c r="J110" i="1"/>
  <c r="O241" i="1"/>
  <c r="N241" i="1" s="1"/>
  <c r="N240" i="1"/>
  <c r="F64" i="1"/>
  <c r="D64" i="1"/>
  <c r="N295" i="1"/>
  <c r="A295" i="1" s="1"/>
  <c r="O296" i="1"/>
  <c r="N288" i="1"/>
  <c r="A288" i="1" s="1"/>
  <c r="O289" i="1"/>
  <c r="N302" i="1"/>
  <c r="A302" i="1" s="1"/>
  <c r="O303" i="1"/>
  <c r="E111" i="1" l="1"/>
  <c r="D112" i="1"/>
  <c r="G111" i="1"/>
  <c r="D111" i="1"/>
  <c r="N303" i="1"/>
  <c r="A303" i="1" s="1"/>
  <c r="O304" i="1"/>
  <c r="N289" i="1"/>
  <c r="A289" i="1" s="1"/>
  <c r="O290" i="1"/>
  <c r="N296" i="1"/>
  <c r="A296" i="1" s="1"/>
  <c r="O297" i="1"/>
  <c r="I107" i="1" l="1"/>
  <c r="C109" i="1" s="1"/>
  <c r="N290" i="1"/>
  <c r="A290" i="1" s="1"/>
  <c r="O291" i="1"/>
  <c r="N291" i="1" s="1"/>
  <c r="A291" i="1" s="1"/>
  <c r="N297" i="1"/>
  <c r="A297" i="1" s="1"/>
  <c r="O298" i="1"/>
  <c r="N298" i="1" s="1"/>
  <c r="A298" i="1" s="1"/>
  <c r="N304" i="1"/>
  <c r="A304" i="1" s="1"/>
  <c r="O305" i="1"/>
  <c r="N305" i="1" s="1"/>
  <c r="A305" i="1" s="1"/>
</calcChain>
</file>

<file path=xl/sharedStrings.xml><?xml version="1.0" encoding="utf-8"?>
<sst xmlns="http://schemas.openxmlformats.org/spreadsheetml/2006/main" count="514" uniqueCount="241">
  <si>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</si>
  <si>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</si>
  <si>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</si>
  <si>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</si>
  <si>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</si>
  <si>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</si>
  <si>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</si>
  <si>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</si>
  <si>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</si>
  <si>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</si>
  <si>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</si>
  <si>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</si>
  <si>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</si>
  <si>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</si>
  <si>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</si>
  <si>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</si>
  <si>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</si>
  <si>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</si>
  <si>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</si>
  <si>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</si>
  <si>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</si>
  <si>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</si>
  <si>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</si>
  <si>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</si>
  <si>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</si>
  <si>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</si>
  <si>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</si>
  <si>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</si>
  <si>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</si>
  <si>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</si>
  <si>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</si>
  <si>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</si>
  <si>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</si>
  <si>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</si>
  <si>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</si>
  <si>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</si>
  <si>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</si>
  <si>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</si>
  <si>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</si>
  <si>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</si>
  <si>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</si>
  <si>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</si>
  <si>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</si>
  <si>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</si>
  <si>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</si>
  <si>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</si>
  <si>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</si>
  <si>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</si>
  <si>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</si>
  <si>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</si>
  <si>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</si>
  <si>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</si>
  <si>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</si>
  <si>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</si>
  <si>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</si>
  <si>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</si>
  <si>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</si>
  <si>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</si>
  <si>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</si>
  <si>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</si>
  <si>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</si>
  <si>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</si>
  <si>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</si>
  <si>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</si>
  <si>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</si>
  <si>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</si>
  <si>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</si>
  <si>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</si>
  <si>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</si>
  <si>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</si>
  <si>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</si>
  <si>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</si>
  <si>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</si>
  <si>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</si>
  <si>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</si>
  <si>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</si>
  <si>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</si>
  <si>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</si>
  <si>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</si>
  <si>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</si>
  <si>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</si>
  <si>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</si>
  <si>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</si>
  <si>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</si>
  <si>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</si>
  <si>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</si>
  <si>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</si>
  <si>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</si>
  <si>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</si>
  <si>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</si>
  <si>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</si>
  <si>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</si>
  <si>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</si>
  <si>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</si>
  <si>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</si>
  <si>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</si>
  <si>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</si>
  <si>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</si>
  <si>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</si>
  <si>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</si>
  <si>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</si>
  <si>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</si>
  <si>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</si>
  <si>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</si>
  <si>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</si>
  <si>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</si>
  <si>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</si>
  <si>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</si>
  <si>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</si>
  <si>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</si>
  <si>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</si>
  <si>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</si>
  <si>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</si>
  <si>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</si>
  <si>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</si>
  <si>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</si>
  <si>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</si>
  <si>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</si>
  <si>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</si>
  <si>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</si>
  <si>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</si>
  <si>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</si>
  <si>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</si>
  <si>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</si>
  <si>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</si>
  <si>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</si>
  <si>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</si>
  <si>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</si>
  <si>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</si>
  <si>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</si>
  <si>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</si>
  <si>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</si>
  <si>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</si>
  <si>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</si>
  <si>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</si>
  <si>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</si>
  <si>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</si>
  <si>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</si>
  <si>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</si>
  <si>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</si>
  <si>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</si>
  <si>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</si>
  <si>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</si>
  <si>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</si>
  <si>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</si>
  <si>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</si>
  <si>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</si>
  <si>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</si>
  <si>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</si>
  <si>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</si>
  <si>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</si>
  <si>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</si>
  <si>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</si>
  <si>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</si>
  <si>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</si>
  <si>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</si>
  <si>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</si>
  <si>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</si>
  <si>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3rd, 5th, 7th, 9th, 11th, 13th, 15th Floor</t>
  </si>
  <si>
    <t>Total</t>
  </si>
  <si>
    <t xml:space="preserve">P99000015590
</t>
  </si>
  <si>
    <t>Axis Goregaon</t>
  </si>
  <si>
    <t>M/s.Shreenath Enterrpises</t>
  </si>
  <si>
    <t>Parasnath Township</t>
  </si>
  <si>
    <t>7709011112/7774090078</t>
  </si>
  <si>
    <t>5 Wings</t>
  </si>
  <si>
    <t>MHASUL/K-1/MJ1/BSP/SR/CR/11/2018</t>
  </si>
  <si>
    <t>MHASUL/KS.1/T.1/NAP/SR-11/2018</t>
  </si>
  <si>
    <t>On Site, we meet Mr.Shahid (Supervisor) - 9049054882.</t>
  </si>
  <si>
    <t>Umroli Station Road</t>
  </si>
  <si>
    <t>Gut No</t>
  </si>
  <si>
    <t xml:space="preserve">Panchali </t>
  </si>
  <si>
    <t>Palghar</t>
  </si>
  <si>
    <t>1.5 KM from Umroli Railway Station</t>
  </si>
  <si>
    <t>Residential</t>
  </si>
  <si>
    <t>Internal Road</t>
  </si>
  <si>
    <t>Open Plot</t>
  </si>
  <si>
    <t>Raj Mandir Garden</t>
  </si>
  <si>
    <t>Approved Plans, CC, Sale Plans, Cost Sheet</t>
  </si>
  <si>
    <t xml:space="preserve">Building No. 1 (B1 &amp; B2 Type)
Building No. 2 (B, A &amp; D Type) </t>
  </si>
  <si>
    <t>392, 393, 394A, 394B</t>
  </si>
  <si>
    <t>Valid Up to:  Building No. 1 - B1 &amp; B2 Type  = G + 1st to 4th Floor
                    Building No. 2 - B, A &amp; D Type = G + 1st to 4th Floor</t>
  </si>
  <si>
    <t>Building No. 1 (B1 &amp; B2 Type)  = G + 1st to 4th Floor
Building No. 2 (B, A &amp; D Type) = G + 1st to 4th Floor</t>
  </si>
  <si>
    <t>Boisar West</t>
  </si>
  <si>
    <t>Rawat Road</t>
  </si>
  <si>
    <t>Location link</t>
  </si>
  <si>
    <t>https://goo.gl/maps/dLishpKQerKTcbnN8</t>
  </si>
  <si>
    <t>Layout Plan :</t>
  </si>
  <si>
    <t xml:space="preserve">Building No. 1 </t>
  </si>
  <si>
    <t>Type - B2 (Wing - B)</t>
  </si>
  <si>
    <t>Ground Floor for Commercial &amp; Parking</t>
  </si>
  <si>
    <t>Shop</t>
  </si>
  <si>
    <t>1st to 4th Floor</t>
  </si>
  <si>
    <t>1BHK</t>
  </si>
  <si>
    <t>Type - B1 (Wing - A)</t>
  </si>
  <si>
    <t>2BHK</t>
  </si>
  <si>
    <t>1RK</t>
  </si>
  <si>
    <t>Building No. 2</t>
  </si>
  <si>
    <t>Type - B (Wing - A)</t>
  </si>
  <si>
    <t>Type - A (Wing - B)</t>
  </si>
  <si>
    <t>Type - D (Wing - C)</t>
  </si>
  <si>
    <t>Building No.1</t>
  </si>
  <si>
    <t>Building No.2</t>
  </si>
  <si>
    <t>Wing A</t>
  </si>
  <si>
    <t>Wing B</t>
  </si>
  <si>
    <t>Wing C</t>
  </si>
  <si>
    <t>Ground Floor for Residential</t>
  </si>
  <si>
    <t>Shops - 63, Flats -130</t>
  </si>
  <si>
    <t>We considered Gross carpet area = Net carpet + Enclose balcony + C.B Area.</t>
  </si>
  <si>
    <t>As per Sale plan</t>
  </si>
  <si>
    <t>As per Approved plan</t>
  </si>
  <si>
    <t>Building No. 1 (Wing A)</t>
  </si>
  <si>
    <t>Building No. 2 (Wing B)</t>
  </si>
  <si>
    <t>Building No. 1 (Wing B)</t>
  </si>
  <si>
    <t>Building No. 2 (Wing A)</t>
  </si>
  <si>
    <t>Building No. 2 (Wing C)</t>
  </si>
  <si>
    <t>Building No. 3 (Wing A)</t>
  </si>
  <si>
    <t>Building No. 3 (Wing B)</t>
  </si>
  <si>
    <t>Building No. 3 (Wing C)</t>
  </si>
  <si>
    <t>Builder Saleable Area</t>
  </si>
  <si>
    <t>1st to 4th Floor for Residential</t>
  </si>
  <si>
    <t>Recommended rate of the shop Per Sq. Ft. ( on Saleable area)</t>
  </si>
  <si>
    <t>Society Maintainance Charges</t>
  </si>
  <si>
    <t>Society Formation Charges</t>
  </si>
  <si>
    <t>Devlopment Charges</t>
  </si>
  <si>
    <t>rate sheet</t>
  </si>
  <si>
    <t xml:space="preserve">builder </t>
  </si>
  <si>
    <t>flat</t>
  </si>
  <si>
    <t>shop</t>
  </si>
  <si>
    <t>visitor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</si>
  <si>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
</t>
  </si>
  <si>
    <t>Building No. 1 (B1 Type) (Wing A) = G + 1st to 4th Floor</t>
  </si>
  <si>
    <t>Building No. 1 (B2 Type) (Wing B) = G + 1st to 4th Floor</t>
  </si>
  <si>
    <t>Building No. 2 (B &amp; A Type) (Wing A &amp; B) = G + 1st to 4th Floor</t>
  </si>
  <si>
    <t>Building No. 2 (D Type) (Wing C) = G + 1st to 4th Floor</t>
  </si>
  <si>
    <t>Documents Provided</t>
  </si>
  <si>
    <t>The project has received first CC on 27/06/2019, But construction work is not yet completed.</t>
  </si>
  <si>
    <t>As per RERA - 31/03/2028</t>
  </si>
  <si>
    <t>Building No.01 (Wing A) = All work completed. Please provide OC.
Building No.01 (Wing B) = Finishing Work &amp; lift work is pending (Slow Speed). Some flats are occupied by tenants but still lift &amp; finishing work is pending. Work is same as last visit (12/08/2024).
Building No.02 Wing A &amp; B = Construction work is same as last visit (30/11/2024).
Building No.02 Wing C = Construction work is in process at the time of visit.</t>
  </si>
  <si>
    <t>Kunal Kadam</t>
  </si>
  <si>
    <t>Yadnyesh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</si>
</sst>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19" fillId="0" borderId="0"/>
    <xf numFmtId="0" fontId="24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180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7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14" fontId="7" fillId="0" borderId="0" xfId="1" applyNumberFormat="1" applyFont="1"/>
    <xf numFmtId="1" fontId="7" fillId="0" borderId="0" xfId="1" applyNumberFormat="1" applyFont="1"/>
    <xf numFmtId="0" fontId="7" fillId="0" borderId="10" xfId="1" applyFont="1" applyBorder="1" applyProtection="1">
      <protection hidden="1"/>
    </xf>
    <xf numFmtId="0" fontId="22" fillId="0" borderId="0" xfId="1" applyFont="1"/>
    <xf numFmtId="0" fontId="16" fillId="0" borderId="0" xfId="0" applyFont="1" applyProtection="1">
      <protection hidden="1"/>
    </xf>
    <xf numFmtId="0" fontId="16" fillId="0" borderId="12" xfId="0" applyFont="1" applyBorder="1" applyProtection="1">
      <protection hidden="1"/>
    </xf>
    <xf numFmtId="1" fontId="23" fillId="0" borderId="12" xfId="0" applyNumberFormat="1" applyFont="1" applyBorder="1"/>
    <xf numFmtId="1" fontId="23" fillId="0" borderId="12" xfId="0" applyNumberFormat="1" applyFont="1" applyBorder="1" applyAlignment="1">
      <alignment horizontal="right"/>
    </xf>
    <xf numFmtId="0" fontId="16" fillId="0" borderId="13" xfId="0" applyFont="1" applyBorder="1" applyProtection="1">
      <protection hidden="1"/>
    </xf>
    <xf numFmtId="1" fontId="23" fillId="0" borderId="14" xfId="0" applyNumberFormat="1" applyFont="1" applyBorder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2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0" borderId="6" xfId="1" applyNumberFormat="1" applyFont="1" applyBorder="1" applyAlignment="1" applyProtection="1">
      <alignment horizontal="center" vertical="center" wrapText="1"/>
      <protection hidden="1"/>
    </xf>
    <xf numFmtId="1" fontId="7" fillId="0" borderId="1" xfId="1" applyNumberFormat="1" applyFont="1" applyBorder="1" applyAlignment="1">
      <alignment horizontal="center" vertical="center"/>
    </xf>
    <xf numFmtId="1" fontId="12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10" fillId="0" borderId="0" xfId="1" applyFont="1" applyProtection="1"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23" xfId="0" applyNumberFormat="1" applyFont="1" applyBorder="1" applyAlignment="1" applyProtection="1">
      <alignment horizontal="center" vertical="top" wrapText="1"/>
      <protection locked="0"/>
    </xf>
    <xf numFmtId="1" fontId="13" fillId="0" borderId="9" xfId="0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6" xfId="1" applyNumberFormat="1" applyFont="1" applyBorder="1" applyAlignment="1" applyProtection="1">
      <alignment horizontal="center" vertical="center" wrapText="1"/>
      <protection hidden="1"/>
    </xf>
    <xf numFmtId="9" fontId="12" fillId="0" borderId="4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righ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center" vertical="top"/>
      <protection locked="0"/>
    </xf>
    <xf numFmtId="0" fontId="8" fillId="0" borderId="9" xfId="1" applyFont="1" applyBorder="1" applyAlignment="1" applyProtection="1">
      <alignment horizontal="center" vertical="top"/>
      <protection locked="0"/>
    </xf>
    <xf numFmtId="0" fontId="24" fillId="0" borderId="8" xfId="8" applyFill="1" applyBorder="1" applyAlignment="1" applyProtection="1">
      <alignment horizontal="left"/>
      <protection locked="0"/>
    </xf>
    <xf numFmtId="0" fontId="7" fillId="0" borderId="23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29" xfId="0" applyNumberFormat="1" applyFont="1" applyBorder="1" applyAlignment="1" applyProtection="1">
      <alignment horizontal="center" vertical="center" wrapText="1"/>
      <protection locked="0"/>
    </xf>
    <xf numFmtId="1" fontId="6" fillId="0" borderId="18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3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0" fillId="0" borderId="23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8" xfId="1" applyFont="1" applyBorder="1" applyAlignment="1" applyProtection="1">
      <alignment horizontal="left" vertical="top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30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0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8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eg"/><Relationship Id="rId21" Type="http://schemas.openxmlformats.org/officeDocument/2006/relationships/image" Target="../media/image21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g"/><Relationship Id="rId27" Type="http://schemas.openxmlformats.org/officeDocument/2006/relationships/image" Target="../media/image27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396</xdr:row>
      <xdr:rowOff>142245</xdr:rowOff>
    </xdr:from>
    <xdr:to>
      <xdr:col>6</xdr:col>
      <xdr:colOff>537384</xdr:colOff>
      <xdr:row>414</xdr:row>
      <xdr:rowOff>141797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3950" y="40299645"/>
          <a:ext cx="4690284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304800</xdr:colOff>
      <xdr:row>377</xdr:row>
      <xdr:rowOff>66675</xdr:rowOff>
    </xdr:from>
    <xdr:to>
      <xdr:col>6</xdr:col>
      <xdr:colOff>537384</xdr:colOff>
      <xdr:row>395</xdr:row>
      <xdr:rowOff>66226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6800" y="69370575"/>
          <a:ext cx="4385484" cy="36000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51912</xdr:colOff>
      <xdr:row>420</xdr:row>
      <xdr:rowOff>161925</xdr:rowOff>
    </xdr:from>
    <xdr:to>
      <xdr:col>5</xdr:col>
      <xdr:colOff>760261</xdr:colOff>
      <xdr:row>444</xdr:row>
      <xdr:rowOff>11281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8312" y="82734150"/>
          <a:ext cx="3470599" cy="46499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951479</xdr:colOff>
      <xdr:row>444</xdr:row>
      <xdr:rowOff>145749</xdr:rowOff>
    </xdr:from>
    <xdr:to>
      <xdr:col>7</xdr:col>
      <xdr:colOff>591475</xdr:colOff>
      <xdr:row>460</xdr:row>
      <xdr:rowOff>165101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78779" y="85356399"/>
          <a:ext cx="3088046" cy="316895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295275</xdr:colOff>
      <xdr:row>444</xdr:row>
      <xdr:rowOff>149781</xdr:rowOff>
    </xdr:from>
    <xdr:to>
      <xdr:col>3</xdr:col>
      <xdr:colOff>750586</xdr:colOff>
      <xdr:row>460</xdr:row>
      <xdr:rowOff>165618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5275" y="85360431"/>
          <a:ext cx="2982611" cy="316543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435086</xdr:colOff>
      <xdr:row>421</xdr:row>
      <xdr:rowOff>19064</xdr:rowOff>
    </xdr:from>
    <xdr:to>
      <xdr:col>5</xdr:col>
      <xdr:colOff>779311</xdr:colOff>
      <xdr:row>422</xdr:row>
      <xdr:rowOff>188371</xdr:rowOff>
    </xdr:to>
    <xdr:sp macro="" textlink="">
      <xdr:nvSpPr>
        <xdr:cNvPr id="22" name="TextBox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025886" y="82791314"/>
          <a:ext cx="2192075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Approved layout plan</a:t>
          </a:r>
          <a:endParaRPr lang="en-IN"/>
        </a:p>
      </xdr:txBody>
    </xdr:sp>
    <xdr:clientData/>
  </xdr:twoCellAnchor>
  <xdr:twoCellAnchor>
    <xdr:from>
      <xdr:col>2</xdr:col>
      <xdr:colOff>18597</xdr:colOff>
      <xdr:row>429</xdr:row>
      <xdr:rowOff>26681</xdr:rowOff>
    </xdr:from>
    <xdr:to>
      <xdr:col>3</xdr:col>
      <xdr:colOff>249062</xdr:colOff>
      <xdr:row>430</xdr:row>
      <xdr:rowOff>195988</xdr:rowOff>
    </xdr:to>
    <xdr:sp macro="" textlink="">
      <xdr:nvSpPr>
        <xdr:cNvPr id="23" name="TextBox 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694997" y="84399131"/>
          <a:ext cx="1144865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Bldg No. 1</a:t>
          </a:r>
          <a:endParaRPr lang="en-IN"/>
        </a:p>
      </xdr:txBody>
    </xdr:sp>
    <xdr:clientData/>
  </xdr:twoCellAnchor>
  <xdr:twoCellAnchor>
    <xdr:from>
      <xdr:col>2</xdr:col>
      <xdr:colOff>204621</xdr:colOff>
      <xdr:row>435</xdr:row>
      <xdr:rowOff>134353</xdr:rowOff>
    </xdr:from>
    <xdr:to>
      <xdr:col>3</xdr:col>
      <xdr:colOff>435086</xdr:colOff>
      <xdr:row>437</xdr:row>
      <xdr:rowOff>108444</xdr:rowOff>
    </xdr:to>
    <xdr:sp macro="" textlink="">
      <xdr:nvSpPr>
        <xdr:cNvPr id="24" name="TextBox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881021" y="85706953"/>
          <a:ext cx="1144865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Bldg No. 2</a:t>
          </a:r>
          <a:endParaRPr lang="en-IN"/>
        </a:p>
      </xdr:txBody>
    </xdr:sp>
    <xdr:clientData/>
  </xdr:twoCellAnchor>
  <xdr:twoCellAnchor>
    <xdr:from>
      <xdr:col>2</xdr:col>
      <xdr:colOff>325048</xdr:colOff>
      <xdr:row>427</xdr:row>
      <xdr:rowOff>168651</xdr:rowOff>
    </xdr:from>
    <xdr:to>
      <xdr:col>2</xdr:col>
      <xdr:colOff>897481</xdr:colOff>
      <xdr:row>429</xdr:row>
      <xdr:rowOff>26681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V="1">
          <a:off x="2001448" y="84141051"/>
          <a:ext cx="572433" cy="25808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776862</xdr:colOff>
      <xdr:row>434</xdr:row>
      <xdr:rowOff>121516</xdr:rowOff>
    </xdr:from>
    <xdr:to>
      <xdr:col>3</xdr:col>
      <xdr:colOff>434895</xdr:colOff>
      <xdr:row>435</xdr:row>
      <xdr:rowOff>179571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V="1">
          <a:off x="2453262" y="85494091"/>
          <a:ext cx="572433" cy="25808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530336</xdr:colOff>
      <xdr:row>444</xdr:row>
      <xdr:rowOff>142889</xdr:rowOff>
    </xdr:from>
    <xdr:to>
      <xdr:col>4</xdr:col>
      <xdr:colOff>798361</xdr:colOff>
      <xdr:row>446</xdr:row>
      <xdr:rowOff>116980</xdr:rowOff>
    </xdr:to>
    <xdr:sp macro="" textlink="">
      <xdr:nvSpPr>
        <xdr:cNvPr id="27" name="TextBox 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206736" y="87515714"/>
          <a:ext cx="2192075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Sale plan</a:t>
          </a:r>
          <a:endParaRPr lang="en-IN"/>
        </a:p>
      </xdr:txBody>
    </xdr:sp>
    <xdr:clientData/>
  </xdr:twoCellAnchor>
  <xdr:twoCellAnchor>
    <xdr:from>
      <xdr:col>6</xdr:col>
      <xdr:colOff>339836</xdr:colOff>
      <xdr:row>444</xdr:row>
      <xdr:rowOff>123839</xdr:rowOff>
    </xdr:from>
    <xdr:to>
      <xdr:col>8</xdr:col>
      <xdr:colOff>807886</xdr:colOff>
      <xdr:row>446</xdr:row>
      <xdr:rowOff>97930</xdr:rowOff>
    </xdr:to>
    <xdr:sp macro="" textlink="">
      <xdr:nvSpPr>
        <xdr:cNvPr id="28" name="TextBox 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616686" y="87496664"/>
          <a:ext cx="2192075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Sale plan</a:t>
          </a:r>
          <a:endParaRPr lang="en-IN"/>
        </a:p>
      </xdr:txBody>
    </xdr:sp>
    <xdr:clientData/>
  </xdr:twoCellAnchor>
  <xdr:twoCellAnchor>
    <xdr:from>
      <xdr:col>8</xdr:col>
      <xdr:colOff>1000041</xdr:colOff>
      <xdr:row>338</xdr:row>
      <xdr:rowOff>158509</xdr:rowOff>
    </xdr:from>
    <xdr:to>
      <xdr:col>16</xdr:col>
      <xdr:colOff>143656</xdr:colOff>
      <xdr:row>342</xdr:row>
      <xdr:rowOff>5607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7520336" y="65413418"/>
          <a:ext cx="3256684" cy="64373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No.2</a:t>
          </a:r>
        </a:p>
        <a:p>
          <a:r>
            <a:rPr lang="en-US" b="1">
              <a:solidFill>
                <a:srgbClr val="FF0000"/>
              </a:solidFill>
            </a:rPr>
            <a:t>Wing A &amp; B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908946</xdr:colOff>
      <xdr:row>346</xdr:row>
      <xdr:rowOff>167818</xdr:rowOff>
    </xdr:from>
    <xdr:to>
      <xdr:col>12</xdr:col>
      <xdr:colOff>763473</xdr:colOff>
      <xdr:row>350</xdr:row>
      <xdr:rowOff>14049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7429241" y="67016000"/>
          <a:ext cx="3179618" cy="6428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No.2</a:t>
          </a:r>
        </a:p>
        <a:p>
          <a:r>
            <a:rPr lang="en-US" b="1">
              <a:solidFill>
                <a:srgbClr val="FF0000"/>
              </a:solidFill>
            </a:rPr>
            <a:t>Wing C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693409</xdr:colOff>
      <xdr:row>331</xdr:row>
      <xdr:rowOff>103380</xdr:rowOff>
    </xdr:from>
    <xdr:to>
      <xdr:col>17</xdr:col>
      <xdr:colOff>558464</xdr:colOff>
      <xdr:row>332</xdr:row>
      <xdr:rowOff>183560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0294609" y="62879480"/>
          <a:ext cx="2068505" cy="27703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1">
              <a:solidFill>
                <a:srgbClr val="FF0000"/>
              </a:solidFill>
            </a:rPr>
            <a:t>Building No.1</a:t>
          </a:r>
          <a:r>
            <a:rPr lang="en-IN" sz="1200" b="1" baseline="0">
              <a:solidFill>
                <a:srgbClr val="FF0000"/>
              </a:solidFill>
            </a:rPr>
            <a:t> </a:t>
          </a:r>
          <a:r>
            <a:rPr lang="en-US" sz="1200" b="1">
              <a:solidFill>
                <a:srgbClr val="FF0000"/>
              </a:solidFill>
            </a:rPr>
            <a:t>Wing B</a:t>
          </a:r>
          <a:endParaRPr lang="en-IN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247531</xdr:colOff>
      <xdr:row>342</xdr:row>
      <xdr:rowOff>190084</xdr:rowOff>
    </xdr:from>
    <xdr:to>
      <xdr:col>9</xdr:col>
      <xdr:colOff>565151</xdr:colOff>
      <xdr:row>344</xdr:row>
      <xdr:rowOff>76589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7092831" y="65125184"/>
          <a:ext cx="1536820" cy="28020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1">
              <a:solidFill>
                <a:srgbClr val="FF0000"/>
              </a:solidFill>
            </a:rPr>
            <a:t>Building No.2</a:t>
          </a:r>
          <a:r>
            <a:rPr lang="en-IN" sz="1200" b="1" baseline="0">
              <a:solidFill>
                <a:srgbClr val="FF0000"/>
              </a:solidFill>
            </a:rPr>
            <a:t> </a:t>
          </a:r>
          <a:r>
            <a:rPr lang="en-US" sz="1200" b="1">
              <a:solidFill>
                <a:srgbClr val="FF0000"/>
              </a:solidFill>
            </a:rPr>
            <a:t>Wing A</a:t>
          </a:r>
          <a:endParaRPr lang="en-IN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438030</xdr:colOff>
      <xdr:row>342</xdr:row>
      <xdr:rowOff>180559</xdr:rowOff>
    </xdr:from>
    <xdr:to>
      <xdr:col>19</xdr:col>
      <xdr:colOff>623760</xdr:colOff>
      <xdr:row>344</xdr:row>
      <xdr:rowOff>60714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1601330" y="65115659"/>
          <a:ext cx="2109780" cy="27385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1">
              <a:solidFill>
                <a:srgbClr val="FF0000"/>
              </a:solidFill>
            </a:rPr>
            <a:t>Building No.2</a:t>
          </a:r>
          <a:r>
            <a:rPr lang="en-IN" sz="1200" b="1" baseline="0">
              <a:solidFill>
                <a:srgbClr val="FF0000"/>
              </a:solidFill>
            </a:rPr>
            <a:t> </a:t>
          </a:r>
          <a:r>
            <a:rPr lang="en-US" sz="1200" b="1">
              <a:solidFill>
                <a:srgbClr val="FF0000"/>
              </a:solidFill>
            </a:rPr>
            <a:t>Wing B</a:t>
          </a:r>
          <a:endParaRPr lang="en-IN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165158</xdr:colOff>
      <xdr:row>354</xdr:row>
      <xdr:rowOff>76763</xdr:rowOff>
    </xdr:from>
    <xdr:to>
      <xdr:col>10</xdr:col>
      <xdr:colOff>214363</xdr:colOff>
      <xdr:row>355</xdr:row>
      <xdr:rowOff>156943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7010458" y="67374063"/>
          <a:ext cx="2068505" cy="27703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1">
              <a:solidFill>
                <a:srgbClr val="FF0000"/>
              </a:solidFill>
            </a:rPr>
            <a:t>Building No.2</a:t>
          </a:r>
          <a:r>
            <a:rPr lang="en-IN" sz="1200" b="1" baseline="0">
              <a:solidFill>
                <a:srgbClr val="FF0000"/>
              </a:solidFill>
            </a:rPr>
            <a:t> </a:t>
          </a:r>
          <a:r>
            <a:rPr lang="en-US" sz="1200" b="1">
              <a:solidFill>
                <a:srgbClr val="FF0000"/>
              </a:solidFill>
            </a:rPr>
            <a:t>Wing C</a:t>
          </a:r>
          <a:endParaRPr lang="en-IN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209630</xdr:colOff>
      <xdr:row>354</xdr:row>
      <xdr:rowOff>9287</xdr:rowOff>
    </xdr:from>
    <xdr:to>
      <xdr:col>19</xdr:col>
      <xdr:colOff>250883</xdr:colOff>
      <xdr:row>356</xdr:row>
      <xdr:rowOff>77314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2014280" y="67306587"/>
          <a:ext cx="1323953" cy="46172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1">
              <a:solidFill>
                <a:srgbClr val="FF0000"/>
              </a:solidFill>
            </a:rPr>
            <a:t>Building No.2</a:t>
          </a:r>
          <a:r>
            <a:rPr lang="en-IN" sz="1200" b="1" baseline="0">
              <a:solidFill>
                <a:srgbClr val="FF0000"/>
              </a:solidFill>
            </a:rPr>
            <a:t> </a:t>
          </a:r>
          <a:r>
            <a:rPr lang="en-US" sz="1200" b="1">
              <a:solidFill>
                <a:srgbClr val="FF0000"/>
              </a:solidFill>
            </a:rPr>
            <a:t>Wing C</a:t>
          </a:r>
          <a:endParaRPr lang="en-IN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695325</xdr:colOff>
      <xdr:row>333</xdr:row>
      <xdr:rowOff>142875</xdr:rowOff>
    </xdr:from>
    <xdr:to>
      <xdr:col>20</xdr:col>
      <xdr:colOff>520065</xdr:colOff>
      <xdr:row>373</xdr:row>
      <xdr:rowOff>114300</xdr:rowOff>
    </xdr:to>
    <xdr:grpSp>
      <xdr:nvGrpSpPr>
        <xdr:cNvPr id="46" name="Group 45">
          <a:extLst>
            <a:ext uri="{FF2B5EF4-FFF2-40B4-BE49-F238E27FC236}">
              <a16:creationId xmlns:a16="http://schemas.microsoft.com/office/drawing/2014/main" id="{06E71778-2A6A-4048-9ABF-2488D7BE80EB}"/>
            </a:ext>
          </a:extLst>
        </xdr:cNvPr>
        <xdr:cNvGrpSpPr/>
      </xdr:nvGrpSpPr>
      <xdr:grpSpPr>
        <a:xfrm>
          <a:off x="7393305" y="64661415"/>
          <a:ext cx="6568440" cy="7888605"/>
          <a:chOff x="72002" y="49738"/>
          <a:chExt cx="6645516" cy="8642850"/>
        </a:xfrm>
      </xdr:grpSpPr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AD2CE47D-4158-4C33-8F01-88CA264B8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31609" y="2585807"/>
            <a:ext cx="1591345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8D8732D3-DCEF-4401-86B4-4542A715D5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01547" y="2609786"/>
            <a:ext cx="1591345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>
            <a:extLst>
              <a:ext uri="{FF2B5EF4-FFF2-40B4-BE49-F238E27FC236}">
                <a16:creationId xmlns:a16="http://schemas.microsoft.com/office/drawing/2014/main" id="{DE233FFF-4B2E-410F-A1CF-07DDA8BE24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71485" y="2609786"/>
            <a:ext cx="1591345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>
            <a:extLst>
              <a:ext uri="{FF2B5EF4-FFF2-40B4-BE49-F238E27FC236}">
                <a16:creationId xmlns:a16="http://schemas.microsoft.com/office/drawing/2014/main" id="{82342A0B-6DA5-4742-AA74-BBB3E21E9C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2002" y="5111187"/>
            <a:ext cx="1550888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>
            <a:extLst>
              <a:ext uri="{FF2B5EF4-FFF2-40B4-BE49-F238E27FC236}">
                <a16:creationId xmlns:a16="http://schemas.microsoft.com/office/drawing/2014/main" id="{97817A47-323A-4150-BA3F-8FF9502152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66293" y="5111187"/>
            <a:ext cx="1550888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>
            <a:extLst>
              <a:ext uri="{FF2B5EF4-FFF2-40B4-BE49-F238E27FC236}">
                <a16:creationId xmlns:a16="http://schemas.microsoft.com/office/drawing/2014/main" id="{1A436C17-7516-4ACF-8BE5-38E1C69BF8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0584" y="5111187"/>
            <a:ext cx="1550888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>
            <a:extLst>
              <a:ext uri="{FF2B5EF4-FFF2-40B4-BE49-F238E27FC236}">
                <a16:creationId xmlns:a16="http://schemas.microsoft.com/office/drawing/2014/main" id="{B5615A3A-6886-400D-A20F-1422666A1C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97219" y="49738"/>
            <a:ext cx="5400000" cy="243175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>
            <a:extLst>
              <a:ext uri="{FF2B5EF4-FFF2-40B4-BE49-F238E27FC236}">
                <a16:creationId xmlns:a16="http://schemas.microsoft.com/office/drawing/2014/main" id="{60CB65B7-1A9E-400E-A7AA-52C14053BB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2002" y="7252588"/>
            <a:ext cx="1155479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>
            <a:extLst>
              <a:ext uri="{FF2B5EF4-FFF2-40B4-BE49-F238E27FC236}">
                <a16:creationId xmlns:a16="http://schemas.microsoft.com/office/drawing/2014/main" id="{01274E8B-F6B7-4915-8D06-90D6CDD641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56328" y="7252588"/>
            <a:ext cx="2565610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>
            <a:extLst>
              <a:ext uri="{FF2B5EF4-FFF2-40B4-BE49-F238E27FC236}">
                <a16:creationId xmlns:a16="http://schemas.microsoft.com/office/drawing/2014/main" id="{003EDA47-6CA0-4622-A6E2-506D3807C5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86860" y="7252588"/>
            <a:ext cx="2571414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8" name="TextBox 41">
            <a:extLst>
              <a:ext uri="{FF2B5EF4-FFF2-40B4-BE49-F238E27FC236}">
                <a16:creationId xmlns:a16="http://schemas.microsoft.com/office/drawing/2014/main" id="{E1311E3B-428E-45B7-8816-CF97FB48CB7C}"/>
              </a:ext>
            </a:extLst>
          </xdr:cNvPr>
          <xdr:cNvSpPr txBox="1"/>
        </xdr:nvSpPr>
        <xdr:spPr>
          <a:xfrm>
            <a:off x="679555" y="112506"/>
            <a:ext cx="1423569" cy="40608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Bldg No. 2C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69" name="TextBox 42">
            <a:extLst>
              <a:ext uri="{FF2B5EF4-FFF2-40B4-BE49-F238E27FC236}">
                <a16:creationId xmlns:a16="http://schemas.microsoft.com/office/drawing/2014/main" id="{8F32C761-A9E6-4824-9356-6CDFD890B639}"/>
              </a:ext>
            </a:extLst>
          </xdr:cNvPr>
          <xdr:cNvSpPr txBox="1"/>
        </xdr:nvSpPr>
        <xdr:spPr>
          <a:xfrm>
            <a:off x="3079246" y="266746"/>
            <a:ext cx="1480280" cy="40608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Bldg No. 2B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0" name="TextBox 43">
            <a:extLst>
              <a:ext uri="{FF2B5EF4-FFF2-40B4-BE49-F238E27FC236}">
                <a16:creationId xmlns:a16="http://schemas.microsoft.com/office/drawing/2014/main" id="{24B630DA-0F09-49A4-9B56-96E4EC5B8FE9}"/>
              </a:ext>
            </a:extLst>
          </xdr:cNvPr>
          <xdr:cNvSpPr txBox="1"/>
        </xdr:nvSpPr>
        <xdr:spPr>
          <a:xfrm>
            <a:off x="801628" y="2609786"/>
            <a:ext cx="1347777" cy="40608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Bldg No. 2A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1" name="TextBox 44">
            <a:extLst>
              <a:ext uri="{FF2B5EF4-FFF2-40B4-BE49-F238E27FC236}">
                <a16:creationId xmlns:a16="http://schemas.microsoft.com/office/drawing/2014/main" id="{9556DA5B-2B5E-4E74-9745-AEC08DFE3E63}"/>
              </a:ext>
            </a:extLst>
          </xdr:cNvPr>
          <xdr:cNvSpPr txBox="1"/>
        </xdr:nvSpPr>
        <xdr:spPr>
          <a:xfrm>
            <a:off x="2625694" y="2641224"/>
            <a:ext cx="1444666" cy="40608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Bldg No. 2B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2" name="TextBox 45">
            <a:extLst>
              <a:ext uri="{FF2B5EF4-FFF2-40B4-BE49-F238E27FC236}">
                <a16:creationId xmlns:a16="http://schemas.microsoft.com/office/drawing/2014/main" id="{FD5BDAB1-DFC4-482A-9483-17FEE5B55AC4}"/>
              </a:ext>
            </a:extLst>
          </xdr:cNvPr>
          <xdr:cNvSpPr txBox="1"/>
        </xdr:nvSpPr>
        <xdr:spPr>
          <a:xfrm>
            <a:off x="4271484" y="2673426"/>
            <a:ext cx="1371314" cy="40608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Bldg No. 2C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3" name="TextBox 46">
            <a:extLst>
              <a:ext uri="{FF2B5EF4-FFF2-40B4-BE49-F238E27FC236}">
                <a16:creationId xmlns:a16="http://schemas.microsoft.com/office/drawing/2014/main" id="{BA36BCC7-03BD-4D24-87B5-227E91E8F51E}"/>
              </a:ext>
            </a:extLst>
          </xdr:cNvPr>
          <xdr:cNvSpPr txBox="1"/>
        </xdr:nvSpPr>
        <xdr:spPr>
          <a:xfrm>
            <a:off x="72002" y="5111187"/>
            <a:ext cx="1409954" cy="40608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Bldg No. 2C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4" name="TextBox 47">
            <a:extLst>
              <a:ext uri="{FF2B5EF4-FFF2-40B4-BE49-F238E27FC236}">
                <a16:creationId xmlns:a16="http://schemas.microsoft.com/office/drawing/2014/main" id="{D8BA8A82-ABBF-4647-848F-2D5B0F72BAC6}"/>
              </a:ext>
            </a:extLst>
          </xdr:cNvPr>
          <xdr:cNvSpPr txBox="1"/>
        </xdr:nvSpPr>
        <xdr:spPr>
          <a:xfrm>
            <a:off x="1899574" y="5152671"/>
            <a:ext cx="1367008" cy="40608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Bldg No. 1A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5" name="TextBox 48">
            <a:extLst>
              <a:ext uri="{FF2B5EF4-FFF2-40B4-BE49-F238E27FC236}">
                <a16:creationId xmlns:a16="http://schemas.microsoft.com/office/drawing/2014/main" id="{8C4FF8F8-5D98-429D-845A-7F1E83ADD26C}"/>
              </a:ext>
            </a:extLst>
          </xdr:cNvPr>
          <xdr:cNvSpPr txBox="1"/>
        </xdr:nvSpPr>
        <xdr:spPr>
          <a:xfrm>
            <a:off x="3640251" y="6773546"/>
            <a:ext cx="1401097" cy="40608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Bldg No. 1B</a:t>
            </a:r>
            <a:endParaRPr lang="en-IN" b="1">
              <a:solidFill>
                <a:srgbClr val="FF0000"/>
              </a:solidFill>
            </a:endParaRPr>
          </a:p>
        </xdr:txBody>
      </xdr:sp>
      <xdr:pic>
        <xdr:nvPicPr>
          <xdr:cNvPr id="76" name="Picture 75">
            <a:extLst>
              <a:ext uri="{FF2B5EF4-FFF2-40B4-BE49-F238E27FC236}">
                <a16:creationId xmlns:a16="http://schemas.microsoft.com/office/drawing/2014/main" id="{6D3BC5AA-19C6-4793-9E0A-552804F151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68937" y="5111187"/>
            <a:ext cx="1548581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7" name="TextBox 52">
            <a:extLst>
              <a:ext uri="{FF2B5EF4-FFF2-40B4-BE49-F238E27FC236}">
                <a16:creationId xmlns:a16="http://schemas.microsoft.com/office/drawing/2014/main" id="{7F0EE6AB-C33F-4E4D-9F90-FDEA3C87D467}"/>
              </a:ext>
            </a:extLst>
          </xdr:cNvPr>
          <xdr:cNvSpPr txBox="1"/>
        </xdr:nvSpPr>
        <xdr:spPr>
          <a:xfrm>
            <a:off x="5211849" y="6537188"/>
            <a:ext cx="1367630" cy="40608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Bldg No. 1A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533400</xdr:colOff>
      <xdr:row>334</xdr:row>
      <xdr:rowOff>99061</xdr:rowOff>
    </xdr:from>
    <xdr:to>
      <xdr:col>7</xdr:col>
      <xdr:colOff>365760</xdr:colOff>
      <xdr:row>374</xdr:row>
      <xdr:rowOff>83821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F9B996DA-106D-2DCE-F812-4C01650676ED}"/>
            </a:ext>
          </a:extLst>
        </xdr:cNvPr>
        <xdr:cNvGrpSpPr/>
      </xdr:nvGrpSpPr>
      <xdr:grpSpPr>
        <a:xfrm>
          <a:off x="533400" y="64815721"/>
          <a:ext cx="5676900" cy="7901940"/>
          <a:chOff x="-126881" y="345747"/>
          <a:chExt cx="5964386" cy="8998161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B3B6DDC8-2909-F11C-3392-79277731BD56}"/>
              </a:ext>
            </a:extLst>
          </xdr:cNvPr>
          <xdr:cNvGrpSpPr/>
        </xdr:nvGrpSpPr>
        <xdr:grpSpPr>
          <a:xfrm>
            <a:off x="-126881" y="345747"/>
            <a:ext cx="5964386" cy="2520000"/>
            <a:chOff x="298564" y="345747"/>
            <a:chExt cx="5964386" cy="2520000"/>
          </a:xfrm>
        </xdr:grpSpPr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CA279707-4BCD-88B6-79DA-6EEB318A9F8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98564" y="345747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71297AF9-3590-B908-630E-232ED7F913F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10244" y="345747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18EECD48-E6BA-1356-5FF6-483733FEF76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74919" y="345747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51578C7-7E79-2D69-8C6E-23C88C84AEFA}"/>
              </a:ext>
            </a:extLst>
          </xdr:cNvPr>
          <xdr:cNvGrpSpPr/>
        </xdr:nvGrpSpPr>
        <xdr:grpSpPr>
          <a:xfrm>
            <a:off x="153331" y="3037027"/>
            <a:ext cx="5403963" cy="2540160"/>
            <a:chOff x="298564" y="3060054"/>
            <a:chExt cx="5403963" cy="2540160"/>
          </a:xfrm>
        </xdr:grpSpPr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7AE3FB89-E2F6-8297-4640-08A1511F94C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814496" y="3060054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8D3D8929-F7AE-DE9A-43A9-64C4258F489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98564" y="3080214"/>
              <a:ext cx="335729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7D689C0F-A383-3FE7-4701-76A5093A2BC4}"/>
              </a:ext>
            </a:extLst>
          </xdr:cNvPr>
          <xdr:cNvGrpSpPr/>
        </xdr:nvGrpSpPr>
        <xdr:grpSpPr>
          <a:xfrm>
            <a:off x="-80583" y="5748467"/>
            <a:ext cx="5871790" cy="1804161"/>
            <a:chOff x="257339" y="5689661"/>
            <a:chExt cx="5871790" cy="1804161"/>
          </a:xfrm>
        </xdr:grpSpPr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0EAEB041-27E9-3956-D1C9-7FDE42E0A95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780535" y="5693822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EC911863-2B16-FD4D-D53F-DD425A95F34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65071" y="5689661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127CD2CA-6B77-E2F0-5B5A-62DBA59113F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72803" y="5689661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F8EE6452-ACE4-C0B0-AEBD-2F015140082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57339" y="5689661"/>
              <a:ext cx="1348594" cy="1800000"/>
            </a:xfrm>
            <a:prstGeom prst="rect">
              <a:avLst/>
            </a:prstGeom>
          </xdr:spPr>
        </xdr:pic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F69A459F-5787-B8DE-934A-E6BB69B36E81}"/>
              </a:ext>
            </a:extLst>
          </xdr:cNvPr>
          <xdr:cNvGrpSpPr/>
        </xdr:nvGrpSpPr>
        <xdr:grpSpPr>
          <a:xfrm>
            <a:off x="1089747" y="7723908"/>
            <a:ext cx="3531131" cy="1620000"/>
            <a:chOff x="-552326" y="7723908"/>
            <a:chExt cx="3531131" cy="1620000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A3C45EB3-9DCF-B034-597C-42B18BA800A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65071" y="7723908"/>
              <a:ext cx="1213734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F4780892-A7D2-7D1E-F33A-0E8ED348A15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552326" y="7723908"/>
              <a:ext cx="2158259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3</xdr:col>
      <xdr:colOff>217561</xdr:colOff>
      <xdr:row>29</xdr:row>
      <xdr:rowOff>54000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3249706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596545</xdr:colOff>
      <xdr:row>17</xdr:row>
      <xdr:rowOff>0</xdr:rowOff>
    </xdr:from>
    <xdr:to>
      <xdr:col>7</xdr:col>
      <xdr:colOff>970987</xdr:colOff>
      <xdr:row>29</xdr:row>
      <xdr:rowOff>54000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3721" y="3249706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15</xdr:col>
      <xdr:colOff>100348</xdr:colOff>
      <xdr:row>69</xdr:row>
      <xdr:rowOff>75286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2706" y="5916706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LishpKQerKTcbnN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421"/>
  <sheetViews>
    <sheetView tabSelected="1" view="pageBreakPreview" topLeftCell="A98" zoomScaleNormal="100" zoomScaleSheetLayoutView="100" workbookViewId="0">
      <selection activeCell="L50" sqref="L50"/>
    </sheetView>
  </sheetViews>
  <sheetFormatPr defaultColWidth="9.109375" defaultRowHeight="15.6" x14ac:dyDescent="0.3"/>
  <cols>
    <col min="1" max="1" width="11.44140625" style="8" customWidth="1"/>
    <col min="2" max="2" width="12" style="8" customWidth="1"/>
    <col min="3" max="3" width="12.6640625" style="8" customWidth="1"/>
    <col min="4" max="4" width="14.109375" style="8" customWidth="1"/>
    <col min="5" max="7" width="11.6640625" style="8" customWidth="1"/>
    <col min="8" max="8" width="12.44140625" style="8" customWidth="1"/>
    <col min="9" max="9" width="17.44140625" style="3" customWidth="1"/>
    <col min="10" max="10" width="11.44140625" style="3" customWidth="1"/>
    <col min="11" max="11" width="10.5546875" style="3" bestFit="1" customWidth="1"/>
    <col min="12" max="12" width="10.5546875" style="3" customWidth="1"/>
    <col min="13" max="13" width="11.88671875" style="3" customWidth="1"/>
    <col min="14" max="14" width="12.5546875" style="3" hidden="1" customWidth="1"/>
    <col min="15" max="15" width="9.88671875" style="3" hidden="1" customWidth="1"/>
    <col min="16" max="16" width="11.6640625" style="3" hidden="1" customWidth="1"/>
    <col min="17" max="247" width="9.109375" style="3"/>
    <col min="248" max="248" width="8.6640625" style="3" customWidth="1"/>
    <col min="249" max="249" width="9.88671875" style="3" customWidth="1"/>
    <col min="250" max="250" width="14.44140625" style="3" customWidth="1"/>
    <col min="251" max="251" width="7.33203125" style="3" customWidth="1"/>
    <col min="252" max="252" width="5.5546875" style="3" customWidth="1"/>
    <col min="253" max="253" width="9" style="3" customWidth="1"/>
    <col min="254" max="255" width="9.88671875" style="3" customWidth="1"/>
    <col min="256" max="256" width="11.109375" style="3" customWidth="1"/>
    <col min="257" max="257" width="2.88671875" style="3" customWidth="1"/>
    <col min="258" max="258" width="3.5546875" style="3" customWidth="1"/>
    <col min="259" max="503" width="9.109375" style="3"/>
    <col min="504" max="504" width="8.6640625" style="3" customWidth="1"/>
    <col min="505" max="505" width="9.88671875" style="3" customWidth="1"/>
    <col min="506" max="506" width="14.44140625" style="3" customWidth="1"/>
    <col min="507" max="507" width="7.33203125" style="3" customWidth="1"/>
    <col min="508" max="508" width="5.5546875" style="3" customWidth="1"/>
    <col min="509" max="509" width="9" style="3" customWidth="1"/>
    <col min="510" max="511" width="9.88671875" style="3" customWidth="1"/>
    <col min="512" max="512" width="11.109375" style="3" customWidth="1"/>
    <col min="513" max="513" width="2.88671875" style="3" customWidth="1"/>
    <col min="514" max="514" width="3.5546875" style="3" customWidth="1"/>
    <col min="515" max="759" width="9.109375" style="3"/>
    <col min="760" max="760" width="8.6640625" style="3" customWidth="1"/>
    <col min="761" max="761" width="9.88671875" style="3" customWidth="1"/>
    <col min="762" max="762" width="14.44140625" style="3" customWidth="1"/>
    <col min="763" max="763" width="7.33203125" style="3" customWidth="1"/>
    <col min="764" max="764" width="5.5546875" style="3" customWidth="1"/>
    <col min="765" max="765" width="9" style="3" customWidth="1"/>
    <col min="766" max="767" width="9.88671875" style="3" customWidth="1"/>
    <col min="768" max="768" width="11.109375" style="3" customWidth="1"/>
    <col min="769" max="769" width="2.88671875" style="3" customWidth="1"/>
    <col min="770" max="770" width="3.5546875" style="3" customWidth="1"/>
    <col min="771" max="1015" width="9.109375" style="3"/>
    <col min="1016" max="1016" width="8.6640625" style="3" customWidth="1"/>
    <col min="1017" max="1017" width="9.88671875" style="3" customWidth="1"/>
    <col min="1018" max="1018" width="14.44140625" style="3" customWidth="1"/>
    <col min="1019" max="1019" width="7.33203125" style="3" customWidth="1"/>
    <col min="1020" max="1020" width="5.5546875" style="3" customWidth="1"/>
    <col min="1021" max="1021" width="9" style="3" customWidth="1"/>
    <col min="1022" max="1023" width="9.88671875" style="3" customWidth="1"/>
    <col min="1024" max="1024" width="11.109375" style="3" customWidth="1"/>
    <col min="1025" max="1025" width="2.88671875" style="3" customWidth="1"/>
    <col min="1026" max="1026" width="3.5546875" style="3" customWidth="1"/>
    <col min="1027" max="1271" width="9.109375" style="3"/>
    <col min="1272" max="1272" width="8.6640625" style="3" customWidth="1"/>
    <col min="1273" max="1273" width="9.88671875" style="3" customWidth="1"/>
    <col min="1274" max="1274" width="14.44140625" style="3" customWidth="1"/>
    <col min="1275" max="1275" width="7.33203125" style="3" customWidth="1"/>
    <col min="1276" max="1276" width="5.5546875" style="3" customWidth="1"/>
    <col min="1277" max="1277" width="9" style="3" customWidth="1"/>
    <col min="1278" max="1279" width="9.88671875" style="3" customWidth="1"/>
    <col min="1280" max="1280" width="11.109375" style="3" customWidth="1"/>
    <col min="1281" max="1281" width="2.88671875" style="3" customWidth="1"/>
    <col min="1282" max="1282" width="3.5546875" style="3" customWidth="1"/>
    <col min="1283" max="1527" width="9.109375" style="3"/>
    <col min="1528" max="1528" width="8.6640625" style="3" customWidth="1"/>
    <col min="1529" max="1529" width="9.88671875" style="3" customWidth="1"/>
    <col min="1530" max="1530" width="14.44140625" style="3" customWidth="1"/>
    <col min="1531" max="1531" width="7.33203125" style="3" customWidth="1"/>
    <col min="1532" max="1532" width="5.5546875" style="3" customWidth="1"/>
    <col min="1533" max="1533" width="9" style="3" customWidth="1"/>
    <col min="1534" max="1535" width="9.88671875" style="3" customWidth="1"/>
    <col min="1536" max="1536" width="11.109375" style="3" customWidth="1"/>
    <col min="1537" max="1537" width="2.88671875" style="3" customWidth="1"/>
    <col min="1538" max="1538" width="3.5546875" style="3" customWidth="1"/>
    <col min="1539" max="1783" width="9.109375" style="3"/>
    <col min="1784" max="1784" width="8.6640625" style="3" customWidth="1"/>
    <col min="1785" max="1785" width="9.88671875" style="3" customWidth="1"/>
    <col min="1786" max="1786" width="14.44140625" style="3" customWidth="1"/>
    <col min="1787" max="1787" width="7.33203125" style="3" customWidth="1"/>
    <col min="1788" max="1788" width="5.5546875" style="3" customWidth="1"/>
    <col min="1789" max="1789" width="9" style="3" customWidth="1"/>
    <col min="1790" max="1791" width="9.88671875" style="3" customWidth="1"/>
    <col min="1792" max="1792" width="11.109375" style="3" customWidth="1"/>
    <col min="1793" max="1793" width="2.88671875" style="3" customWidth="1"/>
    <col min="1794" max="1794" width="3.5546875" style="3" customWidth="1"/>
    <col min="1795" max="2039" width="9.109375" style="3"/>
    <col min="2040" max="2040" width="8.6640625" style="3" customWidth="1"/>
    <col min="2041" max="2041" width="9.88671875" style="3" customWidth="1"/>
    <col min="2042" max="2042" width="14.44140625" style="3" customWidth="1"/>
    <col min="2043" max="2043" width="7.33203125" style="3" customWidth="1"/>
    <col min="2044" max="2044" width="5.5546875" style="3" customWidth="1"/>
    <col min="2045" max="2045" width="9" style="3" customWidth="1"/>
    <col min="2046" max="2047" width="9.88671875" style="3" customWidth="1"/>
    <col min="2048" max="2048" width="11.109375" style="3" customWidth="1"/>
    <col min="2049" max="2049" width="2.88671875" style="3" customWidth="1"/>
    <col min="2050" max="2050" width="3.5546875" style="3" customWidth="1"/>
    <col min="2051" max="2295" width="9.109375" style="3"/>
    <col min="2296" max="2296" width="8.6640625" style="3" customWidth="1"/>
    <col min="2297" max="2297" width="9.88671875" style="3" customWidth="1"/>
    <col min="2298" max="2298" width="14.44140625" style="3" customWidth="1"/>
    <col min="2299" max="2299" width="7.33203125" style="3" customWidth="1"/>
    <col min="2300" max="2300" width="5.5546875" style="3" customWidth="1"/>
    <col min="2301" max="2301" width="9" style="3" customWidth="1"/>
    <col min="2302" max="2303" width="9.88671875" style="3" customWidth="1"/>
    <col min="2304" max="2304" width="11.109375" style="3" customWidth="1"/>
    <col min="2305" max="2305" width="2.88671875" style="3" customWidth="1"/>
    <col min="2306" max="2306" width="3.5546875" style="3" customWidth="1"/>
    <col min="2307" max="2551" width="9.109375" style="3"/>
    <col min="2552" max="2552" width="8.6640625" style="3" customWidth="1"/>
    <col min="2553" max="2553" width="9.88671875" style="3" customWidth="1"/>
    <col min="2554" max="2554" width="14.44140625" style="3" customWidth="1"/>
    <col min="2555" max="2555" width="7.33203125" style="3" customWidth="1"/>
    <col min="2556" max="2556" width="5.5546875" style="3" customWidth="1"/>
    <col min="2557" max="2557" width="9" style="3" customWidth="1"/>
    <col min="2558" max="2559" width="9.88671875" style="3" customWidth="1"/>
    <col min="2560" max="2560" width="11.109375" style="3" customWidth="1"/>
    <col min="2561" max="2561" width="2.88671875" style="3" customWidth="1"/>
    <col min="2562" max="2562" width="3.5546875" style="3" customWidth="1"/>
    <col min="2563" max="2807" width="9.109375" style="3"/>
    <col min="2808" max="2808" width="8.6640625" style="3" customWidth="1"/>
    <col min="2809" max="2809" width="9.88671875" style="3" customWidth="1"/>
    <col min="2810" max="2810" width="14.44140625" style="3" customWidth="1"/>
    <col min="2811" max="2811" width="7.33203125" style="3" customWidth="1"/>
    <col min="2812" max="2812" width="5.5546875" style="3" customWidth="1"/>
    <col min="2813" max="2813" width="9" style="3" customWidth="1"/>
    <col min="2814" max="2815" width="9.88671875" style="3" customWidth="1"/>
    <col min="2816" max="2816" width="11.109375" style="3" customWidth="1"/>
    <col min="2817" max="2817" width="2.88671875" style="3" customWidth="1"/>
    <col min="2818" max="2818" width="3.5546875" style="3" customWidth="1"/>
    <col min="2819" max="3063" width="9.109375" style="3"/>
    <col min="3064" max="3064" width="8.6640625" style="3" customWidth="1"/>
    <col min="3065" max="3065" width="9.88671875" style="3" customWidth="1"/>
    <col min="3066" max="3066" width="14.44140625" style="3" customWidth="1"/>
    <col min="3067" max="3067" width="7.33203125" style="3" customWidth="1"/>
    <col min="3068" max="3068" width="5.5546875" style="3" customWidth="1"/>
    <col min="3069" max="3069" width="9" style="3" customWidth="1"/>
    <col min="3070" max="3071" width="9.88671875" style="3" customWidth="1"/>
    <col min="3072" max="3072" width="11.109375" style="3" customWidth="1"/>
    <col min="3073" max="3073" width="2.88671875" style="3" customWidth="1"/>
    <col min="3074" max="3074" width="3.5546875" style="3" customWidth="1"/>
    <col min="3075" max="3319" width="9.109375" style="3"/>
    <col min="3320" max="3320" width="8.6640625" style="3" customWidth="1"/>
    <col min="3321" max="3321" width="9.88671875" style="3" customWidth="1"/>
    <col min="3322" max="3322" width="14.44140625" style="3" customWidth="1"/>
    <col min="3323" max="3323" width="7.33203125" style="3" customWidth="1"/>
    <col min="3324" max="3324" width="5.5546875" style="3" customWidth="1"/>
    <col min="3325" max="3325" width="9" style="3" customWidth="1"/>
    <col min="3326" max="3327" width="9.88671875" style="3" customWidth="1"/>
    <col min="3328" max="3328" width="11.109375" style="3" customWidth="1"/>
    <col min="3329" max="3329" width="2.88671875" style="3" customWidth="1"/>
    <col min="3330" max="3330" width="3.5546875" style="3" customWidth="1"/>
    <col min="3331" max="3575" width="9.109375" style="3"/>
    <col min="3576" max="3576" width="8.6640625" style="3" customWidth="1"/>
    <col min="3577" max="3577" width="9.88671875" style="3" customWidth="1"/>
    <col min="3578" max="3578" width="14.44140625" style="3" customWidth="1"/>
    <col min="3579" max="3579" width="7.33203125" style="3" customWidth="1"/>
    <col min="3580" max="3580" width="5.5546875" style="3" customWidth="1"/>
    <col min="3581" max="3581" width="9" style="3" customWidth="1"/>
    <col min="3582" max="3583" width="9.88671875" style="3" customWidth="1"/>
    <col min="3584" max="3584" width="11.109375" style="3" customWidth="1"/>
    <col min="3585" max="3585" width="2.88671875" style="3" customWidth="1"/>
    <col min="3586" max="3586" width="3.5546875" style="3" customWidth="1"/>
    <col min="3587" max="3831" width="9.109375" style="3"/>
    <col min="3832" max="3832" width="8.6640625" style="3" customWidth="1"/>
    <col min="3833" max="3833" width="9.88671875" style="3" customWidth="1"/>
    <col min="3834" max="3834" width="14.44140625" style="3" customWidth="1"/>
    <col min="3835" max="3835" width="7.33203125" style="3" customWidth="1"/>
    <col min="3836" max="3836" width="5.5546875" style="3" customWidth="1"/>
    <col min="3837" max="3837" width="9" style="3" customWidth="1"/>
    <col min="3838" max="3839" width="9.88671875" style="3" customWidth="1"/>
    <col min="3840" max="3840" width="11.109375" style="3" customWidth="1"/>
    <col min="3841" max="3841" width="2.88671875" style="3" customWidth="1"/>
    <col min="3842" max="3842" width="3.5546875" style="3" customWidth="1"/>
    <col min="3843" max="4087" width="9.109375" style="3"/>
    <col min="4088" max="4088" width="8.6640625" style="3" customWidth="1"/>
    <col min="4089" max="4089" width="9.88671875" style="3" customWidth="1"/>
    <col min="4090" max="4090" width="14.44140625" style="3" customWidth="1"/>
    <col min="4091" max="4091" width="7.33203125" style="3" customWidth="1"/>
    <col min="4092" max="4092" width="5.5546875" style="3" customWidth="1"/>
    <col min="4093" max="4093" width="9" style="3" customWidth="1"/>
    <col min="4094" max="4095" width="9.88671875" style="3" customWidth="1"/>
    <col min="4096" max="4096" width="11.109375" style="3" customWidth="1"/>
    <col min="4097" max="4097" width="2.88671875" style="3" customWidth="1"/>
    <col min="4098" max="4098" width="3.5546875" style="3" customWidth="1"/>
    <col min="4099" max="4343" width="9.109375" style="3"/>
    <col min="4344" max="4344" width="8.6640625" style="3" customWidth="1"/>
    <col min="4345" max="4345" width="9.88671875" style="3" customWidth="1"/>
    <col min="4346" max="4346" width="14.44140625" style="3" customWidth="1"/>
    <col min="4347" max="4347" width="7.33203125" style="3" customWidth="1"/>
    <col min="4348" max="4348" width="5.5546875" style="3" customWidth="1"/>
    <col min="4349" max="4349" width="9" style="3" customWidth="1"/>
    <col min="4350" max="4351" width="9.88671875" style="3" customWidth="1"/>
    <col min="4352" max="4352" width="11.109375" style="3" customWidth="1"/>
    <col min="4353" max="4353" width="2.88671875" style="3" customWidth="1"/>
    <col min="4354" max="4354" width="3.5546875" style="3" customWidth="1"/>
    <col min="4355" max="4599" width="9.109375" style="3"/>
    <col min="4600" max="4600" width="8.6640625" style="3" customWidth="1"/>
    <col min="4601" max="4601" width="9.88671875" style="3" customWidth="1"/>
    <col min="4602" max="4602" width="14.44140625" style="3" customWidth="1"/>
    <col min="4603" max="4603" width="7.33203125" style="3" customWidth="1"/>
    <col min="4604" max="4604" width="5.5546875" style="3" customWidth="1"/>
    <col min="4605" max="4605" width="9" style="3" customWidth="1"/>
    <col min="4606" max="4607" width="9.88671875" style="3" customWidth="1"/>
    <col min="4608" max="4608" width="11.109375" style="3" customWidth="1"/>
    <col min="4609" max="4609" width="2.88671875" style="3" customWidth="1"/>
    <col min="4610" max="4610" width="3.5546875" style="3" customWidth="1"/>
    <col min="4611" max="4855" width="9.109375" style="3"/>
    <col min="4856" max="4856" width="8.6640625" style="3" customWidth="1"/>
    <col min="4857" max="4857" width="9.88671875" style="3" customWidth="1"/>
    <col min="4858" max="4858" width="14.44140625" style="3" customWidth="1"/>
    <col min="4859" max="4859" width="7.33203125" style="3" customWidth="1"/>
    <col min="4860" max="4860" width="5.5546875" style="3" customWidth="1"/>
    <col min="4861" max="4861" width="9" style="3" customWidth="1"/>
    <col min="4862" max="4863" width="9.88671875" style="3" customWidth="1"/>
    <col min="4864" max="4864" width="11.109375" style="3" customWidth="1"/>
    <col min="4865" max="4865" width="2.88671875" style="3" customWidth="1"/>
    <col min="4866" max="4866" width="3.5546875" style="3" customWidth="1"/>
    <col min="4867" max="5111" width="9.109375" style="3"/>
    <col min="5112" max="5112" width="8.6640625" style="3" customWidth="1"/>
    <col min="5113" max="5113" width="9.88671875" style="3" customWidth="1"/>
    <col min="5114" max="5114" width="14.44140625" style="3" customWidth="1"/>
    <col min="5115" max="5115" width="7.33203125" style="3" customWidth="1"/>
    <col min="5116" max="5116" width="5.5546875" style="3" customWidth="1"/>
    <col min="5117" max="5117" width="9" style="3" customWidth="1"/>
    <col min="5118" max="5119" width="9.88671875" style="3" customWidth="1"/>
    <col min="5120" max="5120" width="11.109375" style="3" customWidth="1"/>
    <col min="5121" max="5121" width="2.88671875" style="3" customWidth="1"/>
    <col min="5122" max="5122" width="3.5546875" style="3" customWidth="1"/>
    <col min="5123" max="5367" width="9.109375" style="3"/>
    <col min="5368" max="5368" width="8.6640625" style="3" customWidth="1"/>
    <col min="5369" max="5369" width="9.88671875" style="3" customWidth="1"/>
    <col min="5370" max="5370" width="14.44140625" style="3" customWidth="1"/>
    <col min="5371" max="5371" width="7.33203125" style="3" customWidth="1"/>
    <col min="5372" max="5372" width="5.5546875" style="3" customWidth="1"/>
    <col min="5373" max="5373" width="9" style="3" customWidth="1"/>
    <col min="5374" max="5375" width="9.88671875" style="3" customWidth="1"/>
    <col min="5376" max="5376" width="11.109375" style="3" customWidth="1"/>
    <col min="5377" max="5377" width="2.88671875" style="3" customWidth="1"/>
    <col min="5378" max="5378" width="3.5546875" style="3" customWidth="1"/>
    <col min="5379" max="5623" width="9.109375" style="3"/>
    <col min="5624" max="5624" width="8.6640625" style="3" customWidth="1"/>
    <col min="5625" max="5625" width="9.88671875" style="3" customWidth="1"/>
    <col min="5626" max="5626" width="14.44140625" style="3" customWidth="1"/>
    <col min="5627" max="5627" width="7.33203125" style="3" customWidth="1"/>
    <col min="5628" max="5628" width="5.5546875" style="3" customWidth="1"/>
    <col min="5629" max="5629" width="9" style="3" customWidth="1"/>
    <col min="5630" max="5631" width="9.88671875" style="3" customWidth="1"/>
    <col min="5632" max="5632" width="11.109375" style="3" customWidth="1"/>
    <col min="5633" max="5633" width="2.88671875" style="3" customWidth="1"/>
    <col min="5634" max="5634" width="3.5546875" style="3" customWidth="1"/>
    <col min="5635" max="5879" width="9.109375" style="3"/>
    <col min="5880" max="5880" width="8.6640625" style="3" customWidth="1"/>
    <col min="5881" max="5881" width="9.88671875" style="3" customWidth="1"/>
    <col min="5882" max="5882" width="14.44140625" style="3" customWidth="1"/>
    <col min="5883" max="5883" width="7.33203125" style="3" customWidth="1"/>
    <col min="5884" max="5884" width="5.5546875" style="3" customWidth="1"/>
    <col min="5885" max="5885" width="9" style="3" customWidth="1"/>
    <col min="5886" max="5887" width="9.88671875" style="3" customWidth="1"/>
    <col min="5888" max="5888" width="11.109375" style="3" customWidth="1"/>
    <col min="5889" max="5889" width="2.88671875" style="3" customWidth="1"/>
    <col min="5890" max="5890" width="3.5546875" style="3" customWidth="1"/>
    <col min="5891" max="6135" width="9.109375" style="3"/>
    <col min="6136" max="6136" width="8.6640625" style="3" customWidth="1"/>
    <col min="6137" max="6137" width="9.88671875" style="3" customWidth="1"/>
    <col min="6138" max="6138" width="14.44140625" style="3" customWidth="1"/>
    <col min="6139" max="6139" width="7.33203125" style="3" customWidth="1"/>
    <col min="6140" max="6140" width="5.5546875" style="3" customWidth="1"/>
    <col min="6141" max="6141" width="9" style="3" customWidth="1"/>
    <col min="6142" max="6143" width="9.88671875" style="3" customWidth="1"/>
    <col min="6144" max="6144" width="11.109375" style="3" customWidth="1"/>
    <col min="6145" max="6145" width="2.88671875" style="3" customWidth="1"/>
    <col min="6146" max="6146" width="3.5546875" style="3" customWidth="1"/>
    <col min="6147" max="6391" width="9.109375" style="3"/>
    <col min="6392" max="6392" width="8.6640625" style="3" customWidth="1"/>
    <col min="6393" max="6393" width="9.88671875" style="3" customWidth="1"/>
    <col min="6394" max="6394" width="14.44140625" style="3" customWidth="1"/>
    <col min="6395" max="6395" width="7.33203125" style="3" customWidth="1"/>
    <col min="6396" max="6396" width="5.5546875" style="3" customWidth="1"/>
    <col min="6397" max="6397" width="9" style="3" customWidth="1"/>
    <col min="6398" max="6399" width="9.88671875" style="3" customWidth="1"/>
    <col min="6400" max="6400" width="11.109375" style="3" customWidth="1"/>
    <col min="6401" max="6401" width="2.88671875" style="3" customWidth="1"/>
    <col min="6402" max="6402" width="3.5546875" style="3" customWidth="1"/>
    <col min="6403" max="6647" width="9.109375" style="3"/>
    <col min="6648" max="6648" width="8.6640625" style="3" customWidth="1"/>
    <col min="6649" max="6649" width="9.88671875" style="3" customWidth="1"/>
    <col min="6650" max="6650" width="14.44140625" style="3" customWidth="1"/>
    <col min="6651" max="6651" width="7.33203125" style="3" customWidth="1"/>
    <col min="6652" max="6652" width="5.5546875" style="3" customWidth="1"/>
    <col min="6653" max="6653" width="9" style="3" customWidth="1"/>
    <col min="6654" max="6655" width="9.88671875" style="3" customWidth="1"/>
    <col min="6656" max="6656" width="11.109375" style="3" customWidth="1"/>
    <col min="6657" max="6657" width="2.88671875" style="3" customWidth="1"/>
    <col min="6658" max="6658" width="3.5546875" style="3" customWidth="1"/>
    <col min="6659" max="6903" width="9.109375" style="3"/>
    <col min="6904" max="6904" width="8.6640625" style="3" customWidth="1"/>
    <col min="6905" max="6905" width="9.88671875" style="3" customWidth="1"/>
    <col min="6906" max="6906" width="14.44140625" style="3" customWidth="1"/>
    <col min="6907" max="6907" width="7.33203125" style="3" customWidth="1"/>
    <col min="6908" max="6908" width="5.5546875" style="3" customWidth="1"/>
    <col min="6909" max="6909" width="9" style="3" customWidth="1"/>
    <col min="6910" max="6911" width="9.88671875" style="3" customWidth="1"/>
    <col min="6912" max="6912" width="11.109375" style="3" customWidth="1"/>
    <col min="6913" max="6913" width="2.88671875" style="3" customWidth="1"/>
    <col min="6914" max="6914" width="3.5546875" style="3" customWidth="1"/>
    <col min="6915" max="7159" width="9.109375" style="3"/>
    <col min="7160" max="7160" width="8.6640625" style="3" customWidth="1"/>
    <col min="7161" max="7161" width="9.88671875" style="3" customWidth="1"/>
    <col min="7162" max="7162" width="14.44140625" style="3" customWidth="1"/>
    <col min="7163" max="7163" width="7.33203125" style="3" customWidth="1"/>
    <col min="7164" max="7164" width="5.5546875" style="3" customWidth="1"/>
    <col min="7165" max="7165" width="9" style="3" customWidth="1"/>
    <col min="7166" max="7167" width="9.88671875" style="3" customWidth="1"/>
    <col min="7168" max="7168" width="11.109375" style="3" customWidth="1"/>
    <col min="7169" max="7169" width="2.88671875" style="3" customWidth="1"/>
    <col min="7170" max="7170" width="3.5546875" style="3" customWidth="1"/>
    <col min="7171" max="7415" width="9.109375" style="3"/>
    <col min="7416" max="7416" width="8.6640625" style="3" customWidth="1"/>
    <col min="7417" max="7417" width="9.88671875" style="3" customWidth="1"/>
    <col min="7418" max="7418" width="14.44140625" style="3" customWidth="1"/>
    <col min="7419" max="7419" width="7.33203125" style="3" customWidth="1"/>
    <col min="7420" max="7420" width="5.5546875" style="3" customWidth="1"/>
    <col min="7421" max="7421" width="9" style="3" customWidth="1"/>
    <col min="7422" max="7423" width="9.88671875" style="3" customWidth="1"/>
    <col min="7424" max="7424" width="11.109375" style="3" customWidth="1"/>
    <col min="7425" max="7425" width="2.88671875" style="3" customWidth="1"/>
    <col min="7426" max="7426" width="3.5546875" style="3" customWidth="1"/>
    <col min="7427" max="7671" width="9.109375" style="3"/>
    <col min="7672" max="7672" width="8.6640625" style="3" customWidth="1"/>
    <col min="7673" max="7673" width="9.88671875" style="3" customWidth="1"/>
    <col min="7674" max="7674" width="14.44140625" style="3" customWidth="1"/>
    <col min="7675" max="7675" width="7.33203125" style="3" customWidth="1"/>
    <col min="7676" max="7676" width="5.5546875" style="3" customWidth="1"/>
    <col min="7677" max="7677" width="9" style="3" customWidth="1"/>
    <col min="7678" max="7679" width="9.88671875" style="3" customWidth="1"/>
    <col min="7680" max="7680" width="11.109375" style="3" customWidth="1"/>
    <col min="7681" max="7681" width="2.88671875" style="3" customWidth="1"/>
    <col min="7682" max="7682" width="3.5546875" style="3" customWidth="1"/>
    <col min="7683" max="7927" width="9.109375" style="3"/>
    <col min="7928" max="7928" width="8.6640625" style="3" customWidth="1"/>
    <col min="7929" max="7929" width="9.88671875" style="3" customWidth="1"/>
    <col min="7930" max="7930" width="14.44140625" style="3" customWidth="1"/>
    <col min="7931" max="7931" width="7.33203125" style="3" customWidth="1"/>
    <col min="7932" max="7932" width="5.5546875" style="3" customWidth="1"/>
    <col min="7933" max="7933" width="9" style="3" customWidth="1"/>
    <col min="7934" max="7935" width="9.88671875" style="3" customWidth="1"/>
    <col min="7936" max="7936" width="11.109375" style="3" customWidth="1"/>
    <col min="7937" max="7937" width="2.88671875" style="3" customWidth="1"/>
    <col min="7938" max="7938" width="3.5546875" style="3" customWidth="1"/>
    <col min="7939" max="8183" width="9.109375" style="3"/>
    <col min="8184" max="8184" width="8.6640625" style="3" customWidth="1"/>
    <col min="8185" max="8185" width="9.88671875" style="3" customWidth="1"/>
    <col min="8186" max="8186" width="14.44140625" style="3" customWidth="1"/>
    <col min="8187" max="8187" width="7.33203125" style="3" customWidth="1"/>
    <col min="8188" max="8188" width="5.5546875" style="3" customWidth="1"/>
    <col min="8189" max="8189" width="9" style="3" customWidth="1"/>
    <col min="8190" max="8191" width="9.88671875" style="3" customWidth="1"/>
    <col min="8192" max="8192" width="11.109375" style="3" customWidth="1"/>
    <col min="8193" max="8193" width="2.88671875" style="3" customWidth="1"/>
    <col min="8194" max="8194" width="3.5546875" style="3" customWidth="1"/>
    <col min="8195" max="8439" width="9.109375" style="3"/>
    <col min="8440" max="8440" width="8.6640625" style="3" customWidth="1"/>
    <col min="8441" max="8441" width="9.88671875" style="3" customWidth="1"/>
    <col min="8442" max="8442" width="14.44140625" style="3" customWidth="1"/>
    <col min="8443" max="8443" width="7.33203125" style="3" customWidth="1"/>
    <col min="8444" max="8444" width="5.5546875" style="3" customWidth="1"/>
    <col min="8445" max="8445" width="9" style="3" customWidth="1"/>
    <col min="8446" max="8447" width="9.88671875" style="3" customWidth="1"/>
    <col min="8448" max="8448" width="11.109375" style="3" customWidth="1"/>
    <col min="8449" max="8449" width="2.88671875" style="3" customWidth="1"/>
    <col min="8450" max="8450" width="3.5546875" style="3" customWidth="1"/>
    <col min="8451" max="8695" width="9.109375" style="3"/>
    <col min="8696" max="8696" width="8.6640625" style="3" customWidth="1"/>
    <col min="8697" max="8697" width="9.88671875" style="3" customWidth="1"/>
    <col min="8698" max="8698" width="14.44140625" style="3" customWidth="1"/>
    <col min="8699" max="8699" width="7.33203125" style="3" customWidth="1"/>
    <col min="8700" max="8700" width="5.5546875" style="3" customWidth="1"/>
    <col min="8701" max="8701" width="9" style="3" customWidth="1"/>
    <col min="8702" max="8703" width="9.88671875" style="3" customWidth="1"/>
    <col min="8704" max="8704" width="11.109375" style="3" customWidth="1"/>
    <col min="8705" max="8705" width="2.88671875" style="3" customWidth="1"/>
    <col min="8706" max="8706" width="3.5546875" style="3" customWidth="1"/>
    <col min="8707" max="8951" width="9.109375" style="3"/>
    <col min="8952" max="8952" width="8.6640625" style="3" customWidth="1"/>
    <col min="8953" max="8953" width="9.88671875" style="3" customWidth="1"/>
    <col min="8954" max="8954" width="14.44140625" style="3" customWidth="1"/>
    <col min="8955" max="8955" width="7.33203125" style="3" customWidth="1"/>
    <col min="8956" max="8956" width="5.5546875" style="3" customWidth="1"/>
    <col min="8957" max="8957" width="9" style="3" customWidth="1"/>
    <col min="8958" max="8959" width="9.88671875" style="3" customWidth="1"/>
    <col min="8960" max="8960" width="11.109375" style="3" customWidth="1"/>
    <col min="8961" max="8961" width="2.88671875" style="3" customWidth="1"/>
    <col min="8962" max="8962" width="3.5546875" style="3" customWidth="1"/>
    <col min="8963" max="9207" width="9.109375" style="3"/>
    <col min="9208" max="9208" width="8.6640625" style="3" customWidth="1"/>
    <col min="9209" max="9209" width="9.88671875" style="3" customWidth="1"/>
    <col min="9210" max="9210" width="14.44140625" style="3" customWidth="1"/>
    <col min="9211" max="9211" width="7.33203125" style="3" customWidth="1"/>
    <col min="9212" max="9212" width="5.5546875" style="3" customWidth="1"/>
    <col min="9213" max="9213" width="9" style="3" customWidth="1"/>
    <col min="9214" max="9215" width="9.88671875" style="3" customWidth="1"/>
    <col min="9216" max="9216" width="11.109375" style="3" customWidth="1"/>
    <col min="9217" max="9217" width="2.88671875" style="3" customWidth="1"/>
    <col min="9218" max="9218" width="3.5546875" style="3" customWidth="1"/>
    <col min="9219" max="9463" width="9.109375" style="3"/>
    <col min="9464" max="9464" width="8.6640625" style="3" customWidth="1"/>
    <col min="9465" max="9465" width="9.88671875" style="3" customWidth="1"/>
    <col min="9466" max="9466" width="14.44140625" style="3" customWidth="1"/>
    <col min="9467" max="9467" width="7.33203125" style="3" customWidth="1"/>
    <col min="9468" max="9468" width="5.5546875" style="3" customWidth="1"/>
    <col min="9469" max="9469" width="9" style="3" customWidth="1"/>
    <col min="9470" max="9471" width="9.88671875" style="3" customWidth="1"/>
    <col min="9472" max="9472" width="11.109375" style="3" customWidth="1"/>
    <col min="9473" max="9473" width="2.88671875" style="3" customWidth="1"/>
    <col min="9474" max="9474" width="3.5546875" style="3" customWidth="1"/>
    <col min="9475" max="9719" width="9.109375" style="3"/>
    <col min="9720" max="9720" width="8.6640625" style="3" customWidth="1"/>
    <col min="9721" max="9721" width="9.88671875" style="3" customWidth="1"/>
    <col min="9722" max="9722" width="14.44140625" style="3" customWidth="1"/>
    <col min="9723" max="9723" width="7.33203125" style="3" customWidth="1"/>
    <col min="9724" max="9724" width="5.5546875" style="3" customWidth="1"/>
    <col min="9725" max="9725" width="9" style="3" customWidth="1"/>
    <col min="9726" max="9727" width="9.88671875" style="3" customWidth="1"/>
    <col min="9728" max="9728" width="11.109375" style="3" customWidth="1"/>
    <col min="9729" max="9729" width="2.88671875" style="3" customWidth="1"/>
    <col min="9730" max="9730" width="3.5546875" style="3" customWidth="1"/>
    <col min="9731" max="9975" width="9.109375" style="3"/>
    <col min="9976" max="9976" width="8.6640625" style="3" customWidth="1"/>
    <col min="9977" max="9977" width="9.88671875" style="3" customWidth="1"/>
    <col min="9978" max="9978" width="14.44140625" style="3" customWidth="1"/>
    <col min="9979" max="9979" width="7.33203125" style="3" customWidth="1"/>
    <col min="9980" max="9980" width="5.5546875" style="3" customWidth="1"/>
    <col min="9981" max="9981" width="9" style="3" customWidth="1"/>
    <col min="9982" max="9983" width="9.88671875" style="3" customWidth="1"/>
    <col min="9984" max="9984" width="11.109375" style="3" customWidth="1"/>
    <col min="9985" max="9985" width="2.88671875" style="3" customWidth="1"/>
    <col min="9986" max="9986" width="3.5546875" style="3" customWidth="1"/>
    <col min="9987" max="10231" width="9.109375" style="3"/>
    <col min="10232" max="10232" width="8.6640625" style="3" customWidth="1"/>
    <col min="10233" max="10233" width="9.88671875" style="3" customWidth="1"/>
    <col min="10234" max="10234" width="14.44140625" style="3" customWidth="1"/>
    <col min="10235" max="10235" width="7.33203125" style="3" customWidth="1"/>
    <col min="10236" max="10236" width="5.5546875" style="3" customWidth="1"/>
    <col min="10237" max="10237" width="9" style="3" customWidth="1"/>
    <col min="10238" max="10239" width="9.88671875" style="3" customWidth="1"/>
    <col min="10240" max="10240" width="11.109375" style="3" customWidth="1"/>
    <col min="10241" max="10241" width="2.88671875" style="3" customWidth="1"/>
    <col min="10242" max="10242" width="3.5546875" style="3" customWidth="1"/>
    <col min="10243" max="10487" width="9.109375" style="3"/>
    <col min="10488" max="10488" width="8.6640625" style="3" customWidth="1"/>
    <col min="10489" max="10489" width="9.88671875" style="3" customWidth="1"/>
    <col min="10490" max="10490" width="14.44140625" style="3" customWidth="1"/>
    <col min="10491" max="10491" width="7.33203125" style="3" customWidth="1"/>
    <col min="10492" max="10492" width="5.5546875" style="3" customWidth="1"/>
    <col min="10493" max="10493" width="9" style="3" customWidth="1"/>
    <col min="10494" max="10495" width="9.88671875" style="3" customWidth="1"/>
    <col min="10496" max="10496" width="11.109375" style="3" customWidth="1"/>
    <col min="10497" max="10497" width="2.88671875" style="3" customWidth="1"/>
    <col min="10498" max="10498" width="3.5546875" style="3" customWidth="1"/>
    <col min="10499" max="10743" width="9.109375" style="3"/>
    <col min="10744" max="10744" width="8.6640625" style="3" customWidth="1"/>
    <col min="10745" max="10745" width="9.88671875" style="3" customWidth="1"/>
    <col min="10746" max="10746" width="14.44140625" style="3" customWidth="1"/>
    <col min="10747" max="10747" width="7.33203125" style="3" customWidth="1"/>
    <col min="10748" max="10748" width="5.5546875" style="3" customWidth="1"/>
    <col min="10749" max="10749" width="9" style="3" customWidth="1"/>
    <col min="10750" max="10751" width="9.88671875" style="3" customWidth="1"/>
    <col min="10752" max="10752" width="11.109375" style="3" customWidth="1"/>
    <col min="10753" max="10753" width="2.88671875" style="3" customWidth="1"/>
    <col min="10754" max="10754" width="3.5546875" style="3" customWidth="1"/>
    <col min="10755" max="10999" width="9.109375" style="3"/>
    <col min="11000" max="11000" width="8.6640625" style="3" customWidth="1"/>
    <col min="11001" max="11001" width="9.88671875" style="3" customWidth="1"/>
    <col min="11002" max="11002" width="14.44140625" style="3" customWidth="1"/>
    <col min="11003" max="11003" width="7.33203125" style="3" customWidth="1"/>
    <col min="11004" max="11004" width="5.5546875" style="3" customWidth="1"/>
    <col min="11005" max="11005" width="9" style="3" customWidth="1"/>
    <col min="11006" max="11007" width="9.88671875" style="3" customWidth="1"/>
    <col min="11008" max="11008" width="11.109375" style="3" customWidth="1"/>
    <col min="11009" max="11009" width="2.88671875" style="3" customWidth="1"/>
    <col min="11010" max="11010" width="3.5546875" style="3" customWidth="1"/>
    <col min="11011" max="11255" width="9.109375" style="3"/>
    <col min="11256" max="11256" width="8.6640625" style="3" customWidth="1"/>
    <col min="11257" max="11257" width="9.88671875" style="3" customWidth="1"/>
    <col min="11258" max="11258" width="14.44140625" style="3" customWidth="1"/>
    <col min="11259" max="11259" width="7.33203125" style="3" customWidth="1"/>
    <col min="11260" max="11260" width="5.5546875" style="3" customWidth="1"/>
    <col min="11261" max="11261" width="9" style="3" customWidth="1"/>
    <col min="11262" max="11263" width="9.88671875" style="3" customWidth="1"/>
    <col min="11264" max="11264" width="11.109375" style="3" customWidth="1"/>
    <col min="11265" max="11265" width="2.88671875" style="3" customWidth="1"/>
    <col min="11266" max="11266" width="3.5546875" style="3" customWidth="1"/>
    <col min="11267" max="11511" width="9.109375" style="3"/>
    <col min="11512" max="11512" width="8.6640625" style="3" customWidth="1"/>
    <col min="11513" max="11513" width="9.88671875" style="3" customWidth="1"/>
    <col min="11514" max="11514" width="14.44140625" style="3" customWidth="1"/>
    <col min="11515" max="11515" width="7.33203125" style="3" customWidth="1"/>
    <col min="11516" max="11516" width="5.5546875" style="3" customWidth="1"/>
    <col min="11517" max="11517" width="9" style="3" customWidth="1"/>
    <col min="11518" max="11519" width="9.88671875" style="3" customWidth="1"/>
    <col min="11520" max="11520" width="11.109375" style="3" customWidth="1"/>
    <col min="11521" max="11521" width="2.88671875" style="3" customWidth="1"/>
    <col min="11522" max="11522" width="3.5546875" style="3" customWidth="1"/>
    <col min="11523" max="11767" width="9.109375" style="3"/>
    <col min="11768" max="11768" width="8.6640625" style="3" customWidth="1"/>
    <col min="11769" max="11769" width="9.88671875" style="3" customWidth="1"/>
    <col min="11770" max="11770" width="14.44140625" style="3" customWidth="1"/>
    <col min="11771" max="11771" width="7.33203125" style="3" customWidth="1"/>
    <col min="11772" max="11772" width="5.5546875" style="3" customWidth="1"/>
    <col min="11773" max="11773" width="9" style="3" customWidth="1"/>
    <col min="11774" max="11775" width="9.88671875" style="3" customWidth="1"/>
    <col min="11776" max="11776" width="11.109375" style="3" customWidth="1"/>
    <col min="11777" max="11777" width="2.88671875" style="3" customWidth="1"/>
    <col min="11778" max="11778" width="3.5546875" style="3" customWidth="1"/>
    <col min="11779" max="12023" width="9.109375" style="3"/>
    <col min="12024" max="12024" width="8.6640625" style="3" customWidth="1"/>
    <col min="12025" max="12025" width="9.88671875" style="3" customWidth="1"/>
    <col min="12026" max="12026" width="14.44140625" style="3" customWidth="1"/>
    <col min="12027" max="12027" width="7.33203125" style="3" customWidth="1"/>
    <col min="12028" max="12028" width="5.5546875" style="3" customWidth="1"/>
    <col min="12029" max="12029" width="9" style="3" customWidth="1"/>
    <col min="12030" max="12031" width="9.88671875" style="3" customWidth="1"/>
    <col min="12032" max="12032" width="11.109375" style="3" customWidth="1"/>
    <col min="12033" max="12033" width="2.88671875" style="3" customWidth="1"/>
    <col min="12034" max="12034" width="3.5546875" style="3" customWidth="1"/>
    <col min="12035" max="12279" width="9.109375" style="3"/>
    <col min="12280" max="12280" width="8.6640625" style="3" customWidth="1"/>
    <col min="12281" max="12281" width="9.88671875" style="3" customWidth="1"/>
    <col min="12282" max="12282" width="14.44140625" style="3" customWidth="1"/>
    <col min="12283" max="12283" width="7.33203125" style="3" customWidth="1"/>
    <col min="12284" max="12284" width="5.5546875" style="3" customWidth="1"/>
    <col min="12285" max="12285" width="9" style="3" customWidth="1"/>
    <col min="12286" max="12287" width="9.88671875" style="3" customWidth="1"/>
    <col min="12288" max="12288" width="11.109375" style="3" customWidth="1"/>
    <col min="12289" max="12289" width="2.88671875" style="3" customWidth="1"/>
    <col min="12290" max="12290" width="3.5546875" style="3" customWidth="1"/>
    <col min="12291" max="12535" width="9.109375" style="3"/>
    <col min="12536" max="12536" width="8.6640625" style="3" customWidth="1"/>
    <col min="12537" max="12537" width="9.88671875" style="3" customWidth="1"/>
    <col min="12538" max="12538" width="14.44140625" style="3" customWidth="1"/>
    <col min="12539" max="12539" width="7.33203125" style="3" customWidth="1"/>
    <col min="12540" max="12540" width="5.5546875" style="3" customWidth="1"/>
    <col min="12541" max="12541" width="9" style="3" customWidth="1"/>
    <col min="12542" max="12543" width="9.88671875" style="3" customWidth="1"/>
    <col min="12544" max="12544" width="11.109375" style="3" customWidth="1"/>
    <col min="12545" max="12545" width="2.88671875" style="3" customWidth="1"/>
    <col min="12546" max="12546" width="3.5546875" style="3" customWidth="1"/>
    <col min="12547" max="12791" width="9.109375" style="3"/>
    <col min="12792" max="12792" width="8.6640625" style="3" customWidth="1"/>
    <col min="12793" max="12793" width="9.88671875" style="3" customWidth="1"/>
    <col min="12794" max="12794" width="14.44140625" style="3" customWidth="1"/>
    <col min="12795" max="12795" width="7.33203125" style="3" customWidth="1"/>
    <col min="12796" max="12796" width="5.5546875" style="3" customWidth="1"/>
    <col min="12797" max="12797" width="9" style="3" customWidth="1"/>
    <col min="12798" max="12799" width="9.88671875" style="3" customWidth="1"/>
    <col min="12800" max="12800" width="11.109375" style="3" customWidth="1"/>
    <col min="12801" max="12801" width="2.88671875" style="3" customWidth="1"/>
    <col min="12802" max="12802" width="3.5546875" style="3" customWidth="1"/>
    <col min="12803" max="13047" width="9.109375" style="3"/>
    <col min="13048" max="13048" width="8.6640625" style="3" customWidth="1"/>
    <col min="13049" max="13049" width="9.88671875" style="3" customWidth="1"/>
    <col min="13050" max="13050" width="14.44140625" style="3" customWidth="1"/>
    <col min="13051" max="13051" width="7.33203125" style="3" customWidth="1"/>
    <col min="13052" max="13052" width="5.5546875" style="3" customWidth="1"/>
    <col min="13053" max="13053" width="9" style="3" customWidth="1"/>
    <col min="13054" max="13055" width="9.88671875" style="3" customWidth="1"/>
    <col min="13056" max="13056" width="11.109375" style="3" customWidth="1"/>
    <col min="13057" max="13057" width="2.88671875" style="3" customWidth="1"/>
    <col min="13058" max="13058" width="3.5546875" style="3" customWidth="1"/>
    <col min="13059" max="13303" width="9.109375" style="3"/>
    <col min="13304" max="13304" width="8.6640625" style="3" customWidth="1"/>
    <col min="13305" max="13305" width="9.88671875" style="3" customWidth="1"/>
    <col min="13306" max="13306" width="14.44140625" style="3" customWidth="1"/>
    <col min="13307" max="13307" width="7.33203125" style="3" customWidth="1"/>
    <col min="13308" max="13308" width="5.5546875" style="3" customWidth="1"/>
    <col min="13309" max="13309" width="9" style="3" customWidth="1"/>
    <col min="13310" max="13311" width="9.88671875" style="3" customWidth="1"/>
    <col min="13312" max="13312" width="11.109375" style="3" customWidth="1"/>
    <col min="13313" max="13313" width="2.88671875" style="3" customWidth="1"/>
    <col min="13314" max="13314" width="3.5546875" style="3" customWidth="1"/>
    <col min="13315" max="13559" width="9.109375" style="3"/>
    <col min="13560" max="13560" width="8.6640625" style="3" customWidth="1"/>
    <col min="13561" max="13561" width="9.88671875" style="3" customWidth="1"/>
    <col min="13562" max="13562" width="14.44140625" style="3" customWidth="1"/>
    <col min="13563" max="13563" width="7.33203125" style="3" customWidth="1"/>
    <col min="13564" max="13564" width="5.5546875" style="3" customWidth="1"/>
    <col min="13565" max="13565" width="9" style="3" customWidth="1"/>
    <col min="13566" max="13567" width="9.88671875" style="3" customWidth="1"/>
    <col min="13568" max="13568" width="11.109375" style="3" customWidth="1"/>
    <col min="13569" max="13569" width="2.88671875" style="3" customWidth="1"/>
    <col min="13570" max="13570" width="3.5546875" style="3" customWidth="1"/>
    <col min="13571" max="13815" width="9.109375" style="3"/>
    <col min="13816" max="13816" width="8.6640625" style="3" customWidth="1"/>
    <col min="13817" max="13817" width="9.88671875" style="3" customWidth="1"/>
    <col min="13818" max="13818" width="14.44140625" style="3" customWidth="1"/>
    <col min="13819" max="13819" width="7.33203125" style="3" customWidth="1"/>
    <col min="13820" max="13820" width="5.5546875" style="3" customWidth="1"/>
    <col min="13821" max="13821" width="9" style="3" customWidth="1"/>
    <col min="13822" max="13823" width="9.88671875" style="3" customWidth="1"/>
    <col min="13824" max="13824" width="11.109375" style="3" customWidth="1"/>
    <col min="13825" max="13825" width="2.88671875" style="3" customWidth="1"/>
    <col min="13826" max="13826" width="3.5546875" style="3" customWidth="1"/>
    <col min="13827" max="14071" width="9.109375" style="3"/>
    <col min="14072" max="14072" width="8.6640625" style="3" customWidth="1"/>
    <col min="14073" max="14073" width="9.88671875" style="3" customWidth="1"/>
    <col min="14074" max="14074" width="14.44140625" style="3" customWidth="1"/>
    <col min="14075" max="14075" width="7.33203125" style="3" customWidth="1"/>
    <col min="14076" max="14076" width="5.5546875" style="3" customWidth="1"/>
    <col min="14077" max="14077" width="9" style="3" customWidth="1"/>
    <col min="14078" max="14079" width="9.88671875" style="3" customWidth="1"/>
    <col min="14080" max="14080" width="11.109375" style="3" customWidth="1"/>
    <col min="14081" max="14081" width="2.88671875" style="3" customWidth="1"/>
    <col min="14082" max="14082" width="3.5546875" style="3" customWidth="1"/>
    <col min="14083" max="14327" width="9.109375" style="3"/>
    <col min="14328" max="14328" width="8.6640625" style="3" customWidth="1"/>
    <col min="14329" max="14329" width="9.88671875" style="3" customWidth="1"/>
    <col min="14330" max="14330" width="14.44140625" style="3" customWidth="1"/>
    <col min="14331" max="14331" width="7.33203125" style="3" customWidth="1"/>
    <col min="14332" max="14332" width="5.5546875" style="3" customWidth="1"/>
    <col min="14333" max="14333" width="9" style="3" customWidth="1"/>
    <col min="14334" max="14335" width="9.88671875" style="3" customWidth="1"/>
    <col min="14336" max="14336" width="11.109375" style="3" customWidth="1"/>
    <col min="14337" max="14337" width="2.88671875" style="3" customWidth="1"/>
    <col min="14338" max="14338" width="3.5546875" style="3" customWidth="1"/>
    <col min="14339" max="14583" width="9.109375" style="3"/>
    <col min="14584" max="14584" width="8.6640625" style="3" customWidth="1"/>
    <col min="14585" max="14585" width="9.88671875" style="3" customWidth="1"/>
    <col min="14586" max="14586" width="14.44140625" style="3" customWidth="1"/>
    <col min="14587" max="14587" width="7.33203125" style="3" customWidth="1"/>
    <col min="14588" max="14588" width="5.5546875" style="3" customWidth="1"/>
    <col min="14589" max="14589" width="9" style="3" customWidth="1"/>
    <col min="14590" max="14591" width="9.88671875" style="3" customWidth="1"/>
    <col min="14592" max="14592" width="11.109375" style="3" customWidth="1"/>
    <col min="14593" max="14593" width="2.88671875" style="3" customWidth="1"/>
    <col min="14594" max="14594" width="3.5546875" style="3" customWidth="1"/>
    <col min="14595" max="14839" width="9.109375" style="3"/>
    <col min="14840" max="14840" width="8.6640625" style="3" customWidth="1"/>
    <col min="14841" max="14841" width="9.88671875" style="3" customWidth="1"/>
    <col min="14842" max="14842" width="14.44140625" style="3" customWidth="1"/>
    <col min="14843" max="14843" width="7.33203125" style="3" customWidth="1"/>
    <col min="14844" max="14844" width="5.5546875" style="3" customWidth="1"/>
    <col min="14845" max="14845" width="9" style="3" customWidth="1"/>
    <col min="14846" max="14847" width="9.88671875" style="3" customWidth="1"/>
    <col min="14848" max="14848" width="11.109375" style="3" customWidth="1"/>
    <col min="14849" max="14849" width="2.88671875" style="3" customWidth="1"/>
    <col min="14850" max="14850" width="3.5546875" style="3" customWidth="1"/>
    <col min="14851" max="15095" width="9.109375" style="3"/>
    <col min="15096" max="15096" width="8.6640625" style="3" customWidth="1"/>
    <col min="15097" max="15097" width="9.88671875" style="3" customWidth="1"/>
    <col min="15098" max="15098" width="14.44140625" style="3" customWidth="1"/>
    <col min="15099" max="15099" width="7.33203125" style="3" customWidth="1"/>
    <col min="15100" max="15100" width="5.5546875" style="3" customWidth="1"/>
    <col min="15101" max="15101" width="9" style="3" customWidth="1"/>
    <col min="15102" max="15103" width="9.88671875" style="3" customWidth="1"/>
    <col min="15104" max="15104" width="11.109375" style="3" customWidth="1"/>
    <col min="15105" max="15105" width="2.88671875" style="3" customWidth="1"/>
    <col min="15106" max="15106" width="3.5546875" style="3" customWidth="1"/>
    <col min="15107" max="15351" width="9.109375" style="3"/>
    <col min="15352" max="15352" width="8.6640625" style="3" customWidth="1"/>
    <col min="15353" max="15353" width="9.88671875" style="3" customWidth="1"/>
    <col min="15354" max="15354" width="14.44140625" style="3" customWidth="1"/>
    <col min="15355" max="15355" width="7.33203125" style="3" customWidth="1"/>
    <col min="15356" max="15356" width="5.5546875" style="3" customWidth="1"/>
    <col min="15357" max="15357" width="9" style="3" customWidth="1"/>
    <col min="15358" max="15359" width="9.88671875" style="3" customWidth="1"/>
    <col min="15360" max="15360" width="11.109375" style="3" customWidth="1"/>
    <col min="15361" max="15361" width="2.88671875" style="3" customWidth="1"/>
    <col min="15362" max="15362" width="3.5546875" style="3" customWidth="1"/>
    <col min="15363" max="15607" width="9.109375" style="3"/>
    <col min="15608" max="15608" width="8.6640625" style="3" customWidth="1"/>
    <col min="15609" max="15609" width="9.88671875" style="3" customWidth="1"/>
    <col min="15610" max="15610" width="14.44140625" style="3" customWidth="1"/>
    <col min="15611" max="15611" width="7.33203125" style="3" customWidth="1"/>
    <col min="15612" max="15612" width="5.5546875" style="3" customWidth="1"/>
    <col min="15613" max="15613" width="9" style="3" customWidth="1"/>
    <col min="15614" max="15615" width="9.88671875" style="3" customWidth="1"/>
    <col min="15616" max="15616" width="11.109375" style="3" customWidth="1"/>
    <col min="15617" max="15617" width="2.88671875" style="3" customWidth="1"/>
    <col min="15618" max="15618" width="3.5546875" style="3" customWidth="1"/>
    <col min="15619" max="15863" width="9.109375" style="3"/>
    <col min="15864" max="15864" width="8.6640625" style="3" customWidth="1"/>
    <col min="15865" max="15865" width="9.88671875" style="3" customWidth="1"/>
    <col min="15866" max="15866" width="14.44140625" style="3" customWidth="1"/>
    <col min="15867" max="15867" width="7.33203125" style="3" customWidth="1"/>
    <col min="15868" max="15868" width="5.5546875" style="3" customWidth="1"/>
    <col min="15869" max="15869" width="9" style="3" customWidth="1"/>
    <col min="15870" max="15871" width="9.88671875" style="3" customWidth="1"/>
    <col min="15872" max="15872" width="11.109375" style="3" customWidth="1"/>
    <col min="15873" max="15873" width="2.88671875" style="3" customWidth="1"/>
    <col min="15874" max="15874" width="3.5546875" style="3" customWidth="1"/>
    <col min="15875" max="16119" width="9.109375" style="3"/>
    <col min="16120" max="16120" width="8.6640625" style="3" customWidth="1"/>
    <col min="16121" max="16121" width="9.88671875" style="3" customWidth="1"/>
    <col min="16122" max="16122" width="14.44140625" style="3" customWidth="1"/>
    <col min="16123" max="16123" width="7.33203125" style="3" customWidth="1"/>
    <col min="16124" max="16124" width="5.5546875" style="3" customWidth="1"/>
    <col min="16125" max="16125" width="9" style="3" customWidth="1"/>
    <col min="16126" max="16127" width="9.88671875" style="3" customWidth="1"/>
    <col min="16128" max="16128" width="11.109375" style="3" customWidth="1"/>
    <col min="16129" max="16129" width="2.88671875" style="3" customWidth="1"/>
    <col min="16130" max="16130" width="3.5546875" style="3" customWidth="1"/>
    <col min="16131" max="16384" width="9.109375" style="3"/>
  </cols>
  <sheetData>
    <row r="1" spans="1:8" ht="46.5" customHeight="1" x14ac:dyDescent="0.3">
      <c r="A1" s="128" t="s">
        <v>230</v>
      </c>
      <c r="B1" s="128"/>
      <c r="C1" s="128"/>
      <c r="D1" s="128"/>
      <c r="E1" s="128"/>
      <c r="F1" s="128"/>
      <c r="G1" s="128"/>
      <c r="H1" s="128"/>
    </row>
    <row r="2" spans="1:8" ht="16.5" customHeight="1" x14ac:dyDescent="0.3">
      <c r="A2" s="67" t="s">
        <v>0</v>
      </c>
      <c r="B2" s="67"/>
      <c r="C2" s="67"/>
      <c r="D2" s="67"/>
      <c r="E2" s="67"/>
      <c r="F2" s="67"/>
      <c r="G2" s="67"/>
      <c r="H2" s="67"/>
    </row>
    <row r="3" spans="1:8" x14ac:dyDescent="0.3">
      <c r="A3" s="81" t="s">
        <v>1</v>
      </c>
      <c r="B3" s="81"/>
      <c r="C3" s="81"/>
      <c r="D3" s="81"/>
      <c r="E3" s="129" t="str">
        <f ca="1">TEXT(TODAY(),"DD/MM/YYYY")</f>
        <v>18/08/2025</v>
      </c>
      <c r="F3" s="129"/>
      <c r="G3" s="129"/>
      <c r="H3" s="129"/>
    </row>
    <row r="4" spans="1:8" ht="15" customHeight="1" x14ac:dyDescent="0.3">
      <c r="A4" s="81" t="s">
        <v>2</v>
      </c>
      <c r="B4" s="81"/>
      <c r="C4" s="81"/>
      <c r="D4" s="81"/>
      <c r="E4" s="130" t="s">
        <v>161</v>
      </c>
      <c r="F4" s="130"/>
      <c r="G4" s="130"/>
      <c r="H4" s="130"/>
    </row>
    <row r="5" spans="1:8" x14ac:dyDescent="0.3">
      <c r="A5" s="81" t="s">
        <v>3</v>
      </c>
      <c r="B5" s="81"/>
      <c r="C5" s="81"/>
      <c r="D5" s="81"/>
      <c r="E5" s="129">
        <v>45882</v>
      </c>
      <c r="F5" s="129"/>
      <c r="G5" s="129"/>
      <c r="H5" s="129"/>
    </row>
    <row r="6" spans="1:8" ht="16.5" customHeight="1" x14ac:dyDescent="0.3">
      <c r="A6" s="81" t="s">
        <v>4</v>
      </c>
      <c r="B6" s="81"/>
      <c r="C6" s="81"/>
      <c r="D6" s="81"/>
      <c r="E6" s="82" t="s">
        <v>162</v>
      </c>
      <c r="F6" s="82"/>
      <c r="G6" s="82"/>
      <c r="H6" s="82"/>
    </row>
    <row r="7" spans="1:8" ht="15" customHeight="1" x14ac:dyDescent="0.3">
      <c r="A7" s="81" t="s">
        <v>5</v>
      </c>
      <c r="B7" s="81"/>
      <c r="C7" s="81"/>
      <c r="D7" s="81"/>
      <c r="E7" s="82" t="str">
        <f>E6</f>
        <v>M/s.Shreenath Enterrpises</v>
      </c>
      <c r="F7" s="82"/>
      <c r="G7" s="82"/>
      <c r="H7" s="82"/>
    </row>
    <row r="8" spans="1:8" x14ac:dyDescent="0.3">
      <c r="A8" s="81" t="s">
        <v>6</v>
      </c>
      <c r="B8" s="81"/>
      <c r="C8" s="81"/>
      <c r="D8" s="81"/>
      <c r="E8" s="120" t="s">
        <v>163</v>
      </c>
      <c r="F8" s="120"/>
      <c r="G8" s="120"/>
      <c r="H8" s="120"/>
    </row>
    <row r="9" spans="1:8" x14ac:dyDescent="0.3">
      <c r="A9" s="81" t="s">
        <v>128</v>
      </c>
      <c r="B9" s="81"/>
      <c r="C9" s="81"/>
      <c r="D9" s="81"/>
      <c r="E9" s="81" t="s">
        <v>164</v>
      </c>
      <c r="F9" s="81"/>
      <c r="G9" s="81"/>
      <c r="H9" s="81"/>
    </row>
    <row r="10" spans="1:8" ht="32.25" customHeight="1" x14ac:dyDescent="0.3">
      <c r="A10" s="105" t="s">
        <v>7</v>
      </c>
      <c r="B10" s="105"/>
      <c r="C10" s="105"/>
      <c r="D10" s="105"/>
      <c r="E10" s="111" t="s">
        <v>179</v>
      </c>
      <c r="F10" s="105"/>
      <c r="G10" s="105"/>
      <c r="H10" s="105"/>
    </row>
    <row r="11" spans="1:8" ht="15" customHeight="1" x14ac:dyDescent="0.3">
      <c r="A11" s="81" t="s">
        <v>235</v>
      </c>
      <c r="B11" s="81"/>
      <c r="C11" s="81"/>
      <c r="D11" s="81"/>
      <c r="E11" s="119" t="s">
        <v>178</v>
      </c>
      <c r="F11" s="119"/>
      <c r="G11" s="119"/>
      <c r="H11" s="119"/>
    </row>
    <row r="12" spans="1:8" x14ac:dyDescent="0.3">
      <c r="A12" s="81" t="s">
        <v>8</v>
      </c>
      <c r="B12" s="81"/>
      <c r="C12" s="81"/>
      <c r="D12" s="81"/>
      <c r="E12" s="119" t="s">
        <v>160</v>
      </c>
      <c r="F12" s="104"/>
      <c r="G12" s="104"/>
      <c r="H12" s="104"/>
    </row>
    <row r="13" spans="1:8" ht="31.5" customHeight="1" x14ac:dyDescent="0.3">
      <c r="A13" s="82" t="s">
        <v>9</v>
      </c>
      <c r="B13" s="82"/>
      <c r="C13" s="82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Parasnath Township, Gut No.392, 393, 394A, 394B, near Raj Mandir Garden, Umroli Station Road, Panchali , Boisar West, Palghar, Palghar.</v>
      </c>
      <c r="D13" s="82"/>
      <c r="E13" s="82"/>
      <c r="F13" s="82"/>
      <c r="G13" s="82"/>
      <c r="H13" s="82"/>
    </row>
    <row r="14" spans="1:8" x14ac:dyDescent="0.3">
      <c r="A14" s="119" t="s">
        <v>170</v>
      </c>
      <c r="B14" s="119"/>
      <c r="C14" s="111" t="s">
        <v>180</v>
      </c>
      <c r="D14" s="111"/>
      <c r="E14" s="111"/>
      <c r="F14" s="111"/>
      <c r="G14" s="111"/>
      <c r="H14" s="111"/>
    </row>
    <row r="15" spans="1:8" ht="15.75" customHeight="1" x14ac:dyDescent="0.3">
      <c r="A15" s="82" t="s">
        <v>10</v>
      </c>
      <c r="B15" s="82"/>
      <c r="C15" s="105" t="s">
        <v>169</v>
      </c>
      <c r="D15" s="105"/>
      <c r="E15" s="82" t="s">
        <v>79</v>
      </c>
      <c r="F15" s="82"/>
      <c r="G15" s="111" t="s">
        <v>171</v>
      </c>
      <c r="H15" s="111"/>
    </row>
    <row r="16" spans="1:8" x14ac:dyDescent="0.3">
      <c r="A16" s="81" t="s">
        <v>12</v>
      </c>
      <c r="B16" s="81"/>
      <c r="C16" s="111" t="s">
        <v>183</v>
      </c>
      <c r="D16" s="111"/>
      <c r="E16" s="82" t="s">
        <v>11</v>
      </c>
      <c r="F16" s="82"/>
      <c r="G16" s="127" t="s">
        <v>172</v>
      </c>
      <c r="H16" s="127"/>
    </row>
    <row r="17" spans="1:8" x14ac:dyDescent="0.3">
      <c r="A17" s="81" t="s">
        <v>80</v>
      </c>
      <c r="B17" s="81"/>
      <c r="C17" s="111" t="s">
        <v>172</v>
      </c>
      <c r="D17" s="111"/>
      <c r="E17" s="82" t="s">
        <v>13</v>
      </c>
      <c r="F17" s="82"/>
      <c r="G17" s="111">
        <v>401404</v>
      </c>
      <c r="H17" s="111"/>
    </row>
    <row r="18" spans="1:8" ht="32.25" customHeight="1" x14ac:dyDescent="0.3">
      <c r="A18" s="81" t="s">
        <v>129</v>
      </c>
      <c r="B18" s="81"/>
      <c r="C18" s="82" t="s">
        <v>177</v>
      </c>
      <c r="D18" s="82"/>
      <c r="E18" s="82" t="s">
        <v>14</v>
      </c>
      <c r="F18" s="82"/>
      <c r="G18" s="119" t="s">
        <v>173</v>
      </c>
      <c r="H18" s="119"/>
    </row>
    <row r="19" spans="1:8" ht="15" customHeight="1" x14ac:dyDescent="0.3">
      <c r="A19" s="82" t="s">
        <v>84</v>
      </c>
      <c r="B19" s="82"/>
      <c r="C19" s="82"/>
      <c r="D19" s="82"/>
      <c r="E19" s="105" t="s">
        <v>15</v>
      </c>
      <c r="F19" s="105"/>
      <c r="G19" s="105"/>
      <c r="H19" s="105"/>
    </row>
    <row r="20" spans="1:8" ht="18.75" customHeight="1" x14ac:dyDescent="0.3">
      <c r="A20" s="82"/>
      <c r="B20" s="82"/>
      <c r="C20" s="82"/>
      <c r="D20" s="82"/>
      <c r="E20" s="105"/>
      <c r="F20" s="105"/>
      <c r="G20" s="105"/>
      <c r="H20" s="105"/>
    </row>
    <row r="21" spans="1:8" ht="15" customHeight="1" x14ac:dyDescent="0.3">
      <c r="A21" s="82" t="s">
        <v>16</v>
      </c>
      <c r="B21" s="82"/>
      <c r="C21" s="82"/>
      <c r="D21" s="82"/>
      <c r="E21" s="111" t="s">
        <v>17</v>
      </c>
      <c r="F21" s="111"/>
      <c r="G21" s="111"/>
      <c r="H21" s="111"/>
    </row>
    <row r="22" spans="1:8" ht="15" customHeight="1" x14ac:dyDescent="0.3">
      <c r="A22" s="81" t="s">
        <v>18</v>
      </c>
      <c r="B22" s="81"/>
      <c r="C22" s="81"/>
      <c r="D22" s="81"/>
      <c r="E22" s="111" t="str">
        <f>IF(AND(G16="Mumbai"),"Upper Class","Middle Class")</f>
        <v>Middle Class</v>
      </c>
      <c r="F22" s="111"/>
      <c r="G22" s="111"/>
      <c r="H22" s="111"/>
    </row>
    <row r="23" spans="1:8" x14ac:dyDescent="0.3">
      <c r="A23" s="81" t="s">
        <v>19</v>
      </c>
      <c r="B23" s="81"/>
      <c r="C23" s="81"/>
      <c r="D23" s="81"/>
      <c r="E23" s="111" t="s">
        <v>20</v>
      </c>
      <c r="F23" s="111"/>
      <c r="G23" s="111"/>
      <c r="H23" s="111"/>
    </row>
    <row r="24" spans="1:8" ht="15.75" customHeight="1" x14ac:dyDescent="0.3">
      <c r="A24" s="81" t="s">
        <v>21</v>
      </c>
      <c r="B24" s="81"/>
      <c r="C24" s="81"/>
      <c r="D24" s="81"/>
      <c r="E24" s="111" t="str">
        <f>IF(AND(G16="Mumbai"),"Developed","Developing")</f>
        <v>Developing</v>
      </c>
      <c r="F24" s="111"/>
      <c r="G24" s="111"/>
      <c r="H24" s="111"/>
    </row>
    <row r="25" spans="1:8" x14ac:dyDescent="0.3">
      <c r="A25" s="81" t="s">
        <v>22</v>
      </c>
      <c r="B25" s="81"/>
      <c r="C25" s="81"/>
      <c r="D25" s="81"/>
      <c r="E25" s="111" t="s">
        <v>23</v>
      </c>
      <c r="F25" s="111"/>
      <c r="G25" s="111"/>
      <c r="H25" s="111"/>
    </row>
    <row r="26" spans="1:8" x14ac:dyDescent="0.3">
      <c r="A26" s="81" t="s">
        <v>89</v>
      </c>
      <c r="B26" s="81"/>
      <c r="C26" s="81"/>
      <c r="D26" s="81"/>
      <c r="E26" s="111" t="s">
        <v>90</v>
      </c>
      <c r="F26" s="111"/>
      <c r="G26" s="111"/>
      <c r="H26" s="111"/>
    </row>
    <row r="27" spans="1:8" ht="15" customHeight="1" x14ac:dyDescent="0.3">
      <c r="A27" s="82" t="s">
        <v>34</v>
      </c>
      <c r="B27" s="82"/>
      <c r="C27" s="82"/>
      <c r="D27" s="82"/>
      <c r="E27" s="126" t="s">
        <v>174</v>
      </c>
      <c r="F27" s="126"/>
      <c r="G27" s="126"/>
      <c r="H27" s="126"/>
    </row>
    <row r="28" spans="1:8" x14ac:dyDescent="0.3">
      <c r="A28" s="82" t="s">
        <v>101</v>
      </c>
      <c r="B28" s="82"/>
      <c r="C28" s="82"/>
      <c r="D28" s="82"/>
      <c r="E28" s="82" t="s">
        <v>35</v>
      </c>
      <c r="F28" s="82"/>
      <c r="G28" s="82"/>
      <c r="H28" s="82"/>
    </row>
    <row r="29" spans="1:8" s="6" customFormat="1" x14ac:dyDescent="0.3">
      <c r="A29" s="118" t="s">
        <v>102</v>
      </c>
      <c r="B29" s="118"/>
      <c r="C29" s="114" t="s">
        <v>28</v>
      </c>
      <c r="D29" s="114"/>
      <c r="E29" s="114"/>
      <c r="F29" s="114" t="s">
        <v>30</v>
      </c>
      <c r="G29" s="114"/>
      <c r="H29" s="114"/>
    </row>
    <row r="30" spans="1:8" s="6" customFormat="1" x14ac:dyDescent="0.3">
      <c r="A30" s="117" t="s">
        <v>24</v>
      </c>
      <c r="B30" s="117" t="s">
        <v>29</v>
      </c>
      <c r="C30" s="113" t="s">
        <v>29</v>
      </c>
      <c r="D30" s="113"/>
      <c r="E30" s="113"/>
      <c r="F30" s="113" t="s">
        <v>176</v>
      </c>
      <c r="G30" s="113"/>
      <c r="H30" s="113"/>
    </row>
    <row r="31" spans="1:8" x14ac:dyDescent="0.3">
      <c r="A31" s="117" t="s">
        <v>25</v>
      </c>
      <c r="B31" s="117" t="s">
        <v>29</v>
      </c>
      <c r="C31" s="113" t="s">
        <v>29</v>
      </c>
      <c r="D31" s="113"/>
      <c r="E31" s="113"/>
      <c r="F31" s="113" t="s">
        <v>175</v>
      </c>
      <c r="G31" s="113"/>
      <c r="H31" s="113"/>
    </row>
    <row r="32" spans="1:8" s="6" customFormat="1" x14ac:dyDescent="0.3">
      <c r="A32" s="117" t="s">
        <v>27</v>
      </c>
      <c r="B32" s="117" t="s">
        <v>29</v>
      </c>
      <c r="C32" s="113" t="s">
        <v>29</v>
      </c>
      <c r="D32" s="113"/>
      <c r="E32" s="113"/>
      <c r="F32" s="113" t="s">
        <v>184</v>
      </c>
      <c r="G32" s="113"/>
      <c r="H32" s="113"/>
    </row>
    <row r="33" spans="1:8" x14ac:dyDescent="0.3">
      <c r="A33" s="117" t="s">
        <v>26</v>
      </c>
      <c r="B33" s="117" t="s">
        <v>29</v>
      </c>
      <c r="C33" s="113" t="s">
        <v>29</v>
      </c>
      <c r="D33" s="113"/>
      <c r="E33" s="113"/>
      <c r="F33" s="113" t="s">
        <v>175</v>
      </c>
      <c r="G33" s="113"/>
      <c r="H33" s="113"/>
    </row>
    <row r="34" spans="1:8" x14ac:dyDescent="0.3">
      <c r="A34" s="81" t="s">
        <v>31</v>
      </c>
      <c r="B34" s="81"/>
      <c r="C34" s="81"/>
      <c r="D34" s="81"/>
      <c r="E34" s="81"/>
      <c r="F34" s="81"/>
      <c r="G34" s="81"/>
      <c r="H34" s="81"/>
    </row>
    <row r="35" spans="1:8" ht="15.75" customHeight="1" x14ac:dyDescent="0.3">
      <c r="A35" s="67" t="s">
        <v>32</v>
      </c>
      <c r="B35" s="67"/>
      <c r="C35" s="115">
        <v>19.76408</v>
      </c>
      <c r="D35" s="115"/>
      <c r="E35" s="67" t="s">
        <v>33</v>
      </c>
      <c r="F35" s="67"/>
      <c r="G35" s="116">
        <v>72.755545999999995</v>
      </c>
      <c r="H35" s="116"/>
    </row>
    <row r="36" spans="1:8" ht="15.75" customHeight="1" x14ac:dyDescent="0.3">
      <c r="A36" s="121" t="s">
        <v>185</v>
      </c>
      <c r="B36" s="122"/>
      <c r="C36" s="123" t="s">
        <v>186</v>
      </c>
      <c r="D36" s="124"/>
      <c r="E36" s="124"/>
      <c r="F36" s="124"/>
      <c r="G36" s="124"/>
      <c r="H36" s="125"/>
    </row>
    <row r="37" spans="1:8" x14ac:dyDescent="0.3">
      <c r="A37" s="120" t="s">
        <v>36</v>
      </c>
      <c r="B37" s="120"/>
      <c r="C37" s="120"/>
      <c r="D37" s="120"/>
      <c r="E37" s="120"/>
      <c r="F37" s="120"/>
      <c r="G37" s="120"/>
      <c r="H37" s="120"/>
    </row>
    <row r="38" spans="1:8" x14ac:dyDescent="0.3">
      <c r="A38" s="81" t="s">
        <v>37</v>
      </c>
      <c r="B38" s="81"/>
      <c r="C38" s="81"/>
      <c r="D38" s="81"/>
      <c r="E38" s="103">
        <v>18596</v>
      </c>
      <c r="F38" s="103"/>
      <c r="G38" s="103"/>
      <c r="H38" s="103"/>
    </row>
    <row r="39" spans="1:8" x14ac:dyDescent="0.3">
      <c r="A39" s="81" t="s">
        <v>38</v>
      </c>
      <c r="B39" s="81"/>
      <c r="C39" s="81"/>
      <c r="D39" s="81"/>
      <c r="E39" s="165">
        <v>1</v>
      </c>
      <c r="F39" s="165"/>
      <c r="G39" s="165"/>
      <c r="H39" s="165"/>
    </row>
    <row r="40" spans="1:8" x14ac:dyDescent="0.3">
      <c r="A40" s="81" t="s">
        <v>39</v>
      </c>
      <c r="B40" s="81"/>
      <c r="C40" s="81"/>
      <c r="D40" s="81"/>
      <c r="E40" s="165">
        <f>E42/E38-E39</f>
        <v>2.5812002581115934E-5</v>
      </c>
      <c r="F40" s="165"/>
      <c r="G40" s="165"/>
      <c r="H40" s="165"/>
    </row>
    <row r="41" spans="1:8" x14ac:dyDescent="0.3">
      <c r="A41" s="81" t="s">
        <v>40</v>
      </c>
      <c r="B41" s="81"/>
      <c r="C41" s="81"/>
      <c r="D41" s="81"/>
      <c r="E41" s="165">
        <f>E39+E40</f>
        <v>1.0000258120025811</v>
      </c>
      <c r="F41" s="165"/>
      <c r="G41" s="165"/>
      <c r="H41" s="165"/>
    </row>
    <row r="42" spans="1:8" x14ac:dyDescent="0.3">
      <c r="A42" s="81" t="s">
        <v>100</v>
      </c>
      <c r="B42" s="81"/>
      <c r="C42" s="81"/>
      <c r="D42" s="81"/>
      <c r="E42" s="172">
        <v>18596.48</v>
      </c>
      <c r="F42" s="172"/>
      <c r="G42" s="172"/>
      <c r="H42" s="172"/>
    </row>
    <row r="43" spans="1:8" x14ac:dyDescent="0.3">
      <c r="A43" s="105" t="s">
        <v>41</v>
      </c>
      <c r="B43" s="105"/>
      <c r="C43" s="105"/>
      <c r="D43" s="105"/>
      <c r="E43" s="104" t="s">
        <v>165</v>
      </c>
      <c r="F43" s="104"/>
      <c r="G43" s="104"/>
      <c r="H43" s="104"/>
    </row>
    <row r="44" spans="1:8" x14ac:dyDescent="0.3">
      <c r="A44" s="99" t="s">
        <v>42</v>
      </c>
      <c r="B44" s="99"/>
      <c r="C44" s="99"/>
      <c r="D44" s="99"/>
      <c r="E44" s="99"/>
      <c r="F44" s="99"/>
      <c r="G44" s="99"/>
      <c r="H44" s="99"/>
    </row>
    <row r="45" spans="1:8" x14ac:dyDescent="0.3">
      <c r="A45" s="111" t="s">
        <v>43</v>
      </c>
      <c r="B45" s="111"/>
      <c r="C45" s="111" t="s">
        <v>166</v>
      </c>
      <c r="D45" s="111"/>
      <c r="E45" s="111"/>
      <c r="F45" s="48" t="s">
        <v>44</v>
      </c>
      <c r="G45" s="171">
        <v>43643</v>
      </c>
      <c r="H45" s="171"/>
    </row>
    <row r="46" spans="1:8" x14ac:dyDescent="0.3">
      <c r="A46" s="105" t="s">
        <v>45</v>
      </c>
      <c r="B46" s="105"/>
      <c r="C46" s="111" t="str">
        <f>C45</f>
        <v>MHASUL/K-1/MJ1/BSP/SR/CR/11/2018</v>
      </c>
      <c r="D46" s="111"/>
      <c r="E46" s="111"/>
      <c r="F46" s="48" t="s">
        <v>44</v>
      </c>
      <c r="G46" s="171">
        <f>G45</f>
        <v>43643</v>
      </c>
      <c r="H46" s="171"/>
    </row>
    <row r="47" spans="1:8" s="5" customFormat="1" x14ac:dyDescent="0.3">
      <c r="A47" s="111" t="s">
        <v>46</v>
      </c>
      <c r="B47" s="111"/>
      <c r="C47" s="111" t="s">
        <v>167</v>
      </c>
      <c r="D47" s="105"/>
      <c r="E47" s="105"/>
      <c r="F47" s="49" t="s">
        <v>44</v>
      </c>
      <c r="G47" s="171">
        <f>G46</f>
        <v>43643</v>
      </c>
      <c r="H47" s="171"/>
    </row>
    <row r="48" spans="1:8" s="5" customFormat="1" ht="32.25" customHeight="1" x14ac:dyDescent="0.3">
      <c r="A48" s="111"/>
      <c r="B48" s="111"/>
      <c r="C48" s="159" t="s">
        <v>181</v>
      </c>
      <c r="D48" s="160"/>
      <c r="E48" s="160"/>
      <c r="F48" s="160"/>
      <c r="G48" s="160"/>
      <c r="H48" s="161"/>
    </row>
    <row r="49" spans="1:14" x14ac:dyDescent="0.3">
      <c r="A49" s="100" t="s">
        <v>47</v>
      </c>
      <c r="B49" s="100"/>
      <c r="C49" s="100" t="s">
        <v>109</v>
      </c>
      <c r="D49" s="99"/>
      <c r="E49" s="99" t="s">
        <v>48</v>
      </c>
      <c r="F49" s="43" t="s">
        <v>44</v>
      </c>
      <c r="G49" s="158" t="s">
        <v>29</v>
      </c>
      <c r="H49" s="158"/>
    </row>
    <row r="50" spans="1:14" x14ac:dyDescent="0.3">
      <c r="A50" s="112" t="s">
        <v>50</v>
      </c>
      <c r="B50" s="112"/>
      <c r="C50" s="112"/>
      <c r="D50" s="112"/>
      <c r="E50" s="112"/>
      <c r="F50" s="112"/>
      <c r="G50" s="112"/>
      <c r="H50" s="112"/>
    </row>
    <row r="51" spans="1:14" x14ac:dyDescent="0.3">
      <c r="A51" s="82" t="s">
        <v>99</v>
      </c>
      <c r="B51" s="82"/>
      <c r="C51" s="82"/>
      <c r="D51" s="105">
        <f>E42</f>
        <v>18596.48</v>
      </c>
      <c r="E51" s="105"/>
      <c r="F51" s="105"/>
      <c r="G51" s="105"/>
      <c r="H51" s="105"/>
    </row>
    <row r="52" spans="1:14" x14ac:dyDescent="0.3">
      <c r="A52" s="111" t="s">
        <v>51</v>
      </c>
      <c r="B52" s="105"/>
      <c r="C52" s="105"/>
      <c r="D52" s="105" t="s">
        <v>207</v>
      </c>
      <c r="E52" s="105"/>
      <c r="F52" s="105"/>
      <c r="G52" s="105"/>
      <c r="H52" s="105"/>
      <c r="I52" s="27"/>
    </row>
    <row r="53" spans="1:14" ht="31.5" customHeight="1" x14ac:dyDescent="0.3">
      <c r="A53" s="168" t="s">
        <v>52</v>
      </c>
      <c r="B53" s="169"/>
      <c r="C53" s="170"/>
      <c r="D53" s="166" t="s">
        <v>182</v>
      </c>
      <c r="E53" s="167"/>
      <c r="F53" s="167"/>
      <c r="G53" s="167"/>
      <c r="H53" s="167"/>
    </row>
    <row r="54" spans="1:14" ht="15.75" customHeight="1" x14ac:dyDescent="0.3">
      <c r="A54" s="168" t="s">
        <v>97</v>
      </c>
      <c r="B54" s="169"/>
      <c r="C54" s="169"/>
      <c r="D54" s="106" t="s">
        <v>231</v>
      </c>
      <c r="E54" s="107"/>
      <c r="F54" s="107"/>
      <c r="G54" s="107"/>
      <c r="H54" s="107"/>
    </row>
    <row r="55" spans="1:14" ht="15.75" customHeight="1" x14ac:dyDescent="0.3">
      <c r="A55" s="108"/>
      <c r="B55" s="109"/>
      <c r="C55" s="110"/>
      <c r="D55" s="162" t="s">
        <v>232</v>
      </c>
      <c r="E55" s="163"/>
      <c r="F55" s="163"/>
      <c r="G55" s="163"/>
      <c r="H55" s="164"/>
    </row>
    <row r="56" spans="1:14" ht="15.75" customHeight="1" x14ac:dyDescent="0.3">
      <c r="A56" s="108"/>
      <c r="B56" s="109"/>
      <c r="C56" s="110"/>
      <c r="D56" s="108" t="s">
        <v>233</v>
      </c>
      <c r="E56" s="109"/>
      <c r="F56" s="109"/>
      <c r="G56" s="109"/>
      <c r="H56" s="110"/>
    </row>
    <row r="57" spans="1:14" ht="15.75" customHeight="1" x14ac:dyDescent="0.3">
      <c r="A57" s="173"/>
      <c r="B57" s="174"/>
      <c r="C57" s="175"/>
      <c r="D57" s="162" t="s">
        <v>234</v>
      </c>
      <c r="E57" s="163"/>
      <c r="F57" s="163"/>
      <c r="G57" s="163"/>
      <c r="H57" s="164"/>
    </row>
    <row r="58" spans="1:14" ht="15.75" customHeight="1" x14ac:dyDescent="0.3">
      <c r="A58" s="81" t="s">
        <v>49</v>
      </c>
      <c r="B58" s="81"/>
      <c r="C58" s="81"/>
      <c r="D58" s="82" t="s">
        <v>237</v>
      </c>
      <c r="E58" s="82"/>
      <c r="F58" s="82"/>
      <c r="G58" s="82"/>
      <c r="H58" s="82"/>
      <c r="J58" s="26"/>
      <c r="K58" s="27"/>
      <c r="N58" s="27"/>
    </row>
    <row r="59" spans="1:14" ht="15.75" customHeight="1" x14ac:dyDescent="0.3">
      <c r="A59" s="81" t="s">
        <v>95</v>
      </c>
      <c r="B59" s="81"/>
      <c r="C59" s="81"/>
      <c r="D59" s="95" t="str">
        <f>(IF(G49="NA","60 Years After Completion",IF(G49&lt;&gt;"NA",""&amp;60-ROUNDDOWN((E3-G49)/360,0)&amp;" Years"," ")))</f>
        <v>60 Years After Completion</v>
      </c>
      <c r="E59" s="95"/>
      <c r="F59" s="95"/>
      <c r="G59" s="95"/>
      <c r="H59" s="95"/>
      <c r="N59" s="27"/>
    </row>
    <row r="60" spans="1:14" ht="15.75" customHeight="1" x14ac:dyDescent="0.3">
      <c r="A60" s="81" t="s">
        <v>96</v>
      </c>
      <c r="B60" s="81"/>
      <c r="C60" s="81"/>
      <c r="D60" s="82" t="s">
        <v>23</v>
      </c>
      <c r="E60" s="82"/>
      <c r="F60" s="82"/>
      <c r="G60" s="82"/>
      <c r="H60" s="82"/>
      <c r="J60" s="9"/>
      <c r="K60" s="9"/>
    </row>
    <row r="61" spans="1:14" ht="15" hidden="1" customHeight="1" x14ac:dyDescent="0.3">
      <c r="A61" s="81" t="s">
        <v>81</v>
      </c>
      <c r="B61" s="81"/>
      <c r="C61" s="81"/>
      <c r="D61" s="111" t="s">
        <v>156</v>
      </c>
      <c r="E61" s="82"/>
      <c r="F61" s="82"/>
      <c r="G61" s="82"/>
      <c r="H61" s="82"/>
    </row>
    <row r="62" spans="1:14" x14ac:dyDescent="0.3">
      <c r="A62" s="82" t="s">
        <v>157</v>
      </c>
      <c r="B62" s="82"/>
      <c r="C62" s="82"/>
      <c r="D62" s="82" t="s">
        <v>29</v>
      </c>
      <c r="E62" s="82"/>
      <c r="F62" s="82"/>
      <c r="G62" s="82"/>
      <c r="H62" s="82"/>
      <c r="I62" s="29"/>
      <c r="J62" s="29"/>
      <c r="K62" s="29"/>
      <c r="L62" s="29"/>
      <c r="M62" s="29"/>
      <c r="N62" s="29"/>
    </row>
    <row r="63" spans="1:14" ht="15.75" customHeight="1" x14ac:dyDescent="0.3">
      <c r="A63" s="178" t="s">
        <v>94</v>
      </c>
      <c r="B63" s="178"/>
      <c r="C63" s="178"/>
      <c r="D63" s="166" t="str">
        <f ca="1">(IF(G69&gt;95%,"Nothing",IF(G69&gt;0%,"Cement, Aggregate, Steel, etc",IF(G69=0%,"Work not yet Started"))))</f>
        <v>Nothing</v>
      </c>
      <c r="E63" s="166"/>
      <c r="F63" s="166"/>
      <c r="G63" s="166"/>
      <c r="H63" s="166"/>
      <c r="J63" s="9"/>
    </row>
    <row r="64" spans="1:14" ht="33.75" customHeight="1" thickBot="1" x14ac:dyDescent="0.35">
      <c r="A64" s="177" t="s">
        <v>122</v>
      </c>
      <c r="B64" s="177"/>
      <c r="C64" s="177"/>
      <c r="D64" s="166" t="str">
        <f ca="1">(IF(D63="Nothing","Yes",IF(D63="Cement, Aggregate, Steel, etc","Under Construction",IF(D63="Work not yet Started","Work not yet Started"))))</f>
        <v>Yes</v>
      </c>
      <c r="E64" s="166"/>
      <c r="F64" s="166" t="str">
        <f ca="1">(IF(D63="Nothing","Yes",IF(D63="Cement, Aggregate, Steel, etc","Under Construction",IF(D63="Work not yet Started","Work not yet Started"))))</f>
        <v>Yes</v>
      </c>
      <c r="G64" s="166"/>
      <c r="H64" s="166"/>
    </row>
    <row r="65" spans="1:10" x14ac:dyDescent="0.3">
      <c r="A65" s="96" t="s">
        <v>147</v>
      </c>
      <c r="B65" s="97"/>
      <c r="C65" s="92" t="s">
        <v>231</v>
      </c>
      <c r="D65" s="93"/>
      <c r="E65" s="93"/>
      <c r="F65" s="93"/>
      <c r="G65" s="93"/>
      <c r="H65" s="94"/>
      <c r="I65" s="28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completed","0")))))))))))&amp;(IF(C71=(D66+F66+H66),", RCC Slab",IF(C71&gt;0,", RCC upto "&amp;C71&amp;" Slab",""))&amp;(IF(C72=H66,", Brickwork",IF(C72&gt;0,", Brickwork upto "&amp;C72&amp;" Floor",""))&amp;(IF(C73=H66,", Internal Plaster",IF(C73&gt;0,", Internal Plaster upto "&amp;C73&amp;" Floor",""))&amp;(IF(C74=H66,", External Plaster",IF(C74&gt;0,", External Plaster upto "&amp;C74&amp;" Floor",""))&amp;(IF(C75=H66,", Flooring",IF(C75&gt;0,", Flooring upto "&amp;C75&amp;" Floor",""))&amp;(IF(C76=H66,", Painting",IF(C76&gt;0,", Painting upto "&amp;C76&amp;" Floor",""))&amp;(IF(C77&gt;0,", Finishing upto "&amp;C77&amp;" Floor","")&amp;(IF(C71&gt;0.5," Completed",""))))))))))))))</f>
        <v>All work completed. Please provide OC.</v>
      </c>
      <c r="J65" s="10"/>
    </row>
    <row r="66" spans="1:10" x14ac:dyDescent="0.3">
      <c r="A66" s="39" t="s">
        <v>149</v>
      </c>
      <c r="B66" s="47">
        <v>0</v>
      </c>
      <c r="C66" s="47" t="s">
        <v>78</v>
      </c>
      <c r="D66" s="47">
        <v>1</v>
      </c>
      <c r="E66" s="47" t="s">
        <v>77</v>
      </c>
      <c r="F66" s="47">
        <v>0</v>
      </c>
      <c r="G66" s="47" t="s">
        <v>88</v>
      </c>
      <c r="H66" s="40">
        <f ca="1">--TRIM(RIGHT(SUBSTITUTE(LEFT(C65,_xlfn.AGGREGATE(16,6,FIND({0,1,2,3,4,5,6,7,8,9},C65,ROW(INDIRECT("1:"&amp;LEN(C65)))),1))," ",REPT(" ",LEN(C65))),LEN(C65)))</f>
        <v>4</v>
      </c>
      <c r="I66" s="9"/>
      <c r="J66" s="11"/>
    </row>
    <row r="67" spans="1:10" x14ac:dyDescent="0.3">
      <c r="A67" s="98" t="s">
        <v>98</v>
      </c>
      <c r="B67" s="99"/>
      <c r="C67" s="100" t="str">
        <f ca="1">I65</f>
        <v>All work completed. Please provide OC.</v>
      </c>
      <c r="D67" s="100"/>
      <c r="E67" s="100"/>
      <c r="F67" s="100"/>
      <c r="G67" s="100"/>
      <c r="H67" s="101"/>
      <c r="I67" s="9" t="s">
        <v>108</v>
      </c>
      <c r="J67" s="11"/>
    </row>
    <row r="68" spans="1:10" ht="15.75" customHeight="1" x14ac:dyDescent="0.3">
      <c r="A68" s="87" t="s">
        <v>53</v>
      </c>
      <c r="B68" s="88"/>
      <c r="C68" s="42" t="s">
        <v>146</v>
      </c>
      <c r="D68" s="42" t="s">
        <v>91</v>
      </c>
      <c r="E68" s="88" t="s">
        <v>93</v>
      </c>
      <c r="F68" s="88"/>
      <c r="G68" s="88" t="s">
        <v>92</v>
      </c>
      <c r="H68" s="148"/>
      <c r="I68" s="30" t="s">
        <v>148</v>
      </c>
      <c r="J68" s="12">
        <f ca="1">H66*25%</f>
        <v>1</v>
      </c>
    </row>
    <row r="69" spans="1:10" x14ac:dyDescent="0.3">
      <c r="A69" s="87" t="s">
        <v>135</v>
      </c>
      <c r="B69" s="88"/>
      <c r="C69" s="50">
        <f ca="1">J70</f>
        <v>4</v>
      </c>
      <c r="D69" s="51">
        <f ca="1">((100/H66)*C69)/100</f>
        <v>1</v>
      </c>
      <c r="E69" s="83">
        <f ca="1">(((C70/H66*10)+(40/(D66+F66+H66)*C71)+(7.5/(H66)*C72)+(7.5/(H66)*C73)+(10/H66*C74)+(10/H66*C75)+(5/H66*C76)+(5/H66*C77)+(5/H66*C78))/100)</f>
        <v>1</v>
      </c>
      <c r="F69" s="83"/>
      <c r="G69" s="83">
        <f ca="1">((((C69/H66)*20)+((C70/H66)*25)+(30/(H66+F66+D66)*C71)+(5/H66*C72)+(5/H66*C73)+(5/H66*C74)+(5/H66*C75)+(0/H66*C76)+(0/H66*C77)+(5/H66*C78))/100)</f>
        <v>1</v>
      </c>
      <c r="H69" s="85"/>
      <c r="I69" s="30" t="s">
        <v>103</v>
      </c>
      <c r="J69" s="31">
        <f ca="1">H66*50%</f>
        <v>2</v>
      </c>
    </row>
    <row r="70" spans="1:10" x14ac:dyDescent="0.3">
      <c r="A70" s="87" t="s">
        <v>54</v>
      </c>
      <c r="B70" s="88"/>
      <c r="C70" s="52">
        <f ca="1">J78</f>
        <v>4</v>
      </c>
      <c r="D70" s="51">
        <f ca="1">((100/H66)*C70)/100</f>
        <v>1</v>
      </c>
      <c r="E70" s="83"/>
      <c r="F70" s="83"/>
      <c r="G70" s="83"/>
      <c r="H70" s="85"/>
      <c r="I70" s="30" t="s">
        <v>104</v>
      </c>
      <c r="J70" s="31">
        <f ca="1">H66</f>
        <v>4</v>
      </c>
    </row>
    <row r="71" spans="1:10" ht="15.75" customHeight="1" x14ac:dyDescent="0.3">
      <c r="A71" s="87" t="s">
        <v>136</v>
      </c>
      <c r="B71" s="88"/>
      <c r="C71" s="52">
        <f ca="1">D66+H66</f>
        <v>5</v>
      </c>
      <c r="D71" s="51">
        <f ca="1">((100/(D66+F66+H66))*C71)/100</f>
        <v>1</v>
      </c>
      <c r="E71" s="83"/>
      <c r="F71" s="83"/>
      <c r="G71" s="83"/>
      <c r="H71" s="85"/>
      <c r="I71" s="30" t="s">
        <v>105</v>
      </c>
      <c r="J71" s="32">
        <f ca="1">(IF(B66&gt;1,(H66/(B66+2)),H66/4))</f>
        <v>1</v>
      </c>
    </row>
    <row r="72" spans="1:10" ht="15.75" customHeight="1" x14ac:dyDescent="0.3">
      <c r="A72" s="87" t="s">
        <v>143</v>
      </c>
      <c r="B72" s="88" t="s">
        <v>137</v>
      </c>
      <c r="C72" s="50">
        <v>4</v>
      </c>
      <c r="D72" s="51">
        <f ca="1">((100/H66)*C72)/100</f>
        <v>1</v>
      </c>
      <c r="E72" s="83"/>
      <c r="F72" s="83"/>
      <c r="G72" s="83"/>
      <c r="H72" s="85"/>
      <c r="I72" s="30" t="s">
        <v>106</v>
      </c>
      <c r="J72" s="32">
        <f ca="1">(IF(B66&gt;1,(H66/(B66+2)+J71),H66/4+J71))</f>
        <v>2</v>
      </c>
    </row>
    <row r="73" spans="1:10" ht="15.75" customHeight="1" x14ac:dyDescent="0.3">
      <c r="A73" s="87" t="s">
        <v>144</v>
      </c>
      <c r="B73" s="88" t="s">
        <v>137</v>
      </c>
      <c r="C73" s="50">
        <v>4</v>
      </c>
      <c r="D73" s="51">
        <f ca="1">((100/H66)*C73)/100</f>
        <v>1</v>
      </c>
      <c r="E73" s="83"/>
      <c r="F73" s="83"/>
      <c r="G73" s="83"/>
      <c r="H73" s="85"/>
      <c r="I73" s="30" t="s">
        <v>154</v>
      </c>
      <c r="J73" s="32">
        <f>(IF(B66&gt;1,(H66/(B66+2)+J72),0))</f>
        <v>0</v>
      </c>
    </row>
    <row r="74" spans="1:10" ht="15" customHeight="1" x14ac:dyDescent="0.3">
      <c r="A74" s="87" t="s">
        <v>142</v>
      </c>
      <c r="B74" s="88" t="s">
        <v>139</v>
      </c>
      <c r="C74" s="50">
        <v>4</v>
      </c>
      <c r="D74" s="51">
        <f ca="1">((100/(H66))*C74)/100</f>
        <v>1</v>
      </c>
      <c r="E74" s="83"/>
      <c r="F74" s="83"/>
      <c r="G74" s="83"/>
      <c r="H74" s="85"/>
      <c r="I74" s="30" t="s">
        <v>150</v>
      </c>
      <c r="J74" s="32">
        <f>(IF(B66&gt;2,(H66/(B66+2)+J73),0))</f>
        <v>0</v>
      </c>
    </row>
    <row r="75" spans="1:10" ht="15.75" customHeight="1" x14ac:dyDescent="0.3">
      <c r="A75" s="87" t="s">
        <v>138</v>
      </c>
      <c r="B75" s="88" t="s">
        <v>138</v>
      </c>
      <c r="C75" s="50">
        <v>4</v>
      </c>
      <c r="D75" s="51">
        <f ca="1">((100/H66)*C75)/100</f>
        <v>1</v>
      </c>
      <c r="E75" s="83"/>
      <c r="F75" s="83"/>
      <c r="G75" s="83"/>
      <c r="H75" s="85"/>
      <c r="I75" s="30" t="s">
        <v>151</v>
      </c>
      <c r="J75" s="33">
        <f>(IF(B66&gt;3,(H66/(B66+2)+J74),0))</f>
        <v>0</v>
      </c>
    </row>
    <row r="76" spans="1:10" ht="15.75" customHeight="1" x14ac:dyDescent="0.3">
      <c r="A76" s="87" t="s">
        <v>145</v>
      </c>
      <c r="B76" s="88"/>
      <c r="C76" s="50">
        <v>4</v>
      </c>
      <c r="D76" s="51">
        <f ca="1">((100/H66)*C76)/100</f>
        <v>1</v>
      </c>
      <c r="E76" s="83"/>
      <c r="F76" s="83"/>
      <c r="G76" s="83"/>
      <c r="H76" s="85"/>
      <c r="I76" s="30" t="s">
        <v>152</v>
      </c>
      <c r="J76" s="32">
        <f>(IF(B66&gt;4,(H66/(B66+2)+J75),0))</f>
        <v>0</v>
      </c>
    </row>
    <row r="77" spans="1:10" ht="15.75" customHeight="1" x14ac:dyDescent="0.3">
      <c r="A77" s="87" t="s">
        <v>140</v>
      </c>
      <c r="B77" s="88" t="s">
        <v>140</v>
      </c>
      <c r="C77" s="50">
        <v>4</v>
      </c>
      <c r="D77" s="51">
        <f ca="1">((100/(H66))*C77)/100</f>
        <v>1</v>
      </c>
      <c r="E77" s="83"/>
      <c r="F77" s="83"/>
      <c r="G77" s="83"/>
      <c r="H77" s="85"/>
      <c r="I77" s="30" t="s">
        <v>155</v>
      </c>
      <c r="J77" s="32">
        <f ca="1">(IF(B66=1,(H66/(B66+3)+J72),IF(B66=0,(H66/4+J72),IF(B66&gt;1,0))))</f>
        <v>3</v>
      </c>
    </row>
    <row r="78" spans="1:10" ht="16.2" thickBot="1" x14ac:dyDescent="0.35">
      <c r="A78" s="89" t="s">
        <v>141</v>
      </c>
      <c r="B78" s="90"/>
      <c r="C78" s="53">
        <v>4</v>
      </c>
      <c r="D78" s="54">
        <f ca="1">((100/(H66))*C78)/100</f>
        <v>1</v>
      </c>
      <c r="E78" s="84"/>
      <c r="F78" s="84"/>
      <c r="G78" s="84"/>
      <c r="H78" s="86"/>
      <c r="I78" s="34" t="s">
        <v>107</v>
      </c>
      <c r="J78" s="35">
        <f ca="1">(IF(B66&gt;1.5,(H66/(B66+2)+J72+MAX(0,J73-J72)+MAX(0,J74-J73)+MAX(0,J75-J74)+MAX(0,J76-J75)+MAX(0,J77-J76)),IF(B66=1,(H66/(B66+3)+J77),IF(B66=0,H66/4+J77))))</f>
        <v>4</v>
      </c>
    </row>
    <row r="79" spans="1:10" ht="15.75" customHeight="1" x14ac:dyDescent="0.3">
      <c r="A79" s="96" t="s">
        <v>147</v>
      </c>
      <c r="B79" s="97"/>
      <c r="C79" s="92" t="str">
        <f>D55</f>
        <v>Building No. 1 (B2 Type) (Wing B) = G + 1st to 4th Floor</v>
      </c>
      <c r="D79" s="93"/>
      <c r="E79" s="93"/>
      <c r="F79" s="93"/>
      <c r="G79" s="93"/>
      <c r="H79" s="94"/>
      <c r="I79" s="28" t="str">
        <f ca="1">(IF(E83&gt;99%,"All work completed. Please provide OC.",IF(E83&gt;89.8%,"Plinth, RCC, Brick, Plaster, Flooring, Painting work Completed. Finishing work is in process.",IF(E83&lt;94%,(IF(C83=0,"Work not yet Started.",IF(D83=25%,"Piling work in process",IF(D83=50%,"Excavation work in process",IF(D83=100%,"Excavation work Completed. ","0")))&amp;(IF(C84=0%,"",IF(C84=J85,"Footing work is process",IF(C84=J86,"Footing work Completed",IF(C84=J87,"1st Basement Completed",IF(C84=J88,"1st &amp; 2nd Basement Completed",IF(C84=J89,"1st to 3rd Basement Completed",IF(C84=J90,"1st to 4th Basement Completed",IF(C84=J91,"Plinth work is process",IF(C84=J92,"Plinth work completed","0")))))))))))&amp;(IF(C85=(D80+F80+H80),", RCC Slab",IF(C85&gt;0,", RCC upto "&amp;C85&amp;" Slab",""))&amp;(IF(C86=H80,", Brickwork",IF(C86&gt;0,", Brickwork upto "&amp;C86&amp;" Floor",""))&amp;(IF(C87=H80,", Internal Plaster",IF(C87&gt;0,", Internal Plaster upto "&amp;C87&amp;" Floor",""))&amp;(IF(C88=H80,", External Plaster",IF(C88&gt;0,", External Plaster upto "&amp;C88&amp;" Floor",""))&amp;(IF(C89=H80,", Flooring",IF(C89&gt;0,", Flooring upto "&amp;C89&amp;" Floor",""))&amp;(IF(C90=H80,", Painting",IF(C90&gt;0,", Painting upto "&amp;C90&amp;" Floor",""))&amp;(IF(C91&gt;0,", Finishing upto "&amp;C91&amp;" Floor","")&amp;(IF(C85&gt;0.5," Completed",""))))))))))))))</f>
        <v>Plinth, RCC, Brick, Plaster, Flooring, Painting work Completed. Finishing work is in process.</v>
      </c>
      <c r="J79" s="10"/>
    </row>
    <row r="80" spans="1:10" x14ac:dyDescent="0.3">
      <c r="A80" s="39" t="s">
        <v>149</v>
      </c>
      <c r="B80" s="47">
        <v>0</v>
      </c>
      <c r="C80" s="47" t="s">
        <v>78</v>
      </c>
      <c r="D80" s="47">
        <v>1</v>
      </c>
      <c r="E80" s="47" t="s">
        <v>77</v>
      </c>
      <c r="F80" s="47">
        <v>0</v>
      </c>
      <c r="G80" s="47" t="s">
        <v>88</v>
      </c>
      <c r="H80" s="40">
        <f ca="1">--TRIM(RIGHT(SUBSTITUTE(LEFT(C79,_xlfn.AGGREGATE(16,6,FIND({0,1,2,3,4,5,6,7,8,9},C79,ROW(INDIRECT("1:"&amp;LEN(C79)))),1))," ",REPT(" ",LEN(C79))),LEN(C79)))</f>
        <v>4</v>
      </c>
      <c r="I80" s="9"/>
      <c r="J80" s="11"/>
    </row>
    <row r="81" spans="1:10" ht="30" customHeight="1" x14ac:dyDescent="0.3">
      <c r="A81" s="98" t="s">
        <v>98</v>
      </c>
      <c r="B81" s="99"/>
      <c r="C81" s="100" t="str">
        <f ca="1">I79</f>
        <v>Plinth, RCC, Brick, Plaster, Flooring, Painting work Completed. Finishing work is in process.</v>
      </c>
      <c r="D81" s="100"/>
      <c r="E81" s="100"/>
      <c r="F81" s="100"/>
      <c r="G81" s="100"/>
      <c r="H81" s="101"/>
      <c r="I81" s="9" t="s">
        <v>108</v>
      </c>
      <c r="J81" s="11"/>
    </row>
    <row r="82" spans="1:10" x14ac:dyDescent="0.3">
      <c r="A82" s="87" t="s">
        <v>53</v>
      </c>
      <c r="B82" s="88"/>
      <c r="C82" s="42" t="s">
        <v>146</v>
      </c>
      <c r="D82" s="42" t="s">
        <v>91</v>
      </c>
      <c r="E82" s="88" t="s">
        <v>93</v>
      </c>
      <c r="F82" s="88"/>
      <c r="G82" s="88" t="s">
        <v>92</v>
      </c>
      <c r="H82" s="148"/>
      <c r="I82" s="30" t="s">
        <v>148</v>
      </c>
      <c r="J82" s="12">
        <f ca="1">H80*25%</f>
        <v>1</v>
      </c>
    </row>
    <row r="83" spans="1:10" x14ac:dyDescent="0.3">
      <c r="A83" s="87" t="s">
        <v>135</v>
      </c>
      <c r="B83" s="88"/>
      <c r="C83" s="50">
        <f ca="1">J84</f>
        <v>4</v>
      </c>
      <c r="D83" s="51">
        <f ca="1">((100/H80)*C83)/100</f>
        <v>1</v>
      </c>
      <c r="E83" s="83">
        <f ca="1">(((C84/H80*10)+(40/(D80+F80+H80)*C85)+(7.5/(H80)*C86)+(7.5/(H80)*C87)+(10/H80*C88)+(10/H80*C89)+(5/H80*C90)+(5/H80*C91)+(5/H80*C92))/100)</f>
        <v>0.9375</v>
      </c>
      <c r="F83" s="83"/>
      <c r="G83" s="83">
        <f ca="1">((((C83/H80)*20)+((C84/H80)*25)+(30/(H80+F80+D80)*C85)+(5/H80*C86)+(5/H80*C87)+(5/H80*C88)+(5/H80*C89)+(0/H80*C90)+(0/H80*C91)+(5/H80*C92))/100)</f>
        <v>0.95</v>
      </c>
      <c r="H83" s="85"/>
      <c r="I83" s="30" t="s">
        <v>103</v>
      </c>
      <c r="J83" s="31">
        <f ca="1">H80*50%</f>
        <v>2</v>
      </c>
    </row>
    <row r="84" spans="1:10" x14ac:dyDescent="0.3">
      <c r="A84" s="87" t="s">
        <v>54</v>
      </c>
      <c r="B84" s="88"/>
      <c r="C84" s="52">
        <f ca="1">J92</f>
        <v>4</v>
      </c>
      <c r="D84" s="51">
        <f ca="1">((100/H80)*C84)/100</f>
        <v>1</v>
      </c>
      <c r="E84" s="83"/>
      <c r="F84" s="83"/>
      <c r="G84" s="83"/>
      <c r="H84" s="85"/>
      <c r="I84" s="30" t="s">
        <v>104</v>
      </c>
      <c r="J84" s="31">
        <f ca="1">H80</f>
        <v>4</v>
      </c>
    </row>
    <row r="85" spans="1:10" x14ac:dyDescent="0.3">
      <c r="A85" s="87" t="s">
        <v>136</v>
      </c>
      <c r="B85" s="88"/>
      <c r="C85" s="52">
        <f ca="1">D80+H80</f>
        <v>5</v>
      </c>
      <c r="D85" s="51">
        <f ca="1">((100/(D80+F80+H80))*C85)/100</f>
        <v>1</v>
      </c>
      <c r="E85" s="83"/>
      <c r="F85" s="83"/>
      <c r="G85" s="83"/>
      <c r="H85" s="85"/>
      <c r="I85" s="30" t="s">
        <v>105</v>
      </c>
      <c r="J85" s="32">
        <f ca="1">(IF(B80&gt;1,(H80/(B80+2)),H80/4))</f>
        <v>1</v>
      </c>
    </row>
    <row r="86" spans="1:10" x14ac:dyDescent="0.3">
      <c r="A86" s="87" t="s">
        <v>143</v>
      </c>
      <c r="B86" s="88" t="s">
        <v>137</v>
      </c>
      <c r="C86" s="50">
        <v>4</v>
      </c>
      <c r="D86" s="51">
        <f ca="1">((100/H80)*C86)/100</f>
        <v>1</v>
      </c>
      <c r="E86" s="83"/>
      <c r="F86" s="83"/>
      <c r="G86" s="83"/>
      <c r="H86" s="85"/>
      <c r="I86" s="30" t="s">
        <v>106</v>
      </c>
      <c r="J86" s="32">
        <f ca="1">(IF(B80&gt;1,(H80/(B80+2)+J85),H80/4+J85))</f>
        <v>2</v>
      </c>
    </row>
    <row r="87" spans="1:10" x14ac:dyDescent="0.3">
      <c r="A87" s="87" t="s">
        <v>144</v>
      </c>
      <c r="B87" s="88" t="s">
        <v>137</v>
      </c>
      <c r="C87" s="50">
        <v>4</v>
      </c>
      <c r="D87" s="51">
        <f ca="1">((100/H80)*C87)/100</f>
        <v>1</v>
      </c>
      <c r="E87" s="83"/>
      <c r="F87" s="83"/>
      <c r="G87" s="83"/>
      <c r="H87" s="85"/>
      <c r="I87" s="30" t="s">
        <v>154</v>
      </c>
      <c r="J87" s="32">
        <f>(IF(B80&gt;1,(H80/(B80+2)+J86),0))</f>
        <v>0</v>
      </c>
    </row>
    <row r="88" spans="1:10" x14ac:dyDescent="0.3">
      <c r="A88" s="87" t="s">
        <v>142</v>
      </c>
      <c r="B88" s="88" t="s">
        <v>139</v>
      </c>
      <c r="C88" s="50">
        <v>4</v>
      </c>
      <c r="D88" s="51">
        <f ca="1">((100/(H80))*C88)/100</f>
        <v>1</v>
      </c>
      <c r="E88" s="83"/>
      <c r="F88" s="83"/>
      <c r="G88" s="83"/>
      <c r="H88" s="85"/>
      <c r="I88" s="30" t="s">
        <v>150</v>
      </c>
      <c r="J88" s="32">
        <f>(IF(B80&gt;2,(H80/(B80+2)+J87),0))</f>
        <v>0</v>
      </c>
    </row>
    <row r="89" spans="1:10" x14ac:dyDescent="0.3">
      <c r="A89" s="87" t="s">
        <v>138</v>
      </c>
      <c r="B89" s="88" t="s">
        <v>138</v>
      </c>
      <c r="C89" s="50">
        <v>4</v>
      </c>
      <c r="D89" s="51">
        <f ca="1">((100/H80)*C89)/100</f>
        <v>1</v>
      </c>
      <c r="E89" s="83"/>
      <c r="F89" s="83"/>
      <c r="G89" s="83"/>
      <c r="H89" s="85"/>
      <c r="I89" s="30" t="s">
        <v>151</v>
      </c>
      <c r="J89" s="33">
        <f>(IF(B80&gt;3,(H80/(B80+2)+J88),0))</f>
        <v>0</v>
      </c>
    </row>
    <row r="90" spans="1:10" x14ac:dyDescent="0.3">
      <c r="A90" s="87" t="s">
        <v>145</v>
      </c>
      <c r="B90" s="88"/>
      <c r="C90" s="50">
        <v>4</v>
      </c>
      <c r="D90" s="51">
        <f ca="1">((100/H80)*C90)/100</f>
        <v>1</v>
      </c>
      <c r="E90" s="83"/>
      <c r="F90" s="83"/>
      <c r="G90" s="83"/>
      <c r="H90" s="85"/>
      <c r="I90" s="30" t="s">
        <v>152</v>
      </c>
      <c r="J90" s="32">
        <f>(IF(B80&gt;4,(H80/(B80+2)+J89),0))</f>
        <v>0</v>
      </c>
    </row>
    <row r="91" spans="1:10" x14ac:dyDescent="0.3">
      <c r="A91" s="87" t="s">
        <v>140</v>
      </c>
      <c r="B91" s="88" t="s">
        <v>140</v>
      </c>
      <c r="C91" s="50">
        <v>3</v>
      </c>
      <c r="D91" s="51">
        <f ca="1">((100/(H80))*C91)/100</f>
        <v>0.75</v>
      </c>
      <c r="E91" s="83"/>
      <c r="F91" s="83"/>
      <c r="G91" s="83"/>
      <c r="H91" s="85"/>
      <c r="I91" s="30" t="s">
        <v>155</v>
      </c>
      <c r="J91" s="32">
        <f ca="1">(IF(B80=1,(H80/(B80+3)+J86),IF(B80=0,(H80/4+J86),IF(B80&gt;1,0))))</f>
        <v>3</v>
      </c>
    </row>
    <row r="92" spans="1:10" ht="16.2" thickBot="1" x14ac:dyDescent="0.35">
      <c r="A92" s="89" t="s">
        <v>141</v>
      </c>
      <c r="B92" s="90"/>
      <c r="C92" s="53">
        <v>0</v>
      </c>
      <c r="D92" s="54">
        <f ca="1">((100/(H80))*C92)/100</f>
        <v>0</v>
      </c>
      <c r="E92" s="84"/>
      <c r="F92" s="84"/>
      <c r="G92" s="84"/>
      <c r="H92" s="86"/>
      <c r="I92" s="34" t="s">
        <v>107</v>
      </c>
      <c r="J92" s="35">
        <f ca="1">(IF(B80&gt;1.5,(H80/(B80+2)+J86+MAX(0,J87-J86)+MAX(0,J88-J87)+MAX(0,J89-J88)+MAX(0,J90-J89)+MAX(0,J91-J90)),IF(B80=1,(H80/(B80+3)+J91),IF(B80=0,H80/4+J91))))</f>
        <v>4</v>
      </c>
    </row>
    <row r="93" spans="1:10" x14ac:dyDescent="0.3">
      <c r="A93" s="96" t="s">
        <v>147</v>
      </c>
      <c r="B93" s="97"/>
      <c r="C93" s="92" t="str">
        <f>D56</f>
        <v>Building No. 2 (B &amp; A Type) (Wing A &amp; B) = G + 1st to 4th Floor</v>
      </c>
      <c r="D93" s="93"/>
      <c r="E93" s="93"/>
      <c r="F93" s="93"/>
      <c r="G93" s="93"/>
      <c r="H93" s="94"/>
      <c r="I93" s="28" t="str">
        <f ca="1">(IF(E97&gt;99%,"All work completed. Please provide OC.",IF(E97&gt;89.8%,"Plinth, RCC, Brick, Plaster, Flooring, Painting work Completed. Finishing work is in process.",IF(E97&lt;94%,(IF(C97=0,"Work not yet Started.",IF(D97=25%,"Piling work in process",IF(D97=50%,"Excavation work in process",IF(D97=100%,"Excavation work Completed. ","0")))&amp;(IF(C98=0%,"",IF(C98=J99,"Footing work is process",IF(C98=J100,"Footing work Completed",IF(C98=J101,"1st Basement Completed",IF(C98=J102,"1st &amp; 2nd Basement Completed",IF(C98=J103,"1st to 3rd Basement Completed",IF(C98=J104,"1st to 4th Basement Completed",IF(C98=J105,"Plinth work is process",IF(C98=J106,"Plinth work completed","0")))))))))))&amp;(IF(C99=(D94+F94+H94),", RCC Slab",IF(C99&gt;0,", RCC upto "&amp;C99&amp;" Slab",""))&amp;(IF(C100=H94,", Brickwork",IF(C100&gt;0,", Brickwork upto "&amp;C100&amp;" Floor",""))&amp;(IF(C101=H94,", Internal Plaster",IF(C101&gt;0,", Internal Plaster upto "&amp;C101&amp;" Floor",""))&amp;(IF(C102=H94,", External Plaster",IF(C102&gt;0,", External Plaster upto "&amp;C102&amp;" Floor",""))&amp;(IF(C103=H94,", Flooring",IF(C103&gt;0,", Flooring upto "&amp;C103&amp;" Floor",""))&amp;(IF(C104=H94,", Painting",IF(C104&gt;0,", Painting upto "&amp;C104&amp;" Floor",""))&amp;(IF(C105&gt;0,", Finishing upto "&amp;C105&amp;" Floor","")&amp;(IF(C99&gt;0.5," Completed",""))))))))))))))</f>
        <v>Excavation work Completed. Plinth work completed, RCC Slab, Brickwork, Internal Plaster upto 3 Floor, External Plaster upto 2 Floor Completed</v>
      </c>
      <c r="J93" s="10"/>
    </row>
    <row r="94" spans="1:10" x14ac:dyDescent="0.3">
      <c r="A94" s="39" t="s">
        <v>149</v>
      </c>
      <c r="B94" s="47">
        <v>0</v>
      </c>
      <c r="C94" s="47" t="s">
        <v>78</v>
      </c>
      <c r="D94" s="47">
        <v>1</v>
      </c>
      <c r="E94" s="47" t="s">
        <v>77</v>
      </c>
      <c r="F94" s="47">
        <v>0</v>
      </c>
      <c r="G94" s="47" t="s">
        <v>88</v>
      </c>
      <c r="H94" s="40">
        <f ca="1">--TRIM(RIGHT(SUBSTITUTE(LEFT(C93,_xlfn.AGGREGATE(16,6,FIND({0,1,2,3,4,5,6,7,8,9},C93,ROW(INDIRECT("1:"&amp;LEN(C93)))),1))," ",REPT(" ",LEN(C93))),LEN(C93)))</f>
        <v>4</v>
      </c>
      <c r="I94" s="9"/>
      <c r="J94" s="11"/>
    </row>
    <row r="95" spans="1:10" ht="33.75" customHeight="1" x14ac:dyDescent="0.3">
      <c r="A95" s="98" t="s">
        <v>98</v>
      </c>
      <c r="B95" s="99"/>
      <c r="C95" s="100" t="str">
        <f ca="1">I93</f>
        <v>Excavation work Completed. Plinth work completed, RCC Slab, Brickwork, Internal Plaster upto 3 Floor, External Plaster upto 2 Floor Completed</v>
      </c>
      <c r="D95" s="100"/>
      <c r="E95" s="100"/>
      <c r="F95" s="100"/>
      <c r="G95" s="100"/>
      <c r="H95" s="101"/>
      <c r="I95" s="9" t="s">
        <v>108</v>
      </c>
      <c r="J95" s="11"/>
    </row>
    <row r="96" spans="1:10" ht="15.75" customHeight="1" x14ac:dyDescent="0.3">
      <c r="A96" s="87" t="s">
        <v>53</v>
      </c>
      <c r="B96" s="88"/>
      <c r="C96" s="42" t="s">
        <v>146</v>
      </c>
      <c r="D96" s="42" t="s">
        <v>91</v>
      </c>
      <c r="E96" s="88" t="s">
        <v>93</v>
      </c>
      <c r="F96" s="88"/>
      <c r="G96" s="88" t="s">
        <v>92</v>
      </c>
      <c r="H96" s="148"/>
      <c r="I96" s="30" t="s">
        <v>148</v>
      </c>
      <c r="J96" s="12">
        <f ca="1">H94*25%</f>
        <v>1</v>
      </c>
    </row>
    <row r="97" spans="1:10" x14ac:dyDescent="0.3">
      <c r="A97" s="87" t="s">
        <v>135</v>
      </c>
      <c r="B97" s="88"/>
      <c r="C97" s="50">
        <f ca="1">J98</f>
        <v>4</v>
      </c>
      <c r="D97" s="51">
        <f ca="1">((100/H94)*C97)/100</f>
        <v>1</v>
      </c>
      <c r="E97" s="83">
        <f ca="1">(((C98/H94*10)+(40/(D94+F94+H94)*C99)+(7.5/(H94)*C100)+(7.5/(H94)*C101)+(10/H94*C102)+(10/H94*C103)+(5/H94*C104)+(5/H94*C105)+(5/H94*C106))/100)</f>
        <v>0.68125000000000002</v>
      </c>
      <c r="F97" s="83"/>
      <c r="G97" s="83">
        <f ca="1">((((C97/H94)*20)+((C98/H94)*25)+(30/(H94+F94+D94)*C99)+(5/H94*C100)+(5/H94*C101)+(5/H94*C102)+(5/H94*C103)+(0/H94*C104)+(0/H94*C105)+(5/H94*C106))/100)</f>
        <v>0.86250000000000004</v>
      </c>
      <c r="H97" s="85"/>
      <c r="I97" s="30" t="s">
        <v>103</v>
      </c>
      <c r="J97" s="31">
        <f ca="1">H94*50%</f>
        <v>2</v>
      </c>
    </row>
    <row r="98" spans="1:10" x14ac:dyDescent="0.3">
      <c r="A98" s="87" t="s">
        <v>54</v>
      </c>
      <c r="B98" s="88"/>
      <c r="C98" s="52">
        <f ca="1">J106</f>
        <v>4</v>
      </c>
      <c r="D98" s="51">
        <f ca="1">((100/H94)*C98)/100</f>
        <v>1</v>
      </c>
      <c r="E98" s="83"/>
      <c r="F98" s="83"/>
      <c r="G98" s="83"/>
      <c r="H98" s="85"/>
      <c r="I98" s="30" t="s">
        <v>104</v>
      </c>
      <c r="J98" s="31">
        <f ca="1">H94</f>
        <v>4</v>
      </c>
    </row>
    <row r="99" spans="1:10" ht="15.75" customHeight="1" x14ac:dyDescent="0.3">
      <c r="A99" s="87" t="s">
        <v>136</v>
      </c>
      <c r="B99" s="88"/>
      <c r="C99" s="52">
        <f ca="1">D94+H94</f>
        <v>5</v>
      </c>
      <c r="D99" s="51">
        <f ca="1">((100/(D94+F94+H94))*C99)/100</f>
        <v>1</v>
      </c>
      <c r="E99" s="83"/>
      <c r="F99" s="83"/>
      <c r="G99" s="83"/>
      <c r="H99" s="85"/>
      <c r="I99" s="30" t="s">
        <v>105</v>
      </c>
      <c r="J99" s="32">
        <f ca="1">(IF(B94&gt;1,(H94/(B94+2)),H94/4))</f>
        <v>1</v>
      </c>
    </row>
    <row r="100" spans="1:10" ht="15.75" customHeight="1" x14ac:dyDescent="0.3">
      <c r="A100" s="87" t="s">
        <v>143</v>
      </c>
      <c r="B100" s="88" t="s">
        <v>137</v>
      </c>
      <c r="C100" s="50">
        <v>4</v>
      </c>
      <c r="D100" s="51">
        <f ca="1">((100/H94)*C100)/100</f>
        <v>1</v>
      </c>
      <c r="E100" s="83"/>
      <c r="F100" s="83"/>
      <c r="G100" s="83"/>
      <c r="H100" s="85"/>
      <c r="I100" s="30" t="s">
        <v>106</v>
      </c>
      <c r="J100" s="32">
        <f ca="1">(IF(B94&gt;1,(H94/(B94+2)+J99),H94/4+J99))</f>
        <v>2</v>
      </c>
    </row>
    <row r="101" spans="1:10" ht="15.75" customHeight="1" x14ac:dyDescent="0.3">
      <c r="A101" s="87" t="s">
        <v>144</v>
      </c>
      <c r="B101" s="88" t="s">
        <v>137</v>
      </c>
      <c r="C101" s="50">
        <v>3</v>
      </c>
      <c r="D101" s="51">
        <f ca="1">((100/H94)*C101)/100</f>
        <v>0.75</v>
      </c>
      <c r="E101" s="83"/>
      <c r="F101" s="83"/>
      <c r="G101" s="83"/>
      <c r="H101" s="85"/>
      <c r="I101" s="30" t="s">
        <v>154</v>
      </c>
      <c r="J101" s="32">
        <f>(IF(B94&gt;1,(H94/(B94+2)+J100),0))</f>
        <v>0</v>
      </c>
    </row>
    <row r="102" spans="1:10" ht="15" customHeight="1" x14ac:dyDescent="0.3">
      <c r="A102" s="87" t="s">
        <v>142</v>
      </c>
      <c r="B102" s="88" t="s">
        <v>139</v>
      </c>
      <c r="C102" s="50">
        <v>2</v>
      </c>
      <c r="D102" s="51">
        <f ca="1">((100/(H94))*C102)/100</f>
        <v>0.5</v>
      </c>
      <c r="E102" s="83"/>
      <c r="F102" s="83"/>
      <c r="G102" s="83"/>
      <c r="H102" s="85"/>
      <c r="I102" s="30" t="s">
        <v>150</v>
      </c>
      <c r="J102" s="32">
        <f>(IF(B94&gt;2,(H94/(B94+2)+J101),0))</f>
        <v>0</v>
      </c>
    </row>
    <row r="103" spans="1:10" ht="15.75" customHeight="1" x14ac:dyDescent="0.3">
      <c r="A103" s="87" t="s">
        <v>138</v>
      </c>
      <c r="B103" s="88" t="s">
        <v>138</v>
      </c>
      <c r="C103" s="50">
        <v>0</v>
      </c>
      <c r="D103" s="51">
        <f ca="1">((100/H94)*C103)/100</f>
        <v>0</v>
      </c>
      <c r="E103" s="83"/>
      <c r="F103" s="83"/>
      <c r="G103" s="83"/>
      <c r="H103" s="85"/>
      <c r="I103" s="30" t="s">
        <v>151</v>
      </c>
      <c r="J103" s="33">
        <f>(IF(B94&gt;3,(H94/(B94+2)+J102),0))</f>
        <v>0</v>
      </c>
    </row>
    <row r="104" spans="1:10" ht="15.75" customHeight="1" x14ac:dyDescent="0.3">
      <c r="A104" s="87" t="s">
        <v>145</v>
      </c>
      <c r="B104" s="88"/>
      <c r="C104" s="50">
        <v>0</v>
      </c>
      <c r="D104" s="51">
        <f ca="1">((100/H94)*C104)/100</f>
        <v>0</v>
      </c>
      <c r="E104" s="83"/>
      <c r="F104" s="83"/>
      <c r="G104" s="83"/>
      <c r="H104" s="85"/>
      <c r="I104" s="30" t="s">
        <v>152</v>
      </c>
      <c r="J104" s="32">
        <f>(IF(B94&gt;4,(H94/(B94+2)+J103),0))</f>
        <v>0</v>
      </c>
    </row>
    <row r="105" spans="1:10" ht="15.75" customHeight="1" x14ac:dyDescent="0.3">
      <c r="A105" s="87" t="s">
        <v>140</v>
      </c>
      <c r="B105" s="88" t="s">
        <v>140</v>
      </c>
      <c r="C105" s="50">
        <v>0</v>
      </c>
      <c r="D105" s="51">
        <f ca="1">((100/(H94))*C105)/100</f>
        <v>0</v>
      </c>
      <c r="E105" s="83"/>
      <c r="F105" s="83"/>
      <c r="G105" s="83"/>
      <c r="H105" s="85"/>
      <c r="I105" s="30" t="s">
        <v>155</v>
      </c>
      <c r="J105" s="32">
        <f ca="1">(IF(B94=1,(H94/(B94+3)+J100),IF(B94=0,(H94/4+J100),IF(B94&gt;1,0))))</f>
        <v>3</v>
      </c>
    </row>
    <row r="106" spans="1:10" ht="16.2" thickBot="1" x14ac:dyDescent="0.35">
      <c r="A106" s="89" t="s">
        <v>141</v>
      </c>
      <c r="B106" s="90"/>
      <c r="C106" s="53">
        <v>0</v>
      </c>
      <c r="D106" s="54">
        <f ca="1">((100/(H94))*C106)/100</f>
        <v>0</v>
      </c>
      <c r="E106" s="84"/>
      <c r="F106" s="84"/>
      <c r="G106" s="84"/>
      <c r="H106" s="86"/>
      <c r="I106" s="34" t="s">
        <v>107</v>
      </c>
      <c r="J106" s="35">
        <f ca="1">(IF(B94&gt;1.5,(H94/(B94+2)+J100+MAX(0,J101-J100)+MAX(0,J102-J101)+MAX(0,J103-J102)+MAX(0,J104-J103)+MAX(0,J105-J104)),IF(B94=1,(H94/(B94+3)+J105),IF(B94=0,H94/4+J105))))</f>
        <v>4</v>
      </c>
    </row>
    <row r="107" spans="1:10" ht="15.75" customHeight="1" x14ac:dyDescent="0.3">
      <c r="A107" s="96" t="s">
        <v>147</v>
      </c>
      <c r="B107" s="97"/>
      <c r="C107" s="92" t="str">
        <f>D57</f>
        <v>Building No. 2 (D Type) (Wing C) = G + 1st to 4th Floor</v>
      </c>
      <c r="D107" s="93"/>
      <c r="E107" s="93"/>
      <c r="F107" s="93"/>
      <c r="G107" s="93"/>
      <c r="H107" s="94"/>
      <c r="I107" s="28" t="str">
        <f ca="1">(IF(E111&gt;99%,"All work completed. Please provide OC.",IF(E111&gt;89.8%,"Plinth, RCC, Brick, Plaster, Flooring, Painting work Completed. Finishing work is in process.",IF(E111&lt;94%,(IF(C111=0,"Work not yet Started.",IF(D111=25%,"Piling work in process",IF(D111=50%,"Excavation work in process",IF(D111=100%,"Excavation work Completed. ","0")))&amp;(IF(C112=0%,"",IF(C112=J113,"Footing work is process",IF(C112=J114,"Footing work Completed",IF(C112=J115,"1st Basement Completed",IF(C112=J116,"1st &amp; 2nd Basement Completed",IF(C112=J117,"1st to 3rd Basement Completed",IF(C112=J118,"1st to 4th Basement Completed",IF(C112=J119,"Plinth work is process",IF(C112=J120,"Plinth work completed","0")))))))))))&amp;(IF(C113=(D108+F108+H108),", RCC Slab",IF(C113&gt;0,", RCC upto "&amp;C113&amp;" Slab",""))&amp;(IF(C114=H108,", Brickwork",IF(C114&gt;0,", Brickwork upto "&amp;C114&amp;" Floor",""))&amp;(IF(C115=H108,", Internal Plaster",IF(C115&gt;0,", Internal Plaster upto "&amp;C115&amp;" Floor",""))&amp;(IF(C116=H108,", External Plaster",IF(C116&gt;0,", External Plaster upto "&amp;C116&amp;" Floor",""))&amp;(IF(C117=H108,", Flooring",IF(C117&gt;0,", Flooring upto "&amp;C117&amp;" Floor",""))&amp;(IF(C118=H108,", Painting",IF(C118&gt;0,", Painting upto "&amp;C118&amp;" Floor",""))&amp;(IF(C119&gt;0,", Finishing upto "&amp;C119&amp;" Floor","")&amp;(IF(C113&gt;0.5," Completed",""))))))))))))))</f>
        <v>Excavation work Completed. Plinth work completed, RCC Slab, Brickwork, Internal Plaster, External Plaster upto 3.5 Floor, Flooring upto 3 Floor, Painting upto 3 Floor Completed</v>
      </c>
      <c r="J107" s="10"/>
    </row>
    <row r="108" spans="1:10" x14ac:dyDescent="0.3">
      <c r="A108" s="39" t="s">
        <v>149</v>
      </c>
      <c r="B108" s="47">
        <v>0</v>
      </c>
      <c r="C108" s="47" t="s">
        <v>78</v>
      </c>
      <c r="D108" s="47">
        <v>1</v>
      </c>
      <c r="E108" s="47" t="s">
        <v>77</v>
      </c>
      <c r="F108" s="47">
        <v>0</v>
      </c>
      <c r="G108" s="47" t="s">
        <v>88</v>
      </c>
      <c r="H108" s="40">
        <f ca="1">--TRIM(RIGHT(SUBSTITUTE(LEFT(C107,_xlfn.AGGREGATE(16,6,FIND({0,1,2,3,4,5,6,7,8,9},C107,ROW(INDIRECT("1:"&amp;LEN(C107)))),1))," ",REPT(" ",LEN(C107))),LEN(C107)))</f>
        <v>4</v>
      </c>
      <c r="I108" s="9"/>
      <c r="J108" s="11"/>
    </row>
    <row r="109" spans="1:10" ht="51" customHeight="1" x14ac:dyDescent="0.3">
      <c r="A109" s="98" t="s">
        <v>98</v>
      </c>
      <c r="B109" s="99"/>
      <c r="C109" s="100" t="str">
        <f ca="1">I107</f>
        <v>Excavation work Completed. Plinth work completed, RCC Slab, Brickwork, Internal Plaster, External Plaster upto 3.5 Floor, Flooring upto 3 Floor, Painting upto 3 Floor Completed</v>
      </c>
      <c r="D109" s="100"/>
      <c r="E109" s="100"/>
      <c r="F109" s="100"/>
      <c r="G109" s="100"/>
      <c r="H109" s="101"/>
      <c r="I109" s="9" t="s">
        <v>108</v>
      </c>
      <c r="J109" s="11"/>
    </row>
    <row r="110" spans="1:10" ht="15.75" customHeight="1" x14ac:dyDescent="0.3">
      <c r="A110" s="87" t="s">
        <v>53</v>
      </c>
      <c r="B110" s="88"/>
      <c r="C110" s="42" t="s">
        <v>146</v>
      </c>
      <c r="D110" s="42" t="s">
        <v>91</v>
      </c>
      <c r="E110" s="88" t="s">
        <v>93</v>
      </c>
      <c r="F110" s="88"/>
      <c r="G110" s="88" t="s">
        <v>92</v>
      </c>
      <c r="H110" s="148"/>
      <c r="I110" s="30" t="s">
        <v>148</v>
      </c>
      <c r="J110" s="12">
        <f ca="1">H108*25%</f>
        <v>1</v>
      </c>
    </row>
    <row r="111" spans="1:10" x14ac:dyDescent="0.3">
      <c r="A111" s="87" t="s">
        <v>135</v>
      </c>
      <c r="B111" s="88"/>
      <c r="C111" s="50">
        <f ca="1">J112</f>
        <v>4</v>
      </c>
      <c r="D111" s="51">
        <f ca="1">((100/H108)*C111)/100</f>
        <v>1</v>
      </c>
      <c r="E111" s="83">
        <f ca="1">(((C112/H108*10)+(40/(D108+F108+H108)*C113)+(7.5/(H108)*C114)+(7.5/(H108)*C115)+(10/H108*C116)+(10/H108*C117)+(5/H108*C118)+(5/H108*C119)+(5/H108*C120))/100)</f>
        <v>0.85</v>
      </c>
      <c r="F111" s="83"/>
      <c r="G111" s="83">
        <f ca="1">((((C111/H108)*20)+((C112/H108)*25)+(30/(H108+F108+D108)*C113)+(5/H108*C114)+(5/H108*C115)+(5/H108*C116)+(5/H108*C117)+(0/H108*C118)+(0/H108*C119)+(5/H108*C120))/100)</f>
        <v>0.93125000000000002</v>
      </c>
      <c r="H111" s="85"/>
      <c r="I111" s="30" t="s">
        <v>103</v>
      </c>
      <c r="J111" s="31">
        <f ca="1">H108*50%</f>
        <v>2</v>
      </c>
    </row>
    <row r="112" spans="1:10" x14ac:dyDescent="0.3">
      <c r="A112" s="87" t="s">
        <v>54</v>
      </c>
      <c r="B112" s="88"/>
      <c r="C112" s="52">
        <f ca="1">J120</f>
        <v>4</v>
      </c>
      <c r="D112" s="51">
        <f ca="1">((100/H108)*C112)/100</f>
        <v>1</v>
      </c>
      <c r="E112" s="83"/>
      <c r="F112" s="83"/>
      <c r="G112" s="83"/>
      <c r="H112" s="85"/>
      <c r="I112" s="30" t="s">
        <v>104</v>
      </c>
      <c r="J112" s="31">
        <f ca="1">H108</f>
        <v>4</v>
      </c>
    </row>
    <row r="113" spans="1:10" ht="15.75" customHeight="1" x14ac:dyDescent="0.3">
      <c r="A113" s="87" t="s">
        <v>136</v>
      </c>
      <c r="B113" s="88"/>
      <c r="C113" s="52">
        <f ca="1">D108+H108</f>
        <v>5</v>
      </c>
      <c r="D113" s="51">
        <f ca="1">((100/(D108+F108+H108))*C113)/100</f>
        <v>1</v>
      </c>
      <c r="E113" s="83"/>
      <c r="F113" s="83"/>
      <c r="G113" s="83"/>
      <c r="H113" s="85"/>
      <c r="I113" s="30" t="s">
        <v>105</v>
      </c>
      <c r="J113" s="32">
        <f ca="1">(IF(B108&gt;1,(H108/(B108+2)),H108/4))</f>
        <v>1</v>
      </c>
    </row>
    <row r="114" spans="1:10" ht="15.75" customHeight="1" x14ac:dyDescent="0.3">
      <c r="A114" s="87" t="s">
        <v>143</v>
      </c>
      <c r="B114" s="88" t="s">
        <v>137</v>
      </c>
      <c r="C114" s="50">
        <v>4</v>
      </c>
      <c r="D114" s="51">
        <f ca="1">((100/H108)*C114)/100</f>
        <v>1</v>
      </c>
      <c r="E114" s="83"/>
      <c r="F114" s="83"/>
      <c r="G114" s="83"/>
      <c r="H114" s="85"/>
      <c r="I114" s="30" t="s">
        <v>106</v>
      </c>
      <c r="J114" s="32">
        <f ca="1">(IF(B108&gt;1,(H108/(B108+2)+J113),H108/4+J113))</f>
        <v>2</v>
      </c>
    </row>
    <row r="115" spans="1:10" ht="15.75" customHeight="1" x14ac:dyDescent="0.3">
      <c r="A115" s="87" t="s">
        <v>144</v>
      </c>
      <c r="B115" s="88" t="s">
        <v>137</v>
      </c>
      <c r="C115" s="50">
        <v>4</v>
      </c>
      <c r="D115" s="51">
        <f ca="1">((100/H108)*C115)/100</f>
        <v>1</v>
      </c>
      <c r="E115" s="83"/>
      <c r="F115" s="83"/>
      <c r="G115" s="83"/>
      <c r="H115" s="85"/>
      <c r="I115" s="30" t="s">
        <v>154</v>
      </c>
      <c r="J115" s="32">
        <f>(IF(B108&gt;1,(H108/(B108+2)+J114),0))</f>
        <v>0</v>
      </c>
    </row>
    <row r="116" spans="1:10" ht="15" customHeight="1" x14ac:dyDescent="0.3">
      <c r="A116" s="87" t="s">
        <v>142</v>
      </c>
      <c r="B116" s="88" t="s">
        <v>139</v>
      </c>
      <c r="C116" s="52">
        <v>3.5</v>
      </c>
      <c r="D116" s="51">
        <f ca="1">((100/(H108))*C116)/100</f>
        <v>0.875</v>
      </c>
      <c r="E116" s="83"/>
      <c r="F116" s="83"/>
      <c r="G116" s="83"/>
      <c r="H116" s="85"/>
      <c r="I116" s="30" t="s">
        <v>150</v>
      </c>
      <c r="J116" s="32">
        <f>(IF(B108&gt;2,(H108/(B108+2)+J115),0))</f>
        <v>0</v>
      </c>
    </row>
    <row r="117" spans="1:10" ht="15.75" customHeight="1" x14ac:dyDescent="0.3">
      <c r="A117" s="87" t="s">
        <v>138</v>
      </c>
      <c r="B117" s="88" t="s">
        <v>138</v>
      </c>
      <c r="C117" s="50">
        <v>3</v>
      </c>
      <c r="D117" s="51">
        <f ca="1">((100/H108)*C117)/100</f>
        <v>0.75</v>
      </c>
      <c r="E117" s="83"/>
      <c r="F117" s="83"/>
      <c r="G117" s="83"/>
      <c r="H117" s="85"/>
      <c r="I117" s="30" t="s">
        <v>151</v>
      </c>
      <c r="J117" s="33">
        <f>(IF(B108&gt;3,(H108/(B108+2)+J116),0))</f>
        <v>0</v>
      </c>
    </row>
    <row r="118" spans="1:10" ht="15.75" customHeight="1" x14ac:dyDescent="0.3">
      <c r="A118" s="87" t="s">
        <v>145</v>
      </c>
      <c r="B118" s="88"/>
      <c r="C118" s="50">
        <v>3</v>
      </c>
      <c r="D118" s="51">
        <f ca="1">((100/H108)*C118)/100</f>
        <v>0.75</v>
      </c>
      <c r="E118" s="83"/>
      <c r="F118" s="83"/>
      <c r="G118" s="83"/>
      <c r="H118" s="85"/>
      <c r="I118" s="30" t="s">
        <v>152</v>
      </c>
      <c r="J118" s="32">
        <f>(IF(B108&gt;4,(H108/(B108+2)+J117),0))</f>
        <v>0</v>
      </c>
    </row>
    <row r="119" spans="1:10" ht="15.75" customHeight="1" x14ac:dyDescent="0.3">
      <c r="A119" s="87" t="s">
        <v>140</v>
      </c>
      <c r="B119" s="88" t="s">
        <v>140</v>
      </c>
      <c r="C119" s="50">
        <v>0</v>
      </c>
      <c r="D119" s="51">
        <f ca="1">((100/(H108))*C119)/100</f>
        <v>0</v>
      </c>
      <c r="E119" s="83"/>
      <c r="F119" s="83"/>
      <c r="G119" s="83"/>
      <c r="H119" s="85"/>
      <c r="I119" s="30" t="s">
        <v>155</v>
      </c>
      <c r="J119" s="32">
        <f ca="1">(IF(B108=1,(H108/(B108+3)+J114),IF(B108=0,(H108/4+J114),IF(B108&gt;1,0))))</f>
        <v>3</v>
      </c>
    </row>
    <row r="120" spans="1:10" ht="16.2" thickBot="1" x14ac:dyDescent="0.35">
      <c r="A120" s="89" t="s">
        <v>141</v>
      </c>
      <c r="B120" s="90"/>
      <c r="C120" s="53">
        <v>0</v>
      </c>
      <c r="D120" s="54">
        <f ca="1">((100/(H108))*C120)/100</f>
        <v>0</v>
      </c>
      <c r="E120" s="84"/>
      <c r="F120" s="84"/>
      <c r="G120" s="84"/>
      <c r="H120" s="86"/>
      <c r="I120" s="34" t="s">
        <v>107</v>
      </c>
      <c r="J120" s="35">
        <f ca="1">(IF(B108&gt;1.5,(H108/(B108+2)+J114+MAX(0,J115-J114)+MAX(0,J116-J115)+MAX(0,J117-J116)+MAX(0,J118-J117)+MAX(0,J119-J118)),IF(B108=1,(H108/(B108+3)+J119),IF(B108=0,H108/4+J119))))</f>
        <v>4</v>
      </c>
    </row>
    <row r="121" spans="1:10" x14ac:dyDescent="0.3">
      <c r="A121" s="120" t="s">
        <v>55</v>
      </c>
      <c r="B121" s="120"/>
      <c r="C121" s="120"/>
      <c r="D121" s="120"/>
      <c r="E121" s="120"/>
      <c r="F121" s="120"/>
      <c r="G121" s="120"/>
      <c r="H121" s="120"/>
    </row>
    <row r="122" spans="1:10" x14ac:dyDescent="0.3">
      <c r="A122" s="81" t="s">
        <v>82</v>
      </c>
      <c r="B122" s="81"/>
      <c r="C122" s="81"/>
      <c r="D122" s="81"/>
      <c r="E122" s="81"/>
      <c r="F122" s="91">
        <v>3500</v>
      </c>
      <c r="G122" s="91"/>
      <c r="H122" s="91"/>
    </row>
    <row r="123" spans="1:10" x14ac:dyDescent="0.3">
      <c r="A123" s="81" t="s">
        <v>221</v>
      </c>
      <c r="B123" s="81"/>
      <c r="C123" s="81"/>
      <c r="D123" s="81"/>
      <c r="E123" s="81"/>
      <c r="F123" s="91">
        <v>4500</v>
      </c>
      <c r="G123" s="91"/>
      <c r="H123" s="91"/>
    </row>
    <row r="124" spans="1:10" s="7" customFormat="1" x14ac:dyDescent="0.25">
      <c r="A124" s="81" t="s">
        <v>222</v>
      </c>
      <c r="B124" s="81"/>
      <c r="C124" s="81"/>
      <c r="D124" s="81"/>
      <c r="E124" s="81"/>
      <c r="F124" s="91">
        <v>65000</v>
      </c>
      <c r="G124" s="91"/>
      <c r="H124" s="91"/>
    </row>
    <row r="125" spans="1:10" s="7" customFormat="1" x14ac:dyDescent="0.25">
      <c r="A125" s="81" t="s">
        <v>223</v>
      </c>
      <c r="B125" s="81"/>
      <c r="C125" s="81"/>
      <c r="D125" s="81"/>
      <c r="E125" s="81"/>
      <c r="F125" s="91">
        <v>75000</v>
      </c>
      <c r="G125" s="91"/>
      <c r="H125" s="91"/>
    </row>
    <row r="126" spans="1:10" s="7" customFormat="1" x14ac:dyDescent="0.25">
      <c r="A126" s="81" t="s">
        <v>224</v>
      </c>
      <c r="B126" s="81"/>
      <c r="C126" s="81"/>
      <c r="D126" s="81"/>
      <c r="E126" s="81"/>
      <c r="F126" s="91">
        <v>150000</v>
      </c>
      <c r="G126" s="91"/>
      <c r="H126" s="91"/>
    </row>
    <row r="127" spans="1:10" x14ac:dyDescent="0.3">
      <c r="A127" s="81" t="s">
        <v>56</v>
      </c>
      <c r="B127" s="81"/>
      <c r="C127" s="81"/>
      <c r="D127" s="81"/>
      <c r="E127" s="81"/>
      <c r="F127" s="91">
        <v>100000</v>
      </c>
      <c r="G127" s="91"/>
      <c r="H127" s="91"/>
    </row>
    <row r="128" spans="1:10" s="4" customFormat="1" x14ac:dyDescent="0.3">
      <c r="A128" s="120" t="s">
        <v>57</v>
      </c>
      <c r="B128" s="120"/>
      <c r="C128" s="120"/>
      <c r="D128" s="120"/>
      <c r="E128" s="120"/>
      <c r="F128" s="91">
        <f>F122*0.8</f>
        <v>2800</v>
      </c>
      <c r="G128" s="91"/>
      <c r="H128" s="91"/>
    </row>
    <row r="129" spans="1:11" s="1" customFormat="1" ht="15.75" customHeight="1" x14ac:dyDescent="0.3">
      <c r="A129" s="66" t="s">
        <v>83</v>
      </c>
      <c r="B129" s="66"/>
      <c r="C129" s="66"/>
      <c r="D129" s="66"/>
      <c r="E129" s="66"/>
      <c r="F129" s="66"/>
      <c r="G129" s="66"/>
      <c r="H129" s="66"/>
      <c r="J129" s="1" t="s">
        <v>225</v>
      </c>
    </row>
    <row r="130" spans="1:11" s="1" customFormat="1" ht="15.75" customHeight="1" x14ac:dyDescent="0.3">
      <c r="A130" s="138" t="s">
        <v>58</v>
      </c>
      <c r="B130" s="138"/>
      <c r="C130" s="135" t="s">
        <v>86</v>
      </c>
      <c r="D130" s="135"/>
      <c r="E130" s="137" t="s">
        <v>59</v>
      </c>
      <c r="F130" s="137"/>
      <c r="G130" s="138" t="s">
        <v>60</v>
      </c>
      <c r="H130" s="138"/>
      <c r="J130" s="1" t="s">
        <v>226</v>
      </c>
      <c r="K130" s="1" t="s">
        <v>229</v>
      </c>
    </row>
    <row r="131" spans="1:11" s="1" customFormat="1" x14ac:dyDescent="0.3">
      <c r="A131" s="139" t="s">
        <v>201</v>
      </c>
      <c r="B131" s="36" t="s">
        <v>203</v>
      </c>
      <c r="C131" s="146">
        <f>COUNT(D151:D160)</f>
        <v>10</v>
      </c>
      <c r="D131" s="143"/>
      <c r="E131" s="144">
        <f>SUM(D151:D160)</f>
        <v>1530.2102399999999</v>
      </c>
      <c r="F131" s="147"/>
      <c r="G131" s="144">
        <f>SUM(F151:F160)</f>
        <v>2900</v>
      </c>
      <c r="H131" s="147"/>
      <c r="I131" s="1" t="s">
        <v>227</v>
      </c>
      <c r="J131" s="1">
        <v>4000</v>
      </c>
      <c r="K131" s="1">
        <v>3000</v>
      </c>
    </row>
    <row r="132" spans="1:11" s="1" customFormat="1" x14ac:dyDescent="0.3">
      <c r="A132" s="141"/>
      <c r="B132" s="36" t="s">
        <v>204</v>
      </c>
      <c r="C132" s="146">
        <f>COUNT(D164:D178)</f>
        <v>15</v>
      </c>
      <c r="D132" s="143"/>
      <c r="E132" s="144">
        <f>SUM(D164:D178)</f>
        <v>2019.0034799999999</v>
      </c>
      <c r="F132" s="147"/>
      <c r="G132" s="144">
        <f>SUM(F164:F178)</f>
        <v>3927.68208</v>
      </c>
      <c r="H132" s="147"/>
      <c r="I132" s="1" t="s">
        <v>228</v>
      </c>
    </row>
    <row r="133" spans="1:11" s="1" customFormat="1" x14ac:dyDescent="0.3">
      <c r="A133" s="139" t="s">
        <v>202</v>
      </c>
      <c r="B133" s="36" t="s">
        <v>203</v>
      </c>
      <c r="C133" s="146">
        <f>COUNT(D182:D195)</f>
        <v>14</v>
      </c>
      <c r="D133" s="143"/>
      <c r="E133" s="144">
        <f>SUM(D182:D195)</f>
        <v>1855.1754000000001</v>
      </c>
      <c r="F133" s="147"/>
      <c r="G133" s="144">
        <f>SUM(F182:F195)</f>
        <v>3670</v>
      </c>
      <c r="H133" s="147"/>
    </row>
    <row r="134" spans="1:11" s="1" customFormat="1" x14ac:dyDescent="0.3">
      <c r="A134" s="140"/>
      <c r="B134" s="36" t="s">
        <v>204</v>
      </c>
      <c r="C134" s="146">
        <f>COUNT(D199:D212)</f>
        <v>14</v>
      </c>
      <c r="D134" s="143"/>
      <c r="E134" s="144">
        <f>SUM(D199:D212)</f>
        <v>1440.6537600000004</v>
      </c>
      <c r="F134" s="147"/>
      <c r="G134" s="144">
        <f>SUM(F199:F212)</f>
        <v>3040</v>
      </c>
      <c r="H134" s="147"/>
    </row>
    <row r="135" spans="1:11" s="1" customFormat="1" x14ac:dyDescent="0.3">
      <c r="A135" s="141"/>
      <c r="B135" s="36" t="s">
        <v>205</v>
      </c>
      <c r="C135" s="146">
        <f>COUNT(D216:D225)</f>
        <v>10</v>
      </c>
      <c r="D135" s="143"/>
      <c r="E135" s="144">
        <f>SUM(D216:D225)</f>
        <v>637.98227999999995</v>
      </c>
      <c r="F135" s="147"/>
      <c r="G135" s="144">
        <f>SUM(F216:F225)</f>
        <v>1515</v>
      </c>
      <c r="H135" s="147"/>
    </row>
    <row r="136" spans="1:11" s="1" customFormat="1" x14ac:dyDescent="0.3">
      <c r="A136" s="66" t="s">
        <v>159</v>
      </c>
      <c r="B136" s="66"/>
      <c r="C136" s="134">
        <f>SUM(C131:C135)</f>
        <v>63</v>
      </c>
      <c r="D136" s="135"/>
      <c r="E136" s="136">
        <f>SUM(E131:E135)</f>
        <v>7483.0251600000001</v>
      </c>
      <c r="F136" s="137"/>
      <c r="G136" s="138">
        <f>SUM(G131:G135)</f>
        <v>15052.68208</v>
      </c>
      <c r="H136" s="138"/>
    </row>
    <row r="137" spans="1:11" s="1" customFormat="1" x14ac:dyDescent="0.3">
      <c r="A137" s="66" t="s">
        <v>76</v>
      </c>
      <c r="B137" s="66"/>
      <c r="C137" s="66"/>
      <c r="D137" s="66"/>
      <c r="E137" s="66"/>
      <c r="F137" s="66"/>
      <c r="G137" s="66"/>
      <c r="H137" s="66"/>
    </row>
    <row r="138" spans="1:11" s="1" customFormat="1" ht="15.75" customHeight="1" x14ac:dyDescent="0.3">
      <c r="A138" s="138" t="s">
        <v>58</v>
      </c>
      <c r="B138" s="138"/>
      <c r="C138" s="135" t="s">
        <v>86</v>
      </c>
      <c r="D138" s="135"/>
      <c r="E138" s="137" t="s">
        <v>59</v>
      </c>
      <c r="F138" s="137"/>
      <c r="G138" s="138" t="s">
        <v>60</v>
      </c>
      <c r="H138" s="138"/>
    </row>
    <row r="139" spans="1:11" s="1" customFormat="1" x14ac:dyDescent="0.3">
      <c r="A139" s="139" t="s">
        <v>201</v>
      </c>
      <c r="B139" s="36" t="s">
        <v>203</v>
      </c>
      <c r="C139" s="143">
        <f>COUNT(D231:D232)+COUNT(D234:D241)*4</f>
        <v>34</v>
      </c>
      <c r="D139" s="143"/>
      <c r="E139" s="144">
        <f>SUM(D231:D232)+SUM(D234:D241)*4</f>
        <v>11819.517839999999</v>
      </c>
      <c r="F139" s="144"/>
      <c r="G139" s="144">
        <f>SUM(F231:F232)+SUM(F234:F241)*4</f>
        <v>19225</v>
      </c>
      <c r="H139" s="144"/>
    </row>
    <row r="140" spans="1:11" s="1" customFormat="1" x14ac:dyDescent="0.3">
      <c r="A140" s="141"/>
      <c r="B140" s="36" t="s">
        <v>204</v>
      </c>
      <c r="C140" s="143">
        <f>COUNT(D245:D250)*4</f>
        <v>24</v>
      </c>
      <c r="D140" s="143"/>
      <c r="E140" s="144">
        <f>SUM(D245:D250)*4</f>
        <v>8761.8959999999988</v>
      </c>
      <c r="F140" s="144"/>
      <c r="G140" s="144">
        <f>SUM(F245:F250)*4</f>
        <v>14360</v>
      </c>
      <c r="H140" s="144"/>
    </row>
    <row r="141" spans="1:11" s="1" customFormat="1" x14ac:dyDescent="0.3">
      <c r="A141" s="139" t="s">
        <v>202</v>
      </c>
      <c r="B141" s="36" t="s">
        <v>203</v>
      </c>
      <c r="C141" s="143">
        <f>COUNT(D254:D259)*4</f>
        <v>24</v>
      </c>
      <c r="D141" s="143"/>
      <c r="E141" s="144">
        <f t="shared" ref="E141" si="0">SUM(D254:D259)*4</f>
        <v>9338.8463999999985</v>
      </c>
      <c r="F141" s="144"/>
      <c r="G141" s="144">
        <f>SUM(F254:F259)*4</f>
        <v>15355.254528000001</v>
      </c>
      <c r="H141" s="144"/>
    </row>
    <row r="142" spans="1:11" s="1" customFormat="1" x14ac:dyDescent="0.3">
      <c r="A142" s="140"/>
      <c r="B142" s="36" t="s">
        <v>204</v>
      </c>
      <c r="C142" s="143">
        <f>COUNT(D263:D268)*4</f>
        <v>24</v>
      </c>
      <c r="D142" s="143"/>
      <c r="E142" s="144">
        <f t="shared" ref="E142" si="1">SUM(D263:D268)*4</f>
        <v>9338.8463999999985</v>
      </c>
      <c r="F142" s="144"/>
      <c r="G142" s="144">
        <f>SUM(F263:F268)*4</f>
        <v>15355.254528000001</v>
      </c>
      <c r="H142" s="144"/>
    </row>
    <row r="143" spans="1:11" s="1" customFormat="1" x14ac:dyDescent="0.3">
      <c r="A143" s="141"/>
      <c r="B143" s="36" t="s">
        <v>205</v>
      </c>
      <c r="C143" s="143">
        <f>COUNT(D272:D277)*4</f>
        <v>24</v>
      </c>
      <c r="D143" s="143"/>
      <c r="E143" s="144">
        <f>SUM(D272:D277)*4</f>
        <v>8439.8371199999983</v>
      </c>
      <c r="F143" s="144"/>
      <c r="G143" s="144">
        <f>SUM(F272:F277)*4</f>
        <v>13709.114112000001</v>
      </c>
      <c r="H143" s="144"/>
    </row>
    <row r="144" spans="1:11" s="1" customFormat="1" x14ac:dyDescent="0.3">
      <c r="A144" s="66" t="s">
        <v>159</v>
      </c>
      <c r="B144" s="66"/>
      <c r="C144" s="135">
        <f>SUM(C139:C143)</f>
        <v>130</v>
      </c>
      <c r="D144" s="135"/>
      <c r="E144" s="136">
        <f>SUM(E139:E143)</f>
        <v>47698.943759999995</v>
      </c>
      <c r="F144" s="137"/>
      <c r="G144" s="138">
        <f>SUM(G139:G143)</f>
        <v>78004.623168000006</v>
      </c>
      <c r="H144" s="138"/>
    </row>
    <row r="145" spans="1:14" s="4" customFormat="1" x14ac:dyDescent="0.3">
      <c r="A145" s="67" t="s">
        <v>61</v>
      </c>
      <c r="B145" s="67"/>
      <c r="C145" s="67"/>
      <c r="D145" s="67"/>
      <c r="E145" s="67"/>
      <c r="F145" s="67"/>
      <c r="G145" s="67"/>
      <c r="H145" s="67"/>
    </row>
    <row r="146" spans="1:14" x14ac:dyDescent="0.3">
      <c r="A146" s="67" t="s">
        <v>62</v>
      </c>
      <c r="B146" s="67"/>
      <c r="C146" s="67"/>
      <c r="D146" s="67"/>
      <c r="E146" s="67"/>
      <c r="F146" s="67"/>
      <c r="G146" s="67"/>
      <c r="H146" s="67"/>
    </row>
    <row r="147" spans="1:14" ht="47.25" customHeight="1" x14ac:dyDescent="0.3">
      <c r="A147" s="37" t="s">
        <v>125</v>
      </c>
      <c r="B147" s="37" t="s">
        <v>124</v>
      </c>
      <c r="C147" s="37" t="s">
        <v>63</v>
      </c>
      <c r="D147" s="37" t="s">
        <v>64</v>
      </c>
      <c r="E147" s="38" t="s">
        <v>65</v>
      </c>
      <c r="F147" s="37" t="s">
        <v>219</v>
      </c>
      <c r="G147" s="79" t="s">
        <v>66</v>
      </c>
      <c r="H147" s="80"/>
    </row>
    <row r="148" spans="1:14" x14ac:dyDescent="0.3">
      <c r="A148" s="67" t="s">
        <v>188</v>
      </c>
      <c r="B148" s="67"/>
      <c r="C148" s="67"/>
      <c r="D148" s="67"/>
      <c r="E148" s="67"/>
      <c r="F148" s="67"/>
      <c r="G148" s="67"/>
      <c r="H148" s="67"/>
    </row>
    <row r="149" spans="1:14" x14ac:dyDescent="0.3">
      <c r="A149" s="67" t="s">
        <v>194</v>
      </c>
      <c r="B149" s="67"/>
      <c r="C149" s="67"/>
      <c r="D149" s="67"/>
      <c r="E149" s="67"/>
      <c r="F149" s="67"/>
      <c r="G149" s="67"/>
      <c r="H149" s="67"/>
    </row>
    <row r="150" spans="1:14" s="2" customFormat="1" x14ac:dyDescent="0.3">
      <c r="A150" s="74" t="s">
        <v>190</v>
      </c>
      <c r="B150" s="75"/>
      <c r="C150" s="75"/>
      <c r="D150" s="75"/>
      <c r="E150" s="75"/>
      <c r="F150" s="75"/>
      <c r="G150" s="75"/>
      <c r="H150" s="76"/>
      <c r="J150" s="25"/>
    </row>
    <row r="151" spans="1:14" s="2" customFormat="1" x14ac:dyDescent="0.3">
      <c r="A151" s="63">
        <v>1</v>
      </c>
      <c r="B151" s="64"/>
      <c r="C151" s="45" t="s">
        <v>191</v>
      </c>
      <c r="D151" s="45">
        <f>(11.52)*10.764</f>
        <v>124.00127999999999</v>
      </c>
      <c r="E151" s="45">
        <v>0</v>
      </c>
      <c r="F151" s="55">
        <v>255</v>
      </c>
      <c r="G151" s="68" t="str">
        <f>A150</f>
        <v>Ground Floor for Commercial &amp; Parking</v>
      </c>
      <c r="H151" s="69"/>
      <c r="I151" s="25">
        <v>255</v>
      </c>
      <c r="J151" s="2">
        <f>F151/D151</f>
        <v>2.0564303852347332</v>
      </c>
      <c r="L151" s="62"/>
      <c r="M151" s="62"/>
      <c r="N151" s="25"/>
    </row>
    <row r="152" spans="1:14" s="2" customFormat="1" x14ac:dyDescent="0.3">
      <c r="A152" s="63">
        <f t="shared" ref="A152:A160" si="2">A151+1</f>
        <v>2</v>
      </c>
      <c r="B152" s="64"/>
      <c r="C152" s="45" t="s">
        <v>191</v>
      </c>
      <c r="D152" s="45">
        <f>(12.04)*10.764</f>
        <v>129.59855999999999</v>
      </c>
      <c r="E152" s="45">
        <v>0</v>
      </c>
      <c r="F152" s="55">
        <v>245</v>
      </c>
      <c r="G152" s="70"/>
      <c r="H152" s="71"/>
      <c r="I152" s="25">
        <v>245</v>
      </c>
      <c r="J152" s="2">
        <f t="shared" ref="J152:J215" si="3">F152/D152</f>
        <v>1.8904531037999188</v>
      </c>
      <c r="L152" s="62"/>
      <c r="M152" s="62"/>
      <c r="N152" s="25"/>
    </row>
    <row r="153" spans="1:14" s="2" customFormat="1" x14ac:dyDescent="0.3">
      <c r="A153" s="63">
        <f t="shared" si="2"/>
        <v>3</v>
      </c>
      <c r="B153" s="64"/>
      <c r="C153" s="45" t="s">
        <v>191</v>
      </c>
      <c r="D153" s="45">
        <f>(15.4)*10.764</f>
        <v>165.76560000000001</v>
      </c>
      <c r="E153" s="45">
        <v>0</v>
      </c>
      <c r="F153" s="55">
        <v>310</v>
      </c>
      <c r="G153" s="70"/>
      <c r="H153" s="71"/>
      <c r="I153" s="25">
        <v>310</v>
      </c>
      <c r="J153" s="2">
        <f t="shared" si="3"/>
        <v>1.8701105657627397</v>
      </c>
      <c r="L153" s="62"/>
      <c r="M153" s="62"/>
      <c r="N153" s="25"/>
    </row>
    <row r="154" spans="1:14" s="2" customFormat="1" x14ac:dyDescent="0.3">
      <c r="A154" s="63">
        <f t="shared" si="2"/>
        <v>4</v>
      </c>
      <c r="B154" s="64"/>
      <c r="C154" s="45" t="s">
        <v>191</v>
      </c>
      <c r="D154" s="45">
        <f>(15.4)*10.764</f>
        <v>165.76560000000001</v>
      </c>
      <c r="E154" s="45">
        <v>0</v>
      </c>
      <c r="F154" s="55">
        <v>310</v>
      </c>
      <c r="G154" s="70"/>
      <c r="H154" s="71"/>
      <c r="I154" s="25">
        <v>310</v>
      </c>
      <c r="J154" s="2">
        <f t="shared" si="3"/>
        <v>1.8701105657627397</v>
      </c>
      <c r="L154" s="62"/>
      <c r="M154" s="62"/>
      <c r="N154" s="25"/>
    </row>
    <row r="155" spans="1:14" s="2" customFormat="1" x14ac:dyDescent="0.3">
      <c r="A155" s="63">
        <f t="shared" si="2"/>
        <v>5</v>
      </c>
      <c r="B155" s="64"/>
      <c r="C155" s="45" t="s">
        <v>191</v>
      </c>
      <c r="D155" s="45">
        <f>(14.56)*10.764</f>
        <v>156.72384</v>
      </c>
      <c r="E155" s="45">
        <v>0</v>
      </c>
      <c r="F155" s="55">
        <v>290</v>
      </c>
      <c r="G155" s="70"/>
      <c r="H155" s="71"/>
      <c r="I155" s="25">
        <v>290</v>
      </c>
      <c r="J155" s="2">
        <f t="shared" si="3"/>
        <v>1.8503885560741749</v>
      </c>
      <c r="L155" s="62"/>
      <c r="M155" s="62"/>
      <c r="N155" s="25"/>
    </row>
    <row r="156" spans="1:14" s="2" customFormat="1" x14ac:dyDescent="0.3">
      <c r="A156" s="63">
        <f t="shared" si="2"/>
        <v>6</v>
      </c>
      <c r="B156" s="64"/>
      <c r="C156" s="45" t="s">
        <v>191</v>
      </c>
      <c r="D156" s="45">
        <f>(14.56)*10.764</f>
        <v>156.72384</v>
      </c>
      <c r="E156" s="45">
        <v>0</v>
      </c>
      <c r="F156" s="55">
        <v>290</v>
      </c>
      <c r="G156" s="70"/>
      <c r="H156" s="71"/>
      <c r="I156" s="25">
        <v>290</v>
      </c>
      <c r="J156" s="2">
        <f t="shared" si="3"/>
        <v>1.8503885560741749</v>
      </c>
      <c r="L156" s="62"/>
      <c r="M156" s="62"/>
      <c r="N156" s="25"/>
    </row>
    <row r="157" spans="1:14" s="2" customFormat="1" x14ac:dyDescent="0.3">
      <c r="A157" s="63">
        <f t="shared" si="2"/>
        <v>7</v>
      </c>
      <c r="B157" s="64"/>
      <c r="C157" s="45" t="s">
        <v>191</v>
      </c>
      <c r="D157" s="45">
        <f>(15.4)*10.764</f>
        <v>165.76560000000001</v>
      </c>
      <c r="E157" s="45">
        <v>0</v>
      </c>
      <c r="F157" s="55">
        <v>315</v>
      </c>
      <c r="G157" s="70"/>
      <c r="H157" s="71"/>
      <c r="I157" s="25">
        <v>315</v>
      </c>
      <c r="J157" s="2">
        <f t="shared" si="3"/>
        <v>1.900273639404074</v>
      </c>
      <c r="L157" s="62"/>
      <c r="M157" s="62"/>
      <c r="N157" s="25"/>
    </row>
    <row r="158" spans="1:14" s="2" customFormat="1" x14ac:dyDescent="0.3">
      <c r="A158" s="63">
        <f t="shared" si="2"/>
        <v>8</v>
      </c>
      <c r="B158" s="64"/>
      <c r="C158" s="45" t="s">
        <v>191</v>
      </c>
      <c r="D158" s="45">
        <f>(15.4)*10.764</f>
        <v>165.76560000000001</v>
      </c>
      <c r="E158" s="45">
        <v>0</v>
      </c>
      <c r="F158" s="55">
        <v>315</v>
      </c>
      <c r="G158" s="70"/>
      <c r="H158" s="71"/>
      <c r="I158" s="25">
        <v>315</v>
      </c>
      <c r="J158" s="2">
        <f t="shared" si="3"/>
        <v>1.900273639404074</v>
      </c>
      <c r="L158" s="62"/>
      <c r="M158" s="62"/>
      <c r="N158" s="25"/>
    </row>
    <row r="159" spans="1:14" s="2" customFormat="1" x14ac:dyDescent="0.3">
      <c r="A159" s="63">
        <f t="shared" si="2"/>
        <v>9</v>
      </c>
      <c r="B159" s="64"/>
      <c r="C159" s="45" t="s">
        <v>191</v>
      </c>
      <c r="D159" s="45">
        <f>(12.04)*10.764</f>
        <v>129.59855999999999</v>
      </c>
      <c r="E159" s="45">
        <v>0</v>
      </c>
      <c r="F159" s="55">
        <v>245</v>
      </c>
      <c r="G159" s="70"/>
      <c r="H159" s="71"/>
      <c r="I159" s="25">
        <v>245</v>
      </c>
      <c r="J159" s="2">
        <f t="shared" si="3"/>
        <v>1.8904531037999188</v>
      </c>
      <c r="L159" s="62"/>
      <c r="M159" s="62"/>
      <c r="N159" s="25"/>
    </row>
    <row r="160" spans="1:14" s="2" customFormat="1" x14ac:dyDescent="0.3">
      <c r="A160" s="63">
        <f t="shared" si="2"/>
        <v>10</v>
      </c>
      <c r="B160" s="64"/>
      <c r="C160" s="45" t="s">
        <v>191</v>
      </c>
      <c r="D160" s="45">
        <f>(15.84)*10.764</f>
        <v>170.50175999999999</v>
      </c>
      <c r="E160" s="45">
        <v>0</v>
      </c>
      <c r="F160" s="55">
        <v>325</v>
      </c>
      <c r="G160" s="72"/>
      <c r="H160" s="73"/>
      <c r="I160" s="25">
        <v>325</v>
      </c>
      <c r="J160" s="2">
        <f t="shared" si="3"/>
        <v>1.9061386815010004</v>
      </c>
      <c r="L160" s="62"/>
      <c r="M160" s="62"/>
      <c r="N160" s="25"/>
    </row>
    <row r="161" spans="1:14" x14ac:dyDescent="0.3">
      <c r="A161" s="67" t="s">
        <v>188</v>
      </c>
      <c r="B161" s="67"/>
      <c r="C161" s="67"/>
      <c r="D161" s="67"/>
      <c r="E161" s="67"/>
      <c r="F161" s="67"/>
      <c r="G161" s="67"/>
      <c r="H161" s="67"/>
      <c r="J161" s="2" t="e">
        <f t="shared" si="3"/>
        <v>#DIV/0!</v>
      </c>
    </row>
    <row r="162" spans="1:14" x14ac:dyDescent="0.3">
      <c r="A162" s="67" t="s">
        <v>189</v>
      </c>
      <c r="B162" s="67"/>
      <c r="C162" s="67"/>
      <c r="D162" s="67"/>
      <c r="E162" s="67"/>
      <c r="F162" s="67"/>
      <c r="G162" s="67"/>
      <c r="H162" s="67"/>
      <c r="J162" s="2" t="e">
        <f t="shared" si="3"/>
        <v>#DIV/0!</v>
      </c>
    </row>
    <row r="163" spans="1:14" s="2" customFormat="1" x14ac:dyDescent="0.3">
      <c r="A163" s="74" t="s">
        <v>190</v>
      </c>
      <c r="B163" s="75"/>
      <c r="C163" s="75"/>
      <c r="D163" s="75"/>
      <c r="E163" s="75"/>
      <c r="F163" s="75"/>
      <c r="G163" s="75"/>
      <c r="H163" s="76"/>
      <c r="J163" s="2" t="e">
        <f t="shared" si="3"/>
        <v>#DIV/0!</v>
      </c>
    </row>
    <row r="164" spans="1:14" s="2" customFormat="1" x14ac:dyDescent="0.3">
      <c r="A164" s="63">
        <v>1</v>
      </c>
      <c r="B164" s="64"/>
      <c r="C164" s="45" t="s">
        <v>191</v>
      </c>
      <c r="D164" s="45">
        <f>(15.84)*10.764</f>
        <v>170.50175999999999</v>
      </c>
      <c r="E164" s="45">
        <v>0</v>
      </c>
      <c r="F164" s="55">
        <v>325</v>
      </c>
      <c r="G164" s="68" t="str">
        <f>A163</f>
        <v>Ground Floor for Commercial &amp; Parking</v>
      </c>
      <c r="H164" s="69"/>
      <c r="I164" s="25">
        <v>325</v>
      </c>
      <c r="J164" s="2">
        <f t="shared" si="3"/>
        <v>1.9061386815010004</v>
      </c>
      <c r="L164" s="62"/>
      <c r="M164" s="62"/>
      <c r="N164" s="25"/>
    </row>
    <row r="165" spans="1:14" s="2" customFormat="1" x14ac:dyDescent="0.3">
      <c r="A165" s="63">
        <f t="shared" ref="A165:A178" si="4">A164+1</f>
        <v>2</v>
      </c>
      <c r="B165" s="64"/>
      <c r="C165" s="45" t="s">
        <v>191</v>
      </c>
      <c r="D165" s="45">
        <f>(12.04)*10.764</f>
        <v>129.59855999999999</v>
      </c>
      <c r="E165" s="45">
        <v>0</v>
      </c>
      <c r="F165" s="55">
        <v>245</v>
      </c>
      <c r="G165" s="70"/>
      <c r="H165" s="71"/>
      <c r="I165" s="25">
        <v>245</v>
      </c>
      <c r="J165" s="2">
        <f t="shared" si="3"/>
        <v>1.8904531037999188</v>
      </c>
      <c r="L165" s="62"/>
      <c r="M165" s="62"/>
      <c r="N165" s="25"/>
    </row>
    <row r="166" spans="1:14" s="2" customFormat="1" x14ac:dyDescent="0.3">
      <c r="A166" s="63">
        <f t="shared" si="4"/>
        <v>3</v>
      </c>
      <c r="B166" s="64"/>
      <c r="C166" s="45" t="s">
        <v>191</v>
      </c>
      <c r="D166" s="45">
        <f>(15.4)*10.764</f>
        <v>165.76560000000001</v>
      </c>
      <c r="E166" s="45">
        <v>0</v>
      </c>
      <c r="F166" s="55">
        <v>310</v>
      </c>
      <c r="G166" s="70"/>
      <c r="H166" s="71"/>
      <c r="I166" s="25">
        <v>310</v>
      </c>
      <c r="J166" s="2">
        <f t="shared" si="3"/>
        <v>1.8701105657627397</v>
      </c>
      <c r="L166" s="62"/>
      <c r="M166" s="62"/>
      <c r="N166" s="25"/>
    </row>
    <row r="167" spans="1:14" s="2" customFormat="1" x14ac:dyDescent="0.3">
      <c r="A167" s="63">
        <f t="shared" si="4"/>
        <v>4</v>
      </c>
      <c r="B167" s="64"/>
      <c r="C167" s="45" t="s">
        <v>191</v>
      </c>
      <c r="D167" s="45">
        <f>(13.54)*10.764</f>
        <v>145.74455999999998</v>
      </c>
      <c r="E167" s="45">
        <v>0</v>
      </c>
      <c r="F167" s="55">
        <v>285</v>
      </c>
      <c r="G167" s="70"/>
      <c r="H167" s="71"/>
      <c r="I167" s="25">
        <v>285</v>
      </c>
      <c r="J167" s="2">
        <f t="shared" si="3"/>
        <v>1.9554760740297961</v>
      </c>
      <c r="L167" s="62"/>
      <c r="M167" s="62"/>
      <c r="N167" s="25"/>
    </row>
    <row r="168" spans="1:14" s="2" customFormat="1" x14ac:dyDescent="0.3">
      <c r="A168" s="63">
        <f t="shared" si="4"/>
        <v>5</v>
      </c>
      <c r="B168" s="64"/>
      <c r="C168" s="45" t="s">
        <v>191</v>
      </c>
      <c r="D168" s="45">
        <f>(9.46)*10.764</f>
        <v>101.82744000000001</v>
      </c>
      <c r="E168" s="45">
        <v>0</v>
      </c>
      <c r="F168" s="55">
        <v>200</v>
      </c>
      <c r="G168" s="70"/>
      <c r="H168" s="71"/>
      <c r="I168" s="25">
        <v>200</v>
      </c>
      <c r="J168" s="2">
        <f t="shared" si="3"/>
        <v>1.9641071208310843</v>
      </c>
      <c r="K168" s="2">
        <f>907500/F168</f>
        <v>4537.5</v>
      </c>
      <c r="L168" s="62"/>
      <c r="M168" s="62"/>
      <c r="N168" s="25"/>
    </row>
    <row r="169" spans="1:14" s="2" customFormat="1" x14ac:dyDescent="0.3">
      <c r="A169" s="63">
        <f t="shared" si="4"/>
        <v>6</v>
      </c>
      <c r="B169" s="64"/>
      <c r="C169" s="45" t="s">
        <v>191</v>
      </c>
      <c r="D169" s="45">
        <f>(15.34)*10.764</f>
        <v>165.11975999999999</v>
      </c>
      <c r="E169" s="45">
        <v>0</v>
      </c>
      <c r="F169" s="55">
        <v>320</v>
      </c>
      <c r="G169" s="70"/>
      <c r="H169" s="71"/>
      <c r="I169" s="25">
        <v>320</v>
      </c>
      <c r="J169" s="2">
        <f t="shared" si="3"/>
        <v>1.9379873129660559</v>
      </c>
      <c r="L169" s="62"/>
      <c r="M169" s="62"/>
      <c r="N169" s="25"/>
    </row>
    <row r="170" spans="1:14" s="2" customFormat="1" x14ac:dyDescent="0.3">
      <c r="A170" s="63">
        <f t="shared" si="4"/>
        <v>7</v>
      </c>
      <c r="B170" s="64"/>
      <c r="C170" s="45" t="s">
        <v>191</v>
      </c>
      <c r="D170" s="45">
        <f>(6.86)*10.764</f>
        <v>73.841039999999992</v>
      </c>
      <c r="E170" s="45">
        <v>0</v>
      </c>
      <c r="F170" s="55">
        <f>2*D170</f>
        <v>147.68207999999998</v>
      </c>
      <c r="G170" s="70"/>
      <c r="H170" s="71"/>
      <c r="I170" s="25">
        <v>230</v>
      </c>
      <c r="J170" s="2">
        <f t="shared" si="3"/>
        <v>2</v>
      </c>
      <c r="L170" s="62"/>
      <c r="M170" s="62"/>
      <c r="N170" s="25"/>
    </row>
    <row r="171" spans="1:14" s="2" customFormat="1" x14ac:dyDescent="0.3">
      <c r="A171" s="63">
        <f t="shared" si="4"/>
        <v>8</v>
      </c>
      <c r="B171" s="64"/>
      <c r="C171" s="45" t="s">
        <v>191</v>
      </c>
      <c r="D171" s="45">
        <f>(9.3)*10.764</f>
        <v>100.1052</v>
      </c>
      <c r="E171" s="45">
        <v>0</v>
      </c>
      <c r="F171" s="55">
        <v>215</v>
      </c>
      <c r="G171" s="70"/>
      <c r="H171" s="71"/>
      <c r="I171" s="25">
        <v>215</v>
      </c>
      <c r="J171" s="2">
        <f t="shared" si="3"/>
        <v>2.1477405769130877</v>
      </c>
      <c r="L171" s="62"/>
      <c r="M171" s="62"/>
      <c r="N171" s="25"/>
    </row>
    <row r="172" spans="1:14" s="2" customFormat="1" x14ac:dyDescent="0.3">
      <c r="A172" s="63">
        <f t="shared" si="4"/>
        <v>9</v>
      </c>
      <c r="B172" s="64"/>
      <c r="C172" s="45" t="s">
        <v>191</v>
      </c>
      <c r="D172" s="45">
        <f>(9.46)*10.764</f>
        <v>101.82744000000001</v>
      </c>
      <c r="E172" s="45">
        <v>0</v>
      </c>
      <c r="F172" s="55">
        <v>200</v>
      </c>
      <c r="G172" s="70"/>
      <c r="H172" s="71"/>
      <c r="I172" s="25">
        <v>200</v>
      </c>
      <c r="J172" s="2">
        <f t="shared" si="3"/>
        <v>1.9641071208310843</v>
      </c>
      <c r="L172" s="62"/>
      <c r="M172" s="62"/>
      <c r="N172" s="25"/>
    </row>
    <row r="173" spans="1:14" s="2" customFormat="1" x14ac:dyDescent="0.3">
      <c r="A173" s="63">
        <f t="shared" si="4"/>
        <v>10</v>
      </c>
      <c r="B173" s="64"/>
      <c r="C173" s="45" t="s">
        <v>191</v>
      </c>
      <c r="D173" s="45">
        <f>(13.54)*10.764</f>
        <v>145.74455999999998</v>
      </c>
      <c r="E173" s="45">
        <v>0</v>
      </c>
      <c r="F173" s="55">
        <v>285</v>
      </c>
      <c r="G173" s="70"/>
      <c r="H173" s="71"/>
      <c r="I173" s="25">
        <v>285</v>
      </c>
      <c r="J173" s="2">
        <f t="shared" si="3"/>
        <v>1.9554760740297961</v>
      </c>
      <c r="L173" s="62"/>
      <c r="M173" s="62"/>
      <c r="N173" s="25"/>
    </row>
    <row r="174" spans="1:14" s="2" customFormat="1" x14ac:dyDescent="0.3">
      <c r="A174" s="63">
        <f t="shared" si="4"/>
        <v>11</v>
      </c>
      <c r="B174" s="64"/>
      <c r="C174" s="45" t="s">
        <v>191</v>
      </c>
      <c r="D174" s="45">
        <f>(15.4)*10.764</f>
        <v>165.76560000000001</v>
      </c>
      <c r="E174" s="45">
        <v>0</v>
      </c>
      <c r="F174" s="55">
        <v>315</v>
      </c>
      <c r="G174" s="70"/>
      <c r="H174" s="71"/>
      <c r="I174" s="25">
        <v>315</v>
      </c>
      <c r="J174" s="2">
        <f t="shared" si="3"/>
        <v>1.900273639404074</v>
      </c>
      <c r="L174" s="62"/>
      <c r="M174" s="62"/>
      <c r="N174" s="25"/>
    </row>
    <row r="175" spans="1:14" s="2" customFormat="1" x14ac:dyDescent="0.3">
      <c r="A175" s="63">
        <f t="shared" si="4"/>
        <v>12</v>
      </c>
      <c r="B175" s="64"/>
      <c r="C175" s="45" t="s">
        <v>191</v>
      </c>
      <c r="D175" s="45">
        <f>(12.04)*10.764</f>
        <v>129.59855999999999</v>
      </c>
      <c r="E175" s="45">
        <v>0</v>
      </c>
      <c r="F175" s="55">
        <v>245</v>
      </c>
      <c r="G175" s="70"/>
      <c r="H175" s="71"/>
      <c r="I175" s="25">
        <v>245</v>
      </c>
      <c r="J175" s="2">
        <f t="shared" si="3"/>
        <v>1.8904531037999188</v>
      </c>
      <c r="L175" s="62"/>
      <c r="M175" s="62"/>
      <c r="N175" s="25"/>
    </row>
    <row r="176" spans="1:14" s="2" customFormat="1" x14ac:dyDescent="0.3">
      <c r="A176" s="63">
        <f t="shared" si="4"/>
        <v>13</v>
      </c>
      <c r="B176" s="64"/>
      <c r="C176" s="45" t="s">
        <v>191</v>
      </c>
      <c r="D176" s="45">
        <f>(15.84)*10.764</f>
        <v>170.50175999999999</v>
      </c>
      <c r="E176" s="45">
        <v>0</v>
      </c>
      <c r="F176" s="55">
        <v>330</v>
      </c>
      <c r="G176" s="70"/>
      <c r="H176" s="71"/>
      <c r="I176" s="25">
        <v>330</v>
      </c>
      <c r="J176" s="2">
        <f t="shared" si="3"/>
        <v>1.9354638919856313</v>
      </c>
      <c r="L176" s="62"/>
      <c r="M176" s="62"/>
      <c r="N176" s="25"/>
    </row>
    <row r="177" spans="1:14" s="2" customFormat="1" x14ac:dyDescent="0.3">
      <c r="A177" s="63">
        <f t="shared" si="4"/>
        <v>14</v>
      </c>
      <c r="B177" s="64"/>
      <c r="C177" s="45" t="s">
        <v>191</v>
      </c>
      <c r="D177" s="45">
        <f>(13.61)*10.764</f>
        <v>146.49803999999997</v>
      </c>
      <c r="E177" s="45">
        <v>0</v>
      </c>
      <c r="F177" s="55">
        <v>285</v>
      </c>
      <c r="G177" s="70"/>
      <c r="H177" s="71"/>
      <c r="I177" s="25">
        <v>285</v>
      </c>
      <c r="J177" s="2">
        <f t="shared" si="3"/>
        <v>1.9454185189098778</v>
      </c>
      <c r="L177" s="62"/>
      <c r="M177" s="62"/>
      <c r="N177" s="25"/>
    </row>
    <row r="178" spans="1:14" s="2" customFormat="1" x14ac:dyDescent="0.3">
      <c r="A178" s="63">
        <f t="shared" si="4"/>
        <v>15</v>
      </c>
      <c r="B178" s="64"/>
      <c r="C178" s="45" t="s">
        <v>191</v>
      </c>
      <c r="D178" s="45">
        <f>(9.9)*10.764</f>
        <v>106.56359999999999</v>
      </c>
      <c r="E178" s="45">
        <v>0</v>
      </c>
      <c r="F178" s="55">
        <v>220</v>
      </c>
      <c r="G178" s="72"/>
      <c r="H178" s="73"/>
      <c r="I178" s="25">
        <v>220</v>
      </c>
      <c r="J178" s="2">
        <f t="shared" si="3"/>
        <v>2.0644948181180065</v>
      </c>
      <c r="L178" s="62"/>
      <c r="M178" s="62"/>
      <c r="N178" s="25"/>
    </row>
    <row r="179" spans="1:14" x14ac:dyDescent="0.3">
      <c r="A179" s="67" t="s">
        <v>197</v>
      </c>
      <c r="B179" s="67"/>
      <c r="C179" s="67"/>
      <c r="D179" s="67"/>
      <c r="E179" s="67"/>
      <c r="F179" s="67"/>
      <c r="G179" s="67"/>
      <c r="H179" s="67"/>
      <c r="J179" s="2" t="e">
        <f t="shared" si="3"/>
        <v>#DIV/0!</v>
      </c>
    </row>
    <row r="180" spans="1:14" x14ac:dyDescent="0.3">
      <c r="A180" s="67" t="s">
        <v>198</v>
      </c>
      <c r="B180" s="67"/>
      <c r="C180" s="67"/>
      <c r="D180" s="67"/>
      <c r="E180" s="67"/>
      <c r="F180" s="67"/>
      <c r="G180" s="67"/>
      <c r="H180" s="67"/>
      <c r="J180" s="2" t="e">
        <f t="shared" si="3"/>
        <v>#DIV/0!</v>
      </c>
    </row>
    <row r="181" spans="1:14" s="2" customFormat="1" x14ac:dyDescent="0.3">
      <c r="A181" s="74" t="s">
        <v>190</v>
      </c>
      <c r="B181" s="75"/>
      <c r="C181" s="75"/>
      <c r="D181" s="75"/>
      <c r="E181" s="75"/>
      <c r="F181" s="75"/>
      <c r="G181" s="75"/>
      <c r="H181" s="76"/>
      <c r="J181" s="2" t="e">
        <f t="shared" si="3"/>
        <v>#DIV/0!</v>
      </c>
    </row>
    <row r="182" spans="1:14" s="2" customFormat="1" x14ac:dyDescent="0.3">
      <c r="A182" s="63">
        <v>1</v>
      </c>
      <c r="B182" s="64"/>
      <c r="C182" s="45" t="s">
        <v>191</v>
      </c>
      <c r="D182" s="45">
        <f>(11.52)*10.764</f>
        <v>124.00127999999999</v>
      </c>
      <c r="E182" s="45">
        <v>0</v>
      </c>
      <c r="F182" s="55">
        <v>255</v>
      </c>
      <c r="G182" s="68" t="str">
        <f>A181</f>
        <v>Ground Floor for Commercial &amp; Parking</v>
      </c>
      <c r="H182" s="69"/>
      <c r="I182" s="25">
        <v>255</v>
      </c>
      <c r="J182" s="2">
        <f t="shared" si="3"/>
        <v>2.0564303852347332</v>
      </c>
      <c r="L182" s="62"/>
      <c r="M182" s="62"/>
      <c r="N182" s="25"/>
    </row>
    <row r="183" spans="1:14" s="2" customFormat="1" x14ac:dyDescent="0.3">
      <c r="A183" s="63">
        <f t="shared" ref="A183:A195" si="5">A182+1</f>
        <v>2</v>
      </c>
      <c r="B183" s="64"/>
      <c r="C183" s="45" t="s">
        <v>191</v>
      </c>
      <c r="D183" s="45">
        <f>(11.81)*10.764</f>
        <v>127.12284</v>
      </c>
      <c r="E183" s="45">
        <v>0</v>
      </c>
      <c r="F183" s="55">
        <v>240</v>
      </c>
      <c r="G183" s="70"/>
      <c r="H183" s="71"/>
      <c r="I183" s="25">
        <v>240</v>
      </c>
      <c r="J183" s="2">
        <f t="shared" si="3"/>
        <v>1.887937682952961</v>
      </c>
      <c r="L183" s="62"/>
      <c r="M183" s="62"/>
      <c r="N183" s="25"/>
    </row>
    <row r="184" spans="1:14" s="2" customFormat="1" x14ac:dyDescent="0.3">
      <c r="A184" s="63">
        <f t="shared" si="5"/>
        <v>3</v>
      </c>
      <c r="B184" s="64"/>
      <c r="C184" s="45" t="s">
        <v>191</v>
      </c>
      <c r="D184" s="45">
        <f>(15.4)*10.764</f>
        <v>165.76560000000001</v>
      </c>
      <c r="E184" s="45">
        <v>0</v>
      </c>
      <c r="F184" s="55">
        <v>310</v>
      </c>
      <c r="G184" s="70"/>
      <c r="H184" s="71"/>
      <c r="I184" s="25">
        <v>310</v>
      </c>
      <c r="J184" s="2">
        <f t="shared" si="3"/>
        <v>1.8701105657627397</v>
      </c>
      <c r="L184" s="62"/>
      <c r="M184" s="62"/>
      <c r="N184" s="25"/>
    </row>
    <row r="185" spans="1:14" s="2" customFormat="1" x14ac:dyDescent="0.3">
      <c r="A185" s="63">
        <f t="shared" si="5"/>
        <v>4</v>
      </c>
      <c r="B185" s="64"/>
      <c r="C185" s="45" t="s">
        <v>191</v>
      </c>
      <c r="D185" s="45">
        <f>(13.54)*10.764</f>
        <v>145.74455999999998</v>
      </c>
      <c r="E185" s="45">
        <v>0</v>
      </c>
      <c r="F185" s="55">
        <v>285</v>
      </c>
      <c r="G185" s="70"/>
      <c r="H185" s="71"/>
      <c r="I185" s="25">
        <v>285</v>
      </c>
      <c r="J185" s="2">
        <f t="shared" si="3"/>
        <v>1.9554760740297961</v>
      </c>
      <c r="L185" s="62"/>
      <c r="M185" s="62"/>
      <c r="N185" s="25"/>
    </row>
    <row r="186" spans="1:14" s="2" customFormat="1" x14ac:dyDescent="0.3">
      <c r="A186" s="63">
        <f t="shared" si="5"/>
        <v>5</v>
      </c>
      <c r="B186" s="64"/>
      <c r="C186" s="45" t="s">
        <v>191</v>
      </c>
      <c r="D186" s="45">
        <f>(9.46)*10.764</f>
        <v>101.82744000000001</v>
      </c>
      <c r="E186" s="45">
        <v>0</v>
      </c>
      <c r="F186" s="55">
        <v>200</v>
      </c>
      <c r="G186" s="70"/>
      <c r="H186" s="71"/>
      <c r="I186" s="25">
        <v>200</v>
      </c>
      <c r="J186" s="2">
        <f t="shared" si="3"/>
        <v>1.9641071208310843</v>
      </c>
      <c r="L186" s="62"/>
      <c r="M186" s="62"/>
      <c r="N186" s="25"/>
    </row>
    <row r="187" spans="1:14" s="2" customFormat="1" x14ac:dyDescent="0.3">
      <c r="A187" s="63">
        <f t="shared" si="5"/>
        <v>6</v>
      </c>
      <c r="B187" s="64"/>
      <c r="C187" s="45" t="s">
        <v>191</v>
      </c>
      <c r="D187" s="45">
        <f>(14.08)*10.764</f>
        <v>151.55712</v>
      </c>
      <c r="E187" s="45">
        <v>0</v>
      </c>
      <c r="F187" s="55">
        <v>300</v>
      </c>
      <c r="G187" s="70"/>
      <c r="H187" s="71"/>
      <c r="I187" s="25">
        <v>300</v>
      </c>
      <c r="J187" s="2">
        <f t="shared" si="3"/>
        <v>1.9794517077125773</v>
      </c>
      <c r="L187" s="62"/>
      <c r="M187" s="62"/>
      <c r="N187" s="25"/>
    </row>
    <row r="188" spans="1:14" s="2" customFormat="1" x14ac:dyDescent="0.3">
      <c r="A188" s="63">
        <f t="shared" si="5"/>
        <v>7</v>
      </c>
      <c r="B188" s="64"/>
      <c r="C188" s="45" t="s">
        <v>191</v>
      </c>
      <c r="D188" s="45">
        <f>(7.2)*10.764</f>
        <v>77.500799999999998</v>
      </c>
      <c r="E188" s="45">
        <v>0</v>
      </c>
      <c r="F188" s="55">
        <v>220</v>
      </c>
      <c r="G188" s="70"/>
      <c r="H188" s="71"/>
      <c r="I188" s="25">
        <v>220</v>
      </c>
      <c r="J188" s="2">
        <f t="shared" si="3"/>
        <v>2.8386803749122591</v>
      </c>
      <c r="L188" s="62"/>
      <c r="M188" s="62"/>
      <c r="N188" s="25"/>
    </row>
    <row r="189" spans="1:14" s="2" customFormat="1" x14ac:dyDescent="0.3">
      <c r="A189" s="63">
        <f t="shared" si="5"/>
        <v>8</v>
      </c>
      <c r="B189" s="64"/>
      <c r="C189" s="45" t="s">
        <v>191</v>
      </c>
      <c r="D189" s="45">
        <f>(10.97)*10.764</f>
        <v>118.08108</v>
      </c>
      <c r="E189" s="45">
        <v>0</v>
      </c>
      <c r="F189" s="55">
        <v>245</v>
      </c>
      <c r="G189" s="70"/>
      <c r="H189" s="71"/>
      <c r="I189" s="25">
        <v>245</v>
      </c>
      <c r="J189" s="2">
        <f t="shared" si="3"/>
        <v>2.074845521399364</v>
      </c>
      <c r="L189" s="62"/>
      <c r="M189" s="62"/>
      <c r="N189" s="25"/>
    </row>
    <row r="190" spans="1:14" s="2" customFormat="1" x14ac:dyDescent="0.3">
      <c r="A190" s="63">
        <f t="shared" si="5"/>
        <v>9</v>
      </c>
      <c r="B190" s="64"/>
      <c r="C190" s="45" t="s">
        <v>191</v>
      </c>
      <c r="D190" s="45">
        <f>(9.78)*10.764</f>
        <v>105.27191999999998</v>
      </c>
      <c r="E190" s="45">
        <v>0</v>
      </c>
      <c r="F190" s="55">
        <v>205</v>
      </c>
      <c r="G190" s="70"/>
      <c r="H190" s="71"/>
      <c r="I190" s="25">
        <v>205</v>
      </c>
      <c r="J190" s="2">
        <f t="shared" si="3"/>
        <v>1.9473379035929053</v>
      </c>
      <c r="L190" s="62"/>
      <c r="M190" s="62"/>
      <c r="N190" s="25"/>
    </row>
    <row r="191" spans="1:14" s="2" customFormat="1" x14ac:dyDescent="0.3">
      <c r="A191" s="63">
        <f t="shared" si="5"/>
        <v>10</v>
      </c>
      <c r="B191" s="64"/>
      <c r="C191" s="45" t="s">
        <v>191</v>
      </c>
      <c r="D191" s="45">
        <f>(14.01)*10.764</f>
        <v>150.80364</v>
      </c>
      <c r="E191" s="45">
        <v>0</v>
      </c>
      <c r="F191" s="55">
        <v>290</v>
      </c>
      <c r="G191" s="70"/>
      <c r="H191" s="71"/>
      <c r="I191" s="25">
        <v>290</v>
      </c>
      <c r="J191" s="2">
        <f t="shared" si="3"/>
        <v>1.9230305050992138</v>
      </c>
      <c r="L191" s="62"/>
      <c r="M191" s="62"/>
      <c r="N191" s="25"/>
    </row>
    <row r="192" spans="1:14" s="2" customFormat="1" x14ac:dyDescent="0.3">
      <c r="A192" s="63">
        <f t="shared" si="5"/>
        <v>11</v>
      </c>
      <c r="B192" s="64"/>
      <c r="C192" s="45" t="s">
        <v>191</v>
      </c>
      <c r="D192" s="45">
        <f>(15.95)*10.764</f>
        <v>171.68579999999997</v>
      </c>
      <c r="E192" s="45">
        <v>0</v>
      </c>
      <c r="F192" s="55">
        <v>320</v>
      </c>
      <c r="G192" s="70"/>
      <c r="H192" s="71"/>
      <c r="I192" s="25">
        <v>320</v>
      </c>
      <c r="J192" s="2">
        <f t="shared" si="3"/>
        <v>1.8638699298369465</v>
      </c>
      <c r="L192" s="62"/>
      <c r="M192" s="62"/>
      <c r="N192" s="25"/>
    </row>
    <row r="193" spans="1:14" s="2" customFormat="1" x14ac:dyDescent="0.3">
      <c r="A193" s="63">
        <f t="shared" si="5"/>
        <v>12</v>
      </c>
      <c r="B193" s="64"/>
      <c r="C193" s="45" t="s">
        <v>191</v>
      </c>
      <c r="D193" s="45">
        <f>(11.85)*10.764</f>
        <v>127.55339999999998</v>
      </c>
      <c r="E193" s="45">
        <v>0</v>
      </c>
      <c r="F193" s="55">
        <v>245</v>
      </c>
      <c r="G193" s="70"/>
      <c r="H193" s="71"/>
      <c r="I193" s="25">
        <v>245</v>
      </c>
      <c r="J193" s="2">
        <f t="shared" si="3"/>
        <v>1.9207641662237152</v>
      </c>
      <c r="L193" s="62"/>
      <c r="M193" s="62"/>
      <c r="N193" s="25"/>
    </row>
    <row r="194" spans="1:14" s="2" customFormat="1" x14ac:dyDescent="0.3">
      <c r="A194" s="63">
        <f t="shared" si="5"/>
        <v>13</v>
      </c>
      <c r="B194" s="64"/>
      <c r="C194" s="45" t="s">
        <v>191</v>
      </c>
      <c r="D194" s="45">
        <f>(12.62)*10.764</f>
        <v>135.84168</v>
      </c>
      <c r="E194" s="45">
        <v>0</v>
      </c>
      <c r="F194" s="55">
        <v>260</v>
      </c>
      <c r="G194" s="70"/>
      <c r="H194" s="71"/>
      <c r="I194" s="25">
        <v>260</v>
      </c>
      <c r="J194" s="2">
        <f t="shared" si="3"/>
        <v>1.9139928186989443</v>
      </c>
      <c r="L194" s="62"/>
      <c r="M194" s="62"/>
      <c r="N194" s="25"/>
    </row>
    <row r="195" spans="1:14" s="2" customFormat="1" x14ac:dyDescent="0.3">
      <c r="A195" s="63">
        <f t="shared" si="5"/>
        <v>14</v>
      </c>
      <c r="B195" s="64"/>
      <c r="C195" s="45" t="s">
        <v>191</v>
      </c>
      <c r="D195" s="45">
        <f>(14.16)*10.764</f>
        <v>152.41824</v>
      </c>
      <c r="E195" s="45">
        <v>0</v>
      </c>
      <c r="F195" s="55">
        <v>295</v>
      </c>
      <c r="G195" s="72"/>
      <c r="H195" s="73"/>
      <c r="I195" s="25">
        <v>295</v>
      </c>
      <c r="J195" s="2">
        <f t="shared" si="3"/>
        <v>1.9354638919856311</v>
      </c>
      <c r="L195" s="62"/>
      <c r="M195" s="62"/>
      <c r="N195" s="25"/>
    </row>
    <row r="196" spans="1:14" x14ac:dyDescent="0.3">
      <c r="A196" s="67" t="s">
        <v>197</v>
      </c>
      <c r="B196" s="67"/>
      <c r="C196" s="67"/>
      <c r="D196" s="67"/>
      <c r="E196" s="67"/>
      <c r="F196" s="67"/>
      <c r="G196" s="67"/>
      <c r="H196" s="67"/>
      <c r="J196" s="2" t="e">
        <f t="shared" si="3"/>
        <v>#DIV/0!</v>
      </c>
    </row>
    <row r="197" spans="1:14" x14ac:dyDescent="0.3">
      <c r="A197" s="67" t="s">
        <v>199</v>
      </c>
      <c r="B197" s="67"/>
      <c r="C197" s="67"/>
      <c r="D197" s="67"/>
      <c r="E197" s="67"/>
      <c r="F197" s="67"/>
      <c r="G197" s="67"/>
      <c r="H197" s="67"/>
      <c r="J197" s="2" t="e">
        <f t="shared" si="3"/>
        <v>#DIV/0!</v>
      </c>
    </row>
    <row r="198" spans="1:14" s="2" customFormat="1" x14ac:dyDescent="0.3">
      <c r="A198" s="74" t="s">
        <v>190</v>
      </c>
      <c r="B198" s="75"/>
      <c r="C198" s="75"/>
      <c r="D198" s="75"/>
      <c r="E198" s="75"/>
      <c r="F198" s="75"/>
      <c r="G198" s="75"/>
      <c r="H198" s="76"/>
      <c r="J198" s="2" t="e">
        <f t="shared" si="3"/>
        <v>#DIV/0!</v>
      </c>
    </row>
    <row r="199" spans="1:14" s="2" customFormat="1" x14ac:dyDescent="0.3">
      <c r="A199" s="63">
        <v>1</v>
      </c>
      <c r="B199" s="64"/>
      <c r="C199" s="45" t="s">
        <v>191</v>
      </c>
      <c r="D199" s="45">
        <f>(14.16)*10.764</f>
        <v>152.41824</v>
      </c>
      <c r="E199" s="45">
        <v>0</v>
      </c>
      <c r="F199" s="56">
        <v>295</v>
      </c>
      <c r="G199" s="68" t="str">
        <f>A198</f>
        <v>Ground Floor for Commercial &amp; Parking</v>
      </c>
      <c r="H199" s="69"/>
      <c r="I199" s="25">
        <v>295</v>
      </c>
      <c r="J199" s="2">
        <f t="shared" si="3"/>
        <v>1.9354638919856311</v>
      </c>
      <c r="L199" s="62"/>
      <c r="M199" s="62"/>
      <c r="N199" s="25"/>
    </row>
    <row r="200" spans="1:14" s="2" customFormat="1" x14ac:dyDescent="0.3">
      <c r="A200" s="63">
        <f t="shared" ref="A200:A212" si="6">A199+1</f>
        <v>2</v>
      </c>
      <c r="B200" s="64"/>
      <c r="C200" s="45" t="s">
        <v>191</v>
      </c>
      <c r="D200" s="45">
        <f>(12.62)*10.764</f>
        <v>135.84168</v>
      </c>
      <c r="E200" s="45">
        <v>0</v>
      </c>
      <c r="F200" s="56">
        <v>260</v>
      </c>
      <c r="G200" s="70"/>
      <c r="H200" s="71"/>
      <c r="I200" s="25">
        <v>260</v>
      </c>
      <c r="J200" s="2">
        <f t="shared" si="3"/>
        <v>1.9139928186989443</v>
      </c>
      <c r="L200" s="62"/>
      <c r="M200" s="62"/>
      <c r="N200" s="25"/>
    </row>
    <row r="201" spans="1:14" s="2" customFormat="1" x14ac:dyDescent="0.3">
      <c r="A201" s="63">
        <f t="shared" si="6"/>
        <v>3</v>
      </c>
      <c r="B201" s="64"/>
      <c r="C201" s="45" t="s">
        <v>191</v>
      </c>
      <c r="D201" s="45">
        <f>(11.85)*10.764</f>
        <v>127.55339999999998</v>
      </c>
      <c r="E201" s="45">
        <v>0</v>
      </c>
      <c r="F201" s="56">
        <v>245</v>
      </c>
      <c r="G201" s="70"/>
      <c r="H201" s="71"/>
      <c r="I201" s="25">
        <v>245</v>
      </c>
      <c r="J201" s="2">
        <f t="shared" si="3"/>
        <v>1.9207641662237152</v>
      </c>
      <c r="L201" s="62"/>
      <c r="M201" s="62"/>
      <c r="N201" s="25"/>
    </row>
    <row r="202" spans="1:14" s="2" customFormat="1" x14ac:dyDescent="0.3">
      <c r="A202" s="63">
        <f t="shared" si="6"/>
        <v>4</v>
      </c>
      <c r="B202" s="64"/>
      <c r="C202" s="45" t="s">
        <v>191</v>
      </c>
      <c r="D202" s="45">
        <f>(15.95)*10.764</f>
        <v>171.68579999999997</v>
      </c>
      <c r="E202" s="45">
        <v>0</v>
      </c>
      <c r="F202" s="56">
        <v>320</v>
      </c>
      <c r="G202" s="70"/>
      <c r="H202" s="71"/>
      <c r="I202" s="25">
        <v>320</v>
      </c>
      <c r="J202" s="2">
        <f t="shared" si="3"/>
        <v>1.8638699298369465</v>
      </c>
      <c r="L202" s="62"/>
      <c r="M202" s="62"/>
      <c r="N202" s="25"/>
    </row>
    <row r="203" spans="1:14" s="2" customFormat="1" x14ac:dyDescent="0.3">
      <c r="A203" s="63">
        <f t="shared" si="6"/>
        <v>5</v>
      </c>
      <c r="B203" s="64"/>
      <c r="C203" s="45" t="s">
        <v>191</v>
      </c>
      <c r="D203" s="45">
        <f>(14.01)*10.764</f>
        <v>150.80364</v>
      </c>
      <c r="E203" s="45">
        <v>0</v>
      </c>
      <c r="F203" s="56">
        <v>290</v>
      </c>
      <c r="G203" s="70"/>
      <c r="H203" s="71"/>
      <c r="I203" s="25">
        <v>290</v>
      </c>
      <c r="J203" s="2">
        <f t="shared" si="3"/>
        <v>1.9230305050992138</v>
      </c>
      <c r="K203" s="2">
        <f>1298000/F203</f>
        <v>4475.8620689655172</v>
      </c>
      <c r="L203" s="62"/>
      <c r="M203" s="62"/>
      <c r="N203" s="25"/>
    </row>
    <row r="204" spans="1:14" s="2" customFormat="1" x14ac:dyDescent="0.3">
      <c r="A204" s="63">
        <f t="shared" si="6"/>
        <v>6</v>
      </c>
      <c r="B204" s="64"/>
      <c r="C204" s="45" t="s">
        <v>191</v>
      </c>
      <c r="D204" s="45">
        <f>(9.78)*10.764</f>
        <v>105.27191999999998</v>
      </c>
      <c r="E204" s="45">
        <v>0</v>
      </c>
      <c r="F204" s="56">
        <v>205</v>
      </c>
      <c r="G204" s="70"/>
      <c r="H204" s="71"/>
      <c r="I204" s="25">
        <v>205</v>
      </c>
      <c r="J204" s="2">
        <f t="shared" si="3"/>
        <v>1.9473379035929053</v>
      </c>
      <c r="L204" s="62"/>
      <c r="M204" s="62"/>
      <c r="N204" s="25"/>
    </row>
    <row r="205" spans="1:14" s="2" customFormat="1" x14ac:dyDescent="0.3">
      <c r="A205" s="63">
        <f t="shared" si="6"/>
        <v>7</v>
      </c>
      <c r="B205" s="64"/>
      <c r="C205" s="45" t="s">
        <v>191</v>
      </c>
      <c r="D205" s="45">
        <f>(12.79)*10.764</f>
        <v>137.67155999999997</v>
      </c>
      <c r="E205" s="45">
        <v>0</v>
      </c>
      <c r="F205" s="56">
        <v>275</v>
      </c>
      <c r="G205" s="70"/>
      <c r="H205" s="71"/>
      <c r="I205" s="25">
        <v>275</v>
      </c>
      <c r="J205" s="2">
        <f t="shared" si="3"/>
        <v>1.9975076914941623</v>
      </c>
      <c r="L205" s="62"/>
      <c r="M205" s="62"/>
      <c r="N205" s="25"/>
    </row>
    <row r="206" spans="1:14" s="2" customFormat="1" x14ac:dyDescent="0.3">
      <c r="A206" s="63">
        <f t="shared" si="6"/>
        <v>8</v>
      </c>
      <c r="B206" s="64"/>
      <c r="C206" s="45" t="s">
        <v>191</v>
      </c>
      <c r="D206" s="45">
        <f>(7.2)*10.764</f>
        <v>77.500799999999998</v>
      </c>
      <c r="E206" s="45">
        <v>0</v>
      </c>
      <c r="F206" s="56">
        <v>230</v>
      </c>
      <c r="G206" s="70"/>
      <c r="H206" s="71"/>
      <c r="I206" s="25">
        <v>230</v>
      </c>
      <c r="J206" s="2">
        <f t="shared" si="3"/>
        <v>2.9677113010446345</v>
      </c>
      <c r="L206" s="62"/>
      <c r="M206" s="62"/>
      <c r="N206" s="25"/>
    </row>
    <row r="207" spans="1:14" s="2" customFormat="1" x14ac:dyDescent="0.3">
      <c r="A207" s="63">
        <f t="shared" si="6"/>
        <v>9</v>
      </c>
      <c r="B207" s="64"/>
      <c r="C207" s="45" t="s">
        <v>191</v>
      </c>
      <c r="D207" s="45">
        <f>(5.92)*10.764</f>
        <v>63.722879999999996</v>
      </c>
      <c r="E207" s="45">
        <v>0</v>
      </c>
      <c r="F207" s="56">
        <v>160</v>
      </c>
      <c r="G207" s="70"/>
      <c r="H207" s="71"/>
      <c r="I207" s="25">
        <v>160</v>
      </c>
      <c r="J207" s="2">
        <f t="shared" si="3"/>
        <v>2.5108720760894676</v>
      </c>
      <c r="L207" s="62"/>
      <c r="M207" s="62"/>
      <c r="N207" s="25"/>
    </row>
    <row r="208" spans="1:14" s="2" customFormat="1" x14ac:dyDescent="0.3">
      <c r="A208" s="63">
        <f t="shared" si="6"/>
        <v>10</v>
      </c>
      <c r="B208" s="64"/>
      <c r="C208" s="45" t="s">
        <v>191</v>
      </c>
      <c r="D208" s="45">
        <f>(5.91)*10.764</f>
        <v>63.61524</v>
      </c>
      <c r="E208" s="45">
        <v>0</v>
      </c>
      <c r="F208" s="56">
        <v>145</v>
      </c>
      <c r="G208" s="70"/>
      <c r="H208" s="71"/>
      <c r="I208" s="25">
        <v>145</v>
      </c>
      <c r="J208" s="2">
        <f t="shared" si="3"/>
        <v>2.279328035231809</v>
      </c>
      <c r="L208" s="62"/>
      <c r="M208" s="62"/>
      <c r="N208" s="25"/>
    </row>
    <row r="209" spans="1:14" s="2" customFormat="1" x14ac:dyDescent="0.3">
      <c r="A209" s="63">
        <f t="shared" si="6"/>
        <v>11</v>
      </c>
      <c r="B209" s="64"/>
      <c r="C209" s="45" t="s">
        <v>191</v>
      </c>
      <c r="D209" s="45">
        <f>(5.91)*10.764</f>
        <v>63.61524</v>
      </c>
      <c r="E209" s="45">
        <v>0</v>
      </c>
      <c r="F209" s="56">
        <v>155</v>
      </c>
      <c r="G209" s="70"/>
      <c r="H209" s="71"/>
      <c r="I209" s="25">
        <v>155</v>
      </c>
      <c r="J209" s="2">
        <f t="shared" si="3"/>
        <v>2.4365230721443476</v>
      </c>
      <c r="L209" s="62"/>
      <c r="M209" s="62"/>
      <c r="N209" s="25"/>
    </row>
    <row r="210" spans="1:14" s="2" customFormat="1" x14ac:dyDescent="0.3">
      <c r="A210" s="63">
        <f t="shared" si="6"/>
        <v>12</v>
      </c>
      <c r="B210" s="64"/>
      <c r="C210" s="45" t="s">
        <v>191</v>
      </c>
      <c r="D210" s="45">
        <f>(5.91)*10.764</f>
        <v>63.61524</v>
      </c>
      <c r="E210" s="45">
        <v>0</v>
      </c>
      <c r="F210" s="56">
        <v>155</v>
      </c>
      <c r="G210" s="70"/>
      <c r="H210" s="71"/>
      <c r="I210" s="25">
        <v>155</v>
      </c>
      <c r="J210" s="2">
        <f t="shared" si="3"/>
        <v>2.4365230721443476</v>
      </c>
      <c r="L210" s="62"/>
      <c r="M210" s="62"/>
      <c r="N210" s="25"/>
    </row>
    <row r="211" spans="1:14" s="2" customFormat="1" x14ac:dyDescent="0.3">
      <c r="A211" s="63">
        <f t="shared" si="6"/>
        <v>13</v>
      </c>
      <c r="B211" s="64"/>
      <c r="C211" s="45" t="s">
        <v>191</v>
      </c>
      <c r="D211" s="45">
        <f>(5.91)*10.764</f>
        <v>63.61524</v>
      </c>
      <c r="E211" s="45">
        <v>0</v>
      </c>
      <c r="F211" s="56">
        <v>145</v>
      </c>
      <c r="G211" s="70"/>
      <c r="H211" s="71"/>
      <c r="I211" s="25">
        <v>145</v>
      </c>
      <c r="J211" s="2">
        <f t="shared" si="3"/>
        <v>2.279328035231809</v>
      </c>
      <c r="L211" s="62"/>
      <c r="M211" s="62"/>
      <c r="N211" s="25"/>
    </row>
    <row r="212" spans="1:14" s="2" customFormat="1" x14ac:dyDescent="0.3">
      <c r="A212" s="63">
        <f t="shared" si="6"/>
        <v>14</v>
      </c>
      <c r="B212" s="64"/>
      <c r="C212" s="45" t="s">
        <v>191</v>
      </c>
      <c r="D212" s="45">
        <f>(5.92)*10.764</f>
        <v>63.722879999999996</v>
      </c>
      <c r="E212" s="45">
        <v>0</v>
      </c>
      <c r="F212" s="56">
        <v>160</v>
      </c>
      <c r="G212" s="72"/>
      <c r="H212" s="73"/>
      <c r="I212" s="25">
        <v>160</v>
      </c>
      <c r="J212" s="2">
        <f t="shared" si="3"/>
        <v>2.5108720760894676</v>
      </c>
      <c r="L212" s="62"/>
      <c r="M212" s="62"/>
      <c r="N212" s="25"/>
    </row>
    <row r="213" spans="1:14" x14ac:dyDescent="0.3">
      <c r="A213" s="67" t="s">
        <v>197</v>
      </c>
      <c r="B213" s="67"/>
      <c r="C213" s="67"/>
      <c r="D213" s="67"/>
      <c r="E213" s="67"/>
      <c r="F213" s="67"/>
      <c r="G213" s="67"/>
      <c r="H213" s="67"/>
      <c r="J213" s="2" t="e">
        <f t="shared" si="3"/>
        <v>#DIV/0!</v>
      </c>
    </row>
    <row r="214" spans="1:14" x14ac:dyDescent="0.3">
      <c r="A214" s="67" t="s">
        <v>200</v>
      </c>
      <c r="B214" s="67"/>
      <c r="C214" s="67"/>
      <c r="D214" s="67"/>
      <c r="E214" s="67"/>
      <c r="F214" s="67"/>
      <c r="G214" s="67"/>
      <c r="H214" s="67"/>
      <c r="J214" s="2" t="e">
        <f t="shared" si="3"/>
        <v>#DIV/0!</v>
      </c>
    </row>
    <row r="215" spans="1:14" s="2" customFormat="1" x14ac:dyDescent="0.3">
      <c r="A215" s="74" t="s">
        <v>190</v>
      </c>
      <c r="B215" s="75"/>
      <c r="C215" s="75"/>
      <c r="D215" s="75"/>
      <c r="E215" s="75"/>
      <c r="F215" s="75"/>
      <c r="G215" s="75"/>
      <c r="H215" s="76"/>
      <c r="J215" s="2" t="e">
        <f t="shared" si="3"/>
        <v>#DIV/0!</v>
      </c>
    </row>
    <row r="216" spans="1:14" s="2" customFormat="1" x14ac:dyDescent="0.3">
      <c r="A216" s="63">
        <v>1</v>
      </c>
      <c r="B216" s="64"/>
      <c r="C216" s="45" t="s">
        <v>191</v>
      </c>
      <c r="D216" s="45">
        <f>(5.91)*10.764</f>
        <v>63.61524</v>
      </c>
      <c r="E216" s="45">
        <v>0</v>
      </c>
      <c r="F216" s="45">
        <v>155</v>
      </c>
      <c r="G216" s="68" t="str">
        <f>A215</f>
        <v>Ground Floor for Commercial &amp; Parking</v>
      </c>
      <c r="H216" s="69"/>
      <c r="I216" s="25"/>
      <c r="J216" s="2">
        <f t="shared" ref="J216:J226" si="7">F216/D216</f>
        <v>2.4365230721443476</v>
      </c>
      <c r="L216" s="62"/>
      <c r="M216" s="62"/>
      <c r="N216" s="25"/>
    </row>
    <row r="217" spans="1:14" s="2" customFormat="1" x14ac:dyDescent="0.3">
      <c r="A217" s="63">
        <f t="shared" ref="A217:A225" si="8">A216+1</f>
        <v>2</v>
      </c>
      <c r="B217" s="64"/>
      <c r="C217" s="45" t="s">
        <v>191</v>
      </c>
      <c r="D217" s="45">
        <f>(5.91)*10.764</f>
        <v>63.61524</v>
      </c>
      <c r="E217" s="45">
        <v>0</v>
      </c>
      <c r="F217" s="45">
        <v>145</v>
      </c>
      <c r="G217" s="70"/>
      <c r="H217" s="71"/>
      <c r="I217" s="25"/>
      <c r="J217" s="2">
        <f t="shared" si="7"/>
        <v>2.279328035231809</v>
      </c>
      <c r="L217" s="62"/>
      <c r="M217" s="62"/>
      <c r="N217" s="25"/>
    </row>
    <row r="218" spans="1:14" s="2" customFormat="1" x14ac:dyDescent="0.3">
      <c r="A218" s="63">
        <f t="shared" si="8"/>
        <v>3</v>
      </c>
      <c r="B218" s="64"/>
      <c r="C218" s="45" t="s">
        <v>191</v>
      </c>
      <c r="D218" s="45">
        <f>(5.91)*10.764</f>
        <v>63.61524</v>
      </c>
      <c r="E218" s="45">
        <v>0</v>
      </c>
      <c r="F218" s="45">
        <v>155</v>
      </c>
      <c r="G218" s="70"/>
      <c r="H218" s="71"/>
      <c r="I218" s="25"/>
      <c r="J218" s="2">
        <f t="shared" si="7"/>
        <v>2.4365230721443476</v>
      </c>
      <c r="L218" s="62"/>
      <c r="M218" s="62"/>
      <c r="N218" s="25"/>
    </row>
    <row r="219" spans="1:14" s="2" customFormat="1" x14ac:dyDescent="0.3">
      <c r="A219" s="63">
        <f t="shared" si="8"/>
        <v>4</v>
      </c>
      <c r="B219" s="64"/>
      <c r="C219" s="45" t="s">
        <v>191</v>
      </c>
      <c r="D219" s="45">
        <f>(5.91)*10.764</f>
        <v>63.61524</v>
      </c>
      <c r="E219" s="45">
        <v>0</v>
      </c>
      <c r="F219" s="45">
        <v>155</v>
      </c>
      <c r="G219" s="70"/>
      <c r="H219" s="71"/>
      <c r="I219" s="25"/>
      <c r="J219" s="2">
        <f t="shared" si="7"/>
        <v>2.4365230721443476</v>
      </c>
      <c r="L219" s="62"/>
      <c r="M219" s="62"/>
      <c r="N219" s="25"/>
    </row>
    <row r="220" spans="1:14" s="2" customFormat="1" x14ac:dyDescent="0.3">
      <c r="A220" s="63">
        <f t="shared" si="8"/>
        <v>5</v>
      </c>
      <c r="B220" s="64"/>
      <c r="C220" s="45" t="s">
        <v>191</v>
      </c>
      <c r="D220" s="45">
        <f>(6)*10.764</f>
        <v>64.584000000000003</v>
      </c>
      <c r="E220" s="45">
        <v>0</v>
      </c>
      <c r="F220" s="45">
        <v>145</v>
      </c>
      <c r="G220" s="70"/>
      <c r="H220" s="71"/>
      <c r="I220" s="25"/>
      <c r="J220" s="2">
        <f t="shared" si="7"/>
        <v>2.245138114703332</v>
      </c>
      <c r="L220" s="62"/>
      <c r="M220" s="62"/>
      <c r="N220" s="25"/>
    </row>
    <row r="221" spans="1:14" s="2" customFormat="1" x14ac:dyDescent="0.3">
      <c r="A221" s="63">
        <f t="shared" si="8"/>
        <v>6</v>
      </c>
      <c r="B221" s="64"/>
      <c r="C221" s="45" t="s">
        <v>191</v>
      </c>
      <c r="D221" s="45">
        <f>(5.91)*10.764</f>
        <v>63.61524</v>
      </c>
      <c r="E221" s="45">
        <v>0</v>
      </c>
      <c r="F221" s="45">
        <v>155</v>
      </c>
      <c r="G221" s="70"/>
      <c r="H221" s="71"/>
      <c r="I221" s="25"/>
      <c r="J221" s="2">
        <f t="shared" si="7"/>
        <v>2.4365230721443476</v>
      </c>
      <c r="L221" s="62"/>
      <c r="M221" s="62"/>
      <c r="N221" s="25"/>
    </row>
    <row r="222" spans="1:14" s="2" customFormat="1" x14ac:dyDescent="0.3">
      <c r="A222" s="63">
        <f t="shared" si="8"/>
        <v>7</v>
      </c>
      <c r="B222" s="64"/>
      <c r="C222" s="45" t="s">
        <v>191</v>
      </c>
      <c r="D222" s="45">
        <f>(5.99)*10.764</f>
        <v>64.47636</v>
      </c>
      <c r="E222" s="45">
        <v>0</v>
      </c>
      <c r="F222" s="45">
        <v>150</v>
      </c>
      <c r="G222" s="70"/>
      <c r="H222" s="71"/>
      <c r="I222" s="25"/>
      <c r="J222" s="2">
        <f t="shared" si="7"/>
        <v>2.3264340604835634</v>
      </c>
      <c r="L222" s="62"/>
      <c r="M222" s="62"/>
      <c r="N222" s="25"/>
    </row>
    <row r="223" spans="1:14" s="2" customFormat="1" x14ac:dyDescent="0.3">
      <c r="A223" s="63">
        <f t="shared" si="8"/>
        <v>8</v>
      </c>
      <c r="B223" s="64"/>
      <c r="C223" s="45" t="s">
        <v>191</v>
      </c>
      <c r="D223" s="45">
        <f>(5.91)*10.764</f>
        <v>63.61524</v>
      </c>
      <c r="E223" s="45">
        <v>0</v>
      </c>
      <c r="F223" s="45">
        <v>155</v>
      </c>
      <c r="G223" s="70"/>
      <c r="H223" s="71"/>
      <c r="I223" s="25"/>
      <c r="J223" s="2">
        <f t="shared" si="7"/>
        <v>2.4365230721443476</v>
      </c>
      <c r="L223" s="62"/>
      <c r="M223" s="62"/>
      <c r="N223" s="25"/>
    </row>
    <row r="224" spans="1:14" s="2" customFormat="1" x14ac:dyDescent="0.3">
      <c r="A224" s="63">
        <f t="shared" si="8"/>
        <v>9</v>
      </c>
      <c r="B224" s="64"/>
      <c r="C224" s="45" t="s">
        <v>191</v>
      </c>
      <c r="D224" s="45">
        <f>(5.91)*10.764</f>
        <v>63.61524</v>
      </c>
      <c r="E224" s="45">
        <v>0</v>
      </c>
      <c r="F224" s="45">
        <v>145</v>
      </c>
      <c r="G224" s="70"/>
      <c r="H224" s="71"/>
      <c r="I224" s="25"/>
      <c r="J224" s="2">
        <f t="shared" si="7"/>
        <v>2.279328035231809</v>
      </c>
      <c r="L224" s="62"/>
      <c r="M224" s="62"/>
      <c r="N224" s="25"/>
    </row>
    <row r="225" spans="1:16" s="2" customFormat="1" x14ac:dyDescent="0.3">
      <c r="A225" s="63">
        <f t="shared" si="8"/>
        <v>10</v>
      </c>
      <c r="B225" s="64"/>
      <c r="C225" s="45" t="s">
        <v>191</v>
      </c>
      <c r="D225" s="45">
        <f>(5.91)*10.764</f>
        <v>63.61524</v>
      </c>
      <c r="E225" s="45">
        <v>0</v>
      </c>
      <c r="F225" s="45">
        <v>155</v>
      </c>
      <c r="G225" s="72"/>
      <c r="H225" s="73"/>
      <c r="I225" s="25"/>
      <c r="J225" s="2">
        <f t="shared" si="7"/>
        <v>2.4365230721443476</v>
      </c>
      <c r="L225" s="62"/>
      <c r="M225" s="62"/>
      <c r="N225" s="25"/>
    </row>
    <row r="226" spans="1:16" s="2" customFormat="1" x14ac:dyDescent="0.3">
      <c r="A226" s="63"/>
      <c r="B226" s="102"/>
      <c r="C226" s="102"/>
      <c r="D226" s="102"/>
      <c r="E226" s="102"/>
      <c r="F226" s="102"/>
      <c r="G226" s="102"/>
      <c r="H226" s="64"/>
      <c r="I226" s="25"/>
      <c r="J226" s="2" t="e">
        <f t="shared" si="7"/>
        <v>#DIV/0!</v>
      </c>
      <c r="N226" s="25"/>
    </row>
    <row r="227" spans="1:16" ht="47.25" customHeight="1" x14ac:dyDescent="0.3">
      <c r="A227" s="44" t="s">
        <v>126</v>
      </c>
      <c r="B227" s="44" t="s">
        <v>127</v>
      </c>
      <c r="C227" s="37" t="s">
        <v>63</v>
      </c>
      <c r="D227" s="37" t="s">
        <v>64</v>
      </c>
      <c r="E227" s="38" t="s">
        <v>65</v>
      </c>
      <c r="F227" s="37" t="s">
        <v>219</v>
      </c>
      <c r="G227" s="79" t="s">
        <v>66</v>
      </c>
      <c r="H227" s="80"/>
      <c r="I227" s="25"/>
    </row>
    <row r="228" spans="1:16" x14ac:dyDescent="0.3">
      <c r="A228" s="67" t="s">
        <v>188</v>
      </c>
      <c r="B228" s="67"/>
      <c r="C228" s="67"/>
      <c r="D228" s="67"/>
      <c r="E228" s="67"/>
      <c r="F228" s="67"/>
      <c r="G228" s="67"/>
      <c r="H228" s="67"/>
    </row>
    <row r="229" spans="1:16" x14ac:dyDescent="0.3">
      <c r="A229" s="67" t="s">
        <v>194</v>
      </c>
      <c r="B229" s="67"/>
      <c r="C229" s="67"/>
      <c r="D229" s="67"/>
      <c r="E229" s="67"/>
      <c r="F229" s="67"/>
      <c r="G229" s="67"/>
      <c r="H229" s="67"/>
    </row>
    <row r="230" spans="1:16" s="2" customFormat="1" x14ac:dyDescent="0.3">
      <c r="A230" s="74" t="s">
        <v>206</v>
      </c>
      <c r="B230" s="75"/>
      <c r="C230" s="75"/>
      <c r="D230" s="75"/>
      <c r="E230" s="75"/>
      <c r="F230" s="75"/>
      <c r="G230" s="75"/>
      <c r="H230" s="76"/>
      <c r="I230" s="25"/>
    </row>
    <row r="231" spans="1:16" s="2" customFormat="1" x14ac:dyDescent="0.3">
      <c r="A231" s="63">
        <v>1</v>
      </c>
      <c r="B231" s="64"/>
      <c r="C231" s="45" t="s">
        <v>193</v>
      </c>
      <c r="D231" s="45">
        <f>(34.43)*10.764</f>
        <v>370.60451999999998</v>
      </c>
      <c r="E231" s="45">
        <v>0</v>
      </c>
      <c r="F231" s="57">
        <v>550</v>
      </c>
      <c r="G231" s="68" t="str">
        <f>A230</f>
        <v>Ground Floor for Residential</v>
      </c>
      <c r="H231" s="69"/>
      <c r="I231" s="25">
        <f>(2.95*2.75+0.9*1.05+2.45*0.45+1.75*2.15+1.2*2.15+1.2*2.15+3.05*3.2+1*2.75+1.3*2.15)</f>
        <v>34.387499999999996</v>
      </c>
      <c r="J231" s="2">
        <v>550</v>
      </c>
      <c r="K231" s="41">
        <f>F231/D231</f>
        <v>1.4840617702126246</v>
      </c>
      <c r="N231" s="2" t="e">
        <f t="shared" ref="N231:N232" ca="1" si="9">O231&amp;""&amp;" to "&amp;""&amp;P231</f>
        <v>#REF!</v>
      </c>
      <c r="O231" s="2" t="e">
        <f ca="1">(SUMPRODUCT(MID(0&amp;(LEFT(A230,SUM(LEN(A230)-LEN(SUBSTITUTE(A230,{"0","1","2"},""))))), LARGE(INDEX(ISNUMBER(--MID((LEFT(A230,SUM(LEN(A230)-LEN(SUBSTITUTE(A230,{"0","1","2"},""))))), ROW(INDIRECT("1:"&amp;LEN((LEFT(A230,SUM(LEN(A230)-LEN(SUBSTITUTE(A230,{"0","1","2"},"")))))))), 1)) * ROW(INDIRECT("1:"&amp;LEN((LEFT(A230,SUM(LEN(A230)-LEN(SUBSTITUTE(A230,{"0","1","2"},"")))))))), 0), ROW(INDIRECT("1:"&amp;LEN((LEFT(A230,SUM(LEN(A230)-LEN(SUBSTITUTE(A230,{"0","1","2"},"")))))))))+1, 1) * 10^ROW(INDIRECT("1:"&amp;LEN((LEFT(A230,SUM(LEN(A230)-LEN(SUBSTITUTE(A230,{"0","1","2"},""))))))))/10))*100+1</f>
        <v>#REF!</v>
      </c>
      <c r="P231" s="2" t="e">
        <f ca="1">(SUMPRODUCT(MID(0&amp;(--TRIM(RIGHT(SUBSTITUTE(LEFT(A230,_xlfn.AGGREGATE(16,6,FIND({0,1,2,3,4,5,6,7,8,9},A230,ROW(INDIRECT("1:"&amp;LEN(A230)))),1))," ",REPT(" ",LEN(A230))),LEN(A230)))), LARGE(INDEX(ISNUMBER(--MID((--TRIM(RIGHT(SUBSTITUTE(LEFT(A230,_xlfn.AGGREGATE(16,6,FIND({0,1,2,3,4,5,6,7,8,9},A230,ROW(INDIRECT("1:"&amp;LEN(A230)))),1))," ",REPT(" ",LEN(A230))),LEN(A230)))), ROW(INDIRECT("1:"&amp;LEN((--TRIM(RIGHT(SUBSTITUTE(LEFT(A230,_xlfn.AGGREGATE(16,6,FIND({0,1,2,3,4,5,6,7,8,9},A230,ROW(INDIRECT("1:"&amp;LEN(A230)))),1))," ",REPT(" ",LEN(A230))),LEN(A230))))))), 1)) * ROW(INDIRECT("1:"&amp;LEN((--TRIM(RIGHT(SUBSTITUTE(LEFT(A230,_xlfn.AGGREGATE(16,6,FIND({0,1,2,3,4,5,6,7,8,9},A230,ROW(INDIRECT("1:"&amp;LEN(A230)))),1))," ",REPT(" ",LEN(A230))),LEN(A230))))))), 0), ROW(INDIRECT("1:"&amp;LEN((--TRIM(RIGHT(SUBSTITUTE(LEFT(A230,_xlfn.AGGREGATE(16,6,FIND({0,1,2,3,4,5,6,7,8,9},A230,ROW(INDIRECT("1:"&amp;LEN(A230)))),1))," ",REPT(" ",LEN(A230))),LEN(A230))))))))+1, 1) * 10^ROW(INDIRECT("1:"&amp;LEN((--TRIM(RIGHT(SUBSTITUTE(LEFT(A230,_xlfn.AGGREGATE(16,6,FIND({0,1,2,3,4,5,6,7,8,9},A230,ROW(INDIRECT("1:"&amp;LEN(A230)))),1))," ",REPT(" ",LEN(A230))),LEN(A230)))))))/10))*100+1</f>
        <v>#NUM!</v>
      </c>
    </row>
    <row r="232" spans="1:16" s="2" customFormat="1" x14ac:dyDescent="0.3">
      <c r="A232" s="63">
        <v>2</v>
      </c>
      <c r="B232" s="64"/>
      <c r="C232" s="45" t="s">
        <v>195</v>
      </c>
      <c r="D232" s="45">
        <f>(42.59)*10.764</f>
        <v>458.43876</v>
      </c>
      <c r="E232" s="45">
        <v>0</v>
      </c>
      <c r="F232" s="57">
        <v>675</v>
      </c>
      <c r="G232" s="72"/>
      <c r="H232" s="73"/>
      <c r="I232" s="25"/>
      <c r="J232" s="2">
        <v>675</v>
      </c>
      <c r="K232" s="41">
        <f t="shared" ref="K232:K295" si="10">F232/D232</f>
        <v>1.4723885912264487</v>
      </c>
      <c r="N232" s="2" t="e">
        <f t="shared" ca="1" si="9"/>
        <v>#REF!</v>
      </c>
      <c r="O232" s="2" t="e">
        <f t="shared" ref="O232:P232" ca="1" si="11">O231+1</f>
        <v>#REF!</v>
      </c>
      <c r="P232" s="2" t="e">
        <f t="shared" ca="1" si="11"/>
        <v>#NUM!</v>
      </c>
    </row>
    <row r="233" spans="1:16" s="2" customFormat="1" x14ac:dyDescent="0.3">
      <c r="A233" s="74" t="s">
        <v>220</v>
      </c>
      <c r="B233" s="75"/>
      <c r="C233" s="75"/>
      <c r="D233" s="75"/>
      <c r="E233" s="75"/>
      <c r="F233" s="75"/>
      <c r="G233" s="75"/>
      <c r="H233" s="76"/>
      <c r="I233" s="25"/>
      <c r="K233" s="41" t="e">
        <f t="shared" si="10"/>
        <v>#DIV/0!</v>
      </c>
    </row>
    <row r="234" spans="1:16" s="2" customFormat="1" x14ac:dyDescent="0.3">
      <c r="A234" s="63">
        <v>1</v>
      </c>
      <c r="B234" s="64"/>
      <c r="C234" s="45" t="s">
        <v>193</v>
      </c>
      <c r="D234" s="45">
        <f>(34.43)*10.764</f>
        <v>370.60451999999998</v>
      </c>
      <c r="E234" s="45">
        <v>0</v>
      </c>
      <c r="F234" s="57">
        <v>600</v>
      </c>
      <c r="G234" s="68" t="str">
        <f>A233</f>
        <v>1st to 4th Floor for Residential</v>
      </c>
      <c r="H234" s="69"/>
      <c r="I234" s="25">
        <f>(2.95*2.75+0.9*1.05+2.45*0.45+1.75*2.15+1.2*2.15+1.2*2.15+3.05*3.2+1*2.75+1.3*2.15)</f>
        <v>34.387499999999996</v>
      </c>
      <c r="J234" s="2">
        <v>600</v>
      </c>
      <c r="K234" s="41">
        <f t="shared" si="10"/>
        <v>1.6189764765955905</v>
      </c>
      <c r="N234" s="2" t="str">
        <f t="shared" ref="N234:N239" ca="1" si="12">O234&amp;""&amp;" to "&amp;""&amp;P234</f>
        <v>101 to 401</v>
      </c>
      <c r="O234" s="2">
        <f ca="1">(SUMPRODUCT(MID(0&amp;(LEFT(A233,SUM(LEN(A233)-LEN(SUBSTITUTE(A233,{"0","1","2"},""))))), LARGE(INDEX(ISNUMBER(--MID((LEFT(A233,SUM(LEN(A233)-LEN(SUBSTITUTE(A233,{"0","1","2"},""))))), ROW(INDIRECT("1:"&amp;LEN((LEFT(A233,SUM(LEN(A233)-LEN(SUBSTITUTE(A233,{"0","1","2"},"")))))))), 1)) * ROW(INDIRECT("1:"&amp;LEN((LEFT(A233,SUM(LEN(A233)-LEN(SUBSTITUTE(A233,{"0","1","2"},"")))))))), 0), ROW(INDIRECT("1:"&amp;LEN((LEFT(A233,SUM(LEN(A233)-LEN(SUBSTITUTE(A233,{"0","1","2"},"")))))))))+1, 1) * 10^ROW(INDIRECT("1:"&amp;LEN((LEFT(A233,SUM(LEN(A233)-LEN(SUBSTITUTE(A233,{"0","1","2"},""))))))))/10))*100+1</f>
        <v>101</v>
      </c>
      <c r="P234" s="2">
        <f ca="1">(SUMPRODUCT(MID(0&amp;(--TRIM(RIGHT(SUBSTITUTE(LEFT(A233,_xlfn.AGGREGATE(16,6,FIND({0,1,2,3,4,5,6,7,8,9},A233,ROW(INDIRECT("1:"&amp;LEN(A233)))),1))," ",REPT(" ",LEN(A233))),LEN(A233)))), LARGE(INDEX(ISNUMBER(--MID((--TRIM(RIGHT(SUBSTITUTE(LEFT(A233,_xlfn.AGGREGATE(16,6,FIND({0,1,2,3,4,5,6,7,8,9},A233,ROW(INDIRECT("1:"&amp;LEN(A233)))),1))," ",REPT(" ",LEN(A233))),LEN(A233)))), ROW(INDIRECT("1:"&amp;LEN((--TRIM(RIGHT(SUBSTITUTE(LEFT(A233,_xlfn.AGGREGATE(16,6,FIND({0,1,2,3,4,5,6,7,8,9},A233,ROW(INDIRECT("1:"&amp;LEN(A233)))),1))," ",REPT(" ",LEN(A233))),LEN(A233))))))), 1)) * ROW(INDIRECT("1:"&amp;LEN((--TRIM(RIGHT(SUBSTITUTE(LEFT(A233,_xlfn.AGGREGATE(16,6,FIND({0,1,2,3,4,5,6,7,8,9},A233,ROW(INDIRECT("1:"&amp;LEN(A233)))),1))," ",REPT(" ",LEN(A233))),LEN(A233))))))), 0), ROW(INDIRECT("1:"&amp;LEN((--TRIM(RIGHT(SUBSTITUTE(LEFT(A233,_xlfn.AGGREGATE(16,6,FIND({0,1,2,3,4,5,6,7,8,9},A233,ROW(INDIRECT("1:"&amp;LEN(A233)))),1))," ",REPT(" ",LEN(A233))),LEN(A233))))))))+1, 1) * 10^ROW(INDIRECT("1:"&amp;LEN((--TRIM(RIGHT(SUBSTITUTE(LEFT(A233,_xlfn.AGGREGATE(16,6,FIND({0,1,2,3,4,5,6,7,8,9},A233,ROW(INDIRECT("1:"&amp;LEN(A233)))),1))," ",REPT(" ",LEN(A233))),LEN(A233)))))))/10))*100+1</f>
        <v>401</v>
      </c>
    </row>
    <row r="235" spans="1:16" s="2" customFormat="1" x14ac:dyDescent="0.3">
      <c r="A235" s="63">
        <v>2</v>
      </c>
      <c r="B235" s="64"/>
      <c r="C235" s="45" t="s">
        <v>193</v>
      </c>
      <c r="D235" s="45">
        <f>(34.43)*10.764</f>
        <v>370.60451999999998</v>
      </c>
      <c r="E235" s="45">
        <v>0</v>
      </c>
      <c r="F235" s="57">
        <v>600</v>
      </c>
      <c r="G235" s="70"/>
      <c r="H235" s="71"/>
      <c r="I235" s="25"/>
      <c r="J235" s="2">
        <v>725</v>
      </c>
      <c r="K235" s="41">
        <f t="shared" si="10"/>
        <v>1.6189764765955905</v>
      </c>
      <c r="N235" s="2" t="str">
        <f t="shared" ca="1" si="12"/>
        <v>102 to 402</v>
      </c>
      <c r="O235" s="2">
        <f t="shared" ref="O235:P235" ca="1" si="13">O234+1</f>
        <v>102</v>
      </c>
      <c r="P235" s="2">
        <f t="shared" ca="1" si="13"/>
        <v>402</v>
      </c>
    </row>
    <row r="236" spans="1:16" s="2" customFormat="1" x14ac:dyDescent="0.3">
      <c r="A236" s="63">
        <v>3</v>
      </c>
      <c r="B236" s="64"/>
      <c r="C236" s="45" t="s">
        <v>196</v>
      </c>
      <c r="D236" s="45">
        <f>(20.26)*10.764</f>
        <v>218.07864000000001</v>
      </c>
      <c r="E236" s="45">
        <v>0</v>
      </c>
      <c r="F236" s="57">
        <v>385</v>
      </c>
      <c r="G236" s="70"/>
      <c r="H236" s="71"/>
      <c r="I236" s="25"/>
      <c r="J236" s="2">
        <v>457</v>
      </c>
      <c r="K236" s="41">
        <f t="shared" si="10"/>
        <v>1.7654181995999241</v>
      </c>
      <c r="N236" s="2" t="str">
        <f t="shared" ca="1" si="12"/>
        <v>103 to 403</v>
      </c>
      <c r="O236" s="2">
        <f t="shared" ref="O236:P236" ca="1" si="14">O235+1</f>
        <v>103</v>
      </c>
      <c r="P236" s="2">
        <f t="shared" ca="1" si="14"/>
        <v>403</v>
      </c>
    </row>
    <row r="237" spans="1:16" s="2" customFormat="1" x14ac:dyDescent="0.3">
      <c r="A237" s="63">
        <v>4</v>
      </c>
      <c r="B237" s="64"/>
      <c r="C237" s="45" t="s">
        <v>196</v>
      </c>
      <c r="D237" s="45">
        <f>(20.26)*10.764</f>
        <v>218.07864000000001</v>
      </c>
      <c r="E237" s="45">
        <v>0</v>
      </c>
      <c r="F237" s="57">
        <v>385</v>
      </c>
      <c r="G237" s="70"/>
      <c r="H237" s="71"/>
      <c r="I237" s="25"/>
      <c r="J237" s="2">
        <v>457</v>
      </c>
      <c r="K237" s="41">
        <f t="shared" si="10"/>
        <v>1.7654181995999241</v>
      </c>
      <c r="N237" s="2" t="str">
        <f t="shared" ca="1" si="12"/>
        <v>104 to 404</v>
      </c>
      <c r="O237" s="2">
        <f t="shared" ref="O237:P237" ca="1" si="15">O236+1</f>
        <v>104</v>
      </c>
      <c r="P237" s="2">
        <f t="shared" ca="1" si="15"/>
        <v>404</v>
      </c>
    </row>
    <row r="238" spans="1:16" s="2" customFormat="1" x14ac:dyDescent="0.3">
      <c r="A238" s="63">
        <v>5</v>
      </c>
      <c r="B238" s="64"/>
      <c r="C238" s="45" t="s">
        <v>193</v>
      </c>
      <c r="D238" s="45">
        <f>(34.43)*10.764</f>
        <v>370.60451999999998</v>
      </c>
      <c r="E238" s="45">
        <v>0</v>
      </c>
      <c r="F238" s="57">
        <v>600</v>
      </c>
      <c r="G238" s="70"/>
      <c r="H238" s="71"/>
      <c r="I238" s="25"/>
      <c r="J238" s="2">
        <v>725</v>
      </c>
      <c r="K238" s="41">
        <f t="shared" si="10"/>
        <v>1.6189764765955905</v>
      </c>
      <c r="N238" s="2" t="str">
        <f t="shared" ca="1" si="12"/>
        <v>105 to 405</v>
      </c>
      <c r="O238" s="2">
        <f t="shared" ref="O238:P238" ca="1" si="16">O237+1</f>
        <v>105</v>
      </c>
      <c r="P238" s="2">
        <f t="shared" ca="1" si="16"/>
        <v>405</v>
      </c>
    </row>
    <row r="239" spans="1:16" s="2" customFormat="1" x14ac:dyDescent="0.3">
      <c r="A239" s="63">
        <v>6</v>
      </c>
      <c r="B239" s="64"/>
      <c r="C239" s="45" t="s">
        <v>193</v>
      </c>
      <c r="D239" s="45">
        <f>(34.43)*10.764</f>
        <v>370.60451999999998</v>
      </c>
      <c r="E239" s="45">
        <v>0</v>
      </c>
      <c r="F239" s="57">
        <v>600</v>
      </c>
      <c r="G239" s="70"/>
      <c r="H239" s="71"/>
      <c r="I239" s="25"/>
      <c r="J239" s="2">
        <v>600</v>
      </c>
      <c r="K239" s="41">
        <f t="shared" si="10"/>
        <v>1.6189764765955905</v>
      </c>
      <c r="N239" s="2" t="str">
        <f t="shared" ca="1" si="12"/>
        <v>106 to 406</v>
      </c>
      <c r="O239" s="2">
        <f ca="1">O238+1</f>
        <v>106</v>
      </c>
      <c r="P239" s="2">
        <f ca="1">P238+1</f>
        <v>406</v>
      </c>
    </row>
    <row r="240" spans="1:16" s="2" customFormat="1" x14ac:dyDescent="0.3">
      <c r="A240" s="63">
        <v>7</v>
      </c>
      <c r="B240" s="64"/>
      <c r="C240" s="45" t="s">
        <v>195</v>
      </c>
      <c r="D240" s="45">
        <f>(42.59)*10.764</f>
        <v>458.43876</v>
      </c>
      <c r="E240" s="45">
        <v>0</v>
      </c>
      <c r="F240" s="57">
        <v>730</v>
      </c>
      <c r="G240" s="70"/>
      <c r="H240" s="71"/>
      <c r="I240" s="25"/>
      <c r="J240" s="2">
        <v>730</v>
      </c>
      <c r="K240" s="41">
        <f t="shared" si="10"/>
        <v>1.5923609949560111</v>
      </c>
      <c r="N240" s="2" t="str">
        <f t="shared" ref="N240:N241" ca="1" si="17">O240&amp;""&amp;" to "&amp;""&amp;P240</f>
        <v>107 to 407</v>
      </c>
      <c r="O240" s="2">
        <f t="shared" ref="O240:P240" ca="1" si="18">O239+1</f>
        <v>107</v>
      </c>
      <c r="P240" s="2">
        <f t="shared" ca="1" si="18"/>
        <v>407</v>
      </c>
    </row>
    <row r="241" spans="1:16" s="2" customFormat="1" x14ac:dyDescent="0.3">
      <c r="A241" s="63">
        <v>8</v>
      </c>
      <c r="B241" s="64"/>
      <c r="C241" s="45" t="s">
        <v>193</v>
      </c>
      <c r="D241" s="45">
        <f>(34.43)*10.764</f>
        <v>370.60451999999998</v>
      </c>
      <c r="E241" s="45">
        <v>0</v>
      </c>
      <c r="F241" s="57">
        <v>600</v>
      </c>
      <c r="G241" s="72"/>
      <c r="H241" s="73"/>
      <c r="I241" s="25"/>
      <c r="J241" s="2">
        <v>600</v>
      </c>
      <c r="K241" s="41">
        <f t="shared" si="10"/>
        <v>1.6189764765955905</v>
      </c>
      <c r="N241" s="2" t="str">
        <f t="shared" ca="1" si="17"/>
        <v>108 to 408</v>
      </c>
      <c r="O241" s="2">
        <f ca="1">O240+1</f>
        <v>108</v>
      </c>
      <c r="P241" s="2">
        <f ca="1">P240+1</f>
        <v>408</v>
      </c>
    </row>
    <row r="242" spans="1:16" x14ac:dyDescent="0.3">
      <c r="A242" s="67" t="s">
        <v>188</v>
      </c>
      <c r="B242" s="67"/>
      <c r="C242" s="67"/>
      <c r="D242" s="67"/>
      <c r="E242" s="67"/>
      <c r="F242" s="67"/>
      <c r="G242" s="67"/>
      <c r="H242" s="67"/>
      <c r="K242" s="41" t="e">
        <f t="shared" si="10"/>
        <v>#DIV/0!</v>
      </c>
    </row>
    <row r="243" spans="1:16" x14ac:dyDescent="0.3">
      <c r="A243" s="67" t="s">
        <v>189</v>
      </c>
      <c r="B243" s="67"/>
      <c r="C243" s="67"/>
      <c r="D243" s="67"/>
      <c r="E243" s="67"/>
      <c r="F243" s="67"/>
      <c r="G243" s="67"/>
      <c r="H243" s="67"/>
      <c r="K243" s="41" t="e">
        <f t="shared" si="10"/>
        <v>#DIV/0!</v>
      </c>
    </row>
    <row r="244" spans="1:16" s="2" customFormat="1" x14ac:dyDescent="0.3">
      <c r="A244" s="74" t="s">
        <v>220</v>
      </c>
      <c r="B244" s="75"/>
      <c r="C244" s="75"/>
      <c r="D244" s="75"/>
      <c r="E244" s="75"/>
      <c r="F244" s="75"/>
      <c r="G244" s="75"/>
      <c r="H244" s="76"/>
      <c r="I244" s="25"/>
      <c r="K244" s="41" t="e">
        <f t="shared" si="10"/>
        <v>#DIV/0!</v>
      </c>
    </row>
    <row r="245" spans="1:16" s="2" customFormat="1" x14ac:dyDescent="0.3">
      <c r="A245" s="63">
        <v>1</v>
      </c>
      <c r="B245" s="64"/>
      <c r="C245" s="45" t="s">
        <v>193</v>
      </c>
      <c r="D245" s="45">
        <f>(33.69)*10.764</f>
        <v>362.63915999999995</v>
      </c>
      <c r="E245" s="45">
        <v>0</v>
      </c>
      <c r="F245" s="45">
        <v>600</v>
      </c>
      <c r="G245" s="68" t="str">
        <f>A244</f>
        <v>1st to 4th Floor for Residential</v>
      </c>
      <c r="H245" s="69"/>
      <c r="I245" s="25">
        <f>(2.95*2.75+0.9*1.05+2.45*0.45+1.75*2.15+1.2*2.15+1.2*2.15+3.05*3.2+1*2.75+1.3*2.15)</f>
        <v>34.387499999999996</v>
      </c>
      <c r="K245" s="41">
        <f t="shared" si="10"/>
        <v>1.6545372540571737</v>
      </c>
      <c r="N245" s="2" t="str">
        <f t="shared" ref="N245:N250" ca="1" si="19">O245&amp;""&amp;" to "&amp;""&amp;P245</f>
        <v>101 to 401</v>
      </c>
      <c r="O245" s="2">
        <f ca="1">(SUMPRODUCT(MID(0&amp;(LEFT(A244,SUM(LEN(A244)-LEN(SUBSTITUTE(A244,{"0","1","2"},""))))), LARGE(INDEX(ISNUMBER(--MID((LEFT(A244,SUM(LEN(A244)-LEN(SUBSTITUTE(A244,{"0","1","2"},""))))), ROW(INDIRECT("1:"&amp;LEN((LEFT(A244,SUM(LEN(A244)-LEN(SUBSTITUTE(A244,{"0","1","2"},"")))))))), 1)) * ROW(INDIRECT("1:"&amp;LEN((LEFT(A244,SUM(LEN(A244)-LEN(SUBSTITUTE(A244,{"0","1","2"},"")))))))), 0), ROW(INDIRECT("1:"&amp;LEN((LEFT(A244,SUM(LEN(A244)-LEN(SUBSTITUTE(A244,{"0","1","2"},"")))))))))+1, 1) * 10^ROW(INDIRECT("1:"&amp;LEN((LEFT(A244,SUM(LEN(A244)-LEN(SUBSTITUTE(A244,{"0","1","2"},""))))))))/10))*100+1</f>
        <v>101</v>
      </c>
      <c r="P245" s="2">
        <f ca="1">(SUMPRODUCT(MID(0&amp;(--TRIM(RIGHT(SUBSTITUTE(LEFT(A244,_xlfn.AGGREGATE(16,6,FIND({0,1,2,3,4,5,6,7,8,9},A244,ROW(INDIRECT("1:"&amp;LEN(A244)))),1))," ",REPT(" ",LEN(A244))),LEN(A244)))), LARGE(INDEX(ISNUMBER(--MID((--TRIM(RIGHT(SUBSTITUTE(LEFT(A244,_xlfn.AGGREGATE(16,6,FIND({0,1,2,3,4,5,6,7,8,9},A244,ROW(INDIRECT("1:"&amp;LEN(A244)))),1))," ",REPT(" ",LEN(A244))),LEN(A244)))), ROW(INDIRECT("1:"&amp;LEN((--TRIM(RIGHT(SUBSTITUTE(LEFT(A244,_xlfn.AGGREGATE(16,6,FIND({0,1,2,3,4,5,6,7,8,9},A244,ROW(INDIRECT("1:"&amp;LEN(A244)))),1))," ",REPT(" ",LEN(A244))),LEN(A244))))))), 1)) * ROW(INDIRECT("1:"&amp;LEN((--TRIM(RIGHT(SUBSTITUTE(LEFT(A244,_xlfn.AGGREGATE(16,6,FIND({0,1,2,3,4,5,6,7,8,9},A244,ROW(INDIRECT("1:"&amp;LEN(A244)))),1))," ",REPT(" ",LEN(A244))),LEN(A244))))))), 0), ROW(INDIRECT("1:"&amp;LEN((--TRIM(RIGHT(SUBSTITUTE(LEFT(A244,_xlfn.AGGREGATE(16,6,FIND({0,1,2,3,4,5,6,7,8,9},A244,ROW(INDIRECT("1:"&amp;LEN(A244)))),1))," ",REPT(" ",LEN(A244))),LEN(A244))))))))+1, 1) * 10^ROW(INDIRECT("1:"&amp;LEN((--TRIM(RIGHT(SUBSTITUTE(LEFT(A244,_xlfn.AGGREGATE(16,6,FIND({0,1,2,3,4,5,6,7,8,9},A244,ROW(INDIRECT("1:"&amp;LEN(A244)))),1))," ",REPT(" ",LEN(A244))),LEN(A244)))))))/10))*100+1</f>
        <v>401</v>
      </c>
    </row>
    <row r="246" spans="1:16" s="2" customFormat="1" x14ac:dyDescent="0.3">
      <c r="A246" s="63">
        <v>2</v>
      </c>
      <c r="B246" s="64"/>
      <c r="C246" s="45" t="s">
        <v>193</v>
      </c>
      <c r="D246" s="45">
        <f>(34.29)*10.764</f>
        <v>369.09755999999999</v>
      </c>
      <c r="E246" s="45">
        <v>0</v>
      </c>
      <c r="F246" s="45">
        <v>600</v>
      </c>
      <c r="G246" s="70"/>
      <c r="H246" s="71"/>
      <c r="I246" s="25">
        <f>2400000/F246</f>
        <v>4000</v>
      </c>
      <c r="K246" s="41">
        <f t="shared" si="10"/>
        <v>1.6255864709590604</v>
      </c>
      <c r="N246" s="2" t="str">
        <f t="shared" ca="1" si="19"/>
        <v>102 to 402</v>
      </c>
      <c r="O246" s="2">
        <f t="shared" ref="O246:P246" ca="1" si="20">O245+1</f>
        <v>102</v>
      </c>
      <c r="P246" s="2">
        <f t="shared" ca="1" si="20"/>
        <v>402</v>
      </c>
    </row>
    <row r="247" spans="1:16" s="2" customFormat="1" x14ac:dyDescent="0.3">
      <c r="A247" s="63">
        <v>3</v>
      </c>
      <c r="B247" s="64"/>
      <c r="C247" s="45" t="s">
        <v>193</v>
      </c>
      <c r="D247" s="45">
        <f t="shared" ref="D247:D249" si="21">(34.29)*10.764</f>
        <v>369.09755999999999</v>
      </c>
      <c r="E247" s="45">
        <v>0</v>
      </c>
      <c r="F247" s="45">
        <v>600</v>
      </c>
      <c r="G247" s="70"/>
      <c r="H247" s="71"/>
      <c r="I247" s="25"/>
      <c r="K247" s="41">
        <f t="shared" si="10"/>
        <v>1.6255864709590604</v>
      </c>
      <c r="N247" s="2" t="str">
        <f t="shared" ca="1" si="19"/>
        <v>103 to 403</v>
      </c>
      <c r="O247" s="2">
        <f t="shared" ref="O247:P247" ca="1" si="22">O246+1</f>
        <v>103</v>
      </c>
      <c r="P247" s="2">
        <f t="shared" ca="1" si="22"/>
        <v>403</v>
      </c>
    </row>
    <row r="248" spans="1:16" s="2" customFormat="1" x14ac:dyDescent="0.3">
      <c r="A248" s="63">
        <v>4</v>
      </c>
      <c r="B248" s="64"/>
      <c r="C248" s="45" t="s">
        <v>193</v>
      </c>
      <c r="D248" s="45">
        <f t="shared" si="21"/>
        <v>369.09755999999999</v>
      </c>
      <c r="E248" s="45">
        <v>0</v>
      </c>
      <c r="F248" s="45">
        <v>600</v>
      </c>
      <c r="G248" s="70"/>
      <c r="H248" s="71"/>
      <c r="I248" s="25"/>
      <c r="K248" s="41">
        <f t="shared" si="10"/>
        <v>1.6255864709590604</v>
      </c>
      <c r="N248" s="2" t="str">
        <f t="shared" ca="1" si="19"/>
        <v>104 to 404</v>
      </c>
      <c r="O248" s="2">
        <f t="shared" ref="O248:P248" ca="1" si="23">O247+1</f>
        <v>104</v>
      </c>
      <c r="P248" s="2">
        <f t="shared" ca="1" si="23"/>
        <v>404</v>
      </c>
    </row>
    <row r="249" spans="1:16" s="2" customFormat="1" x14ac:dyDescent="0.3">
      <c r="A249" s="63">
        <v>5</v>
      </c>
      <c r="B249" s="64"/>
      <c r="C249" s="45" t="s">
        <v>193</v>
      </c>
      <c r="D249" s="45">
        <f t="shared" si="21"/>
        <v>369.09755999999999</v>
      </c>
      <c r="E249" s="45">
        <v>0</v>
      </c>
      <c r="F249" s="45">
        <v>600</v>
      </c>
      <c r="G249" s="70"/>
      <c r="H249" s="71"/>
      <c r="I249" s="25"/>
      <c r="K249" s="41">
        <f t="shared" si="10"/>
        <v>1.6255864709590604</v>
      </c>
      <c r="N249" s="2" t="str">
        <f t="shared" ca="1" si="19"/>
        <v>105 to 405</v>
      </c>
      <c r="O249" s="2">
        <f t="shared" ref="O249:P249" ca="1" si="24">O248+1</f>
        <v>105</v>
      </c>
      <c r="P249" s="2">
        <f t="shared" ca="1" si="24"/>
        <v>405</v>
      </c>
    </row>
    <row r="250" spans="1:16" s="2" customFormat="1" x14ac:dyDescent="0.3">
      <c r="A250" s="63">
        <v>6</v>
      </c>
      <c r="B250" s="64"/>
      <c r="C250" s="45" t="s">
        <v>193</v>
      </c>
      <c r="D250" s="45">
        <f>(32.65)*10.764</f>
        <v>351.44459999999998</v>
      </c>
      <c r="E250" s="45">
        <v>0</v>
      </c>
      <c r="F250" s="45">
        <v>590</v>
      </c>
      <c r="G250" s="72"/>
      <c r="H250" s="73"/>
      <c r="I250" s="25"/>
      <c r="K250" s="41">
        <f t="shared" si="10"/>
        <v>1.6787852196334787</v>
      </c>
      <c r="N250" s="2" t="str">
        <f t="shared" ca="1" si="19"/>
        <v>106 to 406</v>
      </c>
      <c r="O250" s="2">
        <f ca="1">O249+1</f>
        <v>106</v>
      </c>
      <c r="P250" s="2">
        <f ca="1">P249+1</f>
        <v>406</v>
      </c>
    </row>
    <row r="251" spans="1:16" x14ac:dyDescent="0.3">
      <c r="A251" s="67" t="s">
        <v>197</v>
      </c>
      <c r="B251" s="67"/>
      <c r="C251" s="67"/>
      <c r="D251" s="67"/>
      <c r="E251" s="67"/>
      <c r="F251" s="67"/>
      <c r="G251" s="67"/>
      <c r="H251" s="67"/>
      <c r="K251" s="41" t="e">
        <f t="shared" si="10"/>
        <v>#DIV/0!</v>
      </c>
    </row>
    <row r="252" spans="1:16" x14ac:dyDescent="0.3">
      <c r="A252" s="67" t="s">
        <v>198</v>
      </c>
      <c r="B252" s="67"/>
      <c r="C252" s="67"/>
      <c r="D252" s="67"/>
      <c r="E252" s="67"/>
      <c r="F252" s="67"/>
      <c r="G252" s="67"/>
      <c r="H252" s="67"/>
      <c r="K252" s="41" t="e">
        <f t="shared" si="10"/>
        <v>#DIV/0!</v>
      </c>
    </row>
    <row r="253" spans="1:16" s="2" customFormat="1" x14ac:dyDescent="0.3">
      <c r="A253" s="74" t="s">
        <v>220</v>
      </c>
      <c r="B253" s="75"/>
      <c r="C253" s="75"/>
      <c r="D253" s="75"/>
      <c r="E253" s="75"/>
      <c r="F253" s="75"/>
      <c r="G253" s="75"/>
      <c r="H253" s="76"/>
      <c r="I253" s="25"/>
      <c r="K253" s="41" t="e">
        <f t="shared" si="10"/>
        <v>#DIV/0!</v>
      </c>
    </row>
    <row r="254" spans="1:16" s="2" customFormat="1" x14ac:dyDescent="0.3">
      <c r="A254" s="63">
        <v>1</v>
      </c>
      <c r="B254" s="64"/>
      <c r="C254" s="45" t="s">
        <v>193</v>
      </c>
      <c r="D254" s="45">
        <f>(33.69)*10.764</f>
        <v>362.63915999999995</v>
      </c>
      <c r="E254" s="45">
        <v>0</v>
      </c>
      <c r="F254" s="57">
        <v>675</v>
      </c>
      <c r="G254" s="68" t="str">
        <f>A253</f>
        <v>1st to 4th Floor for Residential</v>
      </c>
      <c r="H254" s="69"/>
      <c r="I254" s="25">
        <f>(2.95*2.75+0.9*1.05+2.45*0.45+1.75*2.15+1.2*2.15+1.2*2.15+3.05*3.2+1*2.75+1.3*2.15)</f>
        <v>34.387499999999996</v>
      </c>
      <c r="J254" s="2">
        <v>675</v>
      </c>
      <c r="K254" s="41">
        <f t="shared" si="10"/>
        <v>1.8613544108143205</v>
      </c>
      <c r="N254" s="2" t="str">
        <f t="shared" ref="N254:N259" ca="1" si="25">O254&amp;""&amp;" to "&amp;""&amp;P254</f>
        <v>101 to 401</v>
      </c>
      <c r="O254" s="2">
        <f ca="1">(SUMPRODUCT(MID(0&amp;(LEFT(A253,SUM(LEN(A253)-LEN(SUBSTITUTE(A253,{"0","1","2"},""))))), LARGE(INDEX(ISNUMBER(--MID((LEFT(A253,SUM(LEN(A253)-LEN(SUBSTITUTE(A253,{"0","1","2"},""))))), ROW(INDIRECT("1:"&amp;LEN((LEFT(A253,SUM(LEN(A253)-LEN(SUBSTITUTE(A253,{"0","1","2"},"")))))))), 1)) * ROW(INDIRECT("1:"&amp;LEN((LEFT(A253,SUM(LEN(A253)-LEN(SUBSTITUTE(A253,{"0","1","2"},"")))))))), 0), ROW(INDIRECT("1:"&amp;LEN((LEFT(A253,SUM(LEN(A253)-LEN(SUBSTITUTE(A253,{"0","1","2"},"")))))))))+1, 1) * 10^ROW(INDIRECT("1:"&amp;LEN((LEFT(A253,SUM(LEN(A253)-LEN(SUBSTITUTE(A253,{"0","1","2"},""))))))))/10))*100+1</f>
        <v>101</v>
      </c>
      <c r="P254" s="2">
        <f ca="1">(SUMPRODUCT(MID(0&amp;(--TRIM(RIGHT(SUBSTITUTE(LEFT(A253,_xlfn.AGGREGATE(16,6,FIND({0,1,2,3,4,5,6,7,8,9},A253,ROW(INDIRECT("1:"&amp;LEN(A253)))),1))," ",REPT(" ",LEN(A253))),LEN(A253)))), LARGE(INDEX(ISNUMBER(--MID((--TRIM(RIGHT(SUBSTITUTE(LEFT(A253,_xlfn.AGGREGATE(16,6,FIND({0,1,2,3,4,5,6,7,8,9},A253,ROW(INDIRECT("1:"&amp;LEN(A253)))),1))," ",REPT(" ",LEN(A253))),LEN(A253)))), ROW(INDIRECT("1:"&amp;LEN((--TRIM(RIGHT(SUBSTITUTE(LEFT(A253,_xlfn.AGGREGATE(16,6,FIND({0,1,2,3,4,5,6,7,8,9},A253,ROW(INDIRECT("1:"&amp;LEN(A253)))),1))," ",REPT(" ",LEN(A253))),LEN(A253))))))), 1)) * ROW(INDIRECT("1:"&amp;LEN((--TRIM(RIGHT(SUBSTITUTE(LEFT(A253,_xlfn.AGGREGATE(16,6,FIND({0,1,2,3,4,5,6,7,8,9},A253,ROW(INDIRECT("1:"&amp;LEN(A253)))),1))," ",REPT(" ",LEN(A253))),LEN(A253))))))), 0), ROW(INDIRECT("1:"&amp;LEN((--TRIM(RIGHT(SUBSTITUTE(LEFT(A253,_xlfn.AGGREGATE(16,6,FIND({0,1,2,3,4,5,6,7,8,9},A253,ROW(INDIRECT("1:"&amp;LEN(A253)))),1))," ",REPT(" ",LEN(A253))),LEN(A253))))))))+1, 1) * 10^ROW(INDIRECT("1:"&amp;LEN((--TRIM(RIGHT(SUBSTITUTE(LEFT(A253,_xlfn.AGGREGATE(16,6,FIND({0,1,2,3,4,5,6,7,8,9},A253,ROW(INDIRECT("1:"&amp;LEN(A253)))),1))," ",REPT(" ",LEN(A253))),LEN(A253)))))))/10))*100+1</f>
        <v>401</v>
      </c>
    </row>
    <row r="255" spans="1:16" s="2" customFormat="1" x14ac:dyDescent="0.3">
      <c r="A255" s="63">
        <v>2</v>
      </c>
      <c r="B255" s="64"/>
      <c r="C255" s="45" t="s">
        <v>193</v>
      </c>
      <c r="D255" s="45">
        <f>(34.29)*10.764</f>
        <v>369.09755999999999</v>
      </c>
      <c r="E255" s="45">
        <v>0</v>
      </c>
      <c r="F255" s="55">
        <f>1.6*D255</f>
        <v>590.55609600000003</v>
      </c>
      <c r="G255" s="70"/>
      <c r="H255" s="71"/>
      <c r="I255" s="25"/>
      <c r="J255" s="2">
        <v>725</v>
      </c>
      <c r="K255" s="41">
        <f t="shared" si="10"/>
        <v>1.6</v>
      </c>
      <c r="N255" s="2" t="str">
        <f t="shared" ca="1" si="25"/>
        <v>102 to 402</v>
      </c>
      <c r="O255" s="2">
        <f t="shared" ref="O255:P255" ca="1" si="26">O254+1</f>
        <v>102</v>
      </c>
      <c r="P255" s="2">
        <f t="shared" ca="1" si="26"/>
        <v>402</v>
      </c>
    </row>
    <row r="256" spans="1:16" s="2" customFormat="1" x14ac:dyDescent="0.3">
      <c r="A256" s="63">
        <v>3</v>
      </c>
      <c r="B256" s="64"/>
      <c r="C256" s="45" t="s">
        <v>193</v>
      </c>
      <c r="D256" s="45">
        <f>(34.29)*10.764</f>
        <v>369.09755999999999</v>
      </c>
      <c r="E256" s="45">
        <v>0</v>
      </c>
      <c r="F256" s="57">
        <v>600</v>
      </c>
      <c r="G256" s="70"/>
      <c r="H256" s="71"/>
      <c r="I256" s="25"/>
      <c r="J256" s="2">
        <v>600</v>
      </c>
      <c r="K256" s="41">
        <f t="shared" si="10"/>
        <v>1.6255864709590604</v>
      </c>
      <c r="L256" s="2">
        <f>5750/K256</f>
        <v>3537.1849499999998</v>
      </c>
      <c r="N256" s="2" t="str">
        <f t="shared" ca="1" si="25"/>
        <v>103 to 403</v>
      </c>
      <c r="O256" s="2">
        <f t="shared" ref="O256:P256" ca="1" si="27">O255+1</f>
        <v>103</v>
      </c>
      <c r="P256" s="2">
        <f t="shared" ca="1" si="27"/>
        <v>403</v>
      </c>
    </row>
    <row r="257" spans="1:16" s="2" customFormat="1" x14ac:dyDescent="0.3">
      <c r="A257" s="63">
        <v>4</v>
      </c>
      <c r="B257" s="64"/>
      <c r="C257" s="45" t="s">
        <v>195</v>
      </c>
      <c r="D257" s="45">
        <f>(40.99)*10.764</f>
        <v>441.21636000000001</v>
      </c>
      <c r="E257" s="45">
        <v>0</v>
      </c>
      <c r="F257" s="57">
        <v>705</v>
      </c>
      <c r="G257" s="70"/>
      <c r="H257" s="71"/>
      <c r="I257" s="25">
        <f>1492000/F257</f>
        <v>2116.3120567375886</v>
      </c>
      <c r="J257" s="2">
        <v>705</v>
      </c>
      <c r="K257" s="41">
        <f t="shared" si="10"/>
        <v>1.5978555282945537</v>
      </c>
      <c r="N257" s="2" t="str">
        <f t="shared" ca="1" si="25"/>
        <v>104 to 404</v>
      </c>
      <c r="O257" s="2">
        <f t="shared" ref="O257:P257" ca="1" si="28">O256+1</f>
        <v>104</v>
      </c>
      <c r="P257" s="2">
        <f t="shared" ca="1" si="28"/>
        <v>404</v>
      </c>
    </row>
    <row r="258" spans="1:16" s="2" customFormat="1" x14ac:dyDescent="0.3">
      <c r="A258" s="63">
        <v>5</v>
      </c>
      <c r="B258" s="64"/>
      <c r="C258" s="45" t="s">
        <v>195</v>
      </c>
      <c r="D258" s="45">
        <f>(40.99)*10.764</f>
        <v>441.21636000000001</v>
      </c>
      <c r="E258" s="45">
        <v>0</v>
      </c>
      <c r="F258" s="55">
        <f>1.6*D258</f>
        <v>705.94617600000004</v>
      </c>
      <c r="G258" s="70"/>
      <c r="H258" s="71"/>
      <c r="I258" s="25"/>
      <c r="J258" s="2">
        <v>855</v>
      </c>
      <c r="K258" s="41">
        <f t="shared" si="10"/>
        <v>1.6</v>
      </c>
      <c r="N258" s="2" t="str">
        <f t="shared" ca="1" si="25"/>
        <v>105 to 405</v>
      </c>
      <c r="O258" s="2">
        <f t="shared" ref="O258:P258" ca="1" si="29">O257+1</f>
        <v>105</v>
      </c>
      <c r="P258" s="2">
        <f t="shared" ca="1" si="29"/>
        <v>405</v>
      </c>
    </row>
    <row r="259" spans="1:16" s="2" customFormat="1" x14ac:dyDescent="0.3">
      <c r="A259" s="63">
        <v>6</v>
      </c>
      <c r="B259" s="64"/>
      <c r="C259" s="45" t="s">
        <v>193</v>
      </c>
      <c r="D259" s="45">
        <f>(32.65)*10.764</f>
        <v>351.44459999999998</v>
      </c>
      <c r="E259" s="45">
        <v>0</v>
      </c>
      <c r="F259" s="55">
        <f>1.6*D259</f>
        <v>562.31136000000004</v>
      </c>
      <c r="G259" s="72"/>
      <c r="H259" s="73"/>
      <c r="I259" s="25">
        <f>(2.95*2.75+2.45*0.45+0.9*1.05+1.75*2.15+1.2*2.15+3.05*3.05+2*1.2+1*2.15+1*2.75)*10.764</f>
        <v>356.34221999999988</v>
      </c>
      <c r="J259" s="2">
        <v>771</v>
      </c>
      <c r="K259" s="41">
        <f t="shared" si="10"/>
        <v>1.6</v>
      </c>
      <c r="N259" s="2" t="str">
        <f t="shared" ca="1" si="25"/>
        <v>106 to 406</v>
      </c>
      <c r="O259" s="2">
        <f ca="1">O258+1</f>
        <v>106</v>
      </c>
      <c r="P259" s="2">
        <f ca="1">P258+1</f>
        <v>406</v>
      </c>
    </row>
    <row r="260" spans="1:16" x14ac:dyDescent="0.3">
      <c r="A260" s="67" t="s">
        <v>197</v>
      </c>
      <c r="B260" s="67"/>
      <c r="C260" s="67"/>
      <c r="D260" s="67"/>
      <c r="E260" s="67"/>
      <c r="F260" s="67"/>
      <c r="G260" s="67"/>
      <c r="H260" s="67"/>
      <c r="K260" s="41" t="e">
        <f t="shared" si="10"/>
        <v>#DIV/0!</v>
      </c>
    </row>
    <row r="261" spans="1:16" x14ac:dyDescent="0.3">
      <c r="A261" s="67" t="s">
        <v>199</v>
      </c>
      <c r="B261" s="67"/>
      <c r="C261" s="67"/>
      <c r="D261" s="67"/>
      <c r="E261" s="67"/>
      <c r="F261" s="67"/>
      <c r="G261" s="67"/>
      <c r="H261" s="67"/>
      <c r="K261" s="41" t="e">
        <f t="shared" si="10"/>
        <v>#DIV/0!</v>
      </c>
    </row>
    <row r="262" spans="1:16" s="2" customFormat="1" x14ac:dyDescent="0.3">
      <c r="A262" s="74" t="s">
        <v>220</v>
      </c>
      <c r="B262" s="75"/>
      <c r="C262" s="75"/>
      <c r="D262" s="75"/>
      <c r="E262" s="75"/>
      <c r="F262" s="75"/>
      <c r="G262" s="75"/>
      <c r="H262" s="76"/>
      <c r="I262" s="25"/>
      <c r="K262" s="41" t="e">
        <f t="shared" si="10"/>
        <v>#DIV/0!</v>
      </c>
    </row>
    <row r="263" spans="1:16" s="2" customFormat="1" x14ac:dyDescent="0.3">
      <c r="A263" s="63">
        <v>1</v>
      </c>
      <c r="B263" s="64"/>
      <c r="C263" s="45" t="s">
        <v>193</v>
      </c>
      <c r="D263" s="45">
        <f>(32.65)*10.764</f>
        <v>351.44459999999998</v>
      </c>
      <c r="E263" s="45">
        <v>0</v>
      </c>
      <c r="F263" s="45">
        <f>1.6*D263</f>
        <v>562.31136000000004</v>
      </c>
      <c r="G263" s="68" t="str">
        <f>A262</f>
        <v>1st to 4th Floor for Residential</v>
      </c>
      <c r="H263" s="69"/>
      <c r="I263" s="25">
        <f>(2.95*2.75+0.9*1.05+2.45*0.45+1.75*2.15+1.2*2.15+1.2*2.15+3.05*3.2+1*2.75+1.3*2.15)</f>
        <v>34.387499999999996</v>
      </c>
      <c r="J263" s="2">
        <f>1192000/F263</f>
        <v>2119.8220146219346</v>
      </c>
      <c r="K263" s="41">
        <f t="shared" si="10"/>
        <v>1.6</v>
      </c>
      <c r="N263" s="2" t="str">
        <f t="shared" ref="N263:N268" ca="1" si="30">O263&amp;""&amp;" to "&amp;""&amp;P263</f>
        <v>101 to 401</v>
      </c>
      <c r="O263" s="2">
        <f ca="1">(SUMPRODUCT(MID(0&amp;(LEFT(A262,SUM(LEN(A262)-LEN(SUBSTITUTE(A262,{"0","1","2"},""))))), LARGE(INDEX(ISNUMBER(--MID((LEFT(A262,SUM(LEN(A262)-LEN(SUBSTITUTE(A262,{"0","1","2"},""))))), ROW(INDIRECT("1:"&amp;LEN((LEFT(A262,SUM(LEN(A262)-LEN(SUBSTITUTE(A262,{"0","1","2"},"")))))))), 1)) * ROW(INDIRECT("1:"&amp;LEN((LEFT(A262,SUM(LEN(A262)-LEN(SUBSTITUTE(A262,{"0","1","2"},"")))))))), 0), ROW(INDIRECT("1:"&amp;LEN((LEFT(A262,SUM(LEN(A262)-LEN(SUBSTITUTE(A262,{"0","1","2"},"")))))))))+1, 1) * 10^ROW(INDIRECT("1:"&amp;LEN((LEFT(A262,SUM(LEN(A262)-LEN(SUBSTITUTE(A262,{"0","1","2"},""))))))))/10))*100+1</f>
        <v>101</v>
      </c>
      <c r="P263" s="2">
        <f ca="1">(SUMPRODUCT(MID(0&amp;(--TRIM(RIGHT(SUBSTITUTE(LEFT(A262,_xlfn.AGGREGATE(16,6,FIND({0,1,2,3,4,5,6,7,8,9},A262,ROW(INDIRECT("1:"&amp;LEN(A262)))),1))," ",REPT(" ",LEN(A262))),LEN(A262)))), LARGE(INDEX(ISNUMBER(--MID((--TRIM(RIGHT(SUBSTITUTE(LEFT(A262,_xlfn.AGGREGATE(16,6,FIND({0,1,2,3,4,5,6,7,8,9},A262,ROW(INDIRECT("1:"&amp;LEN(A262)))),1))," ",REPT(" ",LEN(A262))),LEN(A262)))), ROW(INDIRECT("1:"&amp;LEN((--TRIM(RIGHT(SUBSTITUTE(LEFT(A262,_xlfn.AGGREGATE(16,6,FIND({0,1,2,3,4,5,6,7,8,9},A262,ROW(INDIRECT("1:"&amp;LEN(A262)))),1))," ",REPT(" ",LEN(A262))),LEN(A262))))))), 1)) * ROW(INDIRECT("1:"&amp;LEN((--TRIM(RIGHT(SUBSTITUTE(LEFT(A262,_xlfn.AGGREGATE(16,6,FIND({0,1,2,3,4,5,6,7,8,9},A262,ROW(INDIRECT("1:"&amp;LEN(A262)))),1))," ",REPT(" ",LEN(A262))),LEN(A262))))))), 0), ROW(INDIRECT("1:"&amp;LEN((--TRIM(RIGHT(SUBSTITUTE(LEFT(A262,_xlfn.AGGREGATE(16,6,FIND({0,1,2,3,4,5,6,7,8,9},A262,ROW(INDIRECT("1:"&amp;LEN(A262)))),1))," ",REPT(" ",LEN(A262))),LEN(A262))))))))+1, 1) * 10^ROW(INDIRECT("1:"&amp;LEN((--TRIM(RIGHT(SUBSTITUTE(LEFT(A262,_xlfn.AGGREGATE(16,6,FIND({0,1,2,3,4,5,6,7,8,9},A262,ROW(INDIRECT("1:"&amp;LEN(A262)))),1))," ",REPT(" ",LEN(A262))),LEN(A262)))))))/10))*100+1</f>
        <v>401</v>
      </c>
    </row>
    <row r="264" spans="1:16" s="2" customFormat="1" x14ac:dyDescent="0.3">
      <c r="A264" s="63">
        <v>2</v>
      </c>
      <c r="B264" s="64"/>
      <c r="C264" s="45" t="s">
        <v>195</v>
      </c>
      <c r="D264" s="45">
        <f>(40.99)*10.764</f>
        <v>441.21636000000001</v>
      </c>
      <c r="E264" s="45">
        <v>0</v>
      </c>
      <c r="F264" s="45">
        <f>1.6*D264</f>
        <v>705.94617600000004</v>
      </c>
      <c r="G264" s="70"/>
      <c r="H264" s="71"/>
      <c r="I264" s="25"/>
      <c r="K264" s="41">
        <f t="shared" si="10"/>
        <v>1.6</v>
      </c>
      <c r="N264" s="2" t="str">
        <f t="shared" ca="1" si="30"/>
        <v>102 to 402</v>
      </c>
      <c r="O264" s="2">
        <f t="shared" ref="O264:P264" ca="1" si="31">O263+1</f>
        <v>102</v>
      </c>
      <c r="P264" s="2">
        <f t="shared" ca="1" si="31"/>
        <v>402</v>
      </c>
    </row>
    <row r="265" spans="1:16" s="2" customFormat="1" x14ac:dyDescent="0.3">
      <c r="A265" s="63">
        <v>3</v>
      </c>
      <c r="B265" s="64"/>
      <c r="C265" s="45" t="s">
        <v>195</v>
      </c>
      <c r="D265" s="45">
        <f>(40.99)*10.764</f>
        <v>441.21636000000001</v>
      </c>
      <c r="E265" s="45">
        <v>0</v>
      </c>
      <c r="F265" s="45">
        <v>705</v>
      </c>
      <c r="G265" s="70"/>
      <c r="H265" s="71"/>
      <c r="I265" s="25"/>
      <c r="K265" s="41">
        <f t="shared" si="10"/>
        <v>1.5978555282945537</v>
      </c>
      <c r="N265" s="2" t="str">
        <f t="shared" ca="1" si="30"/>
        <v>103 to 403</v>
      </c>
      <c r="O265" s="2">
        <f t="shared" ref="O265:P265" ca="1" si="32">O264+1</f>
        <v>103</v>
      </c>
      <c r="P265" s="2">
        <f t="shared" ca="1" si="32"/>
        <v>403</v>
      </c>
    </row>
    <row r="266" spans="1:16" s="2" customFormat="1" x14ac:dyDescent="0.3">
      <c r="A266" s="63">
        <v>4</v>
      </c>
      <c r="B266" s="64"/>
      <c r="C266" s="45" t="s">
        <v>193</v>
      </c>
      <c r="D266" s="45">
        <f>(34.29)*10.764</f>
        <v>369.09755999999999</v>
      </c>
      <c r="E266" s="45">
        <v>0</v>
      </c>
      <c r="F266" s="45">
        <v>600</v>
      </c>
      <c r="G266" s="70"/>
      <c r="H266" s="71"/>
      <c r="I266" s="25"/>
      <c r="K266" s="41">
        <f t="shared" si="10"/>
        <v>1.6255864709590604</v>
      </c>
      <c r="N266" s="2" t="str">
        <f t="shared" ca="1" si="30"/>
        <v>104 to 404</v>
      </c>
      <c r="O266" s="2">
        <f t="shared" ref="O266:P266" ca="1" si="33">O265+1</f>
        <v>104</v>
      </c>
      <c r="P266" s="2">
        <f t="shared" ca="1" si="33"/>
        <v>404</v>
      </c>
    </row>
    <row r="267" spans="1:16" s="2" customFormat="1" x14ac:dyDescent="0.3">
      <c r="A267" s="63">
        <v>5</v>
      </c>
      <c r="B267" s="64"/>
      <c r="C267" s="45" t="s">
        <v>193</v>
      </c>
      <c r="D267" s="45">
        <f>(34.29)*10.764</f>
        <v>369.09755999999999</v>
      </c>
      <c r="E267" s="45">
        <v>0</v>
      </c>
      <c r="F267" s="45">
        <f>1.6*D267</f>
        <v>590.55609600000003</v>
      </c>
      <c r="G267" s="70"/>
      <c r="H267" s="71"/>
      <c r="I267" s="25"/>
      <c r="K267" s="41">
        <f t="shared" si="10"/>
        <v>1.6</v>
      </c>
      <c r="N267" s="2" t="str">
        <f t="shared" ca="1" si="30"/>
        <v>105 to 405</v>
      </c>
      <c r="O267" s="2">
        <f t="shared" ref="O267:P267" ca="1" si="34">O266+1</f>
        <v>105</v>
      </c>
      <c r="P267" s="2">
        <f t="shared" ca="1" si="34"/>
        <v>405</v>
      </c>
    </row>
    <row r="268" spans="1:16" s="2" customFormat="1" x14ac:dyDescent="0.3">
      <c r="A268" s="63">
        <v>6</v>
      </c>
      <c r="B268" s="64"/>
      <c r="C268" s="45" t="s">
        <v>193</v>
      </c>
      <c r="D268" s="45">
        <f>(33.69)*10.764</f>
        <v>362.63915999999995</v>
      </c>
      <c r="E268" s="45">
        <v>0</v>
      </c>
      <c r="F268" s="45">
        <v>675</v>
      </c>
      <c r="G268" s="72"/>
      <c r="H268" s="73"/>
      <c r="I268" s="25"/>
      <c r="K268" s="41">
        <f t="shared" si="10"/>
        <v>1.8613544108143205</v>
      </c>
      <c r="N268" s="2" t="str">
        <f t="shared" ca="1" si="30"/>
        <v>106 to 406</v>
      </c>
      <c r="O268" s="2">
        <f ca="1">O267+1</f>
        <v>106</v>
      </c>
      <c r="P268" s="2">
        <f ca="1">P267+1</f>
        <v>406</v>
      </c>
    </row>
    <row r="269" spans="1:16" x14ac:dyDescent="0.3">
      <c r="A269" s="67" t="s">
        <v>197</v>
      </c>
      <c r="B269" s="67"/>
      <c r="C269" s="67"/>
      <c r="D269" s="67"/>
      <c r="E269" s="67"/>
      <c r="F269" s="67"/>
      <c r="G269" s="67"/>
      <c r="H269" s="67"/>
      <c r="K269" s="41" t="e">
        <f t="shared" si="10"/>
        <v>#DIV/0!</v>
      </c>
    </row>
    <row r="270" spans="1:16" x14ac:dyDescent="0.3">
      <c r="A270" s="67" t="s">
        <v>200</v>
      </c>
      <c r="B270" s="67"/>
      <c r="C270" s="67"/>
      <c r="D270" s="67"/>
      <c r="E270" s="67"/>
      <c r="F270" s="67"/>
      <c r="G270" s="67"/>
      <c r="H270" s="67"/>
      <c r="K270" s="41" t="e">
        <f t="shared" si="10"/>
        <v>#DIV/0!</v>
      </c>
    </row>
    <row r="271" spans="1:16" s="2" customFormat="1" x14ac:dyDescent="0.3">
      <c r="A271" s="74" t="s">
        <v>220</v>
      </c>
      <c r="B271" s="75"/>
      <c r="C271" s="75"/>
      <c r="D271" s="75"/>
      <c r="E271" s="75"/>
      <c r="F271" s="75"/>
      <c r="G271" s="75"/>
      <c r="H271" s="76"/>
      <c r="I271" s="25"/>
      <c r="K271" s="41" t="e">
        <f t="shared" si="10"/>
        <v>#DIV/0!</v>
      </c>
    </row>
    <row r="272" spans="1:16" s="2" customFormat="1" x14ac:dyDescent="0.3">
      <c r="A272" s="63">
        <v>1</v>
      </c>
      <c r="B272" s="64"/>
      <c r="C272" s="45" t="s">
        <v>193</v>
      </c>
      <c r="D272" s="45">
        <f>(33.47)*10.764</f>
        <v>360.27107999999998</v>
      </c>
      <c r="E272" s="45">
        <v>0</v>
      </c>
      <c r="F272" s="45">
        <v>580</v>
      </c>
      <c r="G272" s="68" t="str">
        <f>A271</f>
        <v>1st to 4th Floor for Residential</v>
      </c>
      <c r="H272" s="69"/>
      <c r="I272" s="25">
        <f>(2.95*2.75+0.9*1.05+2.45*0.45+1.75*2.15+1.2*2.15+1.2*2.15+3.05*3.2+1*2.75+1.3*2.15)</f>
        <v>34.387499999999996</v>
      </c>
      <c r="K272" s="41">
        <f t="shared" si="10"/>
        <v>1.6098988572715858</v>
      </c>
      <c r="N272" s="2" t="str">
        <f t="shared" ref="N272:N277" ca="1" si="35">O272&amp;""&amp;" to "&amp;""&amp;P272</f>
        <v>101 to 401</v>
      </c>
      <c r="O272" s="2">
        <f ca="1">(SUMPRODUCT(MID(0&amp;(LEFT(A271,SUM(LEN(A271)-LEN(SUBSTITUTE(A271,{"0","1","2"},""))))), LARGE(INDEX(ISNUMBER(--MID((LEFT(A271,SUM(LEN(A271)-LEN(SUBSTITUTE(A271,{"0","1","2"},""))))), ROW(INDIRECT("1:"&amp;LEN((LEFT(A271,SUM(LEN(A271)-LEN(SUBSTITUTE(A271,{"0","1","2"},"")))))))), 1)) * ROW(INDIRECT("1:"&amp;LEN((LEFT(A271,SUM(LEN(A271)-LEN(SUBSTITUTE(A271,{"0","1","2"},"")))))))), 0), ROW(INDIRECT("1:"&amp;LEN((LEFT(A271,SUM(LEN(A271)-LEN(SUBSTITUTE(A271,{"0","1","2"},"")))))))))+1, 1) * 10^ROW(INDIRECT("1:"&amp;LEN((LEFT(A271,SUM(LEN(A271)-LEN(SUBSTITUTE(A271,{"0","1","2"},""))))))))/10))*100+1</f>
        <v>101</v>
      </c>
      <c r="P272" s="2">
        <f ca="1">(SUMPRODUCT(MID(0&amp;(--TRIM(RIGHT(SUBSTITUTE(LEFT(A271,_xlfn.AGGREGATE(16,6,FIND({0,1,2,3,4,5,6,7,8,9},A271,ROW(INDIRECT("1:"&amp;LEN(A271)))),1))," ",REPT(" ",LEN(A271))),LEN(A271)))), LARGE(INDEX(ISNUMBER(--MID((--TRIM(RIGHT(SUBSTITUTE(LEFT(A271,_xlfn.AGGREGATE(16,6,FIND({0,1,2,3,4,5,6,7,8,9},A271,ROW(INDIRECT("1:"&amp;LEN(A271)))),1))," ",REPT(" ",LEN(A271))),LEN(A271)))), ROW(INDIRECT("1:"&amp;LEN((--TRIM(RIGHT(SUBSTITUTE(LEFT(A271,_xlfn.AGGREGATE(16,6,FIND({0,1,2,3,4,5,6,7,8,9},A271,ROW(INDIRECT("1:"&amp;LEN(A271)))),1))," ",REPT(" ",LEN(A271))),LEN(A271))))))), 1)) * ROW(INDIRECT("1:"&amp;LEN((--TRIM(RIGHT(SUBSTITUTE(LEFT(A271,_xlfn.AGGREGATE(16,6,FIND({0,1,2,3,4,5,6,7,8,9},A271,ROW(INDIRECT("1:"&amp;LEN(A271)))),1))," ",REPT(" ",LEN(A271))),LEN(A271))))))), 0), ROW(INDIRECT("1:"&amp;LEN((--TRIM(RIGHT(SUBSTITUTE(LEFT(A271,_xlfn.AGGREGATE(16,6,FIND({0,1,2,3,4,5,6,7,8,9},A271,ROW(INDIRECT("1:"&amp;LEN(A271)))),1))," ",REPT(" ",LEN(A271))),LEN(A271))))))))+1, 1) * 10^ROW(INDIRECT("1:"&amp;LEN((--TRIM(RIGHT(SUBSTITUTE(LEFT(A271,_xlfn.AGGREGATE(16,6,FIND({0,1,2,3,4,5,6,7,8,9},A271,ROW(INDIRECT("1:"&amp;LEN(A271)))),1))," ",REPT(" ",LEN(A271))),LEN(A271)))))))/10))*100+1</f>
        <v>401</v>
      </c>
    </row>
    <row r="273" spans="1:16" s="2" customFormat="1" x14ac:dyDescent="0.3">
      <c r="A273" s="63">
        <v>2</v>
      </c>
      <c r="B273" s="64"/>
      <c r="C273" s="45" t="s">
        <v>193</v>
      </c>
      <c r="D273" s="45">
        <f>(32.29)*10.764</f>
        <v>347.56955999999997</v>
      </c>
      <c r="E273" s="45">
        <v>0</v>
      </c>
      <c r="F273" s="45">
        <v>580</v>
      </c>
      <c r="G273" s="70"/>
      <c r="H273" s="71"/>
      <c r="I273" s="25"/>
      <c r="K273" s="41">
        <f t="shared" si="10"/>
        <v>1.6687307139324861</v>
      </c>
      <c r="N273" s="2" t="str">
        <f t="shared" ca="1" si="35"/>
        <v>102 to 402</v>
      </c>
      <c r="O273" s="2">
        <f t="shared" ref="O273:P273" ca="1" si="36">O272+1</f>
        <v>102</v>
      </c>
      <c r="P273" s="2">
        <f t="shared" ca="1" si="36"/>
        <v>402</v>
      </c>
    </row>
    <row r="274" spans="1:16" s="2" customFormat="1" x14ac:dyDescent="0.3">
      <c r="A274" s="63">
        <v>3</v>
      </c>
      <c r="B274" s="64"/>
      <c r="C274" s="45" t="s">
        <v>193</v>
      </c>
      <c r="D274" s="45">
        <f>(32.29)*10.764</f>
        <v>347.56955999999997</v>
      </c>
      <c r="E274" s="45">
        <v>0</v>
      </c>
      <c r="F274" s="45">
        <f>1.6*D274</f>
        <v>556.11129599999992</v>
      </c>
      <c r="G274" s="70"/>
      <c r="H274" s="71"/>
      <c r="I274" s="25">
        <f>(2.75*3.3+2*0.3+1.1*2.75+2.15*2.05+1*2.15+2.75*3.05+1.4*0.45+1.85*1.2+1.2*1.85)*10.764</f>
        <v>352.14425999999992</v>
      </c>
      <c r="K274" s="41">
        <f t="shared" si="10"/>
        <v>1.5999999999999999</v>
      </c>
      <c r="N274" s="2" t="str">
        <f t="shared" ca="1" si="35"/>
        <v>103 to 403</v>
      </c>
      <c r="O274" s="2">
        <f t="shared" ref="O274:P274" ca="1" si="37">O273+1</f>
        <v>103</v>
      </c>
      <c r="P274" s="2">
        <f t="shared" ca="1" si="37"/>
        <v>403</v>
      </c>
    </row>
    <row r="275" spans="1:16" s="2" customFormat="1" x14ac:dyDescent="0.3">
      <c r="A275" s="63">
        <v>4</v>
      </c>
      <c r="B275" s="64"/>
      <c r="C275" s="45" t="s">
        <v>193</v>
      </c>
      <c r="D275" s="45">
        <f>(33.39)*10.764</f>
        <v>359.40996000000001</v>
      </c>
      <c r="E275" s="45">
        <v>0</v>
      </c>
      <c r="F275" s="45">
        <f>1.6*D275</f>
        <v>575.05593600000009</v>
      </c>
      <c r="G275" s="70"/>
      <c r="H275" s="71"/>
      <c r="I275" s="25"/>
      <c r="K275" s="41">
        <f t="shared" si="10"/>
        <v>1.6</v>
      </c>
      <c r="N275" s="2" t="str">
        <f t="shared" ca="1" si="35"/>
        <v>104 to 404</v>
      </c>
      <c r="O275" s="2">
        <f t="shared" ref="O275:P275" ca="1" si="38">O274+1</f>
        <v>104</v>
      </c>
      <c r="P275" s="2">
        <f t="shared" ca="1" si="38"/>
        <v>404</v>
      </c>
    </row>
    <row r="276" spans="1:16" s="2" customFormat="1" x14ac:dyDescent="0.3">
      <c r="A276" s="63">
        <v>5</v>
      </c>
      <c r="B276" s="64"/>
      <c r="C276" s="45" t="s">
        <v>193</v>
      </c>
      <c r="D276" s="45">
        <f>(32.29)*10.764</f>
        <v>347.56955999999997</v>
      </c>
      <c r="E276" s="45">
        <v>0</v>
      </c>
      <c r="F276" s="45">
        <f>1.6*D276</f>
        <v>556.11129599999992</v>
      </c>
      <c r="G276" s="70"/>
      <c r="H276" s="71"/>
      <c r="I276" s="25"/>
      <c r="K276" s="41">
        <f>F276/D276</f>
        <v>1.5999999999999999</v>
      </c>
      <c r="N276" s="2" t="str">
        <f t="shared" ca="1" si="35"/>
        <v>105 to 405</v>
      </c>
      <c r="O276" s="2">
        <f t="shared" ref="O276:P276" ca="1" si="39">O275+1</f>
        <v>105</v>
      </c>
      <c r="P276" s="2">
        <f t="shared" ca="1" si="39"/>
        <v>405</v>
      </c>
    </row>
    <row r="277" spans="1:16" s="2" customFormat="1" x14ac:dyDescent="0.3">
      <c r="A277" s="63">
        <v>6</v>
      </c>
      <c r="B277" s="64"/>
      <c r="C277" s="45" t="s">
        <v>193</v>
      </c>
      <c r="D277" s="45">
        <f>(32.29)*10.764</f>
        <v>347.56955999999997</v>
      </c>
      <c r="E277" s="45">
        <v>0</v>
      </c>
      <c r="F277" s="45">
        <v>580</v>
      </c>
      <c r="G277" s="72"/>
      <c r="H277" s="73"/>
      <c r="I277" s="25">
        <f>1192000/F277</f>
        <v>2055.1724137931033</v>
      </c>
      <c r="K277" s="41">
        <f t="shared" si="10"/>
        <v>1.6687307139324861</v>
      </c>
      <c r="N277" s="2" t="str">
        <f t="shared" ca="1" si="35"/>
        <v>106 to 406</v>
      </c>
      <c r="O277" s="2">
        <f ca="1">O276+1</f>
        <v>106</v>
      </c>
      <c r="P277" s="2">
        <f ca="1">P276+1</f>
        <v>406</v>
      </c>
    </row>
    <row r="278" spans="1:16" s="2" customFormat="1" hidden="1" x14ac:dyDescent="0.3">
      <c r="A278" s="133" t="s">
        <v>123</v>
      </c>
      <c r="B278" s="133"/>
      <c r="C278" s="133"/>
      <c r="D278" s="133"/>
      <c r="E278" s="133"/>
      <c r="F278" s="133"/>
      <c r="G278" s="133"/>
      <c r="H278" s="133"/>
      <c r="I278" s="25"/>
      <c r="K278" s="41" t="e">
        <f t="shared" si="10"/>
        <v>#DIV/0!</v>
      </c>
      <c r="L278" s="62"/>
      <c r="M278" s="62"/>
    </row>
    <row r="279" spans="1:16" s="2" customFormat="1" hidden="1" x14ac:dyDescent="0.3">
      <c r="A279" s="65">
        <f>LEFT(A278,SUM(LEN(A278)-LEN(SUBSTITUTE(A278,{"0","1","2","3","4","5","6","7","8","9"},""))))*100+1</f>
        <v>201</v>
      </c>
      <c r="B279" s="65"/>
      <c r="C279" s="45"/>
      <c r="D279" s="45"/>
      <c r="E279" s="45">
        <v>0</v>
      </c>
      <c r="F279" s="45" t="e">
        <f>D279*((#REF!)+1)+(IF(E279&lt;101,E279,IF(E279&lt;201,E279/2,IF(E279&lt;=301,E279/3,E279/4))))</f>
        <v>#REF!</v>
      </c>
      <c r="G279" s="65" t="str">
        <f>A278</f>
        <v>2nd Floor</v>
      </c>
      <c r="H279" s="65"/>
      <c r="I279" s="25"/>
      <c r="K279" s="41" t="e">
        <f t="shared" si="10"/>
        <v>#REF!</v>
      </c>
      <c r="N279" s="25"/>
    </row>
    <row r="280" spans="1:16" s="2" customFormat="1" hidden="1" x14ac:dyDescent="0.3">
      <c r="A280" s="65">
        <f>A279+1</f>
        <v>202</v>
      </c>
      <c r="B280" s="65"/>
      <c r="C280" s="45"/>
      <c r="D280" s="45"/>
      <c r="E280" s="45">
        <v>0</v>
      </c>
      <c r="F280" s="45" t="e">
        <f>D280*((#REF!)+1)+(IF(E280&lt;101,E280,IF(E280&lt;201,E280/2,IF(E280&lt;=301,E280/3,E280/4))))</f>
        <v>#REF!</v>
      </c>
      <c r="G280" s="65" t="str">
        <f>G279</f>
        <v>2nd Floor</v>
      </c>
      <c r="H280" s="65"/>
      <c r="I280" s="25"/>
      <c r="K280" s="41" t="e">
        <f t="shared" si="10"/>
        <v>#REF!</v>
      </c>
      <c r="N280" s="25"/>
    </row>
    <row r="281" spans="1:16" s="2" customFormat="1" hidden="1" x14ac:dyDescent="0.3">
      <c r="A281" s="65">
        <f>A280+1</f>
        <v>203</v>
      </c>
      <c r="B281" s="65"/>
      <c r="C281" s="45"/>
      <c r="D281" s="45"/>
      <c r="E281" s="45">
        <v>0</v>
      </c>
      <c r="F281" s="45" t="e">
        <f>D281*((#REF!)+1)+(IF(E281&lt;101,E281,IF(E281&lt;201,E281/2,IF(E281&lt;=301,E281/3,E281/4))))</f>
        <v>#REF!</v>
      </c>
      <c r="G281" s="65" t="str">
        <f>G280</f>
        <v>2nd Floor</v>
      </c>
      <c r="H281" s="65"/>
      <c r="I281" s="25"/>
      <c r="K281" s="41" t="e">
        <f t="shared" si="10"/>
        <v>#REF!</v>
      </c>
      <c r="N281" s="25"/>
    </row>
    <row r="282" spans="1:16" s="2" customFormat="1" hidden="1" x14ac:dyDescent="0.3">
      <c r="A282" s="65">
        <f>A281+1</f>
        <v>204</v>
      </c>
      <c r="B282" s="65"/>
      <c r="C282" s="45"/>
      <c r="D282" s="45"/>
      <c r="E282" s="45">
        <v>0</v>
      </c>
      <c r="F282" s="45" t="e">
        <f>D282*((#REF!)+1)+(IF(E282&lt;101,E282,IF(E282&lt;201,E282/2,IF(E282&lt;=301,E282/3,E282/4))))</f>
        <v>#REF!</v>
      </c>
      <c r="G282" s="65" t="str">
        <f>G281</f>
        <v>2nd Floor</v>
      </c>
      <c r="H282" s="65"/>
      <c r="I282" s="25"/>
      <c r="K282" s="41" t="e">
        <f t="shared" si="10"/>
        <v>#REF!</v>
      </c>
      <c r="N282" s="25"/>
    </row>
    <row r="283" spans="1:16" s="2" customFormat="1" hidden="1" x14ac:dyDescent="0.3">
      <c r="A283" s="65">
        <f>A282+1</f>
        <v>205</v>
      </c>
      <c r="B283" s="65"/>
      <c r="C283" s="45"/>
      <c r="D283" s="45"/>
      <c r="E283" s="45">
        <v>0</v>
      </c>
      <c r="F283" s="45" t="e">
        <f>D283*((#REF!)+1)+(IF(E283&lt;101,E283,IF(E283&lt;201,E283/2,IF(E283&lt;=301,E283/3,E283/4))))</f>
        <v>#REF!</v>
      </c>
      <c r="G283" s="65" t="str">
        <f>G282</f>
        <v>2nd Floor</v>
      </c>
      <c r="H283" s="65"/>
      <c r="I283" s="25"/>
      <c r="K283" s="41" t="e">
        <f t="shared" si="10"/>
        <v>#REF!</v>
      </c>
      <c r="N283" s="25"/>
    </row>
    <row r="284" spans="1:16" s="2" customFormat="1" hidden="1" x14ac:dyDescent="0.3">
      <c r="A284" s="65">
        <f>A283+1</f>
        <v>206</v>
      </c>
      <c r="B284" s="65"/>
      <c r="C284" s="45"/>
      <c r="D284" s="45"/>
      <c r="E284" s="45">
        <v>0</v>
      </c>
      <c r="F284" s="45" t="e">
        <f>D284*((#REF!)+1)+(IF(E284&lt;101,E284,IF(E284&lt;201,E284/2,IF(E284&lt;=301,E284/3,E284/4))))</f>
        <v>#REF!</v>
      </c>
      <c r="G284" s="65" t="str">
        <f>G283</f>
        <v>2nd Floor</v>
      </c>
      <c r="H284" s="65"/>
      <c r="I284" s="25"/>
      <c r="K284" s="41" t="e">
        <f t="shared" si="10"/>
        <v>#REF!</v>
      </c>
      <c r="N284" s="25"/>
    </row>
    <row r="285" spans="1:16" s="2" customFormat="1" ht="15.75" hidden="1" customHeight="1" x14ac:dyDescent="0.3">
      <c r="A285" s="74" t="s">
        <v>158</v>
      </c>
      <c r="B285" s="75"/>
      <c r="C285" s="75"/>
      <c r="D285" s="75"/>
      <c r="E285" s="75"/>
      <c r="F285" s="75"/>
      <c r="G285" s="75"/>
      <c r="H285" s="76"/>
      <c r="I285" s="25"/>
      <c r="K285" s="41" t="e">
        <f t="shared" si="10"/>
        <v>#DIV/0!</v>
      </c>
    </row>
    <row r="286" spans="1:16" s="2" customFormat="1" hidden="1" x14ac:dyDescent="0.3">
      <c r="A286" s="63" t="str">
        <f t="shared" ref="A286:A291" ca="1" si="40">N286</f>
        <v>301,..,1501</v>
      </c>
      <c r="B286" s="64"/>
      <c r="C286" s="45"/>
      <c r="D286" s="45"/>
      <c r="E286" s="45">
        <v>0</v>
      </c>
      <c r="F286" s="45" t="e">
        <f>D286*((#REF!)+1)+(IF(E286&lt;101,E286,IF(E286&lt;201,E286/2,IF(E286&lt;=301,E286/3,E286/4))))</f>
        <v>#REF!</v>
      </c>
      <c r="G286" s="63" t="str">
        <f>A285</f>
        <v>3rd, 5th, 7th, 9th, 11th, 13th, 15th Floor</v>
      </c>
      <c r="H286" s="64"/>
      <c r="I286" s="25"/>
      <c r="K286" s="41" t="e">
        <f t="shared" si="10"/>
        <v>#REF!</v>
      </c>
      <c r="N286" s="2" t="str">
        <f t="shared" ref="N286:N291" ca="1" si="41">O286&amp;""&amp;",..,"&amp;""&amp;P286</f>
        <v>301,..,1501</v>
      </c>
      <c r="O286" s="2">
        <f ca="1">(SUMPRODUCT(MID(0&amp;(LEFT(A285,SUM(LEN(A285)-LEN(SUBSTITUTE(A285,{0,1,2},""))))), LARGE(INDEX(ISNUMBER(--MID((LEFT(A285,SUM(LEN(A285)-LEN(SUBSTITUTE(A285,{0,1,2},""))))), ROW(INDIRECT("1:"&amp;LEN((LEFT(A285,SUM(LEN(A285)-LEN(SUBSTITUTE(A285,{0,1,2},"")))))))), 1)) * ROW(INDIRECT("1:"&amp;LEN((LEFT(A285,SUM(LEN(A285)-LEN(SUBSTITUTE(A285,{0,1,2},"")))))))), 0), ROW(INDIRECT("1:"&amp;LEN((LEFT(A285,SUM(LEN(A285)-LEN(SUBSTITUTE(A285,{0,1,2},"")))))))))+1, 1) * 10^ROW(INDIRECT("1:"&amp;LEN((LEFT(A285,SUM(LEN(A285)-LEN(SUBSTITUTE(A285,{0,1,2},""))))))))/10))*100+1</f>
        <v>301</v>
      </c>
      <c r="P286" s="2">
        <f ca="1">(SUMPRODUCT(MID(0&amp;(--TRIM(RIGHT(SUBSTITUTE(LEFT(A285,_xlfn.AGGREGATE(16,6,FIND({0,1,2,3,4,5,6,7,8,9},A285,ROW(INDIRECT("1:"&amp;LEN(A285)))),1))," ",REPT(" ",LEN(A285))),LEN(A285)))), LARGE(INDEX(ISNUMBER(--MID((--TRIM(RIGHT(SUBSTITUTE(LEFT(A285,_xlfn.AGGREGATE(16,6,FIND({0,1,2,3,4,5,6,7,8,9},A285,ROW(INDIRECT("1:"&amp;LEN(A285)))),1))," ",REPT(" ",LEN(A285))),LEN(A285)))), ROW(INDIRECT("1:"&amp;LEN((--TRIM(RIGHT(SUBSTITUTE(LEFT(A285,_xlfn.AGGREGATE(16,6,FIND({0,1,2,3,4,5,6,7,8,9},A285,ROW(INDIRECT("1:"&amp;LEN(A285)))),1))," ",REPT(" ",LEN(A285))),LEN(A285))))))), 1)) * ROW(INDIRECT("1:"&amp;LEN((--TRIM(RIGHT(SUBSTITUTE(LEFT(A285,_xlfn.AGGREGATE(16,6,FIND({0,1,2,3,4,5,6,7,8,9},A285,ROW(INDIRECT("1:"&amp;LEN(A285)))),1))," ",REPT(" ",LEN(A285))),LEN(A285))))))), 0), ROW(INDIRECT("1:"&amp;LEN((--TRIM(RIGHT(SUBSTITUTE(LEFT(A285,_xlfn.AGGREGATE(16,6,FIND({0,1,2,3,4,5,6,7,8,9},A285,ROW(INDIRECT("1:"&amp;LEN(A285)))),1))," ",REPT(" ",LEN(A285))),LEN(A285))))))))+1, 1) * 10^ROW(INDIRECT("1:"&amp;LEN((--TRIM(RIGHT(SUBSTITUTE(LEFT(A285,_xlfn.AGGREGATE(16,6,FIND({0,1,2,3,4,5,6,7,8,9},A285,ROW(INDIRECT("1:"&amp;LEN(A285)))),1))," ",REPT(" ",LEN(A285))),LEN(A285)))))))/10))*100+1</f>
        <v>1501</v>
      </c>
    </row>
    <row r="287" spans="1:16" s="2" customFormat="1" hidden="1" x14ac:dyDescent="0.3">
      <c r="A287" s="63" t="str">
        <f t="shared" ca="1" si="40"/>
        <v>302,..,1502</v>
      </c>
      <c r="B287" s="64"/>
      <c r="C287" s="45"/>
      <c r="D287" s="45"/>
      <c r="E287" s="45">
        <v>0</v>
      </c>
      <c r="F287" s="45" t="e">
        <f>D287*((#REF!)+1)+(IF(E287&lt;101,E287,IF(E287&lt;201,E287/2,IF(E287&lt;=301,E287/3,E287/4))))</f>
        <v>#REF!</v>
      </c>
      <c r="G287" s="63" t="str">
        <f>G286</f>
        <v>3rd, 5th, 7th, 9th, 11th, 13th, 15th Floor</v>
      </c>
      <c r="H287" s="64"/>
      <c r="I287" s="25"/>
      <c r="K287" s="41" t="e">
        <f t="shared" si="10"/>
        <v>#REF!</v>
      </c>
      <c r="N287" s="2" t="str">
        <f t="shared" ca="1" si="41"/>
        <v>302,..,1502</v>
      </c>
      <c r="O287" s="2">
        <f t="shared" ref="O287:P290" ca="1" si="42">O286+1</f>
        <v>302</v>
      </c>
      <c r="P287" s="2">
        <f t="shared" ca="1" si="42"/>
        <v>1502</v>
      </c>
    </row>
    <row r="288" spans="1:16" s="2" customFormat="1" hidden="1" x14ac:dyDescent="0.3">
      <c r="A288" s="63" t="str">
        <f t="shared" ca="1" si="40"/>
        <v>303,..,1503</v>
      </c>
      <c r="B288" s="64"/>
      <c r="C288" s="45"/>
      <c r="D288" s="45"/>
      <c r="E288" s="45">
        <v>0</v>
      </c>
      <c r="F288" s="45" t="e">
        <f>D288*((#REF!)+1)+(IF(E288&lt;101,E288,IF(E288&lt;201,E288/2,IF(E288&lt;=301,E288/3,E288/4))))</f>
        <v>#REF!</v>
      </c>
      <c r="G288" s="63" t="str">
        <f>G287</f>
        <v>3rd, 5th, 7th, 9th, 11th, 13th, 15th Floor</v>
      </c>
      <c r="H288" s="64"/>
      <c r="I288" s="25"/>
      <c r="K288" s="41" t="e">
        <f t="shared" si="10"/>
        <v>#REF!</v>
      </c>
      <c r="N288" s="2" t="str">
        <f t="shared" ca="1" si="41"/>
        <v>303,..,1503</v>
      </c>
      <c r="O288" s="2">
        <f t="shared" ca="1" si="42"/>
        <v>303</v>
      </c>
      <c r="P288" s="2">
        <f t="shared" ca="1" si="42"/>
        <v>1503</v>
      </c>
    </row>
    <row r="289" spans="1:16" s="2" customFormat="1" hidden="1" x14ac:dyDescent="0.3">
      <c r="A289" s="63" t="str">
        <f t="shared" ca="1" si="40"/>
        <v>304,..,1504</v>
      </c>
      <c r="B289" s="64"/>
      <c r="C289" s="45"/>
      <c r="D289" s="45"/>
      <c r="E289" s="45">
        <v>0</v>
      </c>
      <c r="F289" s="45" t="e">
        <f>D289*((#REF!)+1)+(IF(E289&lt;101,E289,IF(E289&lt;201,E289/2,IF(E289&lt;=301,E289/3,E289/4))))</f>
        <v>#REF!</v>
      </c>
      <c r="G289" s="63" t="str">
        <f>G288</f>
        <v>3rd, 5th, 7th, 9th, 11th, 13th, 15th Floor</v>
      </c>
      <c r="H289" s="64"/>
      <c r="I289" s="25"/>
      <c r="K289" s="41" t="e">
        <f t="shared" si="10"/>
        <v>#REF!</v>
      </c>
      <c r="N289" s="2" t="str">
        <f t="shared" ca="1" si="41"/>
        <v>304,..,1504</v>
      </c>
      <c r="O289" s="2">
        <f t="shared" ca="1" si="42"/>
        <v>304</v>
      </c>
      <c r="P289" s="2">
        <f t="shared" ca="1" si="42"/>
        <v>1504</v>
      </c>
    </row>
    <row r="290" spans="1:16" s="2" customFormat="1" hidden="1" x14ac:dyDescent="0.3">
      <c r="A290" s="63" t="str">
        <f t="shared" ca="1" si="40"/>
        <v>305,..,1505</v>
      </c>
      <c r="B290" s="64"/>
      <c r="C290" s="45"/>
      <c r="D290" s="45"/>
      <c r="E290" s="45">
        <v>0</v>
      </c>
      <c r="F290" s="45" t="e">
        <f>D290*((#REF!)+1)+(IF(E290&lt;101,E290,IF(E290&lt;201,E290/2,IF(E290&lt;=301,E290/3,E290/4))))</f>
        <v>#REF!</v>
      </c>
      <c r="G290" s="63" t="str">
        <f>G289</f>
        <v>3rd, 5th, 7th, 9th, 11th, 13th, 15th Floor</v>
      </c>
      <c r="H290" s="64"/>
      <c r="I290" s="25"/>
      <c r="K290" s="41" t="e">
        <f t="shared" si="10"/>
        <v>#REF!</v>
      </c>
      <c r="N290" s="2" t="str">
        <f t="shared" ca="1" si="41"/>
        <v>305,..,1505</v>
      </c>
      <c r="O290" s="2">
        <f t="shared" ca="1" si="42"/>
        <v>305</v>
      </c>
      <c r="P290" s="2">
        <f t="shared" ca="1" si="42"/>
        <v>1505</v>
      </c>
    </row>
    <row r="291" spans="1:16" s="2" customFormat="1" hidden="1" x14ac:dyDescent="0.3">
      <c r="A291" s="63" t="str">
        <f t="shared" ca="1" si="40"/>
        <v>306,..,1506</v>
      </c>
      <c r="B291" s="64"/>
      <c r="C291" s="45"/>
      <c r="D291" s="45"/>
      <c r="E291" s="45">
        <v>0</v>
      </c>
      <c r="F291" s="45" t="e">
        <f>D291*((#REF!)+1)+(IF(E291&lt;101,E291,IF(E291&lt;201,E291/2,IF(E291&lt;=301,E291/3,E291/4))))</f>
        <v>#REF!</v>
      </c>
      <c r="G291" s="63" t="str">
        <f>G290</f>
        <v>3rd, 5th, 7th, 9th, 11th, 13th, 15th Floor</v>
      </c>
      <c r="H291" s="64"/>
      <c r="I291" s="25"/>
      <c r="K291" s="41" t="e">
        <f t="shared" si="10"/>
        <v>#REF!</v>
      </c>
      <c r="N291" s="2" t="str">
        <f t="shared" ca="1" si="41"/>
        <v>306,..,1506</v>
      </c>
      <c r="O291" s="2">
        <f ca="1">O290+1</f>
        <v>306</v>
      </c>
      <c r="P291" s="2">
        <f ca="1">P290+1</f>
        <v>1506</v>
      </c>
    </row>
    <row r="292" spans="1:16" s="2" customFormat="1" hidden="1" x14ac:dyDescent="0.3">
      <c r="A292" s="74" t="s">
        <v>192</v>
      </c>
      <c r="B292" s="75"/>
      <c r="C292" s="75"/>
      <c r="D292" s="75"/>
      <c r="E292" s="75"/>
      <c r="F292" s="75"/>
      <c r="G292" s="75"/>
      <c r="H292" s="76"/>
      <c r="I292" s="25"/>
      <c r="K292" s="41" t="e">
        <f t="shared" si="10"/>
        <v>#DIV/0!</v>
      </c>
    </row>
    <row r="293" spans="1:16" s="2" customFormat="1" hidden="1" x14ac:dyDescent="0.3">
      <c r="A293" s="63" t="str">
        <f t="shared" ref="A293:A298" ca="1" si="43">N293</f>
        <v>101 to 401</v>
      </c>
      <c r="B293" s="64"/>
      <c r="C293" s="45"/>
      <c r="D293" s="45"/>
      <c r="E293" s="45">
        <v>0</v>
      </c>
      <c r="F293" s="45" t="e">
        <f>D293*((#REF!)+1)+(IF(E293&lt;101,E293,IF(E293&lt;201,E293/2,IF(E293&lt;=301,E293/3,E293/4))))</f>
        <v>#REF!</v>
      </c>
      <c r="G293" s="63" t="str">
        <f>A292</f>
        <v>1st to 4th Floor</v>
      </c>
      <c r="H293" s="64"/>
      <c r="I293" s="25"/>
      <c r="K293" s="41" t="e">
        <f t="shared" si="10"/>
        <v>#REF!</v>
      </c>
      <c r="N293" s="2" t="str">
        <f t="shared" ref="N293:N298" ca="1" si="44">O293&amp;""&amp;" to "&amp;""&amp;P293</f>
        <v>101 to 401</v>
      </c>
      <c r="O293" s="2">
        <f ca="1">(SUMPRODUCT(MID(0&amp;(LEFT(A292,SUM(LEN(A292)-LEN(SUBSTITUTE(A292,{"0","1","2"},""))))), LARGE(INDEX(ISNUMBER(--MID((LEFT(A292,SUM(LEN(A292)-LEN(SUBSTITUTE(A292,{"0","1","2"},""))))), ROW(INDIRECT("1:"&amp;LEN((LEFT(A292,SUM(LEN(A292)-LEN(SUBSTITUTE(A292,{"0","1","2"},"")))))))), 1)) * ROW(INDIRECT("1:"&amp;LEN((LEFT(A292,SUM(LEN(A292)-LEN(SUBSTITUTE(A292,{"0","1","2"},"")))))))), 0), ROW(INDIRECT("1:"&amp;LEN((LEFT(A292,SUM(LEN(A292)-LEN(SUBSTITUTE(A292,{"0","1","2"},"")))))))))+1, 1) * 10^ROW(INDIRECT("1:"&amp;LEN((LEFT(A292,SUM(LEN(A292)-LEN(SUBSTITUTE(A292,{"0","1","2"},""))))))))/10))*100+1</f>
        <v>101</v>
      </c>
      <c r="P293" s="2">
        <f ca="1">(SUMPRODUCT(MID(0&amp;(--TRIM(RIGHT(SUBSTITUTE(LEFT(A292,_xlfn.AGGREGATE(16,6,FIND({0,1,2,3,4,5,6,7,8,9},A292,ROW(INDIRECT("1:"&amp;LEN(A292)))),1))," ",REPT(" ",LEN(A292))),LEN(A292)))), LARGE(INDEX(ISNUMBER(--MID((--TRIM(RIGHT(SUBSTITUTE(LEFT(A292,_xlfn.AGGREGATE(16,6,FIND({0,1,2,3,4,5,6,7,8,9},A292,ROW(INDIRECT("1:"&amp;LEN(A292)))),1))," ",REPT(" ",LEN(A292))),LEN(A292)))), ROW(INDIRECT("1:"&amp;LEN((--TRIM(RIGHT(SUBSTITUTE(LEFT(A292,_xlfn.AGGREGATE(16,6,FIND({0,1,2,3,4,5,6,7,8,9},A292,ROW(INDIRECT("1:"&amp;LEN(A292)))),1))," ",REPT(" ",LEN(A292))),LEN(A292))))))), 1)) * ROW(INDIRECT("1:"&amp;LEN((--TRIM(RIGHT(SUBSTITUTE(LEFT(A292,_xlfn.AGGREGATE(16,6,FIND({0,1,2,3,4,5,6,7,8,9},A292,ROW(INDIRECT("1:"&amp;LEN(A292)))),1))," ",REPT(" ",LEN(A292))),LEN(A292))))))), 0), ROW(INDIRECT("1:"&amp;LEN((--TRIM(RIGHT(SUBSTITUTE(LEFT(A292,_xlfn.AGGREGATE(16,6,FIND({0,1,2,3,4,5,6,7,8,9},A292,ROW(INDIRECT("1:"&amp;LEN(A292)))),1))," ",REPT(" ",LEN(A292))),LEN(A292))))))))+1, 1) * 10^ROW(INDIRECT("1:"&amp;LEN((--TRIM(RIGHT(SUBSTITUTE(LEFT(A292,_xlfn.AGGREGATE(16,6,FIND({0,1,2,3,4,5,6,7,8,9},A292,ROW(INDIRECT("1:"&amp;LEN(A292)))),1))," ",REPT(" ",LEN(A292))),LEN(A292)))))))/10))*100+1</f>
        <v>401</v>
      </c>
    </row>
    <row r="294" spans="1:16" s="2" customFormat="1" hidden="1" x14ac:dyDescent="0.3">
      <c r="A294" s="63" t="str">
        <f t="shared" ca="1" si="43"/>
        <v>102 to 402</v>
      </c>
      <c r="B294" s="64"/>
      <c r="C294" s="45"/>
      <c r="D294" s="45"/>
      <c r="E294" s="45">
        <v>0</v>
      </c>
      <c r="F294" s="45" t="e">
        <f>D294*((#REF!)+1)+(IF(E294&lt;101,E294,IF(E294&lt;201,E294/2,IF(E294&lt;=301,E294/3,E294/4))))</f>
        <v>#REF!</v>
      </c>
      <c r="G294" s="63" t="str">
        <f>G293</f>
        <v>1st to 4th Floor</v>
      </c>
      <c r="H294" s="64"/>
      <c r="I294" s="25"/>
      <c r="K294" s="41" t="e">
        <f t="shared" si="10"/>
        <v>#REF!</v>
      </c>
      <c r="N294" s="2" t="str">
        <f t="shared" ca="1" si="44"/>
        <v>102 to 402</v>
      </c>
      <c r="O294" s="2">
        <f t="shared" ref="O294:P297" ca="1" si="45">O293+1</f>
        <v>102</v>
      </c>
      <c r="P294" s="2">
        <f t="shared" ca="1" si="45"/>
        <v>402</v>
      </c>
    </row>
    <row r="295" spans="1:16" s="2" customFormat="1" hidden="1" x14ac:dyDescent="0.3">
      <c r="A295" s="63" t="str">
        <f t="shared" ca="1" si="43"/>
        <v>103 to 403</v>
      </c>
      <c r="B295" s="64"/>
      <c r="C295" s="45"/>
      <c r="D295" s="45"/>
      <c r="E295" s="45">
        <v>0</v>
      </c>
      <c r="F295" s="45" t="e">
        <f>D295*((#REF!)+1)+(IF(E295&lt;101,E295,IF(E295&lt;201,E295/2,IF(E295&lt;=301,E295/3,E295/4))))</f>
        <v>#REF!</v>
      </c>
      <c r="G295" s="63" t="str">
        <f>G294</f>
        <v>1st to 4th Floor</v>
      </c>
      <c r="H295" s="64"/>
      <c r="I295" s="25"/>
      <c r="K295" s="41" t="e">
        <f t="shared" si="10"/>
        <v>#REF!</v>
      </c>
      <c r="N295" s="2" t="str">
        <f t="shared" ca="1" si="44"/>
        <v>103 to 403</v>
      </c>
      <c r="O295" s="2">
        <f t="shared" ca="1" si="45"/>
        <v>103</v>
      </c>
      <c r="P295" s="2">
        <f t="shared" ca="1" si="45"/>
        <v>403</v>
      </c>
    </row>
    <row r="296" spans="1:16" s="2" customFormat="1" hidden="1" x14ac:dyDescent="0.3">
      <c r="A296" s="63" t="str">
        <f t="shared" ca="1" si="43"/>
        <v>104 to 404</v>
      </c>
      <c r="B296" s="64"/>
      <c r="C296" s="45"/>
      <c r="D296" s="45"/>
      <c r="E296" s="45">
        <v>0</v>
      </c>
      <c r="F296" s="45" t="e">
        <f>D296*((#REF!)+1)+(IF(E296&lt;101,E296,IF(E296&lt;201,E296/2,IF(E296&lt;=301,E296/3,E296/4))))</f>
        <v>#REF!</v>
      </c>
      <c r="G296" s="63" t="str">
        <f>G295</f>
        <v>1st to 4th Floor</v>
      </c>
      <c r="H296" s="64"/>
      <c r="I296" s="25"/>
      <c r="K296" s="41" t="e">
        <f t="shared" ref="K296:K306" si="46">F296/D296</f>
        <v>#REF!</v>
      </c>
      <c r="N296" s="2" t="str">
        <f t="shared" ca="1" si="44"/>
        <v>104 to 404</v>
      </c>
      <c r="O296" s="2">
        <f t="shared" ca="1" si="45"/>
        <v>104</v>
      </c>
      <c r="P296" s="2">
        <f t="shared" ca="1" si="45"/>
        <v>404</v>
      </c>
    </row>
    <row r="297" spans="1:16" s="2" customFormat="1" hidden="1" x14ac:dyDescent="0.3">
      <c r="A297" s="63" t="str">
        <f t="shared" ca="1" si="43"/>
        <v>105 to 405</v>
      </c>
      <c r="B297" s="64"/>
      <c r="C297" s="45"/>
      <c r="D297" s="45"/>
      <c r="E297" s="45">
        <v>0</v>
      </c>
      <c r="F297" s="45" t="e">
        <f>D297*((#REF!)+1)+(IF(E297&lt;101,E297,IF(E297&lt;201,E297/2,IF(E297&lt;=301,E297/3,E297/4))))</f>
        <v>#REF!</v>
      </c>
      <c r="G297" s="63" t="str">
        <f>G296</f>
        <v>1st to 4th Floor</v>
      </c>
      <c r="H297" s="64"/>
      <c r="I297" s="25"/>
      <c r="K297" s="41" t="e">
        <f t="shared" si="46"/>
        <v>#REF!</v>
      </c>
      <c r="N297" s="2" t="str">
        <f t="shared" ca="1" si="44"/>
        <v>105 to 405</v>
      </c>
      <c r="O297" s="2">
        <f t="shared" ca="1" si="45"/>
        <v>105</v>
      </c>
      <c r="P297" s="2">
        <f t="shared" ca="1" si="45"/>
        <v>405</v>
      </c>
    </row>
    <row r="298" spans="1:16" s="2" customFormat="1" hidden="1" x14ac:dyDescent="0.3">
      <c r="A298" s="63" t="str">
        <f t="shared" ca="1" si="43"/>
        <v>106 to 406</v>
      </c>
      <c r="B298" s="64"/>
      <c r="C298" s="45"/>
      <c r="D298" s="45"/>
      <c r="E298" s="45">
        <v>0</v>
      </c>
      <c r="F298" s="45" t="e">
        <f>D298*((#REF!)+1)+(IF(E298&lt;101,E298,IF(E298&lt;201,E298/2,IF(E298&lt;=301,E298/3,E298/4))))</f>
        <v>#REF!</v>
      </c>
      <c r="G298" s="63" t="str">
        <f>G297</f>
        <v>1st to 4th Floor</v>
      </c>
      <c r="H298" s="64"/>
      <c r="I298" s="25"/>
      <c r="K298" s="41" t="e">
        <f t="shared" si="46"/>
        <v>#REF!</v>
      </c>
      <c r="N298" s="2" t="str">
        <f t="shared" ca="1" si="44"/>
        <v>106 to 406</v>
      </c>
      <c r="O298" s="2">
        <f ca="1">O297+1</f>
        <v>106</v>
      </c>
      <c r="P298" s="2">
        <f ca="1">P297+1</f>
        <v>406</v>
      </c>
    </row>
    <row r="299" spans="1:16" s="2" customFormat="1" hidden="1" x14ac:dyDescent="0.3">
      <c r="A299" s="74" t="s">
        <v>153</v>
      </c>
      <c r="B299" s="75"/>
      <c r="C299" s="75"/>
      <c r="D299" s="75"/>
      <c r="E299" s="75"/>
      <c r="F299" s="75"/>
      <c r="G299" s="75"/>
      <c r="H299" s="76"/>
      <c r="I299" s="25"/>
      <c r="K299" s="41" t="e">
        <f t="shared" si="46"/>
        <v>#DIV/0!</v>
      </c>
    </row>
    <row r="300" spans="1:16" s="2" customFormat="1" hidden="1" x14ac:dyDescent="0.3">
      <c r="A300" s="63" t="str">
        <f t="shared" ref="A300:A305" ca="1" si="47">N300</f>
        <v>201 &amp; 501</v>
      </c>
      <c r="B300" s="64"/>
      <c r="C300" s="45"/>
      <c r="D300" s="45"/>
      <c r="E300" s="45">
        <v>0</v>
      </c>
      <c r="F300" s="45" t="e">
        <f>D300*((#REF!)+1)+(IF(E300&lt;101,E300,IF(E300&lt;201,E300/2,IF(E300&lt;=301,E300/3,E300/4))))</f>
        <v>#REF!</v>
      </c>
      <c r="G300" s="63" t="str">
        <f>A299</f>
        <v>2nd &amp; 5th Floor</v>
      </c>
      <c r="H300" s="64"/>
      <c r="I300" s="25"/>
      <c r="K300" s="41" t="e">
        <f t="shared" si="46"/>
        <v>#REF!</v>
      </c>
      <c r="N300" s="2" t="str">
        <f t="shared" ref="N300:N305" ca="1" si="48">O300&amp;""&amp;" &amp; "&amp;""&amp;P300</f>
        <v>201 &amp; 501</v>
      </c>
      <c r="O300" s="2">
        <f ca="1">(SUMPRODUCT(MID(0&amp;(LEFT(A299,SUM(LEN(A299)-LEN(SUBSTITUTE(A299,{"0","1","2"},""))))), LARGE(INDEX(ISNUMBER(--MID((LEFT(A299,SUM(LEN(A299)-LEN(SUBSTITUTE(A299,{"0","1","2"},""))))), ROW(INDIRECT("1:"&amp;LEN((LEFT(A299,SUM(LEN(A299)-LEN(SUBSTITUTE(A299,{"0","1","2"},"")))))))), 1)) * ROW(INDIRECT("1:"&amp;LEN((LEFT(A299,SUM(LEN(A299)-LEN(SUBSTITUTE(A299,{"0","1","2"},"")))))))), 0), ROW(INDIRECT("1:"&amp;LEN((LEFT(A299,SUM(LEN(A299)-LEN(SUBSTITUTE(A299,{"0","1","2"},"")))))))))+1, 1) * 10^ROW(INDIRECT("1:"&amp;LEN((LEFT(A299,SUM(LEN(A299)-LEN(SUBSTITUTE(A299,{"0","1","2"},""))))))))/10))*100+1</f>
        <v>201</v>
      </c>
      <c r="P300" s="2">
        <f ca="1">(SUMPRODUCT(MID(0&amp;(--TRIM(RIGHT(SUBSTITUTE(LEFT(A299,_xlfn.AGGREGATE(16,6,FIND({0,1,2,3,4,5,6,7,8,9},A299,ROW(INDIRECT("1:"&amp;LEN(A299)))),1))," ",REPT(" ",LEN(A299))),LEN(A299)))), LARGE(INDEX(ISNUMBER(--MID((--TRIM(RIGHT(SUBSTITUTE(LEFT(A299,_xlfn.AGGREGATE(16,6,FIND({0,1,2,3,4,5,6,7,8,9},A299,ROW(INDIRECT("1:"&amp;LEN(A299)))),1))," ",REPT(" ",LEN(A299))),LEN(A299)))), ROW(INDIRECT("1:"&amp;LEN((--TRIM(RIGHT(SUBSTITUTE(LEFT(A299,_xlfn.AGGREGATE(16,6,FIND({0,1,2,3,4,5,6,7,8,9},A299,ROW(INDIRECT("1:"&amp;LEN(A299)))),1))," ",REPT(" ",LEN(A299))),LEN(A299))))))), 1)) * ROW(INDIRECT("1:"&amp;LEN((--TRIM(RIGHT(SUBSTITUTE(LEFT(A299,_xlfn.AGGREGATE(16,6,FIND({0,1,2,3,4,5,6,7,8,9},A299,ROW(INDIRECT("1:"&amp;LEN(A299)))),1))," ",REPT(" ",LEN(A299))),LEN(A299))))))), 0), ROW(INDIRECT("1:"&amp;LEN((--TRIM(RIGHT(SUBSTITUTE(LEFT(A299,_xlfn.AGGREGATE(16,6,FIND({0,1,2,3,4,5,6,7,8,9},A299,ROW(INDIRECT("1:"&amp;LEN(A299)))),1))," ",REPT(" ",LEN(A299))),LEN(A299))))))))+1, 1) * 10^ROW(INDIRECT("1:"&amp;LEN((--TRIM(RIGHT(SUBSTITUTE(LEFT(A299,_xlfn.AGGREGATE(16,6,FIND({0,1,2,3,4,5,6,7,8,9},A299,ROW(INDIRECT("1:"&amp;LEN(A299)))),1))," ",REPT(" ",LEN(A299))),LEN(A299)))))))/10))*100+1</f>
        <v>501</v>
      </c>
    </row>
    <row r="301" spans="1:16" s="2" customFormat="1" hidden="1" x14ac:dyDescent="0.3">
      <c r="A301" s="63" t="str">
        <f t="shared" ca="1" si="47"/>
        <v>202 &amp; 502</v>
      </c>
      <c r="B301" s="64"/>
      <c r="C301" s="45"/>
      <c r="D301" s="45"/>
      <c r="E301" s="45">
        <v>0</v>
      </c>
      <c r="F301" s="45" t="e">
        <f>D301*((#REF!)+1)+(IF(E301&lt;101,E301,IF(E301&lt;201,E301/2,IF(E301&lt;=301,E301/3,E301/4))))</f>
        <v>#REF!</v>
      </c>
      <c r="G301" s="63" t="str">
        <f>G300</f>
        <v>2nd &amp; 5th Floor</v>
      </c>
      <c r="H301" s="64"/>
      <c r="I301" s="25"/>
      <c r="K301" s="41" t="e">
        <f t="shared" si="46"/>
        <v>#REF!</v>
      </c>
      <c r="N301" s="2" t="str">
        <f t="shared" ca="1" si="48"/>
        <v>202 &amp; 502</v>
      </c>
      <c r="O301" s="2">
        <f t="shared" ref="O301:P305" ca="1" si="49">O300+1</f>
        <v>202</v>
      </c>
      <c r="P301" s="2">
        <f t="shared" ca="1" si="49"/>
        <v>502</v>
      </c>
    </row>
    <row r="302" spans="1:16" s="2" customFormat="1" hidden="1" x14ac:dyDescent="0.3">
      <c r="A302" s="63" t="str">
        <f t="shared" ca="1" si="47"/>
        <v>203 &amp; 503</v>
      </c>
      <c r="B302" s="64"/>
      <c r="C302" s="45"/>
      <c r="D302" s="45"/>
      <c r="E302" s="45">
        <v>0</v>
      </c>
      <c r="F302" s="45" t="e">
        <f>D302*((#REF!)+1)+(IF(E302&lt;101,E302,IF(E302&lt;201,E302/2,IF(E302&lt;=301,E302/3,E302/4))))</f>
        <v>#REF!</v>
      </c>
      <c r="G302" s="63" t="str">
        <f>G301</f>
        <v>2nd &amp; 5th Floor</v>
      </c>
      <c r="H302" s="64"/>
      <c r="I302" s="25"/>
      <c r="K302" s="41" t="e">
        <f t="shared" si="46"/>
        <v>#REF!</v>
      </c>
      <c r="N302" s="2" t="str">
        <f t="shared" ca="1" si="48"/>
        <v>203 &amp; 503</v>
      </c>
      <c r="O302" s="2">
        <f t="shared" ca="1" si="49"/>
        <v>203</v>
      </c>
      <c r="P302" s="2">
        <f t="shared" ca="1" si="49"/>
        <v>503</v>
      </c>
    </row>
    <row r="303" spans="1:16" s="2" customFormat="1" hidden="1" x14ac:dyDescent="0.3">
      <c r="A303" s="63" t="str">
        <f t="shared" ca="1" si="47"/>
        <v>204 &amp; 504</v>
      </c>
      <c r="B303" s="64"/>
      <c r="C303" s="45"/>
      <c r="D303" s="45"/>
      <c r="E303" s="45">
        <v>0</v>
      </c>
      <c r="F303" s="45" t="e">
        <f>D303*((#REF!)+1)+(IF(E303&lt;101,E303,IF(E303&lt;201,E303/2,IF(E303&lt;=301,E303/3,E303/4))))</f>
        <v>#REF!</v>
      </c>
      <c r="G303" s="63" t="str">
        <f>G302</f>
        <v>2nd &amp; 5th Floor</v>
      </c>
      <c r="H303" s="64"/>
      <c r="I303" s="25"/>
      <c r="K303" s="41" t="e">
        <f t="shared" si="46"/>
        <v>#REF!</v>
      </c>
      <c r="N303" s="2" t="str">
        <f t="shared" ca="1" si="48"/>
        <v>204 &amp; 504</v>
      </c>
      <c r="O303" s="2">
        <f t="shared" ca="1" si="49"/>
        <v>204</v>
      </c>
      <c r="P303" s="2">
        <f t="shared" ca="1" si="49"/>
        <v>504</v>
      </c>
    </row>
    <row r="304" spans="1:16" s="2" customFormat="1" hidden="1" x14ac:dyDescent="0.3">
      <c r="A304" s="63" t="str">
        <f t="shared" ca="1" si="47"/>
        <v>205 &amp; 505</v>
      </c>
      <c r="B304" s="64"/>
      <c r="C304" s="45"/>
      <c r="D304" s="45"/>
      <c r="E304" s="45">
        <v>0</v>
      </c>
      <c r="F304" s="45" t="e">
        <f>D304*((#REF!)+1)+(IF(E304&lt;101,E304,IF(E304&lt;201,E304/2,IF(E304&lt;=301,E304/3,E304/4))))</f>
        <v>#REF!</v>
      </c>
      <c r="G304" s="63" t="str">
        <f>G303</f>
        <v>2nd &amp; 5th Floor</v>
      </c>
      <c r="H304" s="64"/>
      <c r="I304" s="25"/>
      <c r="K304" s="41" t="e">
        <f t="shared" si="46"/>
        <v>#REF!</v>
      </c>
      <c r="N304" s="2" t="str">
        <f t="shared" ca="1" si="48"/>
        <v>205 &amp; 505</v>
      </c>
      <c r="O304" s="2">
        <f t="shared" ca="1" si="49"/>
        <v>205</v>
      </c>
      <c r="P304" s="2">
        <f t="shared" ca="1" si="49"/>
        <v>505</v>
      </c>
    </row>
    <row r="305" spans="1:16" s="2" customFormat="1" hidden="1" x14ac:dyDescent="0.3">
      <c r="A305" s="63" t="str">
        <f t="shared" ca="1" si="47"/>
        <v>206 &amp; 506</v>
      </c>
      <c r="B305" s="64"/>
      <c r="C305" s="45"/>
      <c r="D305" s="45"/>
      <c r="E305" s="45">
        <v>0</v>
      </c>
      <c r="F305" s="45" t="e">
        <f>D305*((#REF!)+1)+(IF(E305&lt;101,E305,IF(E305&lt;201,E305/2,IF(E305&lt;=301,E305/3,E305/4))))</f>
        <v>#REF!</v>
      </c>
      <c r="G305" s="63" t="str">
        <f>G304</f>
        <v>2nd &amp; 5th Floor</v>
      </c>
      <c r="H305" s="64"/>
      <c r="I305" s="25"/>
      <c r="K305" s="41" t="e">
        <f t="shared" si="46"/>
        <v>#REF!</v>
      </c>
      <c r="N305" s="2" t="str">
        <f t="shared" ca="1" si="48"/>
        <v>206 &amp; 506</v>
      </c>
      <c r="O305" s="2">
        <f t="shared" ca="1" si="49"/>
        <v>206</v>
      </c>
      <c r="P305" s="2">
        <f t="shared" ca="1" si="49"/>
        <v>506</v>
      </c>
    </row>
    <row r="306" spans="1:16" s="1" customFormat="1" x14ac:dyDescent="0.3">
      <c r="A306" s="145" t="s">
        <v>74</v>
      </c>
      <c r="B306" s="145"/>
      <c r="C306" s="145"/>
      <c r="D306" s="145"/>
      <c r="E306" s="145"/>
      <c r="F306" s="145"/>
      <c r="G306" s="145"/>
      <c r="H306" s="145"/>
      <c r="K306" s="41" t="e">
        <f t="shared" si="46"/>
        <v>#DIV/0!</v>
      </c>
    </row>
    <row r="307" spans="1:16" s="1" customFormat="1" ht="96.75" customHeight="1" x14ac:dyDescent="0.3">
      <c r="A307" s="46">
        <v>1</v>
      </c>
      <c r="B307" s="152" t="s">
        <v>238</v>
      </c>
      <c r="C307" s="153"/>
      <c r="D307" s="153"/>
      <c r="E307" s="153"/>
      <c r="F307" s="153"/>
      <c r="G307" s="153"/>
      <c r="H307" s="154"/>
    </row>
    <row r="308" spans="1:16" s="1" customFormat="1" x14ac:dyDescent="0.3">
      <c r="A308" s="46">
        <f t="shared" ref="A308:A311" si="50">A307+1</f>
        <v>2</v>
      </c>
      <c r="B308" s="155" t="str">
        <f>(IF(F227="Saleable area Loading :","We have considered Saleable area of Flats as per our Calculation.","We considered Saleable area of Flat as per Builder area Sheet."))</f>
        <v>We considered Saleable area of Flat as per Builder area Sheet.</v>
      </c>
      <c r="C308" s="156"/>
      <c r="D308" s="156"/>
      <c r="E308" s="156"/>
      <c r="F308" s="156"/>
      <c r="G308" s="156"/>
      <c r="H308" s="157"/>
    </row>
    <row r="309" spans="1:16" s="1" customFormat="1" x14ac:dyDescent="0.3">
      <c r="A309" s="46">
        <f t="shared" si="50"/>
        <v>3</v>
      </c>
      <c r="B309" s="155" t="str">
        <f>(IF(F147="Saleable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309" s="156"/>
      <c r="D309" s="156"/>
      <c r="E309" s="156"/>
      <c r="F309" s="156"/>
      <c r="G309" s="156"/>
      <c r="H309" s="157"/>
    </row>
    <row r="310" spans="1:16" s="1" customFormat="1" x14ac:dyDescent="0.3">
      <c r="A310" s="46">
        <f>A309+1</f>
        <v>4</v>
      </c>
      <c r="B310" s="149" t="s">
        <v>130</v>
      </c>
      <c r="C310" s="150"/>
      <c r="D310" s="150"/>
      <c r="E310" s="150"/>
      <c r="F310" s="150"/>
      <c r="G310" s="150"/>
      <c r="H310" s="151"/>
    </row>
    <row r="311" spans="1:16" s="1" customFormat="1" x14ac:dyDescent="0.3">
      <c r="A311" s="46">
        <f t="shared" si="50"/>
        <v>5</v>
      </c>
      <c r="B311" s="149" t="s">
        <v>208</v>
      </c>
      <c r="C311" s="150"/>
      <c r="D311" s="150"/>
      <c r="E311" s="150"/>
      <c r="F311" s="150"/>
      <c r="G311" s="150"/>
      <c r="H311" s="151"/>
    </row>
    <row r="312" spans="1:16" s="1" customFormat="1" x14ac:dyDescent="0.3">
      <c r="A312" s="46">
        <v>6</v>
      </c>
      <c r="B312" s="149" t="s">
        <v>131</v>
      </c>
      <c r="C312" s="150"/>
      <c r="D312" s="150"/>
      <c r="E312" s="150"/>
      <c r="F312" s="150"/>
      <c r="G312" s="150"/>
      <c r="H312" s="151"/>
    </row>
    <row r="313" spans="1:16" s="1" customFormat="1" x14ac:dyDescent="0.3">
      <c r="A313" s="46">
        <v>7</v>
      </c>
      <c r="B313" s="149" t="s">
        <v>132</v>
      </c>
      <c r="C313" s="150"/>
      <c r="D313" s="150"/>
      <c r="E313" s="150"/>
      <c r="F313" s="150"/>
      <c r="G313" s="150"/>
      <c r="H313" s="151"/>
    </row>
    <row r="314" spans="1:16" s="1" customFormat="1" hidden="1" x14ac:dyDescent="0.3">
      <c r="A314" s="46">
        <v>8</v>
      </c>
      <c r="B314" s="152" t="s">
        <v>168</v>
      </c>
      <c r="C314" s="153"/>
      <c r="D314" s="153"/>
      <c r="E314" s="153"/>
      <c r="F314" s="153"/>
      <c r="G314" s="153"/>
      <c r="H314" s="154"/>
    </row>
    <row r="315" spans="1:16" s="1" customFormat="1" x14ac:dyDescent="0.3">
      <c r="A315" s="66">
        <v>8</v>
      </c>
      <c r="B315" s="61" t="s">
        <v>210</v>
      </c>
      <c r="C315" s="61"/>
      <c r="D315" s="61"/>
      <c r="E315" s="77" t="s">
        <v>209</v>
      </c>
      <c r="F315" s="77"/>
      <c r="G315" s="77"/>
      <c r="H315" s="78"/>
    </row>
    <row r="316" spans="1:16" s="1" customFormat="1" x14ac:dyDescent="0.3">
      <c r="A316" s="66"/>
      <c r="B316" s="61" t="s">
        <v>211</v>
      </c>
      <c r="C316" s="61"/>
      <c r="D316" s="61"/>
      <c r="E316" s="77" t="s">
        <v>214</v>
      </c>
      <c r="F316" s="77"/>
      <c r="G316" s="77"/>
      <c r="H316" s="78"/>
    </row>
    <row r="317" spans="1:16" s="1" customFormat="1" x14ac:dyDescent="0.3">
      <c r="A317" s="66"/>
      <c r="B317" s="61" t="s">
        <v>213</v>
      </c>
      <c r="C317" s="61"/>
      <c r="D317" s="61"/>
      <c r="E317" s="77" t="s">
        <v>212</v>
      </c>
      <c r="F317" s="77"/>
      <c r="G317" s="77"/>
      <c r="H317" s="78"/>
    </row>
    <row r="318" spans="1:16" s="1" customFormat="1" x14ac:dyDescent="0.3">
      <c r="A318" s="66"/>
      <c r="B318" s="61" t="s">
        <v>214</v>
      </c>
      <c r="C318" s="61"/>
      <c r="D318" s="61"/>
      <c r="E318" s="77" t="s">
        <v>216</v>
      </c>
      <c r="F318" s="77"/>
      <c r="G318" s="77"/>
      <c r="H318" s="78"/>
    </row>
    <row r="319" spans="1:16" s="1" customFormat="1" x14ac:dyDescent="0.3">
      <c r="A319" s="66"/>
      <c r="B319" s="61" t="s">
        <v>212</v>
      </c>
      <c r="C319" s="61"/>
      <c r="D319" s="61"/>
      <c r="E319" s="77" t="s">
        <v>217</v>
      </c>
      <c r="F319" s="77"/>
      <c r="G319" s="77"/>
      <c r="H319" s="78"/>
    </row>
    <row r="320" spans="1:16" s="1" customFormat="1" x14ac:dyDescent="0.3">
      <c r="A320" s="66"/>
      <c r="B320" s="61" t="s">
        <v>215</v>
      </c>
      <c r="C320" s="61"/>
      <c r="D320" s="61"/>
      <c r="E320" s="77" t="s">
        <v>218</v>
      </c>
      <c r="F320" s="77"/>
      <c r="G320" s="77"/>
      <c r="H320" s="78"/>
    </row>
    <row r="321" spans="1:8" s="1" customFormat="1" x14ac:dyDescent="0.3">
      <c r="A321" s="46">
        <v>9</v>
      </c>
      <c r="B321" s="149" t="s">
        <v>236</v>
      </c>
      <c r="C321" s="150"/>
      <c r="D321" s="150"/>
      <c r="E321" s="150"/>
      <c r="F321" s="150"/>
      <c r="G321" s="150"/>
      <c r="H321" s="151"/>
    </row>
    <row r="322" spans="1:8" x14ac:dyDescent="0.3">
      <c r="A322" s="142" t="s">
        <v>67</v>
      </c>
      <c r="B322" s="142"/>
      <c r="C322" s="142"/>
      <c r="D322" s="142"/>
      <c r="E322" s="142"/>
      <c r="F322" s="142"/>
      <c r="G322" s="142"/>
      <c r="H322" s="142"/>
    </row>
    <row r="323" spans="1:8" x14ac:dyDescent="0.3">
      <c r="A323" s="81" t="s">
        <v>68</v>
      </c>
      <c r="B323" s="81"/>
      <c r="C323" s="81"/>
      <c r="D323" s="81"/>
      <c r="E323" s="81"/>
      <c r="F323" s="81"/>
      <c r="G323" s="81"/>
      <c r="H323" s="81"/>
    </row>
    <row r="324" spans="1:8" ht="15.75" customHeight="1" x14ac:dyDescent="0.3">
      <c r="A324" s="176" t="s">
        <v>69</v>
      </c>
      <c r="B324" s="176"/>
      <c r="C324" s="176"/>
      <c r="D324" s="176"/>
      <c r="E324" s="176"/>
      <c r="F324" s="176"/>
      <c r="G324" s="176"/>
      <c r="H324" s="176"/>
    </row>
    <row r="325" spans="1:8" x14ac:dyDescent="0.3">
      <c r="A325" s="81" t="s">
        <v>70</v>
      </c>
      <c r="B325" s="81"/>
      <c r="C325" s="81"/>
      <c r="D325" s="81"/>
      <c r="E325" s="81"/>
      <c r="F325" s="81"/>
      <c r="G325" s="81"/>
      <c r="H325" s="81"/>
    </row>
    <row r="326" spans="1:8" x14ac:dyDescent="0.3">
      <c r="A326" s="81" t="s">
        <v>71</v>
      </c>
      <c r="B326" s="81"/>
      <c r="C326" s="81"/>
      <c r="D326" s="81"/>
      <c r="E326" s="81"/>
      <c r="F326" s="81"/>
      <c r="G326" s="81"/>
      <c r="H326" s="81"/>
    </row>
    <row r="327" spans="1:8" x14ac:dyDescent="0.3">
      <c r="A327" s="81" t="s">
        <v>133</v>
      </c>
      <c r="B327" s="81"/>
      <c r="C327" s="81"/>
      <c r="D327" s="81"/>
      <c r="E327" s="81"/>
      <c r="F327" s="81"/>
      <c r="G327" s="81"/>
      <c r="H327" s="81"/>
    </row>
    <row r="328" spans="1:8" ht="29.25" customHeight="1" x14ac:dyDescent="0.3">
      <c r="A328" s="82" t="s">
        <v>134</v>
      </c>
      <c r="B328" s="82"/>
      <c r="C328" s="82"/>
      <c r="D328" s="82"/>
      <c r="E328" s="82"/>
      <c r="F328" s="82"/>
      <c r="G328" s="82"/>
      <c r="H328" s="82"/>
    </row>
    <row r="329" spans="1:8" x14ac:dyDescent="0.3">
      <c r="A329" s="132" t="s">
        <v>85</v>
      </c>
      <c r="B329" s="132"/>
      <c r="C329" s="132" t="s">
        <v>240</v>
      </c>
      <c r="D329" s="132"/>
      <c r="E329" s="132" t="s">
        <v>110</v>
      </c>
      <c r="F329" s="132"/>
      <c r="G329" s="132" t="s">
        <v>239</v>
      </c>
      <c r="H329" s="132"/>
    </row>
    <row r="330" spans="1:8" x14ac:dyDescent="0.3">
      <c r="A330" s="131" t="s">
        <v>87</v>
      </c>
      <c r="B330" s="131"/>
      <c r="C330" s="131"/>
      <c r="D330" s="131"/>
      <c r="E330" s="131"/>
      <c r="F330" s="131"/>
      <c r="G330" s="131"/>
      <c r="H330" s="131"/>
    </row>
    <row r="331" spans="1:8" x14ac:dyDescent="0.3">
      <c r="A331" s="131"/>
      <c r="B331" s="131"/>
      <c r="C331" s="131"/>
      <c r="D331" s="131"/>
      <c r="E331" s="131"/>
      <c r="F331" s="131"/>
      <c r="G331" s="131"/>
      <c r="H331" s="131"/>
    </row>
    <row r="332" spans="1:8" x14ac:dyDescent="0.3">
      <c r="A332" s="131"/>
      <c r="B332" s="131"/>
      <c r="C332" s="131"/>
      <c r="D332" s="131"/>
      <c r="E332" s="131"/>
      <c r="F332" s="131"/>
      <c r="G332" s="131"/>
      <c r="H332" s="131"/>
    </row>
    <row r="333" spans="1:8" x14ac:dyDescent="0.3">
      <c r="A333" s="131"/>
      <c r="B333" s="131"/>
      <c r="C333" s="131"/>
      <c r="D333" s="131"/>
      <c r="E333" s="131"/>
      <c r="F333" s="131"/>
      <c r="G333" s="131"/>
      <c r="H333" s="131"/>
    </row>
    <row r="334" spans="1:8" x14ac:dyDescent="0.3">
      <c r="A334" s="58" t="s">
        <v>72</v>
      </c>
      <c r="B334" s="59"/>
      <c r="C334" s="59"/>
      <c r="D334" s="58" t="str">
        <f>E8</f>
        <v>Parasnath Township</v>
      </c>
      <c r="F334" s="59"/>
      <c r="G334" s="59"/>
      <c r="H334" s="59"/>
    </row>
    <row r="335" spans="1:8" x14ac:dyDescent="0.3">
      <c r="A335" s="59"/>
      <c r="B335" s="59"/>
      <c r="C335" s="59"/>
      <c r="D335" s="59"/>
      <c r="E335" s="59"/>
      <c r="F335" s="59"/>
      <c r="G335" s="59"/>
      <c r="H335" s="59"/>
    </row>
    <row r="336" spans="1:8" x14ac:dyDescent="0.3">
      <c r="A336" s="59"/>
      <c r="B336" s="59"/>
      <c r="C336" s="59"/>
      <c r="D336" s="59"/>
      <c r="E336" s="59"/>
      <c r="F336" s="59"/>
      <c r="G336" s="59"/>
      <c r="H336" s="59"/>
    </row>
    <row r="337" ht="15" customHeight="1" x14ac:dyDescent="0.3"/>
    <row r="377" spans="1:1" x14ac:dyDescent="0.3">
      <c r="A377" s="60" t="s">
        <v>73</v>
      </c>
    </row>
    <row r="421" spans="1:1" x14ac:dyDescent="0.3">
      <c r="A421" s="60" t="s">
        <v>187</v>
      </c>
    </row>
  </sheetData>
  <mergeCells count="573">
    <mergeCell ref="G132:H132"/>
    <mergeCell ref="A92:B92"/>
    <mergeCell ref="B321:H321"/>
    <mergeCell ref="E97:F106"/>
    <mergeCell ref="A104:B104"/>
    <mergeCell ref="E68:F68"/>
    <mergeCell ref="A61:C61"/>
    <mergeCell ref="D61:H61"/>
    <mergeCell ref="A64:C64"/>
    <mergeCell ref="D64:H64"/>
    <mergeCell ref="A62:C62"/>
    <mergeCell ref="D62:H62"/>
    <mergeCell ref="G82:H82"/>
    <mergeCell ref="A83:B83"/>
    <mergeCell ref="E83:F92"/>
    <mergeCell ref="A63:C63"/>
    <mergeCell ref="D63:H63"/>
    <mergeCell ref="A69:B69"/>
    <mergeCell ref="G68:H68"/>
    <mergeCell ref="A65:B65"/>
    <mergeCell ref="A106:B106"/>
    <mergeCell ref="A86:B86"/>
    <mergeCell ref="G83:H92"/>
    <mergeCell ref="A84:B84"/>
    <mergeCell ref="A85:B85"/>
    <mergeCell ref="A91:B91"/>
    <mergeCell ref="A117:B117"/>
    <mergeCell ref="A118:B118"/>
    <mergeCell ref="A119:B119"/>
    <mergeCell ref="A107:B107"/>
    <mergeCell ref="A89:B89"/>
    <mergeCell ref="A90:B90"/>
    <mergeCell ref="A110:B110"/>
    <mergeCell ref="E110:F110"/>
    <mergeCell ref="G110:H110"/>
    <mergeCell ref="G111:H120"/>
    <mergeCell ref="A130:B130"/>
    <mergeCell ref="C130:D130"/>
    <mergeCell ref="G130:H130"/>
    <mergeCell ref="A114:B114"/>
    <mergeCell ref="A120:B120"/>
    <mergeCell ref="A125:E125"/>
    <mergeCell ref="F125:H125"/>
    <mergeCell ref="A126:E126"/>
    <mergeCell ref="F126:H126"/>
    <mergeCell ref="A40:D40"/>
    <mergeCell ref="E40:H40"/>
    <mergeCell ref="E41:H41"/>
    <mergeCell ref="E42:H42"/>
    <mergeCell ref="D57:H57"/>
    <mergeCell ref="C45:E45"/>
    <mergeCell ref="A54:C57"/>
    <mergeCell ref="A327:H327"/>
    <mergeCell ref="A284:B284"/>
    <mergeCell ref="A324:H324"/>
    <mergeCell ref="G296:H296"/>
    <mergeCell ref="A279:B279"/>
    <mergeCell ref="A138:B138"/>
    <mergeCell ref="G227:H227"/>
    <mergeCell ref="A101:B101"/>
    <mergeCell ref="A102:B102"/>
    <mergeCell ref="A103:B103"/>
    <mergeCell ref="F122:H122"/>
    <mergeCell ref="A121:H121"/>
    <mergeCell ref="G131:H131"/>
    <mergeCell ref="A275:B275"/>
    <mergeCell ref="A276:B276"/>
    <mergeCell ref="A277:B277"/>
    <mergeCell ref="A112:B112"/>
    <mergeCell ref="E39:H39"/>
    <mergeCell ref="A39:D39"/>
    <mergeCell ref="A93:B93"/>
    <mergeCell ref="C93:H93"/>
    <mergeCell ref="A74:B74"/>
    <mergeCell ref="A45:B45"/>
    <mergeCell ref="A73:B73"/>
    <mergeCell ref="A70:B70"/>
    <mergeCell ref="A72:B72"/>
    <mergeCell ref="D53:H53"/>
    <mergeCell ref="A53:C53"/>
    <mergeCell ref="G46:H46"/>
    <mergeCell ref="A47:B48"/>
    <mergeCell ref="A75:B75"/>
    <mergeCell ref="A68:B68"/>
    <mergeCell ref="A71:B71"/>
    <mergeCell ref="A76:B76"/>
    <mergeCell ref="A60:C60"/>
    <mergeCell ref="D60:H60"/>
    <mergeCell ref="C67:H67"/>
    <mergeCell ref="G45:H45"/>
    <mergeCell ref="G47:H47"/>
    <mergeCell ref="D51:H51"/>
    <mergeCell ref="C47:E47"/>
    <mergeCell ref="G143:H143"/>
    <mergeCell ref="G144:H144"/>
    <mergeCell ref="G133:H133"/>
    <mergeCell ref="C134:D134"/>
    <mergeCell ref="E134:F134"/>
    <mergeCell ref="G134:H134"/>
    <mergeCell ref="C135:D135"/>
    <mergeCell ref="E135:F135"/>
    <mergeCell ref="C140:D140"/>
    <mergeCell ref="E140:F140"/>
    <mergeCell ref="G140:H140"/>
    <mergeCell ref="G135:H135"/>
    <mergeCell ref="G49:H49"/>
    <mergeCell ref="C48:H48"/>
    <mergeCell ref="D55:H55"/>
    <mergeCell ref="A139:A140"/>
    <mergeCell ref="G139:H139"/>
    <mergeCell ref="A67:B67"/>
    <mergeCell ref="C132:D132"/>
    <mergeCell ref="E132:F132"/>
    <mergeCell ref="A98:B98"/>
    <mergeCell ref="A99:B99"/>
    <mergeCell ref="A100:B100"/>
    <mergeCell ref="E130:F130"/>
    <mergeCell ref="A111:B111"/>
    <mergeCell ref="E111:F120"/>
    <mergeCell ref="A105:B105"/>
    <mergeCell ref="C133:D133"/>
    <mergeCell ref="E133:F133"/>
    <mergeCell ref="A95:B95"/>
    <mergeCell ref="C95:H95"/>
    <mergeCell ref="A96:B96"/>
    <mergeCell ref="E96:F96"/>
    <mergeCell ref="A87:B87"/>
    <mergeCell ref="A88:B88"/>
    <mergeCell ref="C109:H109"/>
    <mergeCell ref="B313:H313"/>
    <mergeCell ref="B314:H314"/>
    <mergeCell ref="A169:B169"/>
    <mergeCell ref="B312:H312"/>
    <mergeCell ref="G305:H305"/>
    <mergeCell ref="B309:H309"/>
    <mergeCell ref="A274:B274"/>
    <mergeCell ref="A269:H269"/>
    <mergeCell ref="A270:H270"/>
    <mergeCell ref="A271:H271"/>
    <mergeCell ref="A272:B272"/>
    <mergeCell ref="A273:B273"/>
    <mergeCell ref="A286:B286"/>
    <mergeCell ref="B307:H307"/>
    <mergeCell ref="B308:H308"/>
    <mergeCell ref="B310:H310"/>
    <mergeCell ref="B311:H311"/>
    <mergeCell ref="G300:H300"/>
    <mergeCell ref="G288:H288"/>
    <mergeCell ref="A241:B241"/>
    <mergeCell ref="A250:B250"/>
    <mergeCell ref="A248:B248"/>
    <mergeCell ref="A306:H306"/>
    <mergeCell ref="G295:H295"/>
    <mergeCell ref="A292:H292"/>
    <mergeCell ref="A285:H285"/>
    <mergeCell ref="C139:D139"/>
    <mergeCell ref="E139:F139"/>
    <mergeCell ref="A131:A132"/>
    <mergeCell ref="E138:F138"/>
    <mergeCell ref="C131:D131"/>
    <mergeCell ref="E131:F131"/>
    <mergeCell ref="C138:D138"/>
    <mergeCell ref="G138:H138"/>
    <mergeCell ref="A261:H261"/>
    <mergeCell ref="A257:B257"/>
    <mergeCell ref="A258:B258"/>
    <mergeCell ref="A254:B254"/>
    <mergeCell ref="A255:B255"/>
    <mergeCell ref="G284:H284"/>
    <mergeCell ref="A296:B296"/>
    <mergeCell ref="A297:B297"/>
    <mergeCell ref="A290:B290"/>
    <mergeCell ref="A289:B289"/>
    <mergeCell ref="C143:D143"/>
    <mergeCell ref="E143:F143"/>
    <mergeCell ref="A322:H322"/>
    <mergeCell ref="A323:H323"/>
    <mergeCell ref="G281:H281"/>
    <mergeCell ref="G294:H294"/>
    <mergeCell ref="A287:B287"/>
    <mergeCell ref="A146:H146"/>
    <mergeCell ref="G280:H280"/>
    <mergeCell ref="C141:D141"/>
    <mergeCell ref="E141:F141"/>
    <mergeCell ref="G141:H141"/>
    <mergeCell ref="C142:D142"/>
    <mergeCell ref="E142:F142"/>
    <mergeCell ref="G142:H142"/>
    <mergeCell ref="A141:A143"/>
    <mergeCell ref="C144:D144"/>
    <mergeCell ref="E144:F144"/>
    <mergeCell ref="G303:H303"/>
    <mergeCell ref="A186:B186"/>
    <mergeCell ref="A302:B302"/>
    <mergeCell ref="G302:H302"/>
    <mergeCell ref="G301:H301"/>
    <mergeCell ref="A299:H299"/>
    <mergeCell ref="G282:H282"/>
    <mergeCell ref="G279:H279"/>
    <mergeCell ref="A300:B300"/>
    <mergeCell ref="A301:B301"/>
    <mergeCell ref="A330:H333"/>
    <mergeCell ref="A329:B329"/>
    <mergeCell ref="E329:F329"/>
    <mergeCell ref="C329:D329"/>
    <mergeCell ref="G329:H329"/>
    <mergeCell ref="A129:H129"/>
    <mergeCell ref="A127:E127"/>
    <mergeCell ref="F127:H127"/>
    <mergeCell ref="A128:E128"/>
    <mergeCell ref="F128:H128"/>
    <mergeCell ref="A278:H278"/>
    <mergeCell ref="A288:B288"/>
    <mergeCell ref="A325:H325"/>
    <mergeCell ref="A137:H137"/>
    <mergeCell ref="A328:H328"/>
    <mergeCell ref="A326:H326"/>
    <mergeCell ref="A136:B136"/>
    <mergeCell ref="C136:D136"/>
    <mergeCell ref="E136:F136"/>
    <mergeCell ref="G136:H136"/>
    <mergeCell ref="A304:B304"/>
    <mergeCell ref="G304:H304"/>
    <mergeCell ref="A305:B305"/>
    <mergeCell ref="A303:B303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37:H37"/>
    <mergeCell ref="C33:E33"/>
    <mergeCell ref="A36:B36"/>
    <mergeCell ref="C36:H36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G272:H277"/>
    <mergeCell ref="A38:D38"/>
    <mergeCell ref="E38:H38"/>
    <mergeCell ref="E43:H43"/>
    <mergeCell ref="A41:D41"/>
    <mergeCell ref="A42:D42"/>
    <mergeCell ref="A43:D43"/>
    <mergeCell ref="A44:H44"/>
    <mergeCell ref="D54:H54"/>
    <mergeCell ref="D56:H56"/>
    <mergeCell ref="C46:E46"/>
    <mergeCell ref="A49:B49"/>
    <mergeCell ref="C49:E49"/>
    <mergeCell ref="A46:B46"/>
    <mergeCell ref="A50:H50"/>
    <mergeCell ref="A51:C51"/>
    <mergeCell ref="A52:C52"/>
    <mergeCell ref="A144:B144"/>
    <mergeCell ref="A133:A135"/>
    <mergeCell ref="G96:H96"/>
    <mergeCell ref="A97:B97"/>
    <mergeCell ref="C107:H107"/>
    <mergeCell ref="A109:B109"/>
    <mergeCell ref="D52:H52"/>
    <mergeCell ref="A201:B201"/>
    <mergeCell ref="A196:H196"/>
    <mergeCell ref="A197:H197"/>
    <mergeCell ref="A198:H198"/>
    <mergeCell ref="A199:B199"/>
    <mergeCell ref="A153:B153"/>
    <mergeCell ref="A163:H163"/>
    <mergeCell ref="G234:H241"/>
    <mergeCell ref="G245:H250"/>
    <mergeCell ref="A245:B245"/>
    <mergeCell ref="A247:B247"/>
    <mergeCell ref="A226:H226"/>
    <mergeCell ref="A220:B220"/>
    <mergeCell ref="A221:B221"/>
    <mergeCell ref="A222:B222"/>
    <mergeCell ref="A223:B223"/>
    <mergeCell ref="G216:H225"/>
    <mergeCell ref="G231:H232"/>
    <mergeCell ref="A242:H242"/>
    <mergeCell ref="A235:B235"/>
    <mergeCell ref="A236:B236"/>
    <mergeCell ref="A237:B237"/>
    <mergeCell ref="A145:H145"/>
    <mergeCell ref="G286:H286"/>
    <mergeCell ref="A175:B175"/>
    <mergeCell ref="A156:B156"/>
    <mergeCell ref="A239:B239"/>
    <mergeCell ref="A240:B240"/>
    <mergeCell ref="A167:B167"/>
    <mergeCell ref="A168:B168"/>
    <mergeCell ref="A249:B249"/>
    <mergeCell ref="A189:B189"/>
    <mergeCell ref="A161:H161"/>
    <mergeCell ref="A162:H162"/>
    <mergeCell ref="A171:B171"/>
    <mergeCell ref="A195:B195"/>
    <mergeCell ref="A246:B246"/>
    <mergeCell ref="A194:B194"/>
    <mergeCell ref="A177:B177"/>
    <mergeCell ref="A256:B256"/>
    <mergeCell ref="A176:B176"/>
    <mergeCell ref="A262:H262"/>
    <mergeCell ref="A263:B263"/>
    <mergeCell ref="A259:B259"/>
    <mergeCell ref="G254:H259"/>
    <mergeCell ref="A160:B160"/>
    <mergeCell ref="A59:C59"/>
    <mergeCell ref="D58:H58"/>
    <mergeCell ref="E69:F78"/>
    <mergeCell ref="G69:H78"/>
    <mergeCell ref="A77:B77"/>
    <mergeCell ref="A78:B78"/>
    <mergeCell ref="A124:E124"/>
    <mergeCell ref="F124:H124"/>
    <mergeCell ref="A122:E122"/>
    <mergeCell ref="C65:H65"/>
    <mergeCell ref="A58:C58"/>
    <mergeCell ref="A123:E123"/>
    <mergeCell ref="F123:H123"/>
    <mergeCell ref="D59:H59"/>
    <mergeCell ref="A79:B79"/>
    <mergeCell ref="C79:H79"/>
    <mergeCell ref="A81:B81"/>
    <mergeCell ref="C81:H81"/>
    <mergeCell ref="A82:B82"/>
    <mergeCell ref="E82:F82"/>
    <mergeCell ref="A113:B113"/>
    <mergeCell ref="A115:B115"/>
    <mergeCell ref="A116:B116"/>
    <mergeCell ref="G97:H106"/>
    <mergeCell ref="G147:H147"/>
    <mergeCell ref="A148:H148"/>
    <mergeCell ref="L151:M151"/>
    <mergeCell ref="A152:B152"/>
    <mergeCell ref="L152:M152"/>
    <mergeCell ref="G151:H160"/>
    <mergeCell ref="L158:M158"/>
    <mergeCell ref="L159:M159"/>
    <mergeCell ref="L160:M160"/>
    <mergeCell ref="L153:M153"/>
    <mergeCell ref="A154:B154"/>
    <mergeCell ref="L154:M154"/>
    <mergeCell ref="A155:B155"/>
    <mergeCell ref="L155:M155"/>
    <mergeCell ref="L156:M156"/>
    <mergeCell ref="A157:B157"/>
    <mergeCell ref="L157:M157"/>
    <mergeCell ref="A158:B158"/>
    <mergeCell ref="A159:B159"/>
    <mergeCell ref="A149:H149"/>
    <mergeCell ref="A150:H150"/>
    <mergeCell ref="A151:B151"/>
    <mergeCell ref="L173:M173"/>
    <mergeCell ref="A174:B174"/>
    <mergeCell ref="L174:M174"/>
    <mergeCell ref="L168:M168"/>
    <mergeCell ref="L167:M167"/>
    <mergeCell ref="L166:M166"/>
    <mergeCell ref="G164:H178"/>
    <mergeCell ref="L175:M175"/>
    <mergeCell ref="L176:M176"/>
    <mergeCell ref="L171:M171"/>
    <mergeCell ref="A172:B172"/>
    <mergeCell ref="L172:M172"/>
    <mergeCell ref="A166:B166"/>
    <mergeCell ref="L170:M170"/>
    <mergeCell ref="L169:M169"/>
    <mergeCell ref="A170:B170"/>
    <mergeCell ref="A173:B173"/>
    <mergeCell ref="L165:M165"/>
    <mergeCell ref="L164:M164"/>
    <mergeCell ref="A164:B164"/>
    <mergeCell ref="A165:B165"/>
    <mergeCell ref="L199:M199"/>
    <mergeCell ref="A200:B200"/>
    <mergeCell ref="L200:M200"/>
    <mergeCell ref="G199:H212"/>
    <mergeCell ref="A209:B209"/>
    <mergeCell ref="L209:M209"/>
    <mergeCell ref="A210:B210"/>
    <mergeCell ref="L177:M177"/>
    <mergeCell ref="A178:B178"/>
    <mergeCell ref="L178:M178"/>
    <mergeCell ref="L194:M194"/>
    <mergeCell ref="L186:M186"/>
    <mergeCell ref="L187:M187"/>
    <mergeCell ref="A188:B188"/>
    <mergeCell ref="L188:M188"/>
    <mergeCell ref="A179:H179"/>
    <mergeCell ref="A180:H180"/>
    <mergeCell ref="A181:H181"/>
    <mergeCell ref="A184:B184"/>
    <mergeCell ref="L184:M184"/>
    <mergeCell ref="A185:B185"/>
    <mergeCell ref="L185:M185"/>
    <mergeCell ref="A182:B182"/>
    <mergeCell ref="L182:M182"/>
    <mergeCell ref="L183:M183"/>
    <mergeCell ref="G182:H195"/>
    <mergeCell ref="L189:M189"/>
    <mergeCell ref="A190:B190"/>
    <mergeCell ref="L190:M190"/>
    <mergeCell ref="A191:B191"/>
    <mergeCell ref="L191:M191"/>
    <mergeCell ref="A192:B192"/>
    <mergeCell ref="L192:M192"/>
    <mergeCell ref="L195:M195"/>
    <mergeCell ref="L193:M193"/>
    <mergeCell ref="A183:B183"/>
    <mergeCell ref="A193:B193"/>
    <mergeCell ref="A187:B187"/>
    <mergeCell ref="L201:M201"/>
    <mergeCell ref="A202:B202"/>
    <mergeCell ref="A230:H230"/>
    <mergeCell ref="L202:M202"/>
    <mergeCell ref="A203:B203"/>
    <mergeCell ref="L203:M203"/>
    <mergeCell ref="L216:M216"/>
    <mergeCell ref="L217:M217"/>
    <mergeCell ref="L218:M218"/>
    <mergeCell ref="L219:M219"/>
    <mergeCell ref="L220:M220"/>
    <mergeCell ref="L221:M221"/>
    <mergeCell ref="L222:M222"/>
    <mergeCell ref="L207:M207"/>
    <mergeCell ref="A208:B208"/>
    <mergeCell ref="L208:M208"/>
    <mergeCell ref="A204:B204"/>
    <mergeCell ref="L204:M204"/>
    <mergeCell ref="L205:M205"/>
    <mergeCell ref="A206:B206"/>
    <mergeCell ref="L206:M206"/>
    <mergeCell ref="A207:B207"/>
    <mergeCell ref="L210:M210"/>
    <mergeCell ref="A211:B211"/>
    <mergeCell ref="L211:M211"/>
    <mergeCell ref="A212:B212"/>
    <mergeCell ref="L212:M212"/>
    <mergeCell ref="A205:B205"/>
    <mergeCell ref="B320:D320"/>
    <mergeCell ref="E315:H315"/>
    <mergeCell ref="E316:H316"/>
    <mergeCell ref="E317:H317"/>
    <mergeCell ref="E318:H318"/>
    <mergeCell ref="E319:H319"/>
    <mergeCell ref="E320:H320"/>
    <mergeCell ref="L223:M223"/>
    <mergeCell ref="L224:M224"/>
    <mergeCell ref="A224:B224"/>
    <mergeCell ref="A231:B231"/>
    <mergeCell ref="A232:B232"/>
    <mergeCell ref="A228:H228"/>
    <mergeCell ref="A229:H229"/>
    <mergeCell ref="L225:M225"/>
    <mergeCell ref="A243:H243"/>
    <mergeCell ref="A244:H244"/>
    <mergeCell ref="A238:B238"/>
    <mergeCell ref="A233:H233"/>
    <mergeCell ref="A234:B234"/>
    <mergeCell ref="A268:B268"/>
    <mergeCell ref="A213:H213"/>
    <mergeCell ref="A214:H214"/>
    <mergeCell ref="A264:B264"/>
    <mergeCell ref="A265:B265"/>
    <mergeCell ref="A266:B266"/>
    <mergeCell ref="G263:H268"/>
    <mergeCell ref="A260:H260"/>
    <mergeCell ref="A225:B225"/>
    <mergeCell ref="A215:H215"/>
    <mergeCell ref="A216:B216"/>
    <mergeCell ref="A217:B217"/>
    <mergeCell ref="A218:B218"/>
    <mergeCell ref="A219:B219"/>
    <mergeCell ref="A267:B267"/>
    <mergeCell ref="A251:H251"/>
    <mergeCell ref="A252:H252"/>
    <mergeCell ref="A253:H253"/>
    <mergeCell ref="B316:D316"/>
    <mergeCell ref="B317:D317"/>
    <mergeCell ref="B318:D318"/>
    <mergeCell ref="B319:D319"/>
    <mergeCell ref="L278:M278"/>
    <mergeCell ref="A298:B298"/>
    <mergeCell ref="G298:H298"/>
    <mergeCell ref="A283:B283"/>
    <mergeCell ref="A315:A320"/>
    <mergeCell ref="B315:D315"/>
    <mergeCell ref="A280:B280"/>
    <mergeCell ref="A281:B281"/>
    <mergeCell ref="A293:B293"/>
    <mergeCell ref="A294:B294"/>
    <mergeCell ref="A295:B295"/>
    <mergeCell ref="A282:B282"/>
    <mergeCell ref="A291:B291"/>
    <mergeCell ref="G283:H283"/>
    <mergeCell ref="G290:H290"/>
    <mergeCell ref="G289:H289"/>
    <mergeCell ref="G291:H291"/>
    <mergeCell ref="G297:H297"/>
    <mergeCell ref="G293:H293"/>
    <mergeCell ref="G287:H287"/>
  </mergeCells>
  <hyperlinks>
    <hyperlink ref="C36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06" max="16383" man="1"/>
    <brk id="333" max="16383" man="1"/>
    <brk id="376" max="16383" man="1"/>
    <brk id="41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4" zoomScale="85" zoomScaleNormal="85" workbookViewId="0">
      <selection activeCell="B32" sqref="B32"/>
    </sheetView>
  </sheetViews>
  <sheetFormatPr defaultColWidth="8.6640625" defaultRowHeight="14.4" x14ac:dyDescent="0.3"/>
  <cols>
    <col min="1" max="1" width="8.6640625" style="13"/>
    <col min="2" max="2" width="22.109375" style="13" customWidth="1"/>
    <col min="3" max="3" width="37" style="13" customWidth="1"/>
    <col min="4" max="5" width="11.44140625" style="13" customWidth="1"/>
    <col min="6" max="6" width="14" style="13" customWidth="1"/>
    <col min="7" max="7" width="20" style="13" customWidth="1"/>
    <col min="8" max="8" width="16.44140625" style="13" customWidth="1"/>
    <col min="9" max="16384" width="8.6640625" style="13"/>
  </cols>
  <sheetData>
    <row r="1" spans="1:9" ht="15" customHeight="1" x14ac:dyDescent="0.3"/>
    <row r="2" spans="1:9" ht="15" customHeight="1" x14ac:dyDescent="0.3">
      <c r="A2" s="14"/>
      <c r="B2" s="14"/>
      <c r="C2" s="14"/>
      <c r="D2" s="14"/>
      <c r="E2" s="14"/>
      <c r="F2" s="14"/>
      <c r="G2" s="14"/>
      <c r="H2" s="14"/>
    </row>
    <row r="3" spans="1:9" ht="15.75" customHeight="1" x14ac:dyDescent="0.3">
      <c r="A3" s="14"/>
      <c r="B3" s="179" t="s">
        <v>111</v>
      </c>
      <c r="C3" s="179"/>
      <c r="D3" s="179"/>
      <c r="E3" s="179"/>
      <c r="F3" s="179"/>
      <c r="G3" s="179"/>
      <c r="H3" s="179"/>
    </row>
    <row r="4" spans="1:9" x14ac:dyDescent="0.3">
      <c r="A4" s="14"/>
      <c r="B4" s="15" t="s">
        <v>112</v>
      </c>
      <c r="C4" s="15" t="s">
        <v>113</v>
      </c>
      <c r="D4" s="15" t="s">
        <v>75</v>
      </c>
      <c r="E4" s="15" t="s">
        <v>114</v>
      </c>
      <c r="F4" s="15" t="s">
        <v>120</v>
      </c>
      <c r="G4" s="15" t="s">
        <v>121</v>
      </c>
      <c r="H4" s="15" t="s">
        <v>115</v>
      </c>
    </row>
    <row r="5" spans="1:9" ht="15" customHeight="1" x14ac:dyDescent="0.3">
      <c r="A5" s="14"/>
      <c r="B5" s="17" t="s">
        <v>116</v>
      </c>
      <c r="C5" s="18"/>
      <c r="D5" s="17"/>
      <c r="E5" s="17"/>
      <c r="F5" s="19">
        <f>E5*1.6</f>
        <v>0</v>
      </c>
      <c r="G5" s="19" t="e">
        <f>H5/F5</f>
        <v>#DIV/0!</v>
      </c>
      <c r="H5" s="20"/>
    </row>
    <row r="6" spans="1:9" x14ac:dyDescent="0.3">
      <c r="A6" s="14"/>
      <c r="B6" s="17" t="s">
        <v>116</v>
      </c>
      <c r="C6" s="21"/>
      <c r="D6" s="17"/>
      <c r="E6" s="17"/>
      <c r="F6" s="19">
        <f t="shared" ref="F6:F11" si="0">E6*1.6</f>
        <v>0</v>
      </c>
      <c r="G6" s="19" t="e">
        <f t="shared" ref="G6:G11" si="1">H6/F6</f>
        <v>#DIV/0!</v>
      </c>
      <c r="H6" s="20"/>
    </row>
    <row r="7" spans="1:9" ht="15" customHeight="1" x14ac:dyDescent="0.3">
      <c r="A7" s="14"/>
      <c r="B7" s="17" t="s">
        <v>116</v>
      </c>
      <c r="C7" s="18"/>
      <c r="D7" s="17"/>
      <c r="E7" s="17"/>
      <c r="F7" s="19">
        <f t="shared" si="0"/>
        <v>0</v>
      </c>
      <c r="G7" s="19" t="e">
        <f t="shared" si="1"/>
        <v>#DIV/0!</v>
      </c>
      <c r="H7" s="20"/>
    </row>
    <row r="8" spans="1:9" x14ac:dyDescent="0.3">
      <c r="A8" s="14"/>
      <c r="B8" s="17" t="s">
        <v>116</v>
      </c>
      <c r="C8" s="21"/>
      <c r="D8" s="17"/>
      <c r="E8" s="17"/>
      <c r="F8" s="19">
        <f t="shared" si="0"/>
        <v>0</v>
      </c>
      <c r="G8" s="19" t="e">
        <f t="shared" si="1"/>
        <v>#DIV/0!</v>
      </c>
      <c r="H8" s="20"/>
    </row>
    <row r="9" spans="1:9" ht="15" customHeight="1" x14ac:dyDescent="0.3">
      <c r="A9" s="14"/>
      <c r="B9" s="17" t="s">
        <v>116</v>
      </c>
      <c r="C9" s="21"/>
      <c r="D9" s="17"/>
      <c r="E9" s="17"/>
      <c r="F9" s="19">
        <f t="shared" si="0"/>
        <v>0</v>
      </c>
      <c r="G9" s="19" t="e">
        <f t="shared" si="1"/>
        <v>#DIV/0!</v>
      </c>
      <c r="H9" s="20"/>
    </row>
    <row r="10" spans="1:9" ht="15" customHeight="1" x14ac:dyDescent="0.3">
      <c r="A10" s="14"/>
      <c r="B10" s="17" t="s">
        <v>117</v>
      </c>
      <c r="C10" s="18"/>
      <c r="D10" s="17"/>
      <c r="E10" s="17"/>
      <c r="F10" s="19">
        <f t="shared" si="0"/>
        <v>0</v>
      </c>
      <c r="G10" s="19" t="e">
        <f t="shared" si="1"/>
        <v>#DIV/0!</v>
      </c>
      <c r="H10" s="20"/>
    </row>
    <row r="11" spans="1:9" ht="15" customHeight="1" x14ac:dyDescent="0.3">
      <c r="A11" s="14"/>
      <c r="B11" s="17" t="s">
        <v>117</v>
      </c>
      <c r="C11" s="18"/>
      <c r="D11" s="17"/>
      <c r="E11" s="17"/>
      <c r="F11" s="19">
        <f t="shared" si="0"/>
        <v>0</v>
      </c>
      <c r="G11" s="19" t="e">
        <f t="shared" si="1"/>
        <v>#DIV/0!</v>
      </c>
      <c r="H11" s="20"/>
    </row>
    <row r="12" spans="1:9" ht="15" customHeight="1" x14ac:dyDescent="0.3">
      <c r="A12" s="14"/>
      <c r="B12" s="22" t="s">
        <v>118</v>
      </c>
      <c r="C12" s="17"/>
      <c r="D12" s="17"/>
      <c r="E12" s="17"/>
      <c r="F12" s="17"/>
      <c r="G12" s="23" t="e">
        <f>AVERAGE(G5:G11)</f>
        <v>#DIV/0!</v>
      </c>
      <c r="H12" s="17"/>
    </row>
    <row r="13" spans="1:9" ht="15" customHeight="1" x14ac:dyDescent="0.3">
      <c r="B13" s="22" t="s">
        <v>119</v>
      </c>
      <c r="C13" s="17"/>
      <c r="D13" s="17"/>
      <c r="E13" s="17"/>
      <c r="F13" s="24"/>
      <c r="G13" s="22"/>
      <c r="H13" s="22"/>
      <c r="I13" s="16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2025-08-18T15:14:55Z</cp:lastPrinted>
  <dcterms:created xsi:type="dcterms:W3CDTF">2019-07-16T09:29:46Z</dcterms:created>
  <dcterms:modified xsi:type="dcterms:W3CDTF">2025-08-18T15:14:56Z</dcterms:modified>
</cp:coreProperties>
</file>