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DB54E4F6-7B39-4763-9896-F300B1286B1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Sheet1" sheetId="9" r:id="rId2"/>
    <sheet name="valuation" sheetId="5" r:id="rId3"/>
    <sheet name="Note" sheetId="4" r:id="rId4"/>
  </sheets>
  <definedNames>
    <definedName name="_xlnm.Print_Area" localSheetId="0">Report!$A$1:$H$472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K89" i="1" l="1"/>
  <c r="K88" i="1"/>
  <c r="K87" i="1"/>
  <c r="K86" i="1"/>
  <c r="H79" i="1"/>
  <c r="K83" i="1" l="1"/>
  <c r="C82" i="1" s="1"/>
  <c r="D82" i="1" s="1"/>
  <c r="K82" i="1"/>
  <c r="D90" i="1"/>
  <c r="D86" i="1"/>
  <c r="D89" i="1"/>
  <c r="D85" i="1"/>
  <c r="K84" i="1"/>
  <c r="K85" i="1" s="1"/>
  <c r="K90" i="1" s="1"/>
  <c r="K91" i="1" s="1"/>
  <c r="D88" i="1"/>
  <c r="D84" i="1"/>
  <c r="K81" i="1"/>
  <c r="D91" i="1"/>
  <c r="D87" i="1"/>
  <c r="D83" i="1"/>
  <c r="K117" i="1"/>
  <c r="K116" i="1"/>
  <c r="K115" i="1"/>
  <c r="K114" i="1"/>
  <c r="E3" i="1"/>
  <c r="H107" i="1"/>
  <c r="I78" i="1" l="1"/>
  <c r="C80" i="1" s="1"/>
  <c r="E82" i="1" s="1"/>
  <c r="G82" i="1"/>
  <c r="D119" i="1"/>
  <c r="D117" i="1"/>
  <c r="D115" i="1"/>
  <c r="D113" i="1"/>
  <c r="K112" i="1"/>
  <c r="K113" i="1" s="1"/>
  <c r="K118" i="1" s="1"/>
  <c r="K119" i="1" s="1"/>
  <c r="C111" i="1" s="1"/>
  <c r="D111" i="1" s="1"/>
  <c r="D118" i="1"/>
  <c r="D116" i="1"/>
  <c r="D114" i="1"/>
  <c r="D112" i="1"/>
  <c r="K110" i="1"/>
  <c r="K111" i="1"/>
  <c r="C110" i="1" s="1"/>
  <c r="K109" i="1"/>
  <c r="K75" i="1"/>
  <c r="K74" i="1"/>
  <c r="K73" i="1"/>
  <c r="K72" i="1"/>
  <c r="H65" i="1"/>
  <c r="D74" i="1" l="1"/>
  <c r="G110" i="1"/>
  <c r="D110" i="1"/>
  <c r="I106" i="1" s="1"/>
  <c r="C108" i="1" s="1"/>
  <c r="E110" i="1" s="1"/>
  <c r="K70" i="1"/>
  <c r="K71" i="1" s="1"/>
  <c r="K76" i="1" s="1"/>
  <c r="K69" i="1"/>
  <c r="C68" i="1" s="1"/>
  <c r="D68" i="1" s="1"/>
  <c r="K67" i="1"/>
  <c r="D77" i="1"/>
  <c r="D76" i="1"/>
  <c r="D75" i="1"/>
  <c r="D73" i="1"/>
  <c r="D72" i="1"/>
  <c r="D71" i="1"/>
  <c r="D70" i="1"/>
  <c r="K68" i="1"/>
  <c r="K103" i="1"/>
  <c r="K102" i="1"/>
  <c r="K101" i="1"/>
  <c r="K100" i="1"/>
  <c r="H93" i="1"/>
  <c r="D69" i="1" l="1"/>
  <c r="K77" i="1"/>
  <c r="I64" i="1" s="1"/>
  <c r="C66" i="1" s="1"/>
  <c r="E68" i="1" s="1"/>
  <c r="G68" i="1"/>
  <c r="K98" i="1"/>
  <c r="K99" i="1" s="1"/>
  <c r="K104" i="1" s="1"/>
  <c r="D104" i="1"/>
  <c r="D98" i="1"/>
  <c r="K97" i="1"/>
  <c r="C96" i="1" s="1"/>
  <c r="D103" i="1"/>
  <c r="K95" i="1"/>
  <c r="D105" i="1"/>
  <c r="D99" i="1"/>
  <c r="D101" i="1"/>
  <c r="K96" i="1"/>
  <c r="D100" i="1"/>
  <c r="D102" i="1"/>
  <c r="K105" i="1" l="1"/>
  <c r="C97" i="1" s="1"/>
  <c r="D97" i="1" s="1"/>
  <c r="D96" i="1"/>
  <c r="I92" i="1" l="1"/>
  <c r="C94" i="1" s="1"/>
  <c r="E96" i="1" s="1"/>
  <c r="G96" i="1"/>
  <c r="E275" i="1" l="1"/>
  <c r="D275" i="1"/>
  <c r="E274" i="1"/>
  <c r="D274" i="1"/>
  <c r="E273" i="1"/>
  <c r="D273" i="1"/>
  <c r="E272" i="1"/>
  <c r="D272" i="1"/>
  <c r="E271" i="1"/>
  <c r="D271" i="1"/>
  <c r="D368" i="1"/>
  <c r="F368" i="1" s="1"/>
  <c r="D367" i="1"/>
  <c r="F367" i="1" s="1"/>
  <c r="D366" i="1"/>
  <c r="F366" i="1" s="1"/>
  <c r="D365" i="1"/>
  <c r="F365" i="1" s="1"/>
  <c r="D353" i="1"/>
  <c r="F353" i="1" s="1"/>
  <c r="D352" i="1"/>
  <c r="F352" i="1" s="1"/>
  <c r="D351" i="1"/>
  <c r="D350" i="1"/>
  <c r="D349" i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56" i="1"/>
  <c r="F356" i="1" s="1"/>
  <c r="D355" i="1"/>
  <c r="F355" i="1" s="1"/>
  <c r="G364" i="1"/>
  <c r="A364" i="1"/>
  <c r="A365" i="1" s="1"/>
  <c r="A366" i="1" s="1"/>
  <c r="A367" i="1" s="1"/>
  <c r="A368" i="1" s="1"/>
  <c r="G355" i="1"/>
  <c r="G349" i="1"/>
  <c r="A349" i="1"/>
  <c r="A350" i="1" s="1"/>
  <c r="A351" i="1" s="1"/>
  <c r="A352" i="1" s="1"/>
  <c r="A353" i="1" s="1"/>
  <c r="D301" i="1"/>
  <c r="F301" i="1" s="1"/>
  <c r="D300" i="1"/>
  <c r="F300" i="1" s="1"/>
  <c r="D298" i="1"/>
  <c r="F298" i="1" s="1"/>
  <c r="G297" i="1"/>
  <c r="D297" i="1"/>
  <c r="F297" i="1" s="1"/>
  <c r="A297" i="1"/>
  <c r="A298" i="1" s="1"/>
  <c r="A299" i="1" s="1"/>
  <c r="A300" i="1" s="1"/>
  <c r="A301" i="1" s="1"/>
  <c r="D345" i="1"/>
  <c r="F345" i="1" s="1"/>
  <c r="D344" i="1"/>
  <c r="F344" i="1" s="1"/>
  <c r="G343" i="1"/>
  <c r="A343" i="1"/>
  <c r="A344" i="1" s="1"/>
  <c r="A345" i="1" s="1"/>
  <c r="A346" i="1" s="1"/>
  <c r="D341" i="1"/>
  <c r="F341" i="1" s="1"/>
  <c r="D340" i="1"/>
  <c r="F340" i="1" s="1"/>
  <c r="D338" i="1"/>
  <c r="F338" i="1" s="1"/>
  <c r="D337" i="1"/>
  <c r="D336" i="1"/>
  <c r="F336" i="1" s="1"/>
  <c r="D335" i="1"/>
  <c r="F335" i="1" s="1"/>
  <c r="D333" i="1"/>
  <c r="F333" i="1" s="1"/>
  <c r="D332" i="1"/>
  <c r="F332" i="1" s="1"/>
  <c r="D331" i="1"/>
  <c r="F331" i="1" s="1"/>
  <c r="D330" i="1"/>
  <c r="F330" i="1" s="1"/>
  <c r="D329" i="1"/>
  <c r="F329" i="1" s="1"/>
  <c r="D328" i="1"/>
  <c r="F328" i="1" s="1"/>
  <c r="D327" i="1"/>
  <c r="F327" i="1" s="1"/>
  <c r="D325" i="1"/>
  <c r="F325" i="1" s="1"/>
  <c r="D324" i="1"/>
  <c r="F324" i="1" s="1"/>
  <c r="D323" i="1"/>
  <c r="F323" i="1" s="1"/>
  <c r="D322" i="1"/>
  <c r="F322" i="1" s="1"/>
  <c r="G335" i="1"/>
  <c r="A335" i="1"/>
  <c r="A336" i="1" s="1"/>
  <c r="A337" i="1" s="1"/>
  <c r="A338" i="1" s="1"/>
  <c r="A339" i="1" s="1"/>
  <c r="A340" i="1" s="1"/>
  <c r="A341" i="1" s="1"/>
  <c r="G327" i="1"/>
  <c r="G321" i="1"/>
  <c r="A321" i="1"/>
  <c r="A322" i="1" s="1"/>
  <c r="A323" i="1" s="1"/>
  <c r="A324" i="1" s="1"/>
  <c r="A325" i="1" s="1"/>
  <c r="D318" i="1"/>
  <c r="F318" i="1" s="1"/>
  <c r="D317" i="1"/>
  <c r="F317" i="1" s="1"/>
  <c r="D316" i="1"/>
  <c r="F316" i="1" s="1"/>
  <c r="D315" i="1"/>
  <c r="F315" i="1" s="1"/>
  <c r="D313" i="1"/>
  <c r="F313" i="1" s="1"/>
  <c r="D312" i="1"/>
  <c r="F312" i="1" s="1"/>
  <c r="D311" i="1"/>
  <c r="F311" i="1" s="1"/>
  <c r="D310" i="1"/>
  <c r="F310" i="1" s="1"/>
  <c r="D309" i="1"/>
  <c r="F309" i="1" s="1"/>
  <c r="D307" i="1"/>
  <c r="F307" i="1" s="1"/>
  <c r="E306" i="1"/>
  <c r="D306" i="1"/>
  <c r="E305" i="1"/>
  <c r="D305" i="1"/>
  <c r="E304" i="1"/>
  <c r="D304" i="1"/>
  <c r="G315" i="1"/>
  <c r="A315" i="1"/>
  <c r="A316" i="1" s="1"/>
  <c r="A317" i="1" s="1"/>
  <c r="A318" i="1" s="1"/>
  <c r="G309" i="1"/>
  <c r="G304" i="1"/>
  <c r="A304" i="1"/>
  <c r="A305" i="1" s="1"/>
  <c r="A306" i="1" s="1"/>
  <c r="A307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8" i="1"/>
  <c r="D287" i="1"/>
  <c r="F287" i="1" s="1"/>
  <c r="G287" i="1"/>
  <c r="A287" i="1"/>
  <c r="A288" i="1" s="1"/>
  <c r="A289" i="1" s="1"/>
  <c r="A290" i="1" s="1"/>
  <c r="A291" i="1" s="1"/>
  <c r="A292" i="1" s="1"/>
  <c r="A293" i="1" s="1"/>
  <c r="A294" i="1" s="1"/>
  <c r="A295" i="1" s="1"/>
  <c r="D285" i="1"/>
  <c r="F285" i="1" s="1"/>
  <c r="D284" i="1"/>
  <c r="F284" i="1" s="1"/>
  <c r="D283" i="1"/>
  <c r="F283" i="1" s="1"/>
  <c r="D282" i="1"/>
  <c r="D281" i="1"/>
  <c r="D280" i="1"/>
  <c r="D279" i="1"/>
  <c r="D278" i="1"/>
  <c r="D277" i="1"/>
  <c r="G271" i="1"/>
  <c r="A271" i="1"/>
  <c r="A272" i="1" s="1"/>
  <c r="A273" i="1" s="1"/>
  <c r="A274" i="1" s="1"/>
  <c r="A275" i="1" s="1"/>
  <c r="D268" i="1"/>
  <c r="F268" i="1" s="1"/>
  <c r="D267" i="1"/>
  <c r="F267" i="1" s="1"/>
  <c r="D266" i="1"/>
  <c r="F266" i="1" s="1"/>
  <c r="D265" i="1"/>
  <c r="F265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6" i="1"/>
  <c r="F256" i="1" s="1"/>
  <c r="E255" i="1"/>
  <c r="D255" i="1"/>
  <c r="E254" i="1"/>
  <c r="D254" i="1"/>
  <c r="E253" i="1"/>
  <c r="D253" i="1"/>
  <c r="G265" i="1"/>
  <c r="A265" i="1"/>
  <c r="A266" i="1" s="1"/>
  <c r="A267" i="1" s="1"/>
  <c r="A268" i="1" s="1"/>
  <c r="G258" i="1"/>
  <c r="G253" i="1"/>
  <c r="A253" i="1"/>
  <c r="A254" i="1" s="1"/>
  <c r="A255" i="1" s="1"/>
  <c r="A256" i="1" s="1"/>
  <c r="D247" i="1"/>
  <c r="F247" i="1" s="1"/>
  <c r="D248" i="1"/>
  <c r="F248" i="1" s="1"/>
  <c r="D249" i="1"/>
  <c r="F249" i="1" s="1"/>
  <c r="D250" i="1"/>
  <c r="F250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D235" i="1"/>
  <c r="D234" i="1"/>
  <c r="D233" i="1"/>
  <c r="D232" i="1"/>
  <c r="D231" i="1"/>
  <c r="G246" i="1"/>
  <c r="A246" i="1"/>
  <c r="A247" i="1" s="1"/>
  <c r="A248" i="1" s="1"/>
  <c r="A249" i="1" s="1"/>
  <c r="A250" i="1" s="1"/>
  <c r="G237" i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F216" i="1"/>
  <c r="D200" i="1"/>
  <c r="F200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D172" i="1"/>
  <c r="F172" i="1" s="1"/>
  <c r="A201" i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G200" i="1"/>
  <c r="A173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G172" i="1"/>
  <c r="P327" i="1"/>
  <c r="O327" i="1"/>
  <c r="P309" i="1"/>
  <c r="P258" i="1"/>
  <c r="O237" i="1"/>
  <c r="O309" i="1"/>
  <c r="O355" i="1"/>
  <c r="P237" i="1"/>
  <c r="P355" i="1"/>
  <c r="O258" i="1"/>
  <c r="F272" i="1" l="1"/>
  <c r="F274" i="1"/>
  <c r="F253" i="1"/>
  <c r="F306" i="1"/>
  <c r="C159" i="1"/>
  <c r="E162" i="1"/>
  <c r="E164" i="1"/>
  <c r="E159" i="1"/>
  <c r="C164" i="1"/>
  <c r="E161" i="1"/>
  <c r="F273" i="1"/>
  <c r="F275" i="1"/>
  <c r="F254" i="1"/>
  <c r="F305" i="1"/>
  <c r="F271" i="1"/>
  <c r="C154" i="1"/>
  <c r="C160" i="1"/>
  <c r="E163" i="1"/>
  <c r="F304" i="1"/>
  <c r="C155" i="1"/>
  <c r="C161" i="1"/>
  <c r="E160" i="1"/>
  <c r="G155" i="1"/>
  <c r="G163" i="1"/>
  <c r="C162" i="1"/>
  <c r="E154" i="1"/>
  <c r="C163" i="1"/>
  <c r="E155" i="1"/>
  <c r="F351" i="1"/>
  <c r="F349" i="1"/>
  <c r="F350" i="1"/>
  <c r="O356" i="1"/>
  <c r="N355" i="1"/>
  <c r="A355" i="1" s="1"/>
  <c r="P356" i="1"/>
  <c r="P357" i="1" s="1"/>
  <c r="P358" i="1" s="1"/>
  <c r="P359" i="1" s="1"/>
  <c r="P360" i="1" s="1"/>
  <c r="P361" i="1" s="1"/>
  <c r="P362" i="1" s="1"/>
  <c r="O328" i="1"/>
  <c r="N327" i="1"/>
  <c r="A327" i="1" s="1"/>
  <c r="P328" i="1"/>
  <c r="P329" i="1" s="1"/>
  <c r="P330" i="1" s="1"/>
  <c r="P331" i="1" s="1"/>
  <c r="P332" i="1" s="1"/>
  <c r="P333" i="1" s="1"/>
  <c r="O310" i="1"/>
  <c r="N309" i="1"/>
  <c r="A309" i="1" s="1"/>
  <c r="P310" i="1"/>
  <c r="P311" i="1" s="1"/>
  <c r="P312" i="1" s="1"/>
  <c r="P313" i="1" s="1"/>
  <c r="F288" i="1"/>
  <c r="F255" i="1"/>
  <c r="O259" i="1"/>
  <c r="N258" i="1"/>
  <c r="A258" i="1" s="1"/>
  <c r="P259" i="1"/>
  <c r="P260" i="1" s="1"/>
  <c r="P261" i="1" s="1"/>
  <c r="P262" i="1" s="1"/>
  <c r="P263" i="1" s="1"/>
  <c r="O238" i="1"/>
  <c r="N237" i="1"/>
  <c r="A237" i="1" s="1"/>
  <c r="P238" i="1"/>
  <c r="P239" i="1" s="1"/>
  <c r="P240" i="1" s="1"/>
  <c r="P241" i="1" s="1"/>
  <c r="P242" i="1" s="1"/>
  <c r="P243" i="1" s="1"/>
  <c r="P244" i="1" s="1"/>
  <c r="G162" i="1" l="1"/>
  <c r="G160" i="1"/>
  <c r="E165" i="1"/>
  <c r="C165" i="1"/>
  <c r="G164" i="1"/>
  <c r="E156" i="1"/>
  <c r="C156" i="1"/>
  <c r="O357" i="1"/>
  <c r="N356" i="1"/>
  <c r="A356" i="1" s="1"/>
  <c r="O329" i="1"/>
  <c r="N328" i="1"/>
  <c r="A328" i="1" s="1"/>
  <c r="O311" i="1"/>
  <c r="N310" i="1"/>
  <c r="A310" i="1" s="1"/>
  <c r="O260" i="1"/>
  <c r="N259" i="1"/>
  <c r="A259" i="1" s="1"/>
  <c r="N238" i="1"/>
  <c r="A238" i="1" s="1"/>
  <c r="O239" i="1"/>
  <c r="J156" i="1" l="1"/>
  <c r="O358" i="1"/>
  <c r="N357" i="1"/>
  <c r="A357" i="1" s="1"/>
  <c r="O330" i="1"/>
  <c r="N329" i="1"/>
  <c r="A329" i="1" s="1"/>
  <c r="O312" i="1"/>
  <c r="N311" i="1"/>
  <c r="A311" i="1" s="1"/>
  <c r="O261" i="1"/>
  <c r="N260" i="1"/>
  <c r="A260" i="1" s="1"/>
  <c r="N239" i="1"/>
  <c r="A239" i="1" s="1"/>
  <c r="O240" i="1"/>
  <c r="O359" i="1" l="1"/>
  <c r="N358" i="1"/>
  <c r="A358" i="1" s="1"/>
  <c r="O331" i="1"/>
  <c r="N330" i="1"/>
  <c r="A330" i="1" s="1"/>
  <c r="O313" i="1"/>
  <c r="N312" i="1"/>
  <c r="A312" i="1" s="1"/>
  <c r="N261" i="1"/>
  <c r="A261" i="1" s="1"/>
  <c r="O262" i="1"/>
  <c r="N240" i="1"/>
  <c r="A240" i="1" s="1"/>
  <c r="O241" i="1"/>
  <c r="N359" i="1" l="1"/>
  <c r="A359" i="1" s="1"/>
  <c r="O360" i="1"/>
  <c r="O332" i="1"/>
  <c r="N331" i="1"/>
  <c r="A331" i="1" s="1"/>
  <c r="N313" i="1"/>
  <c r="A313" i="1" s="1"/>
  <c r="O263" i="1"/>
  <c r="N262" i="1"/>
  <c r="A262" i="1" s="1"/>
  <c r="N241" i="1"/>
  <c r="A241" i="1" s="1"/>
  <c r="O242" i="1"/>
  <c r="O361" i="1" l="1"/>
  <c r="N360" i="1"/>
  <c r="A360" i="1" s="1"/>
  <c r="O333" i="1"/>
  <c r="N332" i="1"/>
  <c r="A332" i="1" s="1"/>
  <c r="N263" i="1"/>
  <c r="A263" i="1" s="1"/>
  <c r="N242" i="1"/>
  <c r="A242" i="1" s="1"/>
  <c r="O243" i="1"/>
  <c r="O362" i="1" l="1"/>
  <c r="N361" i="1"/>
  <c r="A361" i="1" s="1"/>
  <c r="N333" i="1"/>
  <c r="A333" i="1" s="1"/>
  <c r="N243" i="1"/>
  <c r="A243" i="1" s="1"/>
  <c r="O244" i="1"/>
  <c r="N244" i="1" s="1"/>
  <c r="A244" i="1" s="1"/>
  <c r="N362" i="1" l="1"/>
  <c r="A362" i="1" s="1"/>
  <c r="Q31" i="9"/>
  <c r="Q30" i="9"/>
  <c r="Q29" i="9"/>
  <c r="Q28" i="9"/>
  <c r="Q15" i="9"/>
  <c r="Q14" i="9"/>
  <c r="Q13" i="9"/>
  <c r="Q8" i="9"/>
  <c r="Q12" i="9"/>
  <c r="Q11" i="9"/>
  <c r="Q10" i="9"/>
  <c r="Q9" i="9"/>
  <c r="Q6" i="9"/>
  <c r="Q5" i="9"/>
  <c r="Q4" i="9"/>
  <c r="Q3" i="9"/>
  <c r="Q2" i="9"/>
  <c r="N31" i="9"/>
  <c r="N30" i="9"/>
  <c r="N24" i="9"/>
  <c r="N23" i="9"/>
  <c r="N21" i="9"/>
  <c r="N20" i="9"/>
  <c r="N19" i="9"/>
  <c r="N18" i="9"/>
  <c r="N14" i="9"/>
  <c r="N13" i="9"/>
  <c r="N8" i="9"/>
  <c r="N12" i="9"/>
  <c r="N11" i="9"/>
  <c r="N10" i="9"/>
  <c r="N9" i="9"/>
  <c r="N6" i="9"/>
  <c r="N5" i="9"/>
  <c r="N4" i="9"/>
  <c r="N3" i="9"/>
  <c r="K31" i="9"/>
  <c r="K30" i="9"/>
  <c r="K29" i="9"/>
  <c r="K28" i="9"/>
  <c r="K12" i="9"/>
  <c r="K10" i="9"/>
  <c r="K9" i="9"/>
  <c r="K8" i="9"/>
  <c r="K11" i="9"/>
  <c r="L4" i="9"/>
  <c r="L3" i="9"/>
  <c r="L2" i="9"/>
  <c r="K5" i="9"/>
  <c r="K4" i="9"/>
  <c r="K3" i="9"/>
  <c r="K2" i="9"/>
  <c r="H32" i="9"/>
  <c r="H31" i="9"/>
  <c r="H29" i="9"/>
  <c r="H28" i="9"/>
  <c r="H26" i="9"/>
  <c r="H25" i="9"/>
  <c r="H24" i="9"/>
  <c r="H23" i="9"/>
  <c r="H22" i="9"/>
  <c r="H21" i="9"/>
  <c r="H19" i="9"/>
  <c r="H18" i="9"/>
  <c r="H16" i="9"/>
  <c r="H15" i="9"/>
  <c r="H14" i="9"/>
  <c r="H13" i="9"/>
  <c r="H12" i="9"/>
  <c r="H11" i="9"/>
  <c r="H10" i="9"/>
  <c r="H9" i="9"/>
  <c r="H8" i="9"/>
  <c r="I6" i="9"/>
  <c r="I5" i="9"/>
  <c r="I4" i="9"/>
  <c r="I3" i="9"/>
  <c r="I2" i="9"/>
  <c r="H6" i="9"/>
  <c r="H5" i="9"/>
  <c r="H4" i="9"/>
  <c r="H3" i="9"/>
  <c r="H2" i="9"/>
  <c r="E31" i="9"/>
  <c r="E30" i="9"/>
  <c r="E29" i="9"/>
  <c r="E28" i="9"/>
  <c r="E13" i="9"/>
  <c r="E12" i="9"/>
  <c r="E11" i="9"/>
  <c r="E10" i="9"/>
  <c r="E9" i="9"/>
  <c r="E8" i="9"/>
  <c r="F4" i="9"/>
  <c r="F3" i="9"/>
  <c r="F2" i="9"/>
  <c r="E5" i="9"/>
  <c r="E4" i="9"/>
  <c r="E3" i="9"/>
  <c r="E2" i="9"/>
  <c r="B31" i="9"/>
  <c r="B30" i="9"/>
  <c r="B29" i="9"/>
  <c r="B28" i="9"/>
  <c r="B15" i="9"/>
  <c r="B14" i="9"/>
  <c r="B13" i="9"/>
  <c r="B12" i="9"/>
  <c r="B11" i="9"/>
  <c r="B10" i="9"/>
  <c r="B9" i="9"/>
  <c r="B8" i="9"/>
  <c r="B6" i="9"/>
  <c r="B5" i="9"/>
  <c r="B4" i="9"/>
  <c r="B3" i="9"/>
  <c r="B2" i="9"/>
  <c r="G47" i="1"/>
  <c r="A371" i="1" l="1"/>
  <c r="A372" i="1" s="1"/>
  <c r="A373" i="1" s="1"/>
  <c r="A376" i="1" l="1"/>
  <c r="A377" i="1" s="1"/>
  <c r="A374" i="1"/>
  <c r="A231" i="1"/>
  <c r="A232" i="1" s="1"/>
  <c r="A233" i="1" s="1"/>
  <c r="A234" i="1" s="1"/>
  <c r="A235" i="1" s="1"/>
  <c r="O277" i="1"/>
  <c r="P277" i="1"/>
  <c r="N277" i="1" l="1"/>
  <c r="H121" i="1"/>
  <c r="D132" i="1" l="1"/>
  <c r="D131" i="1"/>
  <c r="D130" i="1"/>
  <c r="D129" i="1"/>
  <c r="D126" i="1"/>
  <c r="D128" i="1"/>
  <c r="D127" i="1"/>
  <c r="D133" i="1"/>
  <c r="K125" i="1"/>
  <c r="C124" i="1" s="1"/>
  <c r="D124" i="1" s="1"/>
  <c r="K124" i="1"/>
  <c r="K126" i="1"/>
  <c r="K127" i="1" s="1"/>
  <c r="K128" i="1" s="1"/>
  <c r="K129" i="1" s="1"/>
  <c r="K130" i="1" s="1"/>
  <c r="K131" i="1" s="1"/>
  <c r="K123" i="1"/>
  <c r="K132" i="1" l="1"/>
  <c r="K133" i="1" s="1"/>
  <c r="C125" i="1" s="1"/>
  <c r="D125" i="1" s="1"/>
  <c r="G124" i="1" l="1"/>
  <c r="I120" i="1"/>
  <c r="C122" i="1" s="1"/>
  <c r="E124" i="1" s="1"/>
  <c r="E41" i="1" l="1"/>
  <c r="E42" i="1" s="1"/>
  <c r="F282" i="1" l="1"/>
  <c r="F281" i="1"/>
  <c r="F280" i="1"/>
  <c r="F279" i="1"/>
  <c r="F278" i="1"/>
  <c r="F277" i="1"/>
  <c r="F232" i="1"/>
  <c r="F233" i="1"/>
  <c r="F234" i="1"/>
  <c r="F235" i="1"/>
  <c r="F231" i="1"/>
  <c r="D61" i="1"/>
  <c r="G161" i="1" l="1"/>
  <c r="G159" i="1"/>
  <c r="O278" i="1"/>
  <c r="G165" i="1" l="1"/>
  <c r="A277" i="1"/>
  <c r="P278" i="1"/>
  <c r="P279" i="1" s="1"/>
  <c r="P280" i="1" s="1"/>
  <c r="P281" i="1" s="1"/>
  <c r="P282" i="1" s="1"/>
  <c r="P283" i="1" s="1"/>
  <c r="P284" i="1" s="1"/>
  <c r="P285" i="1" s="1"/>
  <c r="O279" i="1"/>
  <c r="G277" i="1"/>
  <c r="G231" i="1"/>
  <c r="E25" i="1"/>
  <c r="E23" i="1"/>
  <c r="N278" i="1" l="1"/>
  <c r="A278" i="1" s="1"/>
  <c r="N279" i="1"/>
  <c r="A279" i="1" s="1"/>
  <c r="O280" i="1"/>
  <c r="N280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A280" i="1" l="1"/>
  <c r="O281" i="1"/>
  <c r="N281" i="1" s="1"/>
  <c r="G12" i="5"/>
  <c r="A281" i="1" l="1"/>
  <c r="O282" i="1"/>
  <c r="N282" i="1" l="1"/>
  <c r="A282" i="1" s="1"/>
  <c r="O283" i="1"/>
  <c r="N283" i="1" l="1"/>
  <c r="A283" i="1" s="1"/>
  <c r="O284" i="1"/>
  <c r="E7" i="1"/>
  <c r="N284" i="1" l="1"/>
  <c r="A284" i="1" s="1"/>
  <c r="O285" i="1"/>
  <c r="D390" i="1"/>
  <c r="F151" i="1"/>
  <c r="C47" i="1"/>
  <c r="D52" i="1"/>
  <c r="N285" i="1" l="1"/>
  <c r="A285" i="1" s="1"/>
  <c r="F173" i="1" l="1"/>
  <c r="G154" i="1" s="1"/>
  <c r="G156" i="1" s="1"/>
</calcChain>
</file>

<file path=xl/sharedStrings.xml><?xml version="1.0" encoding="utf-8"?>
<sst xmlns="http://schemas.openxmlformats.org/spreadsheetml/2006/main" count="656" uniqueCount="254">
  <si>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</si>
  <si>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</si>
  <si>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</si>
  <si>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</si>
  <si>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</si>
  <si>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</si>
  <si>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</si>
  <si>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</si>
  <si>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</si>
  <si>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</si>
  <si>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</si>
  <si>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</si>
  <si>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</si>
  <si>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</si>
  <si>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</si>
  <si>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</si>
  <si>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</si>
  <si>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</si>
  <si>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</si>
  <si>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</si>
  <si>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</si>
  <si>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</si>
  <si>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</si>
  <si>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</si>
  <si>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</si>
  <si>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</si>
  <si>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</si>
  <si>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</si>
  <si>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</si>
  <si>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</si>
  <si>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</si>
  <si>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</si>
  <si>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</si>
  <si>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</si>
  <si>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</si>
  <si>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</si>
  <si>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</si>
  <si>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</si>
  <si>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</si>
  <si>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</si>
  <si>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</si>
  <si>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</si>
  <si>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</si>
  <si>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</si>
  <si>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</si>
  <si>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</si>
  <si>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</si>
  <si>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</si>
  <si>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</si>
  <si>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</si>
  <si>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</si>
  <si>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</si>
  <si>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</si>
  <si>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</si>
  <si>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</si>
  <si>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</si>
  <si>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</si>
  <si>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</si>
  <si>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</si>
  <si>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</si>
  <si>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</si>
  <si>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</si>
  <si>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</si>
  <si>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</si>
  <si>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</si>
  <si>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</si>
  <si>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</si>
  <si>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</si>
  <si>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</si>
  <si>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</si>
  <si>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</si>
  <si>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</si>
  <si>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</si>
  <si>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</si>
  <si>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</si>
  <si>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</si>
  <si>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</si>
  <si>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</si>
  <si>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</si>
  <si>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</si>
  <si>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</si>
  <si>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</si>
  <si>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</si>
  <si>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</si>
  <si>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</si>
  <si>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</si>
  <si>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</si>
  <si>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</si>
  <si>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</si>
  <si>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</si>
  <si>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</si>
  <si>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</si>
  <si>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</si>
  <si>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</si>
  <si>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</si>
  <si>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</si>
  <si>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</si>
  <si>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</si>
  <si>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</si>
  <si>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</si>
  <si>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</si>
  <si>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</si>
  <si>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</si>
  <si>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</si>
  <si>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</si>
  <si>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</si>
  <si>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</si>
  <si>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</si>
  <si>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</si>
  <si>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</si>
  <si>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</si>
  <si>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</si>
  <si>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</si>
  <si>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</si>
  <si>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</si>
  <si>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</si>
  <si>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</si>
  <si>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</si>
  <si>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</si>
  <si>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</si>
  <si>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</si>
  <si>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</si>
  <si>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</si>
  <si>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</si>
  <si>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</si>
  <si>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</si>
  <si>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</si>
  <si>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</si>
  <si>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</si>
  <si>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</si>
  <si>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</si>
  <si>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</si>
  <si>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</si>
  <si>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</si>
  <si>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</si>
  <si>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</si>
  <si>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</si>
  <si>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</si>
  <si>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</si>
  <si>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</si>
  <si>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</si>
  <si>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</si>
  <si>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</si>
  <si>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</si>
  <si>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</si>
  <si>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</si>
  <si>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</si>
  <si>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</si>
  <si>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</si>
  <si>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</si>
  <si>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</si>
  <si>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</si>
  <si>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</si>
  <si>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</si>
  <si>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</si>
  <si>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</si>
  <si>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</si>
  <si>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</si>
  <si>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</si>
  <si>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</si>
  <si>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</si>
  <si>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</si>
  <si>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</si>
  <si>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</si>
  <si>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</si>
  <si>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</si>
  <si>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</si>
  <si>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</si>
  <si>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</si>
  <si>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Basement 4</t>
  </si>
  <si>
    <t>B Wing = B1 to B4 + G + 20th Floor</t>
  </si>
  <si>
    <t>C Wing = B1 to B4 + G + 20th Floor</t>
  </si>
  <si>
    <t>Axis Sanpada</t>
  </si>
  <si>
    <t>M/s.Construxus Infra LLP</t>
  </si>
  <si>
    <t>Planet 6</t>
  </si>
  <si>
    <t>A to F Wing</t>
  </si>
  <si>
    <t xml:space="preserve">P52000028999
</t>
  </si>
  <si>
    <t>Pushpak</t>
  </si>
  <si>
    <t>Village</t>
  </si>
  <si>
    <t>CIDCO/BP-17808/TPO(NM &amp; K)/2021/8342</t>
  </si>
  <si>
    <t>17/03/2021.</t>
  </si>
  <si>
    <t>Floor Rise Rate Per Sq.ft (From 3rd Floor)</t>
  </si>
  <si>
    <t>Raigad</t>
  </si>
  <si>
    <t>Panvel</t>
  </si>
  <si>
    <t xml:space="preserve">RCC </t>
  </si>
  <si>
    <t>Open Plot</t>
  </si>
  <si>
    <t>JNPT Road</t>
  </si>
  <si>
    <t>TES Calista Apartments</t>
  </si>
  <si>
    <t>6.5Km from Panvel Railway Station</t>
  </si>
  <si>
    <t>Plot No</t>
  </si>
  <si>
    <t>K-1-147, K-2-146 &amp; Sector No.3</t>
  </si>
  <si>
    <t>As per RERA - 31/12/2026</t>
  </si>
  <si>
    <t>4th to 10th Floor</t>
  </si>
  <si>
    <t>A Wing</t>
  </si>
  <si>
    <t>B Wing</t>
  </si>
  <si>
    <t>C Wing</t>
  </si>
  <si>
    <t>4th to 7th, 9th, 10th Floor</t>
  </si>
  <si>
    <t>8th Floor</t>
  </si>
  <si>
    <t>Refuge Area</t>
  </si>
  <si>
    <t>11th Floor</t>
  </si>
  <si>
    <t>D Wing</t>
  </si>
  <si>
    <t>Double Height</t>
  </si>
  <si>
    <t>E Wing</t>
  </si>
  <si>
    <t>F Wing</t>
  </si>
  <si>
    <t>Shop</t>
  </si>
  <si>
    <t>Office</t>
  </si>
  <si>
    <t>3rd Floor</t>
  </si>
  <si>
    <t>Terrace Floor</t>
  </si>
  <si>
    <t>1BHK</t>
  </si>
  <si>
    <t>2BHK</t>
  </si>
  <si>
    <t>We considered  Saleable area  as per our calculation.</t>
  </si>
  <si>
    <t>1st Floor for Parking</t>
  </si>
  <si>
    <t>A, B, C, D, E, F Wings</t>
  </si>
  <si>
    <t>40/- from 3rd Floor</t>
  </si>
  <si>
    <t>3,00,000/-</t>
  </si>
  <si>
    <t>1,50,000/-</t>
  </si>
  <si>
    <t>Flats - 348, Shops - 26, Offices - 26</t>
  </si>
  <si>
    <t>Approved Plans, CC, Cost Sheet</t>
  </si>
  <si>
    <t>Dapoli</t>
  </si>
  <si>
    <t xml:space="preserve">Development Charges </t>
  </si>
  <si>
    <t>2,00,000/-</t>
  </si>
  <si>
    <t>350000/-</t>
  </si>
  <si>
    <t>A to F Wing =  Gr/St + 1st to 11st Floor</t>
  </si>
  <si>
    <t>Recommended rate should be considered as all inclusive rate if other charges are not mentioned. (Excluding GST &amp; other government Taxes).</t>
  </si>
  <si>
    <t>A Wing =  Gr/St + 1st to 11st Floor</t>
  </si>
  <si>
    <t>B to D Wing =  Gr/St + 1st to 11st Floor</t>
  </si>
  <si>
    <t>E &amp; F Wing =  Gr/St + 1st to 11st Floor</t>
  </si>
  <si>
    <t>Cement, Aggregate, Steel, etc</t>
  </si>
  <si>
    <t>Under Construction</t>
  </si>
  <si>
    <t>C Wing =  Gr/St + 1st to 11st Floor</t>
  </si>
  <si>
    <t>Site Meet Person Details ( Name &amp; Contact No.)</t>
  </si>
  <si>
    <t>Valid Up to:  A to F Wing =  Gr/St + 1st to 11st Floor</t>
  </si>
  <si>
    <t>D Wing =  Gr/St + 1st to 11st Floor</t>
  </si>
  <si>
    <t>B Wing =  Gr/St + 1st to 11st Floor</t>
  </si>
  <si>
    <t>Location Link</t>
  </si>
  <si>
    <t>https://goo.gl/maps/1PQGHFGeUYwQwGEn6?coh=178572&amp;entry=tt</t>
  </si>
  <si>
    <t>On Site, we meet Mr. Akshay - 8329505038.</t>
  </si>
  <si>
    <t>9700/-</t>
  </si>
  <si>
    <t>8500 to 9700</t>
  </si>
  <si>
    <t xml:space="preserve">Smith </t>
  </si>
  <si>
    <t>verbal</t>
  </si>
  <si>
    <t>high side</t>
  </si>
  <si>
    <t>Ravindra vishwakarma</t>
  </si>
  <si>
    <t>A &amp; F Wing =  Gr/St + 1st to 11st Floor</t>
  </si>
  <si>
    <t>E Wing =  Gr/St + 1st to 11st Floor</t>
  </si>
  <si>
    <t>Latitude,Longitude</t>
  </si>
  <si>
    <t>18.9718573,73.0730093</t>
  </si>
  <si>
    <t>06 Wings</t>
  </si>
  <si>
    <t>Mr. Ratan Choudhary - 8169136148</t>
  </si>
  <si>
    <t>Office No. 1031, Wing J, Akshar Business Park, Plot No. 03 Sector 25, Near APMC Market, Vashi, 
Navi Mumbai, Maharashtra 400703 TEL: 022-46090378/79/80                                                                                             E mail : vsjcapf@gmail.com. Web site : www.vsjadon.com</t>
  </si>
  <si>
    <t>is the same as last visit (07/05/2024).</t>
  </si>
  <si>
    <t>Wing B, C, D &amp; E = Construction work is the same as last visit (07/05/2024).</t>
  </si>
  <si>
    <t>Kunal Kadam</t>
  </si>
  <si>
    <t>Wing A to  F = Construction work  increased as compared to last visit (Very Slow Speed). 
Wing B, C, D &amp; E = Construction work is the same as last visit (07/05/2024).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</si>
</sst>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9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9" fontId="17" fillId="0" borderId="0" xfId="0" applyNumberFormat="1" applyFont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7" fillId="0" borderId="14" xfId="0" applyFont="1" applyBorder="1" applyProtection="1">
      <protection hidden="1"/>
    </xf>
    <xf numFmtId="9" fontId="17" fillId="0" borderId="14" xfId="0" applyNumberFormat="1" applyFont="1" applyBorder="1" applyProtection="1">
      <protection hidden="1"/>
    </xf>
    <xf numFmtId="164" fontId="0" fillId="0" borderId="0" xfId="0" applyNumberFormat="1"/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0" fillId="0" borderId="13" xfId="0" applyBorder="1"/>
    <xf numFmtId="1" fontId="0" fillId="0" borderId="0" xfId="0" applyNumberFormat="1"/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0" borderId="24" xfId="1" applyNumberFormat="1" applyFont="1" applyBorder="1" applyAlignment="1" applyProtection="1">
      <alignment vertical="center" wrapText="1"/>
      <protection locked="0"/>
    </xf>
    <xf numFmtId="1" fontId="6" fillId="0" borderId="10" xfId="1" applyNumberFormat="1" applyFont="1" applyBorder="1" applyAlignment="1" applyProtection="1">
      <alignment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0" xfId="1" applyFont="1" applyProtection="1">
      <protection hidden="1"/>
    </xf>
    <xf numFmtId="0" fontId="12" fillId="0" borderId="13" xfId="1" applyFont="1" applyBorder="1" applyProtection="1">
      <protection hidden="1"/>
    </xf>
    <xf numFmtId="1" fontId="7" fillId="0" borderId="0" xfId="0" applyNumberFormat="1" applyFont="1" applyAlignment="1">
      <alignment horizontal="center" vertical="center"/>
    </xf>
    <xf numFmtId="0" fontId="7" fillId="3" borderId="0" xfId="1" applyFont="1" applyFill="1"/>
    <xf numFmtId="14" fontId="7" fillId="3" borderId="0" xfId="1" applyNumberFormat="1" applyFont="1" applyFill="1"/>
    <xf numFmtId="0" fontId="13" fillId="0" borderId="25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9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24" xfId="1" applyFont="1" applyBorder="1" applyAlignment="1" applyProtection="1">
      <alignment horizontal="left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23" fillId="0" borderId="9" xfId="9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8" fillId="0" borderId="25" xfId="1" applyFont="1" applyBorder="1" applyAlignment="1" applyProtection="1">
      <alignment horizontal="center" vertical="top" wrapText="1"/>
      <protection locked="0"/>
    </xf>
    <xf numFmtId="0" fontId="8" fillId="0" borderId="18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9" fillId="0" borderId="1" xfId="5" applyFont="1" applyBorder="1" applyAlignment="1">
      <alignment horizontal="left"/>
    </xf>
    <xf numFmtId="0" fontId="7" fillId="0" borderId="0" xfId="0" applyFont="1" applyAlignment="1">
      <alignment horizontal="left" vertical="center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593914</xdr:colOff>
      <xdr:row>434</xdr:row>
      <xdr:rowOff>0</xdr:rowOff>
    </xdr:from>
    <xdr:to>
      <xdr:col>7</xdr:col>
      <xdr:colOff>190502</xdr:colOff>
      <xdr:row>451</xdr:row>
      <xdr:rowOff>171000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914" y="42425471"/>
          <a:ext cx="57150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593914</xdr:colOff>
      <xdr:row>453</xdr:row>
      <xdr:rowOff>53789</xdr:rowOff>
    </xdr:from>
    <xdr:to>
      <xdr:col>7</xdr:col>
      <xdr:colOff>190502</xdr:colOff>
      <xdr:row>471</xdr:row>
      <xdr:rowOff>23083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914" y="46311671"/>
          <a:ext cx="571500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16</xdr:col>
      <xdr:colOff>461105</xdr:colOff>
      <xdr:row>389</xdr:row>
      <xdr:rowOff>0</xdr:rowOff>
    </xdr:from>
    <xdr:to>
      <xdr:col>18</xdr:col>
      <xdr:colOff>152732</xdr:colOff>
      <xdr:row>390</xdr:row>
      <xdr:rowOff>169307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757630" y="76742925"/>
          <a:ext cx="91082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8</xdr:col>
      <xdr:colOff>0</xdr:colOff>
      <xdr:row>402</xdr:row>
      <xdr:rowOff>153600</xdr:rowOff>
    </xdr:from>
    <xdr:to>
      <xdr:col>8</xdr:col>
      <xdr:colOff>934871</xdr:colOff>
      <xdr:row>404</xdr:row>
      <xdr:rowOff>122882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286500" y="79487325"/>
          <a:ext cx="93487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 Wing </a:t>
          </a:r>
        </a:p>
      </xdr:txBody>
    </xdr:sp>
    <xdr:clientData/>
  </xdr:twoCellAnchor>
  <xdr:twoCellAnchor>
    <xdr:from>
      <xdr:col>10</xdr:col>
      <xdr:colOff>371241</xdr:colOff>
      <xdr:row>402</xdr:row>
      <xdr:rowOff>153600</xdr:rowOff>
    </xdr:from>
    <xdr:to>
      <xdr:col>11</xdr:col>
      <xdr:colOff>567600</xdr:colOff>
      <xdr:row>404</xdr:row>
      <xdr:rowOff>122882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467491" y="79487325"/>
          <a:ext cx="90120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E Wing </a:t>
          </a:r>
        </a:p>
      </xdr:txBody>
    </xdr:sp>
    <xdr:clientData/>
  </xdr:twoCellAnchor>
  <xdr:twoCellAnchor>
    <xdr:from>
      <xdr:col>16</xdr:col>
      <xdr:colOff>390846</xdr:colOff>
      <xdr:row>402</xdr:row>
      <xdr:rowOff>153600</xdr:rowOff>
    </xdr:from>
    <xdr:to>
      <xdr:col>18</xdr:col>
      <xdr:colOff>66443</xdr:colOff>
      <xdr:row>404</xdr:row>
      <xdr:rowOff>122882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0687371" y="79487325"/>
          <a:ext cx="89479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F Wing </a:t>
          </a:r>
        </a:p>
      </xdr:txBody>
    </xdr:sp>
    <xdr:clientData/>
  </xdr:twoCellAnchor>
  <xdr:twoCellAnchor>
    <xdr:from>
      <xdr:col>11</xdr:col>
      <xdr:colOff>308942</xdr:colOff>
      <xdr:row>400</xdr:row>
      <xdr:rowOff>127815</xdr:rowOff>
    </xdr:from>
    <xdr:to>
      <xdr:col>12</xdr:col>
      <xdr:colOff>409575</xdr:colOff>
      <xdr:row>402</xdr:row>
      <xdr:rowOff>71794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105072" y="78398467"/>
          <a:ext cx="854351" cy="34154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1">
              <a:solidFill>
                <a:sysClr val="windowText" lastClr="000000"/>
              </a:solidFill>
            </a:rPr>
            <a:t>D Wing </a:t>
          </a:r>
        </a:p>
      </xdr:txBody>
    </xdr:sp>
    <xdr:clientData/>
  </xdr:twoCellAnchor>
  <xdr:twoCellAnchor>
    <xdr:from>
      <xdr:col>9</xdr:col>
      <xdr:colOff>211455</xdr:colOff>
      <xdr:row>381</xdr:row>
      <xdr:rowOff>127635</xdr:rowOff>
    </xdr:from>
    <xdr:to>
      <xdr:col>22</xdr:col>
      <xdr:colOff>205651</xdr:colOff>
      <xdr:row>423</xdr:row>
      <xdr:rowOff>93907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319135" y="78240255"/>
          <a:ext cx="6844576" cy="8081572"/>
          <a:chOff x="66675" y="80762475"/>
          <a:chExt cx="6695986" cy="8157772"/>
        </a:xfrm>
      </xdr:grpSpPr>
      <xdr:pic>
        <xdr:nvPicPr>
          <xdr:cNvPr id="19" name="Picture 18" descr="insp-233844-1525.jpg (1079×810)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12754" y="86760247"/>
            <a:ext cx="287733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insp-233844-871.jpg (959×1280)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8859" y="80762475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insp-233844-940.jpg (959×1280)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5" y="83761361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insp-233844-880.jpg (959×1280)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8859" y="83761361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insp-233844-931.jpg (959×1280)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02426" y="80762475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33844-916.jpg (959×1280)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06980" y="8676024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33844-925.jpg (959×1280)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04911" y="83761361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33844-928.jpg (959×1280)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5292" y="80762475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304800</xdr:colOff>
      <xdr:row>390</xdr:row>
      <xdr:rowOff>182880</xdr:rowOff>
    </xdr:from>
    <xdr:to>
      <xdr:col>7</xdr:col>
      <xdr:colOff>886936</xdr:colOff>
      <xdr:row>427</xdr:row>
      <xdr:rowOff>99409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10F52A8-3C9A-FC33-B79D-F9BF6E286517}"/>
            </a:ext>
          </a:extLst>
        </xdr:cNvPr>
        <xdr:cNvGrpSpPr/>
      </xdr:nvGrpSpPr>
      <xdr:grpSpPr>
        <a:xfrm>
          <a:off x="304800" y="79880460"/>
          <a:ext cx="6426676" cy="7239349"/>
          <a:chOff x="-328496" y="39572"/>
          <a:chExt cx="6426676" cy="7239349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DEFDD60D-0AD7-0EB2-3FCA-4A3446520204}"/>
              </a:ext>
            </a:extLst>
          </xdr:cNvPr>
          <xdr:cNvGrpSpPr/>
        </xdr:nvGrpSpPr>
        <xdr:grpSpPr>
          <a:xfrm>
            <a:off x="-328496" y="5478921"/>
            <a:ext cx="6426676" cy="1800000"/>
            <a:chOff x="-340908" y="5478921"/>
            <a:chExt cx="6426676" cy="180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D2EEC872-8BF6-2D2C-909D-97F0A1229C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340908" y="5478921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F18CF1E0-B0E5-FF3A-A4AF-1B2EC9A721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98133" y="547892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435EEFE0-6DD4-EC41-40A1-ECFDF248699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687990" y="5478921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AFE1320F-CF3C-712C-0A84-EC33E8749E35}"/>
              </a:ext>
            </a:extLst>
          </xdr:cNvPr>
          <xdr:cNvGrpSpPr/>
        </xdr:nvGrpSpPr>
        <xdr:grpSpPr>
          <a:xfrm>
            <a:off x="-83602" y="39572"/>
            <a:ext cx="5936888" cy="5249754"/>
            <a:chOff x="173704" y="39572"/>
            <a:chExt cx="5936888" cy="5249754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5F2E434C-6B29-7496-99B9-E9D6A36196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98133" y="5973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FF798948-0C05-C211-C4AE-B91C4E819C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3705" y="5973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1F055FF0-2283-E31F-679B-4157EFAF7B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22561" y="276932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C1E98131-78D1-3B59-57B2-82623A7DFA0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98133" y="276932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B3CEF68C-6D83-56CD-1898-64E11319C0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22561" y="3957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E318F8B8-5FCC-0910-DBC1-63054383B2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3704" y="276932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PQGHFGeUYwQwGEn6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33"/>
  <sheetViews>
    <sheetView tabSelected="1" view="pageBreakPreview" topLeftCell="A367" zoomScaleNormal="100" zoomScaleSheetLayoutView="100" zoomScalePageLayoutView="85" workbookViewId="0">
      <selection activeCell="M378" sqref="M378"/>
    </sheetView>
  </sheetViews>
  <sheetFormatPr defaultColWidth="9.109375" defaultRowHeight="15.6" x14ac:dyDescent="0.3"/>
  <cols>
    <col min="1" max="1" width="11.44140625" style="12" customWidth="1"/>
    <col min="2" max="2" width="12" style="12" customWidth="1"/>
    <col min="3" max="3" width="12.6640625" style="12" customWidth="1"/>
    <col min="4" max="4" width="14.109375" style="12" customWidth="1"/>
    <col min="5" max="7" width="11.6640625" style="12" customWidth="1"/>
    <col min="8" max="8" width="17.33203125" style="12" customWidth="1"/>
    <col min="9" max="9" width="15.6640625" style="3" customWidth="1"/>
    <col min="10" max="10" width="11.44140625" style="3" customWidth="1"/>
    <col min="11" max="11" width="10.5546875" style="3" bestFit="1" customWidth="1"/>
    <col min="12" max="12" width="11.33203125" style="3" bestFit="1" customWidth="1"/>
    <col min="13" max="13" width="11.88671875" style="3" customWidth="1"/>
    <col min="14" max="14" width="12.5546875" style="3" hidden="1" customWidth="1"/>
    <col min="15" max="15" width="9.88671875" style="3" hidden="1" customWidth="1"/>
    <col min="16" max="16" width="10.44140625" style="3" hidden="1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8" ht="46.5" customHeight="1" x14ac:dyDescent="0.3">
      <c r="A1" s="135" t="s">
        <v>249</v>
      </c>
      <c r="B1" s="135"/>
      <c r="C1" s="135"/>
      <c r="D1" s="135"/>
      <c r="E1" s="135"/>
      <c r="F1" s="135"/>
      <c r="G1" s="135"/>
      <c r="H1" s="135"/>
    </row>
    <row r="2" spans="1:8" ht="16.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3">
      <c r="A3" s="116" t="s">
        <v>1</v>
      </c>
      <c r="B3" s="116"/>
      <c r="C3" s="116"/>
      <c r="D3" s="116"/>
      <c r="E3" s="134" t="str">
        <f ca="1">TEXT(TODAY(),"DD/MM/YYYY")</f>
        <v>18/08/2025</v>
      </c>
      <c r="F3" s="134"/>
      <c r="G3" s="134"/>
      <c r="H3" s="134"/>
    </row>
    <row r="4" spans="1:8" ht="15" customHeight="1" x14ac:dyDescent="0.3">
      <c r="A4" s="116" t="s">
        <v>2</v>
      </c>
      <c r="B4" s="116"/>
      <c r="C4" s="116"/>
      <c r="D4" s="116"/>
      <c r="E4" s="131" t="s">
        <v>172</v>
      </c>
      <c r="F4" s="131"/>
      <c r="G4" s="131"/>
      <c r="H4" s="131"/>
    </row>
    <row r="5" spans="1:8" x14ac:dyDescent="0.3">
      <c r="A5" s="116" t="s">
        <v>3</v>
      </c>
      <c r="B5" s="116"/>
      <c r="C5" s="116"/>
      <c r="D5" s="116"/>
      <c r="E5" s="134">
        <v>45881</v>
      </c>
      <c r="F5" s="134"/>
      <c r="G5" s="134"/>
      <c r="H5" s="134"/>
    </row>
    <row r="6" spans="1:8" ht="16.5" customHeight="1" x14ac:dyDescent="0.3">
      <c r="A6" s="116" t="s">
        <v>4</v>
      </c>
      <c r="B6" s="116"/>
      <c r="C6" s="116"/>
      <c r="D6" s="116"/>
      <c r="E6" s="123" t="s">
        <v>173</v>
      </c>
      <c r="F6" s="123"/>
      <c r="G6" s="123"/>
      <c r="H6" s="123"/>
    </row>
    <row r="7" spans="1:8" ht="15" customHeight="1" x14ac:dyDescent="0.3">
      <c r="A7" s="116" t="s">
        <v>5</v>
      </c>
      <c r="B7" s="116"/>
      <c r="C7" s="116"/>
      <c r="D7" s="116"/>
      <c r="E7" s="123" t="str">
        <f>E6</f>
        <v>M/s.Construxus Infra LLP</v>
      </c>
      <c r="F7" s="123"/>
      <c r="G7" s="123"/>
      <c r="H7" s="123"/>
    </row>
    <row r="8" spans="1:8" x14ac:dyDescent="0.3">
      <c r="A8" s="116" t="s">
        <v>6</v>
      </c>
      <c r="B8" s="116"/>
      <c r="C8" s="116"/>
      <c r="D8" s="116"/>
      <c r="E8" s="130" t="s">
        <v>174</v>
      </c>
      <c r="F8" s="130"/>
      <c r="G8" s="130"/>
      <c r="H8" s="130"/>
    </row>
    <row r="9" spans="1:8" x14ac:dyDescent="0.3">
      <c r="A9" s="116" t="s">
        <v>143</v>
      </c>
      <c r="B9" s="116"/>
      <c r="C9" s="116"/>
      <c r="D9" s="116"/>
      <c r="E9" s="116" t="s">
        <v>248</v>
      </c>
      <c r="F9" s="116"/>
      <c r="G9" s="116"/>
      <c r="H9" s="116"/>
    </row>
    <row r="10" spans="1:8" x14ac:dyDescent="0.3">
      <c r="A10" s="116" t="s">
        <v>230</v>
      </c>
      <c r="B10" s="116"/>
      <c r="C10" s="116"/>
      <c r="D10" s="116"/>
      <c r="E10" s="116" t="s">
        <v>30</v>
      </c>
      <c r="F10" s="116"/>
      <c r="G10" s="116"/>
      <c r="H10" s="116"/>
    </row>
    <row r="11" spans="1:8" x14ac:dyDescent="0.3">
      <c r="A11" s="124" t="s">
        <v>7</v>
      </c>
      <c r="B11" s="124"/>
      <c r="C11" s="124"/>
      <c r="D11" s="124"/>
      <c r="E11" s="124" t="s">
        <v>175</v>
      </c>
      <c r="F11" s="124"/>
      <c r="G11" s="124"/>
      <c r="H11" s="124"/>
    </row>
    <row r="12" spans="1:8" x14ac:dyDescent="0.3">
      <c r="A12" s="116" t="s">
        <v>8</v>
      </c>
      <c r="B12" s="116"/>
      <c r="C12" s="116"/>
      <c r="D12" s="116"/>
      <c r="E12" s="122" t="s">
        <v>217</v>
      </c>
      <c r="F12" s="122"/>
      <c r="G12" s="122"/>
      <c r="H12" s="122"/>
    </row>
    <row r="13" spans="1:8" x14ac:dyDescent="0.3">
      <c r="A13" s="116" t="s">
        <v>9</v>
      </c>
      <c r="B13" s="116"/>
      <c r="C13" s="116"/>
      <c r="D13" s="116"/>
      <c r="E13" s="122" t="s">
        <v>176</v>
      </c>
      <c r="F13" s="124"/>
      <c r="G13" s="124"/>
      <c r="H13" s="124"/>
    </row>
    <row r="14" spans="1:8" ht="34.5" customHeight="1" x14ac:dyDescent="0.3">
      <c r="A14" s="123" t="s">
        <v>10</v>
      </c>
      <c r="B14" s="123"/>
      <c r="C14" s="123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Planet 6, Plot No.K-1-147, K-2-146 &amp; Sector No.3, near TES Calista Apartments, JNPT Road, Pushpak, Dapoli, Panvel, Raigad - 410206.</v>
      </c>
      <c r="D14" s="123"/>
      <c r="E14" s="123"/>
      <c r="F14" s="123"/>
      <c r="G14" s="123"/>
      <c r="H14" s="123"/>
    </row>
    <row r="15" spans="1:8" x14ac:dyDescent="0.3">
      <c r="A15" s="122" t="s">
        <v>189</v>
      </c>
      <c r="B15" s="122"/>
      <c r="C15" s="122" t="s">
        <v>190</v>
      </c>
      <c r="D15" s="122"/>
      <c r="E15" s="122"/>
      <c r="F15" s="122"/>
      <c r="G15" s="122"/>
      <c r="H15" s="122"/>
    </row>
    <row r="16" spans="1:8" ht="15.75" customHeight="1" x14ac:dyDescent="0.3">
      <c r="A16" s="123" t="s">
        <v>11</v>
      </c>
      <c r="B16" s="123"/>
      <c r="C16" s="124" t="s">
        <v>186</v>
      </c>
      <c r="D16" s="124"/>
      <c r="E16" s="123" t="s">
        <v>178</v>
      </c>
      <c r="F16" s="123"/>
      <c r="G16" s="122" t="s">
        <v>177</v>
      </c>
      <c r="H16" s="122"/>
    </row>
    <row r="17" spans="1:8" x14ac:dyDescent="0.3">
      <c r="A17" s="116" t="s">
        <v>13</v>
      </c>
      <c r="B17" s="116"/>
      <c r="C17" s="122" t="s">
        <v>218</v>
      </c>
      <c r="D17" s="122"/>
      <c r="E17" s="123" t="s">
        <v>12</v>
      </c>
      <c r="F17" s="123"/>
      <c r="G17" s="132" t="s">
        <v>182</v>
      </c>
      <c r="H17" s="132"/>
    </row>
    <row r="18" spans="1:8" x14ac:dyDescent="0.3">
      <c r="A18" s="116" t="s">
        <v>80</v>
      </c>
      <c r="B18" s="116"/>
      <c r="C18" s="122" t="s">
        <v>183</v>
      </c>
      <c r="D18" s="122"/>
      <c r="E18" s="123" t="s">
        <v>14</v>
      </c>
      <c r="F18" s="123"/>
      <c r="G18" s="122">
        <v>410206</v>
      </c>
      <c r="H18" s="122"/>
    </row>
    <row r="19" spans="1:8" ht="32.25" customHeight="1" x14ac:dyDescent="0.3">
      <c r="A19" s="116" t="s">
        <v>144</v>
      </c>
      <c r="B19" s="116"/>
      <c r="C19" s="133" t="s">
        <v>187</v>
      </c>
      <c r="D19" s="133"/>
      <c r="E19" s="123" t="s">
        <v>15</v>
      </c>
      <c r="F19" s="123"/>
      <c r="G19" s="122" t="s">
        <v>188</v>
      </c>
      <c r="H19" s="122"/>
    </row>
    <row r="20" spans="1:8" ht="15" customHeight="1" x14ac:dyDescent="0.3">
      <c r="A20" s="123" t="s">
        <v>85</v>
      </c>
      <c r="B20" s="123"/>
      <c r="C20" s="123"/>
      <c r="D20" s="123"/>
      <c r="E20" s="124" t="s">
        <v>16</v>
      </c>
      <c r="F20" s="124"/>
      <c r="G20" s="124"/>
      <c r="H20" s="124"/>
    </row>
    <row r="21" spans="1:8" ht="18.75" customHeight="1" x14ac:dyDescent="0.3">
      <c r="A21" s="123"/>
      <c r="B21" s="123"/>
      <c r="C21" s="123"/>
      <c r="D21" s="123"/>
      <c r="E21" s="124"/>
      <c r="F21" s="124"/>
      <c r="G21" s="124"/>
      <c r="H21" s="124"/>
    </row>
    <row r="22" spans="1:8" ht="15" customHeight="1" x14ac:dyDescent="0.3">
      <c r="A22" s="123" t="s">
        <v>17</v>
      </c>
      <c r="B22" s="123"/>
      <c r="C22" s="123"/>
      <c r="D22" s="123"/>
      <c r="E22" s="122" t="s">
        <v>18</v>
      </c>
      <c r="F22" s="122"/>
      <c r="G22" s="122"/>
      <c r="H22" s="122"/>
    </row>
    <row r="23" spans="1:8" ht="15" customHeight="1" x14ac:dyDescent="0.3">
      <c r="A23" s="116" t="s">
        <v>19</v>
      </c>
      <c r="B23" s="116"/>
      <c r="C23" s="116"/>
      <c r="D23" s="116"/>
      <c r="E23" s="122" t="str">
        <f>IF(AND(G17="Mumbai"),"Upper Class","Middle Class")</f>
        <v>Middle Class</v>
      </c>
      <c r="F23" s="122"/>
      <c r="G23" s="122"/>
      <c r="H23" s="122"/>
    </row>
    <row r="24" spans="1:8" x14ac:dyDescent="0.3">
      <c r="A24" s="116" t="s">
        <v>20</v>
      </c>
      <c r="B24" s="116"/>
      <c r="C24" s="116"/>
      <c r="D24" s="116"/>
      <c r="E24" s="122" t="s">
        <v>21</v>
      </c>
      <c r="F24" s="122"/>
      <c r="G24" s="122"/>
      <c r="H24" s="122"/>
    </row>
    <row r="25" spans="1:8" ht="15.75" customHeight="1" x14ac:dyDescent="0.3">
      <c r="A25" s="116" t="s">
        <v>22</v>
      </c>
      <c r="B25" s="116"/>
      <c r="C25" s="116"/>
      <c r="D25" s="116"/>
      <c r="E25" s="122" t="str">
        <f>IF(AND(G17="Mumbai"),"Developed","Developing")</f>
        <v>Developing</v>
      </c>
      <c r="F25" s="122"/>
      <c r="G25" s="122"/>
      <c r="H25" s="122"/>
    </row>
    <row r="26" spans="1:8" x14ac:dyDescent="0.3">
      <c r="A26" s="116" t="s">
        <v>23</v>
      </c>
      <c r="B26" s="116"/>
      <c r="C26" s="116"/>
      <c r="D26" s="116"/>
      <c r="E26" s="122" t="s">
        <v>24</v>
      </c>
      <c r="F26" s="122"/>
      <c r="G26" s="122"/>
      <c r="H26" s="122"/>
    </row>
    <row r="27" spans="1:8" x14ac:dyDescent="0.3">
      <c r="A27" s="116" t="s">
        <v>93</v>
      </c>
      <c r="B27" s="116"/>
      <c r="C27" s="116"/>
      <c r="D27" s="116"/>
      <c r="E27" s="122" t="s">
        <v>94</v>
      </c>
      <c r="F27" s="122"/>
      <c r="G27" s="122"/>
      <c r="H27" s="122"/>
    </row>
    <row r="28" spans="1:8" ht="15" customHeight="1" x14ac:dyDescent="0.3">
      <c r="A28" s="123" t="s">
        <v>33</v>
      </c>
      <c r="B28" s="123"/>
      <c r="C28" s="123"/>
      <c r="D28" s="123"/>
      <c r="E28" s="131" t="s">
        <v>89</v>
      </c>
      <c r="F28" s="131"/>
      <c r="G28" s="131"/>
      <c r="H28" s="131"/>
    </row>
    <row r="29" spans="1:8" x14ac:dyDescent="0.3">
      <c r="A29" s="123" t="s">
        <v>105</v>
      </c>
      <c r="B29" s="123"/>
      <c r="C29" s="123"/>
      <c r="D29" s="123"/>
      <c r="E29" s="123" t="s">
        <v>34</v>
      </c>
      <c r="F29" s="123"/>
      <c r="G29" s="123"/>
      <c r="H29" s="123"/>
    </row>
    <row r="30" spans="1:8" s="6" customFormat="1" x14ac:dyDescent="0.3">
      <c r="A30" s="129" t="s">
        <v>106</v>
      </c>
      <c r="B30" s="129"/>
      <c r="C30" s="127" t="s">
        <v>29</v>
      </c>
      <c r="D30" s="127"/>
      <c r="E30" s="127"/>
      <c r="F30" s="127" t="s">
        <v>31</v>
      </c>
      <c r="G30" s="127"/>
      <c r="H30" s="127"/>
    </row>
    <row r="31" spans="1:8" s="6" customFormat="1" x14ac:dyDescent="0.3">
      <c r="A31" s="128" t="s">
        <v>25</v>
      </c>
      <c r="B31" s="128" t="s">
        <v>30</v>
      </c>
      <c r="C31" s="126" t="s">
        <v>30</v>
      </c>
      <c r="D31" s="126"/>
      <c r="E31" s="126"/>
      <c r="F31" s="126" t="s">
        <v>11</v>
      </c>
      <c r="G31" s="126"/>
      <c r="H31" s="126"/>
    </row>
    <row r="32" spans="1:8" x14ac:dyDescent="0.3">
      <c r="A32" s="128" t="s">
        <v>26</v>
      </c>
      <c r="B32" s="128" t="s">
        <v>30</v>
      </c>
      <c r="C32" s="126" t="s">
        <v>30</v>
      </c>
      <c r="D32" s="126"/>
      <c r="E32" s="126"/>
      <c r="F32" s="126" t="s">
        <v>186</v>
      </c>
      <c r="G32" s="126"/>
      <c r="H32" s="126"/>
    </row>
    <row r="33" spans="1:8" s="6" customFormat="1" x14ac:dyDescent="0.3">
      <c r="A33" s="128" t="s">
        <v>28</v>
      </c>
      <c r="B33" s="128" t="s">
        <v>30</v>
      </c>
      <c r="C33" s="126" t="s">
        <v>30</v>
      </c>
      <c r="D33" s="126"/>
      <c r="E33" s="126"/>
      <c r="F33" s="126" t="s">
        <v>185</v>
      </c>
      <c r="G33" s="126"/>
      <c r="H33" s="126"/>
    </row>
    <row r="34" spans="1:8" x14ac:dyDescent="0.3">
      <c r="A34" s="128" t="s">
        <v>27</v>
      </c>
      <c r="B34" s="128" t="s">
        <v>30</v>
      </c>
      <c r="C34" s="126" t="s">
        <v>30</v>
      </c>
      <c r="D34" s="126"/>
      <c r="E34" s="126"/>
      <c r="F34" s="126" t="s">
        <v>185</v>
      </c>
      <c r="G34" s="126"/>
      <c r="H34" s="126"/>
    </row>
    <row r="35" spans="1:8" x14ac:dyDescent="0.3">
      <c r="A35" s="116" t="s">
        <v>32</v>
      </c>
      <c r="B35" s="116"/>
      <c r="C35" s="116"/>
      <c r="D35" s="116"/>
      <c r="E35" s="116"/>
      <c r="F35" s="116"/>
      <c r="G35" s="116"/>
      <c r="H35" s="116"/>
    </row>
    <row r="36" spans="1:8" x14ac:dyDescent="0.3">
      <c r="A36" s="116" t="s">
        <v>245</v>
      </c>
      <c r="B36" s="116"/>
      <c r="C36" s="174" t="s">
        <v>246</v>
      </c>
      <c r="D36" s="175"/>
      <c r="E36" s="175"/>
      <c r="F36" s="175"/>
      <c r="G36" s="175"/>
      <c r="H36" s="176"/>
    </row>
    <row r="37" spans="1:8" x14ac:dyDescent="0.3">
      <c r="A37" s="116" t="s">
        <v>234</v>
      </c>
      <c r="B37" s="116"/>
      <c r="C37" s="177" t="s">
        <v>235</v>
      </c>
      <c r="D37" s="178"/>
      <c r="E37" s="178"/>
      <c r="F37" s="178"/>
      <c r="G37" s="178"/>
      <c r="H37" s="179"/>
    </row>
    <row r="38" spans="1:8" x14ac:dyDescent="0.3">
      <c r="A38" s="130" t="s">
        <v>35</v>
      </c>
      <c r="B38" s="130"/>
      <c r="C38" s="130"/>
      <c r="D38" s="130"/>
      <c r="E38" s="130"/>
      <c r="F38" s="130"/>
      <c r="G38" s="130"/>
      <c r="H38" s="130"/>
    </row>
    <row r="39" spans="1:8" x14ac:dyDescent="0.3">
      <c r="A39" s="116" t="s">
        <v>36</v>
      </c>
      <c r="B39" s="116"/>
      <c r="C39" s="116"/>
      <c r="D39" s="116"/>
      <c r="E39" s="125">
        <v>8557.7999999999993</v>
      </c>
      <c r="F39" s="125"/>
      <c r="G39" s="125"/>
      <c r="H39" s="125"/>
    </row>
    <row r="40" spans="1:8" x14ac:dyDescent="0.3">
      <c r="A40" s="116" t="s">
        <v>37</v>
      </c>
      <c r="B40" s="116"/>
      <c r="C40" s="116"/>
      <c r="D40" s="116"/>
      <c r="E40" s="120">
        <v>2</v>
      </c>
      <c r="F40" s="120"/>
      <c r="G40" s="120"/>
      <c r="H40" s="120"/>
    </row>
    <row r="41" spans="1:8" x14ac:dyDescent="0.3">
      <c r="A41" s="116" t="s">
        <v>38</v>
      </c>
      <c r="B41" s="116"/>
      <c r="C41" s="116"/>
      <c r="D41" s="116"/>
      <c r="E41" s="120">
        <f>E43/E39-E40</f>
        <v>0</v>
      </c>
      <c r="F41" s="120"/>
      <c r="G41" s="120"/>
      <c r="H41" s="120"/>
    </row>
    <row r="42" spans="1:8" x14ac:dyDescent="0.3">
      <c r="A42" s="116" t="s">
        <v>39</v>
      </c>
      <c r="B42" s="116"/>
      <c r="C42" s="116"/>
      <c r="D42" s="116"/>
      <c r="E42" s="120">
        <f>E40+E41</f>
        <v>2</v>
      </c>
      <c r="F42" s="120"/>
      <c r="G42" s="120"/>
      <c r="H42" s="120"/>
    </row>
    <row r="43" spans="1:8" x14ac:dyDescent="0.3">
      <c r="A43" s="116" t="s">
        <v>104</v>
      </c>
      <c r="B43" s="116"/>
      <c r="C43" s="116"/>
      <c r="D43" s="116"/>
      <c r="E43" s="136">
        <v>17115.599999999999</v>
      </c>
      <c r="F43" s="136"/>
      <c r="G43" s="136"/>
      <c r="H43" s="136"/>
    </row>
    <row r="44" spans="1:8" x14ac:dyDescent="0.3">
      <c r="A44" s="124" t="s">
        <v>40</v>
      </c>
      <c r="B44" s="124"/>
      <c r="C44" s="124"/>
      <c r="D44" s="124"/>
      <c r="E44" s="124" t="s">
        <v>247</v>
      </c>
      <c r="F44" s="124"/>
      <c r="G44" s="124"/>
      <c r="H44" s="124"/>
    </row>
    <row r="45" spans="1:8" x14ac:dyDescent="0.3">
      <c r="A45" s="130" t="s">
        <v>41</v>
      </c>
      <c r="B45" s="130"/>
      <c r="C45" s="130"/>
      <c r="D45" s="130"/>
      <c r="E45" s="130"/>
      <c r="F45" s="130"/>
      <c r="G45" s="130"/>
      <c r="H45" s="130"/>
    </row>
    <row r="46" spans="1:8" ht="33.75" customHeight="1" x14ac:dyDescent="0.3">
      <c r="A46" s="123" t="s">
        <v>42</v>
      </c>
      <c r="B46" s="123"/>
      <c r="C46" s="147" t="s">
        <v>179</v>
      </c>
      <c r="D46" s="121"/>
      <c r="E46" s="121"/>
      <c r="F46" s="8" t="s">
        <v>43</v>
      </c>
      <c r="G46" s="150" t="s">
        <v>180</v>
      </c>
      <c r="H46" s="150"/>
    </row>
    <row r="47" spans="1:8" ht="33.75" customHeight="1" x14ac:dyDescent="0.3">
      <c r="A47" s="116" t="s">
        <v>44</v>
      </c>
      <c r="B47" s="116"/>
      <c r="C47" s="147" t="str">
        <f>C46</f>
        <v>CIDCO/BP-17808/TPO(NM &amp; K)/2021/8342</v>
      </c>
      <c r="D47" s="147"/>
      <c r="E47" s="147"/>
      <c r="F47" s="56" t="s">
        <v>43</v>
      </c>
      <c r="G47" s="150" t="str">
        <f>G46</f>
        <v>17/03/2021.</v>
      </c>
      <c r="H47" s="150"/>
    </row>
    <row r="48" spans="1:8" s="5" customFormat="1" ht="34.5" customHeight="1" x14ac:dyDescent="0.3">
      <c r="A48" s="122" t="s">
        <v>45</v>
      </c>
      <c r="B48" s="122"/>
      <c r="C48" s="147" t="s">
        <v>179</v>
      </c>
      <c r="D48" s="121"/>
      <c r="E48" s="121"/>
      <c r="F48" s="8" t="s">
        <v>43</v>
      </c>
      <c r="G48" s="150" t="s">
        <v>180</v>
      </c>
      <c r="H48" s="150"/>
    </row>
    <row r="49" spans="1:14" s="5" customFormat="1" x14ac:dyDescent="0.3">
      <c r="A49" s="122"/>
      <c r="B49" s="122"/>
      <c r="C49" s="163" t="s">
        <v>231</v>
      </c>
      <c r="D49" s="164"/>
      <c r="E49" s="164"/>
      <c r="F49" s="164"/>
      <c r="G49" s="164"/>
      <c r="H49" s="165"/>
    </row>
    <row r="50" spans="1:14" x14ac:dyDescent="0.3">
      <c r="A50" s="76" t="s">
        <v>46</v>
      </c>
      <c r="B50" s="76"/>
      <c r="C50" s="157" t="s">
        <v>120</v>
      </c>
      <c r="D50" s="158"/>
      <c r="E50" s="158" t="s">
        <v>47</v>
      </c>
      <c r="F50" s="59" t="s">
        <v>43</v>
      </c>
      <c r="G50" s="144" t="s">
        <v>30</v>
      </c>
      <c r="H50" s="144"/>
    </row>
    <row r="51" spans="1:14" x14ac:dyDescent="0.3">
      <c r="A51" s="159" t="s">
        <v>49</v>
      </c>
      <c r="B51" s="159"/>
      <c r="C51" s="159"/>
      <c r="D51" s="159"/>
      <c r="E51" s="159"/>
      <c r="F51" s="159"/>
      <c r="G51" s="159"/>
      <c r="H51" s="159"/>
    </row>
    <row r="52" spans="1:14" x14ac:dyDescent="0.3">
      <c r="A52" s="122" t="s">
        <v>103</v>
      </c>
      <c r="B52" s="122"/>
      <c r="C52" s="122"/>
      <c r="D52" s="124">
        <f>E43</f>
        <v>17115.599999999999</v>
      </c>
      <c r="E52" s="124"/>
      <c r="F52" s="124"/>
      <c r="G52" s="124"/>
      <c r="H52" s="124"/>
    </row>
    <row r="53" spans="1:14" x14ac:dyDescent="0.3">
      <c r="A53" s="122" t="s">
        <v>50</v>
      </c>
      <c r="B53" s="124"/>
      <c r="C53" s="124"/>
      <c r="D53" s="124" t="s">
        <v>216</v>
      </c>
      <c r="E53" s="124"/>
      <c r="F53" s="124"/>
      <c r="G53" s="124"/>
      <c r="H53" s="124"/>
      <c r="I53" s="36"/>
    </row>
    <row r="54" spans="1:14" ht="15.75" customHeight="1" x14ac:dyDescent="0.3">
      <c r="A54" s="160" t="s">
        <v>51</v>
      </c>
      <c r="B54" s="161"/>
      <c r="C54" s="162"/>
      <c r="D54" s="140" t="s">
        <v>222</v>
      </c>
      <c r="E54" s="140"/>
      <c r="F54" s="140"/>
      <c r="G54" s="140"/>
      <c r="H54" s="140"/>
    </row>
    <row r="55" spans="1:14" ht="15.75" customHeight="1" x14ac:dyDescent="0.3">
      <c r="A55" s="160" t="s">
        <v>101</v>
      </c>
      <c r="B55" s="161"/>
      <c r="C55" s="162"/>
      <c r="D55" s="151" t="s">
        <v>224</v>
      </c>
      <c r="E55" s="152"/>
      <c r="F55" s="152"/>
      <c r="G55" s="152"/>
      <c r="H55" s="153"/>
    </row>
    <row r="56" spans="1:14" ht="15.75" customHeight="1" x14ac:dyDescent="0.3">
      <c r="A56" s="166"/>
      <c r="B56" s="167"/>
      <c r="C56" s="168"/>
      <c r="D56" s="151" t="s">
        <v>225</v>
      </c>
      <c r="E56" s="152"/>
      <c r="F56" s="152"/>
      <c r="G56" s="152"/>
      <c r="H56" s="153"/>
    </row>
    <row r="57" spans="1:14" ht="15.75" customHeight="1" x14ac:dyDescent="0.3">
      <c r="A57" s="166"/>
      <c r="B57" s="167"/>
      <c r="C57" s="168"/>
      <c r="D57" s="151" t="s">
        <v>226</v>
      </c>
      <c r="E57" s="152"/>
      <c r="F57" s="152"/>
      <c r="G57" s="152"/>
      <c r="H57" s="153"/>
    </row>
    <row r="58" spans="1:14" ht="15.75" hidden="1" customHeight="1" x14ac:dyDescent="0.3">
      <c r="A58" s="166"/>
      <c r="B58" s="167"/>
      <c r="C58" s="168"/>
      <c r="D58" s="154" t="s">
        <v>170</v>
      </c>
      <c r="E58" s="155"/>
      <c r="F58" s="155"/>
      <c r="G58" s="155"/>
      <c r="H58" s="156"/>
    </row>
    <row r="59" spans="1:14" ht="15.75" hidden="1" customHeight="1" x14ac:dyDescent="0.3">
      <c r="A59" s="169"/>
      <c r="B59" s="170"/>
      <c r="C59" s="171"/>
      <c r="D59" s="137" t="s">
        <v>171</v>
      </c>
      <c r="E59" s="138"/>
      <c r="F59" s="138"/>
      <c r="G59" s="138"/>
      <c r="H59" s="139"/>
    </row>
    <row r="60" spans="1:14" ht="15.75" customHeight="1" x14ac:dyDescent="0.3">
      <c r="A60" s="124" t="s">
        <v>48</v>
      </c>
      <c r="B60" s="124"/>
      <c r="C60" s="124"/>
      <c r="D60" s="142" t="s">
        <v>191</v>
      </c>
      <c r="E60" s="142"/>
      <c r="F60" s="142"/>
      <c r="G60" s="142"/>
      <c r="H60" s="142"/>
      <c r="J60" s="35"/>
      <c r="K60" s="36"/>
      <c r="N60" s="36"/>
    </row>
    <row r="61" spans="1:14" ht="15.75" customHeight="1" x14ac:dyDescent="0.3">
      <c r="A61" s="124" t="s">
        <v>99</v>
      </c>
      <c r="B61" s="124"/>
      <c r="C61" s="124"/>
      <c r="D61" s="143" t="str">
        <f>(IF(G50="NA","60 Years After Completion",IF(G50&lt;&gt;"NA",""&amp;ROUNDDOWN((E3-G50)/360,0)&amp;" Years"," ")))</f>
        <v>60 Years After Completion</v>
      </c>
      <c r="E61" s="143"/>
      <c r="F61" s="143"/>
      <c r="G61" s="143"/>
      <c r="H61" s="143"/>
      <c r="N61" s="36"/>
    </row>
    <row r="62" spans="1:14" ht="15.75" customHeight="1" x14ac:dyDescent="0.3">
      <c r="A62" s="116" t="s">
        <v>100</v>
      </c>
      <c r="B62" s="116"/>
      <c r="C62" s="116"/>
      <c r="D62" s="123" t="s">
        <v>24</v>
      </c>
      <c r="E62" s="123"/>
      <c r="F62" s="123"/>
      <c r="G62" s="123"/>
      <c r="H62" s="123"/>
      <c r="J62" s="14"/>
      <c r="K62" s="14"/>
    </row>
    <row r="63" spans="1:14" ht="15.75" customHeight="1" thickBot="1" x14ac:dyDescent="0.35">
      <c r="A63" s="140" t="s">
        <v>98</v>
      </c>
      <c r="B63" s="140"/>
      <c r="C63" s="140"/>
      <c r="D63" s="141" t="s">
        <v>227</v>
      </c>
      <c r="E63" s="141"/>
      <c r="F63" s="141"/>
      <c r="G63" s="141"/>
      <c r="H63" s="141"/>
      <c r="J63" s="14"/>
      <c r="K63" s="14"/>
    </row>
    <row r="64" spans="1:14" ht="15.75" customHeight="1" x14ac:dyDescent="0.3">
      <c r="A64" s="69" t="s">
        <v>163</v>
      </c>
      <c r="B64" s="70"/>
      <c r="C64" s="71" t="s">
        <v>243</v>
      </c>
      <c r="D64" s="72"/>
      <c r="E64" s="72"/>
      <c r="F64" s="72"/>
      <c r="G64" s="72"/>
      <c r="H64" s="73"/>
      <c r="I64" s="16" t="str">
        <f ca="1">(IF(C68=0,"Work not yet Started.",IF(D68=25%,"Piling work in process",IF(D68=50%,"Excavation work in process",IF(D68=100%,"Excavation work completed, ","0")))&amp;(IF(C69=0%,"",IF(C69=K70,"Footing work is process",IF(C69=K71,"Footing work Completed",IF(C69=K72,"1st Basement Completed",IF(C69=K73,"1st &amp; 2nd Basement Completed",IF(C69=K74,"1st to 3rd Basement Completed",IF(C69=K75,"1st to 4th Basement Completed",IF(C69=K76,"Plinth work is process",IF(C69=K77,"Plinth work completed","0")))))))))))&amp;(IF(C70&gt;0,", RCC upto "&amp;C70&amp;" Slab completed",""))&amp;(IF(C71&gt;0,", Brickwork upto "&amp;C71&amp;" Floor completed"," "))&amp;(IF(C72&gt;0,", Internal Plaster upto "&amp;C72&amp;" Floor completed"," "))&amp;(IF(C73&gt;0,", External Plaster upto "&amp;C73&amp;" Floor completed"," "))&amp;(IF(C74&gt;0,", Flooring upto "&amp;C74&amp;" Floor completed"," "))&amp;(IF(C75&gt;0,", Painting upto "&amp;C75&amp;" Floor completed"," "))&amp;(IF(C76&gt;0,", Finishing upto "&amp;C76&amp;" Floor completed"," ")))</f>
        <v xml:space="preserve">Excavation work completed, Plinth work completed, RCC upto 11 Slab completed, Brickwork upto 9 Floor completed, Internal Plaster upto 7 Floor completed, External Plaster upto 7 Floor completed, Flooring upto 6 Floor completed  </v>
      </c>
      <c r="J64" s="16"/>
      <c r="K64" s="17"/>
    </row>
    <row r="65" spans="1:11" x14ac:dyDescent="0.3">
      <c r="A65" s="47" t="s">
        <v>165</v>
      </c>
      <c r="B65" s="40">
        <v>0</v>
      </c>
      <c r="C65" s="40" t="s">
        <v>79</v>
      </c>
      <c r="D65" s="40">
        <v>1</v>
      </c>
      <c r="E65" s="40" t="s">
        <v>78</v>
      </c>
      <c r="F65" s="40">
        <v>0</v>
      </c>
      <c r="G65" s="40" t="s">
        <v>92</v>
      </c>
      <c r="H65" s="39">
        <f ca="1">--TRIM(RIGHT(SUBSTITUTE(LEFT(C64,_xlfn.AGGREGATE(16,6,FIND({0,1,2,3,4,5,6,7,8,9},C64,ROW(INDIRECT("1:"&amp;LEN(C64)))),1))," ",REPT(" ",LEN(C64))),LEN(C64)))</f>
        <v>11</v>
      </c>
      <c r="I65" s="14" t="s">
        <v>134</v>
      </c>
      <c r="J65" s="14"/>
      <c r="K65" s="18"/>
    </row>
    <row r="66" spans="1:11" ht="49.5" customHeight="1" x14ac:dyDescent="0.3">
      <c r="A66" s="74" t="s">
        <v>102</v>
      </c>
      <c r="B66" s="75"/>
      <c r="C66" s="76" t="str">
        <f ca="1">I64</f>
        <v xml:space="preserve">Excavation work completed, Plinth work completed, RCC upto 11 Slab completed, Brickwork upto 9 Floor completed, Internal Plaster upto 7 Floor completed, External Plaster upto 7 Floor completed, Flooring upto 6 Floor completed  </v>
      </c>
      <c r="D66" s="76"/>
      <c r="E66" s="76"/>
      <c r="F66" s="76"/>
      <c r="G66" s="76"/>
      <c r="H66" s="77"/>
      <c r="I66" s="14" t="s">
        <v>119</v>
      </c>
      <c r="J66" s="14"/>
      <c r="K66" s="18"/>
    </row>
    <row r="67" spans="1:11" x14ac:dyDescent="0.3">
      <c r="A67" s="78" t="s">
        <v>52</v>
      </c>
      <c r="B67" s="79"/>
      <c r="C67" s="52" t="s">
        <v>162</v>
      </c>
      <c r="D67" s="52" t="s">
        <v>95</v>
      </c>
      <c r="E67" s="79" t="s">
        <v>97</v>
      </c>
      <c r="F67" s="79"/>
      <c r="G67" s="79" t="s">
        <v>96</v>
      </c>
      <c r="H67" s="80"/>
      <c r="I67" s="34" t="s">
        <v>164</v>
      </c>
      <c r="K67" s="19">
        <f ca="1">H65*25%</f>
        <v>2.75</v>
      </c>
    </row>
    <row r="68" spans="1:11" x14ac:dyDescent="0.3">
      <c r="A68" s="78" t="s">
        <v>151</v>
      </c>
      <c r="B68" s="79"/>
      <c r="C68" s="53">
        <f ca="1">K69</f>
        <v>11</v>
      </c>
      <c r="D68" s="57">
        <f ca="1">((100/H65)*C68)/100</f>
        <v>1.0000000000000002</v>
      </c>
      <c r="E68" s="81">
        <f ca="1">(IF(C66=I65,"100%",IF(C66=I66,"100%",(((C69/H65*10)+(40/(D65+F65+H65)*C70)+(7.5/(H65)*C71)+(7.5/(H65)*C72)+(10/H65*C73)+(10/H65*C74)+(5/H65*C75)+(5/H65*C76)+(5/H65*C77))/100))))</f>
        <v>0.69393939393939386</v>
      </c>
      <c r="F68" s="81"/>
      <c r="G68" s="81">
        <f ca="1">((((C68/H65)*20)+((C69/H65)*25)+(30/(H65+F65+D65)*C70)+(5/H65*C71)+(5/H65*C72)+(5/H65*C73)+(5/H65*C74)+(0/H65*C75)+(0/H65*C76)+(5/H65*C77))/100)</f>
        <v>0.85681818181818203</v>
      </c>
      <c r="H68" s="83"/>
      <c r="I68" s="34" t="s">
        <v>113</v>
      </c>
      <c r="J68" s="20"/>
      <c r="K68" s="38">
        <f ca="1">H65*50%</f>
        <v>5.5</v>
      </c>
    </row>
    <row r="69" spans="1:11" x14ac:dyDescent="0.3">
      <c r="A69" s="78" t="s">
        <v>53</v>
      </c>
      <c r="B69" s="79"/>
      <c r="C69" s="54">
        <v>11</v>
      </c>
      <c r="D69" s="57">
        <f ca="1">((100/H65)*C69)/100</f>
        <v>1.0000000000000002</v>
      </c>
      <c r="E69" s="81"/>
      <c r="F69" s="81"/>
      <c r="G69" s="81"/>
      <c r="H69" s="83"/>
      <c r="I69" s="34" t="s">
        <v>114</v>
      </c>
      <c r="J69" s="20"/>
      <c r="K69" s="38">
        <f ca="1">H65</f>
        <v>11</v>
      </c>
    </row>
    <row r="70" spans="1:11" ht="15.75" customHeight="1" x14ac:dyDescent="0.3">
      <c r="A70" s="78" t="s">
        <v>184</v>
      </c>
      <c r="B70" s="79"/>
      <c r="C70" s="54">
        <v>11</v>
      </c>
      <c r="D70" s="57">
        <f ca="1">((100/(D65+F65+H65))*C70)/100</f>
        <v>0.91666666666666674</v>
      </c>
      <c r="E70" s="81"/>
      <c r="F70" s="81"/>
      <c r="G70" s="81"/>
      <c r="H70" s="83"/>
      <c r="I70" s="34" t="s">
        <v>115</v>
      </c>
      <c r="J70" s="20"/>
      <c r="K70" s="44">
        <f ca="1">(IF(B65=0,H65/4,(H65/(B65+4))))</f>
        <v>2.75</v>
      </c>
    </row>
    <row r="71" spans="1:11" ht="15.75" customHeight="1" x14ac:dyDescent="0.3">
      <c r="A71" s="78" t="s">
        <v>159</v>
      </c>
      <c r="B71" s="79" t="s">
        <v>153</v>
      </c>
      <c r="C71" s="53">
        <v>9</v>
      </c>
      <c r="D71" s="57">
        <f ca="1">((100/H65)*C71)/100</f>
        <v>0.81818181818181823</v>
      </c>
      <c r="E71" s="81"/>
      <c r="F71" s="81"/>
      <c r="G71" s="81"/>
      <c r="H71" s="83"/>
      <c r="I71" s="34" t="s">
        <v>116</v>
      </c>
      <c r="J71" s="20"/>
      <c r="K71" s="44">
        <f ca="1">(IF(B65=0,H65/4+K70,(H65/(B65+4)+K70)))</f>
        <v>5.5</v>
      </c>
    </row>
    <row r="72" spans="1:11" ht="15.75" customHeight="1" x14ac:dyDescent="0.3">
      <c r="A72" s="78" t="s">
        <v>160</v>
      </c>
      <c r="B72" s="79" t="s">
        <v>153</v>
      </c>
      <c r="C72" s="53">
        <v>7</v>
      </c>
      <c r="D72" s="57">
        <f ca="1">((100/H65)*C72)/100</f>
        <v>0.63636363636363635</v>
      </c>
      <c r="E72" s="81"/>
      <c r="F72" s="81"/>
      <c r="G72" s="81"/>
      <c r="H72" s="83"/>
      <c r="I72" s="34" t="s">
        <v>166</v>
      </c>
      <c r="J72" s="49"/>
      <c r="K72" s="44">
        <f>(IF(B65=0,0,(H65/(B65+4)+K71)))</f>
        <v>0</v>
      </c>
    </row>
    <row r="73" spans="1:11" ht="15" customHeight="1" x14ac:dyDescent="0.3">
      <c r="A73" s="78" t="s">
        <v>158</v>
      </c>
      <c r="B73" s="79" t="s">
        <v>155</v>
      </c>
      <c r="C73" s="53">
        <v>7</v>
      </c>
      <c r="D73" s="57">
        <f ca="1">((100/(H65))*C73)/100</f>
        <v>0.63636363636363635</v>
      </c>
      <c r="E73" s="81"/>
      <c r="F73" s="81"/>
      <c r="G73" s="81"/>
      <c r="H73" s="83"/>
      <c r="I73" s="34" t="s">
        <v>167</v>
      </c>
      <c r="J73" s="49"/>
      <c r="K73" s="44">
        <f>(IF(B65&gt;1,(H65/(B65+4)+K72),0))</f>
        <v>0</v>
      </c>
    </row>
    <row r="74" spans="1:11" ht="15.75" customHeight="1" x14ac:dyDescent="0.3">
      <c r="A74" s="78" t="s">
        <v>154</v>
      </c>
      <c r="B74" s="79" t="s">
        <v>154</v>
      </c>
      <c r="C74" s="53">
        <v>6</v>
      </c>
      <c r="D74" s="57">
        <f ca="1">((100/H65)*C74)/100</f>
        <v>0.54545454545454541</v>
      </c>
      <c r="E74" s="81"/>
      <c r="F74" s="81"/>
      <c r="G74" s="81"/>
      <c r="H74" s="83"/>
      <c r="I74" s="34" t="s">
        <v>168</v>
      </c>
      <c r="J74" s="43"/>
      <c r="K74" s="45">
        <f>(IF(B65&gt;2,(H65/(B65+4)+K73),0))</f>
        <v>0</v>
      </c>
    </row>
    <row r="75" spans="1:11" ht="15.75" customHeight="1" x14ac:dyDescent="0.3">
      <c r="A75" s="78" t="s">
        <v>161</v>
      </c>
      <c r="B75" s="79"/>
      <c r="C75" s="53">
        <v>0</v>
      </c>
      <c r="D75" s="57">
        <f ca="1">((100/H65)*C75)/100</f>
        <v>0</v>
      </c>
      <c r="E75" s="81"/>
      <c r="F75" s="81"/>
      <c r="G75" s="81"/>
      <c r="H75" s="83"/>
      <c r="I75" s="34" t="s">
        <v>169</v>
      </c>
      <c r="J75"/>
      <c r="K75" s="48">
        <f>(IF(B65&gt;3,(H65/(B65+4)+K74),0))</f>
        <v>0</v>
      </c>
    </row>
    <row r="76" spans="1:11" ht="15.75" customHeight="1" x14ac:dyDescent="0.3">
      <c r="A76" s="78" t="s">
        <v>156</v>
      </c>
      <c r="B76" s="79" t="s">
        <v>156</v>
      </c>
      <c r="C76" s="53">
        <v>0</v>
      </c>
      <c r="D76" s="57">
        <f ca="1">((100/(H65))*C76)/100</f>
        <v>0</v>
      </c>
      <c r="E76" s="81"/>
      <c r="F76" s="81"/>
      <c r="G76" s="81"/>
      <c r="H76" s="83"/>
      <c r="I76" s="34" t="s">
        <v>117</v>
      </c>
      <c r="J76" s="20"/>
      <c r="K76" s="44">
        <f ca="1">(IF(B65=0,H65/4+K71,(H65/(B65+4)+K71+MAX(0,K72-K71)+MAX(0,K73-K72)+MAX(0,K74-K73)+MAX(0,K75-K74))))</f>
        <v>8.25</v>
      </c>
    </row>
    <row r="77" spans="1:11" ht="16.2" thickBot="1" x14ac:dyDescent="0.35">
      <c r="A77" s="85" t="s">
        <v>157</v>
      </c>
      <c r="B77" s="86"/>
      <c r="C77" s="55">
        <v>0</v>
      </c>
      <c r="D77" s="58">
        <f ca="1">((100/(H65))*C77)/100</f>
        <v>0</v>
      </c>
      <c r="E77" s="82"/>
      <c r="F77" s="82"/>
      <c r="G77" s="82"/>
      <c r="H77" s="84"/>
      <c r="I77" s="41" t="s">
        <v>118</v>
      </c>
      <c r="J77" s="42"/>
      <c r="K77" s="46">
        <f ca="1">(IF(B65=0,H65/4+K76,(H65/(B65+4)+K76)))</f>
        <v>11</v>
      </c>
    </row>
    <row r="78" spans="1:11" ht="15.75" customHeight="1" x14ac:dyDescent="0.3">
      <c r="A78" s="69" t="s">
        <v>163</v>
      </c>
      <c r="B78" s="70"/>
      <c r="C78" s="71" t="s">
        <v>244</v>
      </c>
      <c r="D78" s="72"/>
      <c r="E78" s="72"/>
      <c r="F78" s="72"/>
      <c r="G78" s="72"/>
      <c r="H78" s="73"/>
      <c r="I78" s="16" t="str">
        <f ca="1">(IF(C82=0,"Work not yet Started.",IF(D82=25%,"Piling work in process",IF(D82=50%,"Excavation work in process",IF(D82=100%,"Excavation work completed, ","0")))&amp;(IF(C83=0%,"",IF(C83=K84,"Footing work is process",IF(C83=K85,"Footing work Completed",IF(C83=K86,"1st Basement Completed",IF(C83=K87,"1st &amp; 2nd Basement Completed",IF(C83=K88,"1st to 3rd Basement Completed",IF(C83=K89,"1st to 4th Basement Completed",IF(C83=K90,"Plinth work is process",IF(C83=K91,"Plinth work completed","0")))))))))))&amp;(IF(C84&gt;0,", RCC upto "&amp;C84&amp;" Slab completed",""))&amp;(IF(C85&gt;0,", Brickwork upto "&amp;C85&amp;" Floor completed"," "))&amp;(IF(C86&gt;0,", Internal Plaster upto "&amp;C86&amp;" Floor completed"," "))&amp;(IF(C87&gt;0,", External Plaster upto "&amp;C87&amp;" Floor completed"," "))&amp;(IF(C88&gt;0,", Flooring upto "&amp;C88&amp;" Floor completed"," "))&amp;(IF(C89&gt;0,", Painting upto "&amp;C89&amp;" Floor completed"," "))&amp;(IF(C90&gt;0,", Finishing upto "&amp;C90&amp;" Floor completed"," ")))</f>
        <v xml:space="preserve">Excavation work completed, Plinth work completed, RCC upto 11 Slab completed, Brickwork upto 9 Floor completed, Internal Plaster upto 7 Floor completed, External Plaster upto 7 Floor completed, Flooring upto 5 Floor completed  </v>
      </c>
      <c r="J78" s="16"/>
      <c r="K78" s="17"/>
    </row>
    <row r="79" spans="1:11" x14ac:dyDescent="0.3">
      <c r="A79" s="47" t="s">
        <v>165</v>
      </c>
      <c r="B79" s="40">
        <v>0</v>
      </c>
      <c r="C79" s="40" t="s">
        <v>79</v>
      </c>
      <c r="D79" s="40">
        <v>1</v>
      </c>
      <c r="E79" s="40" t="s">
        <v>78</v>
      </c>
      <c r="F79" s="40">
        <v>0</v>
      </c>
      <c r="G79" s="40" t="s">
        <v>92</v>
      </c>
      <c r="H79" s="39">
        <f ca="1">--TRIM(RIGHT(SUBSTITUTE(LEFT(C78,_xlfn.AGGREGATE(16,6,FIND({0,1,2,3,4,5,6,7,8,9},C78,ROW(INDIRECT("1:"&amp;LEN(C78)))),1))," ",REPT(" ",LEN(C78))),LEN(C78)))</f>
        <v>11</v>
      </c>
      <c r="I79" s="14" t="s">
        <v>134</v>
      </c>
      <c r="J79" s="14"/>
      <c r="K79" s="18"/>
    </row>
    <row r="80" spans="1:11" ht="49.5" customHeight="1" x14ac:dyDescent="0.3">
      <c r="A80" s="74" t="s">
        <v>102</v>
      </c>
      <c r="B80" s="75"/>
      <c r="C80" s="76" t="str">
        <f ca="1">I78</f>
        <v xml:space="preserve">Excavation work completed, Plinth work completed, RCC upto 11 Slab completed, Brickwork upto 9 Floor completed, Internal Plaster upto 7 Floor completed, External Plaster upto 7 Floor completed, Flooring upto 5 Floor completed  </v>
      </c>
      <c r="D80" s="76"/>
      <c r="E80" s="76"/>
      <c r="F80" s="76"/>
      <c r="G80" s="76"/>
      <c r="H80" s="77"/>
      <c r="I80" s="14" t="s">
        <v>119</v>
      </c>
      <c r="J80" s="14"/>
      <c r="K80" s="18"/>
    </row>
    <row r="81" spans="1:11" x14ac:dyDescent="0.3">
      <c r="A81" s="78" t="s">
        <v>52</v>
      </c>
      <c r="B81" s="79"/>
      <c r="C81" s="52" t="s">
        <v>162</v>
      </c>
      <c r="D81" s="52" t="s">
        <v>95</v>
      </c>
      <c r="E81" s="79" t="s">
        <v>97</v>
      </c>
      <c r="F81" s="79"/>
      <c r="G81" s="79" t="s">
        <v>96</v>
      </c>
      <c r="H81" s="80"/>
      <c r="I81" s="34" t="s">
        <v>164</v>
      </c>
      <c r="K81" s="19">
        <f ca="1">H79*25%</f>
        <v>2.75</v>
      </c>
    </row>
    <row r="82" spans="1:11" x14ac:dyDescent="0.3">
      <c r="A82" s="78" t="s">
        <v>151</v>
      </c>
      <c r="B82" s="79"/>
      <c r="C82" s="53">
        <f ca="1">K83</f>
        <v>11</v>
      </c>
      <c r="D82" s="57">
        <f ca="1">((100/H79)*C82)/100</f>
        <v>1.0000000000000002</v>
      </c>
      <c r="E82" s="81">
        <f ca="1">(IF(C80=I79,"100%",IF(C80=I80,"100%",(((C83/H79*10)+(40/(D79+F79+H79)*C84)+(7.5/(H79)*C85)+(7.5/(H79)*C86)+(10/H79*C87)+(10/H79*C88)+(5/H79*C89)+(5/H79*C90)+(5/H79*C91))/100))))</f>
        <v>0.68484848484848482</v>
      </c>
      <c r="F82" s="81"/>
      <c r="G82" s="81">
        <f ca="1">((((C82/H79)*20)+((C83/H79)*25)+(30/(H79+F79+D79)*C84)+(5/H79*C85)+(5/H79*C86)+(5/H79*C87)+(5/H79*C88)+(0/H79*C89)+(0/H79*C90)+(5/H79*C91))/100)</f>
        <v>0.85227272727272729</v>
      </c>
      <c r="H82" s="83"/>
      <c r="I82" s="34" t="s">
        <v>113</v>
      </c>
      <c r="J82" s="20"/>
      <c r="K82" s="38">
        <f ca="1">H79*50%</f>
        <v>5.5</v>
      </c>
    </row>
    <row r="83" spans="1:11" x14ac:dyDescent="0.3">
      <c r="A83" s="78" t="s">
        <v>53</v>
      </c>
      <c r="B83" s="79"/>
      <c r="C83" s="54">
        <v>11</v>
      </c>
      <c r="D83" s="57">
        <f ca="1">((100/H79)*C83)/100</f>
        <v>1.0000000000000002</v>
      </c>
      <c r="E83" s="81"/>
      <c r="F83" s="81"/>
      <c r="G83" s="81"/>
      <c r="H83" s="83"/>
      <c r="I83" s="34" t="s">
        <v>114</v>
      </c>
      <c r="J83" s="20"/>
      <c r="K83" s="38">
        <f ca="1">H79</f>
        <v>11</v>
      </c>
    </row>
    <row r="84" spans="1:11" ht="15.75" customHeight="1" x14ac:dyDescent="0.3">
      <c r="A84" s="78" t="s">
        <v>184</v>
      </c>
      <c r="B84" s="79"/>
      <c r="C84" s="54">
        <v>11</v>
      </c>
      <c r="D84" s="57">
        <f ca="1">((100/(D79+F79+H79))*C84)/100</f>
        <v>0.91666666666666674</v>
      </c>
      <c r="E84" s="81"/>
      <c r="F84" s="81"/>
      <c r="G84" s="81"/>
      <c r="H84" s="83"/>
      <c r="I84" s="34" t="s">
        <v>115</v>
      </c>
      <c r="J84" s="20"/>
      <c r="K84" s="44">
        <f ca="1">(IF(B79=0,H79/4,(H79/(B79+4))))</f>
        <v>2.75</v>
      </c>
    </row>
    <row r="85" spans="1:11" ht="15.75" customHeight="1" x14ac:dyDescent="0.3">
      <c r="A85" s="78" t="s">
        <v>159</v>
      </c>
      <c r="B85" s="79" t="s">
        <v>153</v>
      </c>
      <c r="C85" s="53">
        <v>9</v>
      </c>
      <c r="D85" s="57">
        <f ca="1">((100/H79)*C85)/100</f>
        <v>0.81818181818181823</v>
      </c>
      <c r="E85" s="81"/>
      <c r="F85" s="81"/>
      <c r="G85" s="81"/>
      <c r="H85" s="83"/>
      <c r="I85" s="34" t="s">
        <v>116</v>
      </c>
      <c r="J85" s="20"/>
      <c r="K85" s="44">
        <f ca="1">(IF(B79=0,H79/4+K84,(H79/(B79+4)+K84)))</f>
        <v>5.5</v>
      </c>
    </row>
    <row r="86" spans="1:11" ht="15.75" customHeight="1" x14ac:dyDescent="0.3">
      <c r="A86" s="78" t="s">
        <v>160</v>
      </c>
      <c r="B86" s="79" t="s">
        <v>153</v>
      </c>
      <c r="C86" s="53">
        <v>7</v>
      </c>
      <c r="D86" s="57">
        <f ca="1">((100/H79)*C86)/100</f>
        <v>0.63636363636363635</v>
      </c>
      <c r="E86" s="81"/>
      <c r="F86" s="81"/>
      <c r="G86" s="81"/>
      <c r="H86" s="83"/>
      <c r="I86" s="34" t="s">
        <v>166</v>
      </c>
      <c r="J86" s="49"/>
      <c r="K86" s="44">
        <f>(IF(B79=0,0,(H79/(B79+4)+K85)))</f>
        <v>0</v>
      </c>
    </row>
    <row r="87" spans="1:11" ht="15" customHeight="1" x14ac:dyDescent="0.3">
      <c r="A87" s="78" t="s">
        <v>158</v>
      </c>
      <c r="B87" s="79" t="s">
        <v>155</v>
      </c>
      <c r="C87" s="53">
        <v>7</v>
      </c>
      <c r="D87" s="57">
        <f ca="1">((100/(H79))*C87)/100</f>
        <v>0.63636363636363635</v>
      </c>
      <c r="E87" s="81"/>
      <c r="F87" s="81"/>
      <c r="G87" s="81"/>
      <c r="H87" s="83"/>
      <c r="I87" s="34" t="s">
        <v>167</v>
      </c>
      <c r="J87" s="49"/>
      <c r="K87" s="44">
        <f>(IF(B79&gt;1,(H79/(B79+4)+K86),0))</f>
        <v>0</v>
      </c>
    </row>
    <row r="88" spans="1:11" ht="15.75" customHeight="1" x14ac:dyDescent="0.3">
      <c r="A88" s="78" t="s">
        <v>154</v>
      </c>
      <c r="B88" s="79" t="s">
        <v>154</v>
      </c>
      <c r="C88" s="53">
        <v>5</v>
      </c>
      <c r="D88" s="57">
        <f ca="1">((100/H79)*C88)/100</f>
        <v>0.45454545454545459</v>
      </c>
      <c r="E88" s="81"/>
      <c r="F88" s="81"/>
      <c r="G88" s="81"/>
      <c r="H88" s="83"/>
      <c r="I88" s="34" t="s">
        <v>168</v>
      </c>
      <c r="J88" s="43"/>
      <c r="K88" s="45">
        <f>(IF(B79&gt;2,(H79/(B79+4)+K87),0))</f>
        <v>0</v>
      </c>
    </row>
    <row r="89" spans="1:11" ht="15.75" customHeight="1" x14ac:dyDescent="0.3">
      <c r="A89" s="78" t="s">
        <v>161</v>
      </c>
      <c r="B89" s="79"/>
      <c r="C89" s="53">
        <v>0</v>
      </c>
      <c r="D89" s="57">
        <f ca="1">((100/H79)*C89)/100</f>
        <v>0</v>
      </c>
      <c r="E89" s="81"/>
      <c r="F89" s="81"/>
      <c r="G89" s="81"/>
      <c r="H89" s="83"/>
      <c r="I89" s="34" t="s">
        <v>169</v>
      </c>
      <c r="J89"/>
      <c r="K89" s="48">
        <f>(IF(B79&gt;3,(H79/(B79+4)+K88),0))</f>
        <v>0</v>
      </c>
    </row>
    <row r="90" spans="1:11" ht="15.75" customHeight="1" x14ac:dyDescent="0.3">
      <c r="A90" s="78" t="s">
        <v>156</v>
      </c>
      <c r="B90" s="79" t="s">
        <v>156</v>
      </c>
      <c r="C90" s="53">
        <v>0</v>
      </c>
      <c r="D90" s="57">
        <f ca="1">((100/(H79))*C90)/100</f>
        <v>0</v>
      </c>
      <c r="E90" s="81"/>
      <c r="F90" s="81"/>
      <c r="G90" s="81"/>
      <c r="H90" s="83"/>
      <c r="I90" s="34" t="s">
        <v>117</v>
      </c>
      <c r="J90" s="20"/>
      <c r="K90" s="44">
        <f ca="1">(IF(B79=0,H79/4+K85,(H79/(B79+4)+K85+MAX(0,K86-K85)+MAX(0,K87-K86)+MAX(0,K88-K87)+MAX(0,K89-K88))))</f>
        <v>8.25</v>
      </c>
    </row>
    <row r="91" spans="1:11" ht="16.2" thickBot="1" x14ac:dyDescent="0.35">
      <c r="A91" s="85" t="s">
        <v>157</v>
      </c>
      <c r="B91" s="86"/>
      <c r="C91" s="55">
        <v>0</v>
      </c>
      <c r="D91" s="58">
        <f ca="1">((100/(H79))*C91)/100</f>
        <v>0</v>
      </c>
      <c r="E91" s="82"/>
      <c r="F91" s="82"/>
      <c r="G91" s="82"/>
      <c r="H91" s="84"/>
      <c r="I91" s="41" t="s">
        <v>118</v>
      </c>
      <c r="J91" s="42"/>
      <c r="K91" s="46">
        <f ca="1">(IF(B79=0,H79/4+K90,(H79/(B79+4)+K90)))</f>
        <v>11</v>
      </c>
    </row>
    <row r="92" spans="1:11" ht="15.75" customHeight="1" x14ac:dyDescent="0.3">
      <c r="A92" s="69" t="s">
        <v>163</v>
      </c>
      <c r="B92" s="70"/>
      <c r="C92" s="71" t="s">
        <v>233</v>
      </c>
      <c r="D92" s="72"/>
      <c r="E92" s="72"/>
      <c r="F92" s="72"/>
      <c r="G92" s="72"/>
      <c r="H92" s="73"/>
      <c r="I92" s="16" t="str">
        <f ca="1">(IF(C96=0,"Work not yet Started.",IF(D96=25%,"Piling work in process",IF(D96=50%,"Excavation work in process",IF(D96=100%,"Excavation work completed, ","0")))&amp;(IF(C97=0%,"",IF(C97=K98,"Footing work is process",IF(C97=K99,"Footing work Completed",IF(C97=K100,"1st Basement Completed",IF(C97=K101,"1st &amp; 2nd Basement Completed",IF(C97=K102,"1st to 3rd Basement Completed",IF(C97=K103,"1st to 4th Basement Completed",IF(C97=K104,"Plinth work is process",IF(C97=K105,"Plinth work completed","0")))))))))))&amp;(IF(C98&gt;0,", RCC upto "&amp;C98&amp;" Slab completed",""))&amp;(IF(C99&gt;0,", Brickwork upto "&amp;C99&amp;" Floor completed"," "))&amp;(IF(C100&gt;0,", Internal Plaster upto "&amp;C100&amp;" Floor completed"," "))&amp;(IF(C101&gt;0,", External Plaster upto "&amp;C101&amp;" Floor completed"," "))&amp;(IF(C102&gt;0,", Flooring upto "&amp;C102&amp;" Floor completed"," "))&amp;(IF(C103&gt;0,", Painting upto "&amp;C103&amp;" Floor completed"," "))&amp;(IF(C104&gt;0,", Finishing upto "&amp;C104&amp;" Floor completed"," ")))</f>
        <v xml:space="preserve">Excavation work completed, Plinth work completed, RCC upto 11 Slab completed, Brickwork upto 8 Floor completed, Internal Plaster upto 8 Floor completed, External Plaster upto 7 Floor completed, Flooring upto 5 Floor completed  </v>
      </c>
      <c r="J92" s="16"/>
      <c r="K92" s="17"/>
    </row>
    <row r="93" spans="1:11" x14ac:dyDescent="0.3">
      <c r="A93" s="47" t="s">
        <v>165</v>
      </c>
      <c r="B93" s="40">
        <v>0</v>
      </c>
      <c r="C93" s="40" t="s">
        <v>79</v>
      </c>
      <c r="D93" s="40">
        <v>1</v>
      </c>
      <c r="E93" s="40" t="s">
        <v>78</v>
      </c>
      <c r="F93" s="40">
        <v>0</v>
      </c>
      <c r="G93" s="40" t="s">
        <v>92</v>
      </c>
      <c r="H93" s="39">
        <f ca="1">--TRIM(RIGHT(SUBSTITUTE(LEFT(C92,_xlfn.AGGREGATE(16,6,FIND({0,1,2,3,4,5,6,7,8,9},C92,ROW(INDIRECT("1:"&amp;LEN(C92)))),1))," ",REPT(" ",LEN(C92))),LEN(C92)))</f>
        <v>11</v>
      </c>
      <c r="I93" s="14" t="s">
        <v>134</v>
      </c>
      <c r="J93" s="14"/>
      <c r="K93" s="18"/>
    </row>
    <row r="94" spans="1:11" ht="47.25" customHeight="1" x14ac:dyDescent="0.3">
      <c r="A94" s="74" t="s">
        <v>102</v>
      </c>
      <c r="B94" s="75"/>
      <c r="C94" s="76" t="str">
        <f ca="1">I92</f>
        <v xml:space="preserve">Excavation work completed, Plinth work completed, RCC upto 11 Slab completed, Brickwork upto 8 Floor completed, Internal Plaster upto 8 Floor completed, External Plaster upto 7 Floor completed, Flooring upto 5 Floor completed  </v>
      </c>
      <c r="D94" s="76"/>
      <c r="E94" s="76"/>
      <c r="F94" s="76"/>
      <c r="G94" s="76"/>
      <c r="H94" s="77"/>
      <c r="I94" s="14" t="s">
        <v>119</v>
      </c>
      <c r="J94" s="14"/>
      <c r="K94" s="18"/>
    </row>
    <row r="95" spans="1:11" x14ac:dyDescent="0.3">
      <c r="A95" s="78" t="s">
        <v>52</v>
      </c>
      <c r="B95" s="79"/>
      <c r="C95" s="52" t="s">
        <v>162</v>
      </c>
      <c r="D95" s="52" t="s">
        <v>95</v>
      </c>
      <c r="E95" s="79" t="s">
        <v>97</v>
      </c>
      <c r="F95" s="79"/>
      <c r="G95" s="79" t="s">
        <v>96</v>
      </c>
      <c r="H95" s="80"/>
      <c r="I95" s="34" t="s">
        <v>164</v>
      </c>
      <c r="K95" s="19">
        <f ca="1">H93*25%</f>
        <v>2.75</v>
      </c>
    </row>
    <row r="96" spans="1:11" x14ac:dyDescent="0.3">
      <c r="A96" s="78" t="s">
        <v>151</v>
      </c>
      <c r="B96" s="79"/>
      <c r="C96" s="53">
        <f ca="1">K97</f>
        <v>11</v>
      </c>
      <c r="D96" s="57">
        <f ca="1">((100/H93)*C96)/100</f>
        <v>1.0000000000000002</v>
      </c>
      <c r="E96" s="81">
        <f ca="1">(IF(C94=I93,"100%",IF(C94=I94,"100%",(((C97/H93*10)+(40/(D93+F93+H93)*C98)+(7.5/(H93)*C99)+(7.5/(H93)*C100)+(10/H93*C101)+(10/H93*C102)+(5/H93*C103)+(5/H93*C104)+(5/H93*C105))/100))))</f>
        <v>0.68484848484848482</v>
      </c>
      <c r="F96" s="81"/>
      <c r="G96" s="81">
        <f ca="1">((((C96/H93)*20)+((C97/H93)*25)+(30/(H93+F93+D93)*C98)+(5/H93*C99)+(5/H93*C100)+(5/H93*C101)+(5/H93*C102)+(0/H93*C103)+(0/H93*C104)+(5/H93*C105))/100)</f>
        <v>0.85227272727272729</v>
      </c>
      <c r="H96" s="83"/>
      <c r="I96" s="34" t="s">
        <v>113</v>
      </c>
      <c r="J96" s="20"/>
      <c r="K96" s="38">
        <f ca="1">H93*50%</f>
        <v>5.5</v>
      </c>
    </row>
    <row r="97" spans="1:11" x14ac:dyDescent="0.3">
      <c r="A97" s="78" t="s">
        <v>53</v>
      </c>
      <c r="B97" s="79"/>
      <c r="C97" s="54">
        <f ca="1">K105</f>
        <v>11</v>
      </c>
      <c r="D97" s="57">
        <f ca="1">((100/H93)*C97)/100</f>
        <v>1.0000000000000002</v>
      </c>
      <c r="E97" s="81"/>
      <c r="F97" s="81"/>
      <c r="G97" s="81"/>
      <c r="H97" s="83"/>
      <c r="I97" s="34" t="s">
        <v>114</v>
      </c>
      <c r="J97" s="20"/>
      <c r="K97" s="38">
        <f ca="1">H93</f>
        <v>11</v>
      </c>
    </row>
    <row r="98" spans="1:11" ht="15.75" customHeight="1" x14ac:dyDescent="0.3">
      <c r="A98" s="78" t="s">
        <v>184</v>
      </c>
      <c r="B98" s="79"/>
      <c r="C98" s="54">
        <v>11</v>
      </c>
      <c r="D98" s="57">
        <f ca="1">((100/(D93+F93+H93))*C98)/100</f>
        <v>0.91666666666666674</v>
      </c>
      <c r="E98" s="81"/>
      <c r="F98" s="81"/>
      <c r="G98" s="81"/>
      <c r="H98" s="83"/>
      <c r="I98" s="34" t="s">
        <v>115</v>
      </c>
      <c r="J98" s="20"/>
      <c r="K98" s="44">
        <f ca="1">(IF(B93=0,H93/4,(H93/(B93+4))))</f>
        <v>2.75</v>
      </c>
    </row>
    <row r="99" spans="1:11" ht="15.75" customHeight="1" x14ac:dyDescent="0.3">
      <c r="A99" s="78" t="s">
        <v>159</v>
      </c>
      <c r="B99" s="79" t="s">
        <v>153</v>
      </c>
      <c r="C99" s="53">
        <v>8</v>
      </c>
      <c r="D99" s="57">
        <f ca="1">((100/H93)*C99)/100</f>
        <v>0.72727272727272729</v>
      </c>
      <c r="E99" s="81"/>
      <c r="F99" s="81"/>
      <c r="G99" s="81"/>
      <c r="H99" s="83"/>
      <c r="I99" s="34" t="s">
        <v>116</v>
      </c>
      <c r="J99" s="20"/>
      <c r="K99" s="44">
        <f ca="1">(IF(B93=0,H93/4+K98,(H93/(B93+4)+K98)))</f>
        <v>5.5</v>
      </c>
    </row>
    <row r="100" spans="1:11" ht="15.75" customHeight="1" x14ac:dyDescent="0.3">
      <c r="A100" s="78" t="s">
        <v>160</v>
      </c>
      <c r="B100" s="79" t="s">
        <v>153</v>
      </c>
      <c r="C100" s="53">
        <v>8</v>
      </c>
      <c r="D100" s="57">
        <f ca="1">((100/H93)*C100)/100</f>
        <v>0.72727272727272729</v>
      </c>
      <c r="E100" s="81"/>
      <c r="F100" s="81"/>
      <c r="G100" s="81"/>
      <c r="H100" s="83"/>
      <c r="I100" s="34" t="s">
        <v>166</v>
      </c>
      <c r="J100" s="49"/>
      <c r="K100" s="44">
        <f>(IF(B93=0,0,(H93/(B93+4)+K99)))</f>
        <v>0</v>
      </c>
    </row>
    <row r="101" spans="1:11" ht="15" customHeight="1" x14ac:dyDescent="0.3">
      <c r="A101" s="78" t="s">
        <v>158</v>
      </c>
      <c r="B101" s="79" t="s">
        <v>155</v>
      </c>
      <c r="C101" s="53">
        <v>7</v>
      </c>
      <c r="D101" s="57">
        <f ca="1">((100/(H93))*C101)/100</f>
        <v>0.63636363636363635</v>
      </c>
      <c r="E101" s="81"/>
      <c r="F101" s="81"/>
      <c r="G101" s="81"/>
      <c r="H101" s="83"/>
      <c r="I101" s="34" t="s">
        <v>167</v>
      </c>
      <c r="J101" s="49"/>
      <c r="K101" s="44">
        <f>(IF(B93&gt;1,(H93/(B93+4)+K100),0))</f>
        <v>0</v>
      </c>
    </row>
    <row r="102" spans="1:11" ht="15.75" customHeight="1" x14ac:dyDescent="0.3">
      <c r="A102" s="78" t="s">
        <v>154</v>
      </c>
      <c r="B102" s="79" t="s">
        <v>154</v>
      </c>
      <c r="C102" s="53">
        <v>5</v>
      </c>
      <c r="D102" s="57">
        <f ca="1">((100/H93)*C102)/100</f>
        <v>0.45454545454545459</v>
      </c>
      <c r="E102" s="81"/>
      <c r="F102" s="81"/>
      <c r="G102" s="81"/>
      <c r="H102" s="83"/>
      <c r="I102" s="34" t="s">
        <v>168</v>
      </c>
      <c r="J102" s="43"/>
      <c r="K102" s="45">
        <f>(IF(B93&gt;2,(H93/(B93+4)+K101),0))</f>
        <v>0</v>
      </c>
    </row>
    <row r="103" spans="1:11" ht="15.75" customHeight="1" x14ac:dyDescent="0.3">
      <c r="A103" s="78" t="s">
        <v>161</v>
      </c>
      <c r="B103" s="79"/>
      <c r="C103" s="53">
        <v>0</v>
      </c>
      <c r="D103" s="57">
        <f ca="1">((100/H93)*C103)/100</f>
        <v>0</v>
      </c>
      <c r="E103" s="81"/>
      <c r="F103" s="81"/>
      <c r="G103" s="81"/>
      <c r="H103" s="83"/>
      <c r="I103" s="34" t="s">
        <v>169</v>
      </c>
      <c r="J103"/>
      <c r="K103" s="48">
        <f>(IF(B93&gt;3,(H93/(B93+4)+K102),0))</f>
        <v>0</v>
      </c>
    </row>
    <row r="104" spans="1:11" ht="15.75" customHeight="1" x14ac:dyDescent="0.3">
      <c r="A104" s="78" t="s">
        <v>156</v>
      </c>
      <c r="B104" s="79" t="s">
        <v>156</v>
      </c>
      <c r="C104" s="53">
        <v>0</v>
      </c>
      <c r="D104" s="57">
        <f ca="1">((100/(H93))*C104)/100</f>
        <v>0</v>
      </c>
      <c r="E104" s="81"/>
      <c r="F104" s="81"/>
      <c r="G104" s="81"/>
      <c r="H104" s="83"/>
      <c r="I104" s="34" t="s">
        <v>117</v>
      </c>
      <c r="J104" s="20"/>
      <c r="K104" s="44">
        <f ca="1">(IF(B93=0,H93/4+K99,(H93/(B93+4)+K99+MAX(0,K100-K99)+MAX(0,K101-K100)+MAX(0,K102-K101)+MAX(0,K103-K102))))</f>
        <v>8.25</v>
      </c>
    </row>
    <row r="105" spans="1:11" ht="16.2" thickBot="1" x14ac:dyDescent="0.35">
      <c r="A105" s="85" t="s">
        <v>157</v>
      </c>
      <c r="B105" s="86"/>
      <c r="C105" s="55">
        <v>0</v>
      </c>
      <c r="D105" s="58">
        <f ca="1">((100/(H93))*C105)/100</f>
        <v>0</v>
      </c>
      <c r="E105" s="82"/>
      <c r="F105" s="82"/>
      <c r="G105" s="82"/>
      <c r="H105" s="84"/>
      <c r="I105" s="41" t="s">
        <v>118</v>
      </c>
      <c r="J105" s="42"/>
      <c r="K105" s="46">
        <f ca="1">(IF(B93=0,H93/4+K104,(H93/(B93+4)+K104)))</f>
        <v>11</v>
      </c>
    </row>
    <row r="106" spans="1:11" ht="15.75" customHeight="1" x14ac:dyDescent="0.3">
      <c r="A106" s="69" t="s">
        <v>163</v>
      </c>
      <c r="B106" s="70"/>
      <c r="C106" s="71" t="s">
        <v>232</v>
      </c>
      <c r="D106" s="72"/>
      <c r="E106" s="72"/>
      <c r="F106" s="72"/>
      <c r="G106" s="72"/>
      <c r="H106" s="73"/>
      <c r="I106" s="16" t="str">
        <f ca="1">(IF(C110=0,"Work not yet Started.",IF(D110=25%,"Piling work in process",IF(D110=50%,"Excavation work in process",IF(D110=100%,"Excavation work completed, ","0")))&amp;(IF(C111=0%,"",IF(C111=K112,"Footing work is process",IF(C111=K113,"Footing work Completed",IF(C111=K114,"1st Basement Completed",IF(C111=K115,"1st &amp; 2nd Basement Completed",IF(C111=K116,"1st to 3rd Basement Completed",IF(C111=K117,"1st to 4th Basement Completed",IF(C111=K118,"Plinth work is process",IF(C111=K119,"Plinth work completed","0")))))))))))&amp;(IF(C112&gt;0,", RCC upto "&amp;C112&amp;" Slab completed",""))&amp;(IF(C113&gt;0,", Brickwork upto "&amp;C113&amp;" Floor completed"," "))&amp;(IF(C114&gt;0,", Internal Plaster upto "&amp;C114&amp;" Floor completed"," "))&amp;(IF(C115&gt;0,", External Plaster upto "&amp;C115&amp;" Floor completed"," "))&amp;(IF(C116&gt;0,", Flooring upto "&amp;C116&amp;" Floor completed"," "))&amp;(IF(C117&gt;0,", Painting upto "&amp;C117&amp;" Floor completed"," "))&amp;(IF(C118&gt;0,", Finishing upto "&amp;C118&amp;" Floor completed"," ")))</f>
        <v xml:space="preserve">Excavation work completed, Plinth work completed, RCC upto 11 Slab completed, Brickwork upto 7 Floor completed, Internal Plaster upto 7 Floor completed, External Plaster upto 7 Floor completed, Flooring upto 4 Floor completed  </v>
      </c>
      <c r="J106" s="16"/>
      <c r="K106" s="17"/>
    </row>
    <row r="107" spans="1:11" x14ac:dyDescent="0.3">
      <c r="A107" s="47" t="s">
        <v>165</v>
      </c>
      <c r="B107" s="40">
        <v>0</v>
      </c>
      <c r="C107" s="40" t="s">
        <v>79</v>
      </c>
      <c r="D107" s="40">
        <v>1</v>
      </c>
      <c r="E107" s="40" t="s">
        <v>78</v>
      </c>
      <c r="F107" s="40">
        <v>0</v>
      </c>
      <c r="G107" s="40" t="s">
        <v>92</v>
      </c>
      <c r="H107" s="39">
        <f ca="1">--TRIM(RIGHT(SUBSTITUTE(LEFT(C106,_xlfn.AGGREGATE(16,6,FIND({0,1,2,3,4,5,6,7,8,9},C106,ROW(INDIRECT("1:"&amp;LEN(C106)))),1))," ",REPT(" ",LEN(C106))),LEN(C106)))</f>
        <v>11</v>
      </c>
      <c r="I107" s="14" t="s">
        <v>134</v>
      </c>
      <c r="J107" s="14"/>
      <c r="K107" s="18"/>
    </row>
    <row r="108" spans="1:11" ht="50.25" customHeight="1" x14ac:dyDescent="0.3">
      <c r="A108" s="74" t="s">
        <v>102</v>
      </c>
      <c r="B108" s="75"/>
      <c r="C108" s="76" t="str">
        <f ca="1">I106</f>
        <v xml:space="preserve">Excavation work completed, Plinth work completed, RCC upto 11 Slab completed, Brickwork upto 7 Floor completed, Internal Plaster upto 7 Floor completed, External Plaster upto 7 Floor completed, Flooring upto 4 Floor completed  </v>
      </c>
      <c r="D108" s="76"/>
      <c r="E108" s="76"/>
      <c r="F108" s="76"/>
      <c r="G108" s="76"/>
      <c r="H108" s="77"/>
      <c r="I108" s="14" t="s">
        <v>119</v>
      </c>
      <c r="J108" s="14"/>
      <c r="K108" s="18"/>
    </row>
    <row r="109" spans="1:11" x14ac:dyDescent="0.3">
      <c r="A109" s="78" t="s">
        <v>52</v>
      </c>
      <c r="B109" s="79"/>
      <c r="C109" s="52" t="s">
        <v>162</v>
      </c>
      <c r="D109" s="52" t="s">
        <v>95</v>
      </c>
      <c r="E109" s="79" t="s">
        <v>97</v>
      </c>
      <c r="F109" s="79"/>
      <c r="G109" s="79" t="s">
        <v>96</v>
      </c>
      <c r="H109" s="80"/>
      <c r="I109" s="34" t="s">
        <v>164</v>
      </c>
      <c r="K109" s="19">
        <f ca="1">H107*25%</f>
        <v>2.75</v>
      </c>
    </row>
    <row r="110" spans="1:11" x14ac:dyDescent="0.3">
      <c r="A110" s="78" t="s">
        <v>151</v>
      </c>
      <c r="B110" s="79"/>
      <c r="C110" s="53">
        <f ca="1">K111</f>
        <v>11</v>
      </c>
      <c r="D110" s="57">
        <f ca="1">((100/H107)*C110)/100</f>
        <v>1.0000000000000002</v>
      </c>
      <c r="E110" s="81">
        <f ca="1">(IF(C108=I107,"100%",IF(C108=I108,"100%",(((C111/H107*10)+(40/(D107+F107+H107)*C112)+(7.5/(H107)*C113)+(7.5/(H107)*C114)+(10/H107*C115)+(10/H107*C116)+(5/H107*C117)+(5/H107*C118)+(5/H107*C119))/100))))</f>
        <v>0.66212121212121222</v>
      </c>
      <c r="F110" s="81"/>
      <c r="G110" s="81">
        <f ca="1">((((C110/H107)*20)+((C111/H107)*25)+(30/(H107+F107+D107)*C112)+(5/H107*C113)+(5/H107*C114)+(5/H107*C115)+(5/H107*C116)+(0/H107*C117)+(0/H107*C118)+(5/H107*C119))/100)</f>
        <v>0.83863636363636374</v>
      </c>
      <c r="H110" s="83"/>
      <c r="I110" s="34" t="s">
        <v>113</v>
      </c>
      <c r="J110" s="20"/>
      <c r="K110" s="38">
        <f ca="1">H107*50%</f>
        <v>5.5</v>
      </c>
    </row>
    <row r="111" spans="1:11" x14ac:dyDescent="0.3">
      <c r="A111" s="78" t="s">
        <v>53</v>
      </c>
      <c r="B111" s="79"/>
      <c r="C111" s="54">
        <f ca="1">K119</f>
        <v>11</v>
      </c>
      <c r="D111" s="57">
        <f ca="1">((100/H107)*C111)/100</f>
        <v>1.0000000000000002</v>
      </c>
      <c r="E111" s="81"/>
      <c r="F111" s="81"/>
      <c r="G111" s="81"/>
      <c r="H111" s="83"/>
      <c r="I111" s="34" t="s">
        <v>114</v>
      </c>
      <c r="J111" s="20"/>
      <c r="K111" s="38">
        <f ca="1">H107</f>
        <v>11</v>
      </c>
    </row>
    <row r="112" spans="1:11" ht="15.75" customHeight="1" x14ac:dyDescent="0.3">
      <c r="A112" s="78" t="s">
        <v>184</v>
      </c>
      <c r="B112" s="79"/>
      <c r="C112" s="54">
        <v>11</v>
      </c>
      <c r="D112" s="57">
        <f ca="1">((100/(D107+F107+H107))*C112)/100</f>
        <v>0.91666666666666674</v>
      </c>
      <c r="E112" s="81"/>
      <c r="F112" s="81"/>
      <c r="G112" s="81"/>
      <c r="H112" s="83"/>
      <c r="I112" s="34" t="s">
        <v>115</v>
      </c>
      <c r="J112" s="20"/>
      <c r="K112" s="44">
        <f ca="1">(IF(B107=0,H107/4,(H107/(B107+4))))</f>
        <v>2.75</v>
      </c>
    </row>
    <row r="113" spans="1:11" ht="15.75" customHeight="1" x14ac:dyDescent="0.3">
      <c r="A113" s="78" t="s">
        <v>159</v>
      </c>
      <c r="B113" s="79" t="s">
        <v>153</v>
      </c>
      <c r="C113" s="53">
        <v>7</v>
      </c>
      <c r="D113" s="57">
        <f ca="1">((100/H107)*C113)/100</f>
        <v>0.63636363636363635</v>
      </c>
      <c r="E113" s="81"/>
      <c r="F113" s="81"/>
      <c r="G113" s="81"/>
      <c r="H113" s="83"/>
      <c r="I113" s="34" t="s">
        <v>116</v>
      </c>
      <c r="J113" s="20"/>
      <c r="K113" s="44">
        <f ca="1">(IF(B107=0,H107/4+K112,(H107/(B107+4)+K112)))</f>
        <v>5.5</v>
      </c>
    </row>
    <row r="114" spans="1:11" ht="15.75" customHeight="1" x14ac:dyDescent="0.3">
      <c r="A114" s="78" t="s">
        <v>160</v>
      </c>
      <c r="B114" s="79" t="s">
        <v>153</v>
      </c>
      <c r="C114" s="53">
        <v>7</v>
      </c>
      <c r="D114" s="57">
        <f ca="1">((100/H107)*C114)/100</f>
        <v>0.63636363636363635</v>
      </c>
      <c r="E114" s="81"/>
      <c r="F114" s="81"/>
      <c r="G114" s="81"/>
      <c r="H114" s="83"/>
      <c r="I114" s="34" t="s">
        <v>166</v>
      </c>
      <c r="J114" s="49"/>
      <c r="K114" s="44">
        <f>(IF(B107=0,0,(H107/(B107+4)+K113)))</f>
        <v>0</v>
      </c>
    </row>
    <row r="115" spans="1:11" ht="15" customHeight="1" x14ac:dyDescent="0.3">
      <c r="A115" s="78" t="s">
        <v>158</v>
      </c>
      <c r="B115" s="79" t="s">
        <v>155</v>
      </c>
      <c r="C115" s="53">
        <v>7</v>
      </c>
      <c r="D115" s="57">
        <f ca="1">((100/(H107))*C115)/100</f>
        <v>0.63636363636363635</v>
      </c>
      <c r="E115" s="81"/>
      <c r="F115" s="81"/>
      <c r="G115" s="81"/>
      <c r="H115" s="83"/>
      <c r="I115" s="34" t="s">
        <v>167</v>
      </c>
      <c r="J115" s="49"/>
      <c r="K115" s="44">
        <f>(IF(B107&gt;1,(H107/(B107+4)+K114),0))</f>
        <v>0</v>
      </c>
    </row>
    <row r="116" spans="1:11" ht="15.75" customHeight="1" x14ac:dyDescent="0.3">
      <c r="A116" s="78" t="s">
        <v>154</v>
      </c>
      <c r="B116" s="79" t="s">
        <v>154</v>
      </c>
      <c r="C116" s="53">
        <v>4</v>
      </c>
      <c r="D116" s="57">
        <f ca="1">((100/H107)*C116)/100</f>
        <v>0.36363636363636365</v>
      </c>
      <c r="E116" s="81"/>
      <c r="F116" s="81"/>
      <c r="G116" s="81"/>
      <c r="H116" s="83"/>
      <c r="I116" s="34" t="s">
        <v>168</v>
      </c>
      <c r="J116" s="43"/>
      <c r="K116" s="45">
        <f>(IF(B107&gt;2,(H107/(B107+4)+K115),0))</f>
        <v>0</v>
      </c>
    </row>
    <row r="117" spans="1:11" ht="15.75" customHeight="1" x14ac:dyDescent="0.3">
      <c r="A117" s="78" t="s">
        <v>161</v>
      </c>
      <c r="B117" s="79"/>
      <c r="C117" s="53">
        <v>0</v>
      </c>
      <c r="D117" s="57">
        <f ca="1">((100/H107)*C117)/100</f>
        <v>0</v>
      </c>
      <c r="E117" s="81"/>
      <c r="F117" s="81"/>
      <c r="G117" s="81"/>
      <c r="H117" s="83"/>
      <c r="I117" s="34" t="s">
        <v>169</v>
      </c>
      <c r="J117"/>
      <c r="K117" s="48">
        <f>(IF(B107&gt;3,(H107/(B107+4)+K116),0))</f>
        <v>0</v>
      </c>
    </row>
    <row r="118" spans="1:11" ht="15.75" customHeight="1" x14ac:dyDescent="0.3">
      <c r="A118" s="78" t="s">
        <v>156</v>
      </c>
      <c r="B118" s="79" t="s">
        <v>156</v>
      </c>
      <c r="C118" s="53">
        <v>0</v>
      </c>
      <c r="D118" s="57">
        <f ca="1">((100/(H107))*C118)/100</f>
        <v>0</v>
      </c>
      <c r="E118" s="81"/>
      <c r="F118" s="81"/>
      <c r="G118" s="81"/>
      <c r="H118" s="83"/>
      <c r="I118" s="34" t="s">
        <v>117</v>
      </c>
      <c r="J118" s="20"/>
      <c r="K118" s="44">
        <f ca="1">(IF(B107=0,H107/4+K113,(H107/(B107+4)+K113+MAX(0,K114-K113)+MAX(0,K115-K114)+MAX(0,K116-K115)+MAX(0,K117-K116))))</f>
        <v>8.25</v>
      </c>
    </row>
    <row r="119" spans="1:11" ht="16.2" thickBot="1" x14ac:dyDescent="0.35">
      <c r="A119" s="85" t="s">
        <v>157</v>
      </c>
      <c r="B119" s="86"/>
      <c r="C119" s="55">
        <v>0</v>
      </c>
      <c r="D119" s="58">
        <f ca="1">((100/(H107))*C119)/100</f>
        <v>0</v>
      </c>
      <c r="E119" s="82"/>
      <c r="F119" s="82"/>
      <c r="G119" s="82"/>
      <c r="H119" s="84"/>
      <c r="I119" s="41" t="s">
        <v>118</v>
      </c>
      <c r="J119" s="42"/>
      <c r="K119" s="46">
        <f ca="1">(IF(B107=0,H107/4+K118,(H107/(B107+4)+K118)))</f>
        <v>11</v>
      </c>
    </row>
    <row r="120" spans="1:11" ht="15.75" customHeight="1" x14ac:dyDescent="0.3">
      <c r="A120" s="180" t="s">
        <v>163</v>
      </c>
      <c r="B120" s="181"/>
      <c r="C120" s="182" t="s">
        <v>229</v>
      </c>
      <c r="D120" s="183"/>
      <c r="E120" s="183"/>
      <c r="F120" s="183"/>
      <c r="G120" s="183"/>
      <c r="H120" s="184"/>
      <c r="I120" s="16" t="str">
        <f ca="1">(IF(C124=0,"Work not yet Started.",IF(D124=25%,"Piling work in process",IF(D124=50%,"Excavation work in process",IF(D124=100%,"Excavation work completed, ","0")))&amp;(IF(C125=0%,"",IF(C125=K126,"Footing work is process",IF(C125=K127,"Footing work Completed",IF(C125=K128,"1st Basement Completed",IF(C125=K129,"1st &amp; 2nd Basement Completed",IF(C125=K130,"1st to 3rd Basement Completed",IF(C125=K131,"1st to 4th Basement Completed",IF(C125=K132,"Plinth work is process",IF(C125=K133,"Plinth work completed","0")))))))))))&amp;(IF(C126&gt;0,", RCC upto "&amp;C126&amp;" Slab completed",""))&amp;(IF(C127&gt;0,", Brickwork upto "&amp;C127&amp;" Floor completed"," "))&amp;(IF(C128&gt;0,", Internal Plaster upto "&amp;C128&amp;" Floor completed"," "))&amp;(IF(C129&gt;0,", External Plaster upto "&amp;C129&amp;" Floor completed"," "))&amp;(IF(C130&gt;0,", Flooring upto "&amp;C130&amp;" Floor completed"," "))&amp;(IF(C131&gt;0,", Painting upto "&amp;C131&amp;" Floor completed"," "))&amp;(IF(C132&gt;0,", Finishing upto "&amp;C132&amp;" Floor completed"," ")))</f>
        <v xml:space="preserve">Excavation work completed, Plinth work completed, RCC upto 11 Slab completed, Brickwork upto 9 Floor completed, Internal Plaster upto 7 Floor completed, External Plaster upto 7 Floor completed, Flooring upto 4 Floor completed  </v>
      </c>
      <c r="J120" s="16"/>
      <c r="K120" s="17"/>
    </row>
    <row r="121" spans="1:11" s="5" customFormat="1" x14ac:dyDescent="0.3">
      <c r="A121" s="47" t="s">
        <v>165</v>
      </c>
      <c r="B121" s="40">
        <v>0</v>
      </c>
      <c r="C121" s="40" t="s">
        <v>79</v>
      </c>
      <c r="D121" s="40">
        <v>1</v>
      </c>
      <c r="E121" s="40" t="s">
        <v>78</v>
      </c>
      <c r="F121" s="40">
        <v>0</v>
      </c>
      <c r="G121" s="40" t="s">
        <v>92</v>
      </c>
      <c r="H121" s="39">
        <f ca="1">--TRIM(RIGHT(SUBSTITUTE(LEFT(C120,_xlfn.AGGREGATE(16,6,FIND({0,1,2,3,4,5,6,7,8,9},C120,ROW(INDIRECT("1:"&amp;LEN(C120)))),1))," ",REPT(" ",LEN(C120))),LEN(C120)))</f>
        <v>11</v>
      </c>
      <c r="I121" s="64" t="s">
        <v>134</v>
      </c>
      <c r="J121" s="64"/>
      <c r="K121" s="65"/>
    </row>
    <row r="122" spans="1:11" ht="48" customHeight="1" x14ac:dyDescent="0.3">
      <c r="A122" s="74" t="s">
        <v>102</v>
      </c>
      <c r="B122" s="75"/>
      <c r="C122" s="76" t="str">
        <f ca="1">I120</f>
        <v xml:space="preserve">Excavation work completed, Plinth work completed, RCC upto 11 Slab completed, Brickwork upto 9 Floor completed, Internal Plaster upto 7 Floor completed, External Plaster upto 7 Floor completed, Flooring upto 4 Floor completed  </v>
      </c>
      <c r="D122" s="76"/>
      <c r="E122" s="76"/>
      <c r="F122" s="76"/>
      <c r="G122" s="76"/>
      <c r="H122" s="77"/>
      <c r="I122" s="14" t="s">
        <v>119</v>
      </c>
      <c r="J122" s="14"/>
      <c r="K122" s="18"/>
    </row>
    <row r="123" spans="1:11" x14ac:dyDescent="0.3">
      <c r="A123" s="109" t="s">
        <v>52</v>
      </c>
      <c r="B123" s="110"/>
      <c r="C123" s="9" t="s">
        <v>162</v>
      </c>
      <c r="D123" s="9" t="s">
        <v>95</v>
      </c>
      <c r="E123" s="110" t="s">
        <v>97</v>
      </c>
      <c r="F123" s="110"/>
      <c r="G123" s="110" t="s">
        <v>96</v>
      </c>
      <c r="H123" s="185"/>
      <c r="I123" s="34" t="s">
        <v>164</v>
      </c>
      <c r="K123" s="19">
        <f ca="1">H121*25%</f>
        <v>2.75</v>
      </c>
    </row>
    <row r="124" spans="1:11" x14ac:dyDescent="0.3">
      <c r="A124" s="109" t="s">
        <v>151</v>
      </c>
      <c r="B124" s="110"/>
      <c r="C124" s="53">
        <f ca="1">K125</f>
        <v>11</v>
      </c>
      <c r="D124" s="50">
        <f ca="1">((100/H121)*C124)/100</f>
        <v>1.0000000000000002</v>
      </c>
      <c r="E124" s="186">
        <f ca="1">(IF(C122=I121,"100%",IF(C122=I122,"100%",(((C125/H121*10)+(40/(D121+F121+H121)*C126)+(7.5/(H121)*C127)+(7.5/(H121)*C128)+(10/H121*C129)+(10/H121*C130)+(5/H121*C131)+(5/H121*C132)+(5/H121*C133))/100))))</f>
        <v>0.67575757575757578</v>
      </c>
      <c r="F124" s="186"/>
      <c r="G124" s="186">
        <f ca="1">((((C124/H121)*20)+((C125/H121)*25)+(30/(H121+F121+D121)*C126)+(5/H121*C127)+(5/H121*C128)+(5/H121*C129)+(5/H121*C130)+(0/H121*C131)+(0/H121*C132)+(5/H121*C133))/100)</f>
        <v>0.84772727272727277</v>
      </c>
      <c r="H124" s="188"/>
      <c r="I124" s="34" t="s">
        <v>113</v>
      </c>
      <c r="J124" s="20"/>
      <c r="K124" s="38">
        <f ca="1">H121*50%</f>
        <v>5.5</v>
      </c>
    </row>
    <row r="125" spans="1:11" x14ac:dyDescent="0.3">
      <c r="A125" s="109" t="s">
        <v>53</v>
      </c>
      <c r="B125" s="110"/>
      <c r="C125" s="54">
        <f ca="1">K133</f>
        <v>11</v>
      </c>
      <c r="D125" s="50">
        <f ca="1">((100/H121)*C125)/100</f>
        <v>1.0000000000000002</v>
      </c>
      <c r="E125" s="186"/>
      <c r="F125" s="186"/>
      <c r="G125" s="186"/>
      <c r="H125" s="188"/>
      <c r="I125" s="34" t="s">
        <v>114</v>
      </c>
      <c r="J125" s="20"/>
      <c r="K125" s="38">
        <f ca="1">H121</f>
        <v>11</v>
      </c>
    </row>
    <row r="126" spans="1:11" ht="15.75" customHeight="1" x14ac:dyDescent="0.3">
      <c r="A126" s="109" t="s">
        <v>152</v>
      </c>
      <c r="B126" s="110"/>
      <c r="C126" s="54">
        <v>11</v>
      </c>
      <c r="D126" s="50">
        <f ca="1">((100/(D121+F121+H121))*C126)/100</f>
        <v>0.91666666666666674</v>
      </c>
      <c r="E126" s="186"/>
      <c r="F126" s="186"/>
      <c r="G126" s="186"/>
      <c r="H126" s="188"/>
      <c r="I126" s="34" t="s">
        <v>115</v>
      </c>
      <c r="J126" s="20"/>
      <c r="K126" s="44">
        <f ca="1">(IF(B121=0,H121/4,(H121/(B121+4))))</f>
        <v>2.75</v>
      </c>
    </row>
    <row r="127" spans="1:11" ht="15.75" customHeight="1" x14ac:dyDescent="0.3">
      <c r="A127" s="109" t="s">
        <v>159</v>
      </c>
      <c r="B127" s="110" t="s">
        <v>153</v>
      </c>
      <c r="C127" s="53">
        <v>9</v>
      </c>
      <c r="D127" s="50">
        <f ca="1">((100/H121)*C127)/100</f>
        <v>0.81818181818181823</v>
      </c>
      <c r="E127" s="186"/>
      <c r="F127" s="186"/>
      <c r="G127" s="186"/>
      <c r="H127" s="188"/>
      <c r="I127" s="34" t="s">
        <v>116</v>
      </c>
      <c r="J127" s="20"/>
      <c r="K127" s="44">
        <f ca="1">(IF(B121=0,H121/4+K126,(H121/(B121+4)+K126)))</f>
        <v>5.5</v>
      </c>
    </row>
    <row r="128" spans="1:11" ht="15.75" customHeight="1" x14ac:dyDescent="0.3">
      <c r="A128" s="109" t="s">
        <v>160</v>
      </c>
      <c r="B128" s="110" t="s">
        <v>153</v>
      </c>
      <c r="C128" s="53">
        <v>7</v>
      </c>
      <c r="D128" s="50">
        <f ca="1">((100/H121)*C128)/100</f>
        <v>0.63636363636363635</v>
      </c>
      <c r="E128" s="186"/>
      <c r="F128" s="186"/>
      <c r="G128" s="186"/>
      <c r="H128" s="188"/>
      <c r="I128" s="34" t="s">
        <v>166</v>
      </c>
      <c r="J128" s="49"/>
      <c r="K128" s="44">
        <f>(IF(B121=0,0,(H121/(B121+4)+K127)))</f>
        <v>0</v>
      </c>
    </row>
    <row r="129" spans="1:13" ht="15" customHeight="1" x14ac:dyDescent="0.3">
      <c r="A129" s="109" t="s">
        <v>158</v>
      </c>
      <c r="B129" s="110" t="s">
        <v>155</v>
      </c>
      <c r="C129" s="53">
        <v>7</v>
      </c>
      <c r="D129" s="50">
        <f ca="1">((100/(H121))*C129)/100</f>
        <v>0.63636363636363635</v>
      </c>
      <c r="E129" s="186"/>
      <c r="F129" s="186"/>
      <c r="G129" s="186"/>
      <c r="H129" s="188"/>
      <c r="I129" s="34" t="s">
        <v>167</v>
      </c>
      <c r="J129" s="49"/>
      <c r="K129" s="44">
        <f>(IF(B121&gt;1,(H121/(B121+4)+K128),0))</f>
        <v>0</v>
      </c>
    </row>
    <row r="130" spans="1:13" ht="15.75" customHeight="1" x14ac:dyDescent="0.3">
      <c r="A130" s="109" t="s">
        <v>154</v>
      </c>
      <c r="B130" s="110" t="s">
        <v>154</v>
      </c>
      <c r="C130" s="53">
        <v>4</v>
      </c>
      <c r="D130" s="50">
        <f ca="1">((100/H121)*C130)/100</f>
        <v>0.36363636363636365</v>
      </c>
      <c r="E130" s="186"/>
      <c r="F130" s="186"/>
      <c r="G130" s="186"/>
      <c r="H130" s="188"/>
      <c r="I130" s="34" t="s">
        <v>168</v>
      </c>
      <c r="J130" s="43"/>
      <c r="K130" s="45">
        <f>(IF(B121&gt;2,(H121/(B121+4)+K129),0))</f>
        <v>0</v>
      </c>
    </row>
    <row r="131" spans="1:13" ht="15.75" customHeight="1" x14ac:dyDescent="0.3">
      <c r="A131" s="109" t="s">
        <v>161</v>
      </c>
      <c r="B131" s="110"/>
      <c r="C131" s="53">
        <v>0</v>
      </c>
      <c r="D131" s="50">
        <f ca="1">((100/H121)*C131)/100</f>
        <v>0</v>
      </c>
      <c r="E131" s="186"/>
      <c r="F131" s="186"/>
      <c r="G131" s="186"/>
      <c r="H131" s="188"/>
      <c r="I131" s="34" t="s">
        <v>169</v>
      </c>
      <c r="J131"/>
      <c r="K131" s="48">
        <f>(IF(B121&gt;3,(H121/(B121+4)+K130),0))</f>
        <v>0</v>
      </c>
    </row>
    <row r="132" spans="1:13" ht="15.75" customHeight="1" x14ac:dyDescent="0.3">
      <c r="A132" s="109" t="s">
        <v>156</v>
      </c>
      <c r="B132" s="110" t="s">
        <v>156</v>
      </c>
      <c r="C132" s="53">
        <v>0</v>
      </c>
      <c r="D132" s="50">
        <f ca="1">((100/(H121))*C132)/100</f>
        <v>0</v>
      </c>
      <c r="E132" s="186"/>
      <c r="F132" s="186"/>
      <c r="G132" s="186"/>
      <c r="H132" s="188"/>
      <c r="I132" s="34" t="s">
        <v>117</v>
      </c>
      <c r="J132" s="20"/>
      <c r="K132" s="44">
        <f ca="1">(IF(B121=0,H121/4+K127,(H121/(B121+4)+K127+MAX(0,K128-K127)+MAX(0,K129-K128)+MAX(0,K130-K129)+MAX(0,K131-K130))))</f>
        <v>8.25</v>
      </c>
    </row>
    <row r="133" spans="1:13" ht="16.2" thickBot="1" x14ac:dyDescent="0.35">
      <c r="A133" s="111" t="s">
        <v>157</v>
      </c>
      <c r="B133" s="112"/>
      <c r="C133" s="55">
        <v>0</v>
      </c>
      <c r="D133" s="51">
        <f ca="1">((100/(H121))*C133)/100</f>
        <v>0</v>
      </c>
      <c r="E133" s="187"/>
      <c r="F133" s="187"/>
      <c r="G133" s="187"/>
      <c r="H133" s="189"/>
      <c r="I133" s="41" t="s">
        <v>118</v>
      </c>
      <c r="J133" s="42"/>
      <c r="K133" s="46">
        <f ca="1">(IF(B121=0,H121/4+K132,(H121/(B121+4)+K132)))</f>
        <v>11</v>
      </c>
    </row>
    <row r="134" spans="1:13" x14ac:dyDescent="0.3">
      <c r="A134" s="190" t="s">
        <v>135</v>
      </c>
      <c r="B134" s="191"/>
      <c r="C134" s="191"/>
      <c r="D134" s="191"/>
      <c r="E134" s="192"/>
      <c r="F134" s="190" t="s">
        <v>228</v>
      </c>
      <c r="G134" s="191"/>
      <c r="H134" s="192"/>
    </row>
    <row r="135" spans="1:13" x14ac:dyDescent="0.3">
      <c r="A135" s="116" t="s">
        <v>54</v>
      </c>
      <c r="B135" s="116"/>
      <c r="C135" s="116"/>
      <c r="D135" s="116"/>
      <c r="E135" s="116"/>
      <c r="F135" s="116"/>
      <c r="G135" s="116"/>
      <c r="H135" s="116"/>
    </row>
    <row r="136" spans="1:13" ht="15" customHeight="1" x14ac:dyDescent="0.3">
      <c r="A136" s="75" t="s">
        <v>81</v>
      </c>
      <c r="B136" s="75"/>
      <c r="C136" s="76" t="s">
        <v>82</v>
      </c>
      <c r="D136" s="76"/>
      <c r="E136" s="76"/>
      <c r="F136" s="76"/>
      <c r="G136" s="76"/>
      <c r="H136" s="76"/>
    </row>
    <row r="137" spans="1:13" x14ac:dyDescent="0.3">
      <c r="A137" s="130" t="s">
        <v>55</v>
      </c>
      <c r="B137" s="130"/>
      <c r="C137" s="130"/>
      <c r="D137" s="130"/>
      <c r="E137" s="130"/>
      <c r="F137" s="130"/>
      <c r="G137" s="130"/>
      <c r="H137" s="130"/>
    </row>
    <row r="138" spans="1:13" x14ac:dyDescent="0.3">
      <c r="A138" s="116" t="s">
        <v>83</v>
      </c>
      <c r="B138" s="116"/>
      <c r="C138" s="116"/>
      <c r="D138" s="116"/>
      <c r="E138" s="116"/>
      <c r="F138" s="121">
        <v>6300</v>
      </c>
      <c r="G138" s="121"/>
      <c r="H138" s="121"/>
    </row>
    <row r="139" spans="1:13" x14ac:dyDescent="0.3">
      <c r="A139" s="116" t="s">
        <v>90</v>
      </c>
      <c r="B139" s="116"/>
      <c r="C139" s="116"/>
      <c r="D139" s="116"/>
      <c r="E139" s="116"/>
      <c r="F139" s="121">
        <v>10000</v>
      </c>
      <c r="G139" s="121"/>
      <c r="H139" s="121"/>
    </row>
    <row r="140" spans="1:13" x14ac:dyDescent="0.3">
      <c r="A140" s="116" t="s">
        <v>91</v>
      </c>
      <c r="B140" s="116"/>
      <c r="C140" s="116"/>
      <c r="D140" s="116"/>
      <c r="E140" s="116"/>
      <c r="F140" s="121" t="s">
        <v>237</v>
      </c>
      <c r="G140" s="121"/>
      <c r="H140" s="121"/>
      <c r="I140" s="67" t="s">
        <v>238</v>
      </c>
      <c r="J140" s="67" t="s">
        <v>239</v>
      </c>
      <c r="K140" s="67" t="s">
        <v>240</v>
      </c>
      <c r="L140" s="68">
        <v>45094</v>
      </c>
      <c r="M140" s="67" t="s">
        <v>241</v>
      </c>
    </row>
    <row r="141" spans="1:13" hidden="1" x14ac:dyDescent="0.3">
      <c r="A141" s="116" t="s">
        <v>91</v>
      </c>
      <c r="B141" s="116"/>
      <c r="C141" s="116"/>
      <c r="D141" s="116"/>
      <c r="E141" s="116"/>
      <c r="F141" s="121"/>
      <c r="G141" s="121"/>
      <c r="H141" s="121"/>
    </row>
    <row r="142" spans="1:13" s="7" customFormat="1" x14ac:dyDescent="0.25">
      <c r="A142" s="116" t="s">
        <v>181</v>
      </c>
      <c r="B142" s="116"/>
      <c r="C142" s="116"/>
      <c r="D142" s="116"/>
      <c r="E142" s="116"/>
      <c r="F142" s="121" t="s">
        <v>213</v>
      </c>
      <c r="G142" s="121"/>
      <c r="H142" s="121"/>
    </row>
    <row r="143" spans="1:13" s="7" customFormat="1" x14ac:dyDescent="0.25">
      <c r="A143" s="116" t="s">
        <v>219</v>
      </c>
      <c r="B143" s="116"/>
      <c r="C143" s="116"/>
      <c r="D143" s="116"/>
      <c r="E143" s="116"/>
      <c r="F143" s="121" t="s">
        <v>221</v>
      </c>
      <c r="G143" s="121"/>
      <c r="H143" s="121"/>
    </row>
    <row r="144" spans="1:13" s="7" customFormat="1" x14ac:dyDescent="0.25">
      <c r="A144" s="116" t="s">
        <v>107</v>
      </c>
      <c r="B144" s="116"/>
      <c r="C144" s="116"/>
      <c r="D144" s="116"/>
      <c r="E144" s="116"/>
      <c r="F144" s="121" t="s">
        <v>215</v>
      </c>
      <c r="G144" s="121"/>
      <c r="H144" s="121"/>
    </row>
    <row r="145" spans="1:10" s="7" customFormat="1" hidden="1" x14ac:dyDescent="0.25">
      <c r="A145" s="116" t="s">
        <v>108</v>
      </c>
      <c r="B145" s="116"/>
      <c r="C145" s="116"/>
      <c r="D145" s="116"/>
      <c r="E145" s="116"/>
      <c r="F145" s="121" t="s">
        <v>30</v>
      </c>
      <c r="G145" s="121"/>
      <c r="H145" s="121"/>
    </row>
    <row r="146" spans="1:10" s="7" customFormat="1" hidden="1" x14ac:dyDescent="0.25">
      <c r="A146" s="116" t="s">
        <v>109</v>
      </c>
      <c r="B146" s="116"/>
      <c r="C146" s="116"/>
      <c r="D146" s="116"/>
      <c r="E146" s="116"/>
      <c r="F146" s="121" t="s">
        <v>30</v>
      </c>
      <c r="G146" s="121"/>
      <c r="H146" s="121"/>
    </row>
    <row r="147" spans="1:10" s="7" customFormat="1" hidden="1" x14ac:dyDescent="0.25">
      <c r="A147" s="116" t="s">
        <v>110</v>
      </c>
      <c r="B147" s="116"/>
      <c r="C147" s="116"/>
      <c r="D147" s="116"/>
      <c r="E147" s="116"/>
      <c r="F147" s="121" t="s">
        <v>30</v>
      </c>
      <c r="G147" s="121"/>
      <c r="H147" s="121"/>
    </row>
    <row r="148" spans="1:10" s="7" customFormat="1" x14ac:dyDescent="0.25">
      <c r="A148" s="116" t="s">
        <v>111</v>
      </c>
      <c r="B148" s="116"/>
      <c r="C148" s="116"/>
      <c r="D148" s="116"/>
      <c r="E148" s="116"/>
      <c r="F148" s="147" t="s">
        <v>220</v>
      </c>
      <c r="G148" s="121"/>
      <c r="H148" s="121"/>
    </row>
    <row r="149" spans="1:10" s="7" customFormat="1" hidden="1" x14ac:dyDescent="0.25">
      <c r="A149" s="116" t="s">
        <v>112</v>
      </c>
      <c r="B149" s="116"/>
      <c r="C149" s="116"/>
      <c r="D149" s="116"/>
      <c r="E149" s="116"/>
      <c r="F149" s="121" t="s">
        <v>30</v>
      </c>
      <c r="G149" s="121"/>
      <c r="H149" s="121"/>
    </row>
    <row r="150" spans="1:10" x14ac:dyDescent="0.3">
      <c r="A150" s="116" t="s">
        <v>56</v>
      </c>
      <c r="B150" s="116"/>
      <c r="C150" s="116"/>
      <c r="D150" s="116"/>
      <c r="E150" s="116"/>
      <c r="F150" s="147" t="s">
        <v>214</v>
      </c>
      <c r="G150" s="147"/>
      <c r="H150" s="147"/>
    </row>
    <row r="151" spans="1:10" s="4" customFormat="1" x14ac:dyDescent="0.3">
      <c r="A151" s="130" t="s">
        <v>57</v>
      </c>
      <c r="B151" s="130"/>
      <c r="C151" s="130"/>
      <c r="D151" s="130"/>
      <c r="E151" s="130"/>
      <c r="F151" s="121">
        <f>F138*0.8</f>
        <v>5040</v>
      </c>
      <c r="G151" s="121"/>
      <c r="H151" s="121"/>
    </row>
    <row r="152" spans="1:10" s="1" customFormat="1" ht="15.75" customHeight="1" x14ac:dyDescent="0.3">
      <c r="A152" s="119" t="s">
        <v>84</v>
      </c>
      <c r="B152" s="119"/>
      <c r="C152" s="119"/>
      <c r="D152" s="119"/>
      <c r="E152" s="119"/>
      <c r="F152" s="119"/>
      <c r="G152" s="119"/>
      <c r="H152" s="119"/>
    </row>
    <row r="153" spans="1:10" s="1" customFormat="1" ht="15.75" customHeight="1" x14ac:dyDescent="0.3">
      <c r="A153" s="115" t="s">
        <v>58</v>
      </c>
      <c r="B153" s="115"/>
      <c r="C153" s="118" t="s">
        <v>87</v>
      </c>
      <c r="D153" s="118"/>
      <c r="E153" s="114" t="s">
        <v>59</v>
      </c>
      <c r="F153" s="114"/>
      <c r="G153" s="115" t="s">
        <v>60</v>
      </c>
      <c r="H153" s="115"/>
    </row>
    <row r="154" spans="1:10" s="1" customFormat="1" x14ac:dyDescent="0.3">
      <c r="A154" s="108" t="s">
        <v>204</v>
      </c>
      <c r="B154" s="108"/>
      <c r="C154" s="106">
        <f>COUNT(D172:D197)</f>
        <v>26</v>
      </c>
      <c r="D154" s="106"/>
      <c r="E154" s="107">
        <f>SUM(D172:D197)</f>
        <v>14322.707567999998</v>
      </c>
      <c r="F154" s="106"/>
      <c r="G154" s="107">
        <f>SUM(F172:F197)</f>
        <v>22916.332108800001</v>
      </c>
      <c r="H154" s="106"/>
    </row>
    <row r="155" spans="1:10" s="1" customFormat="1" x14ac:dyDescent="0.3">
      <c r="A155" s="108" t="s">
        <v>205</v>
      </c>
      <c r="B155" s="108"/>
      <c r="C155" s="106">
        <f>COUNT(D200:D225)</f>
        <v>26</v>
      </c>
      <c r="D155" s="106"/>
      <c r="E155" s="107">
        <f>SUM(D200:D225)</f>
        <v>12353.143139999998</v>
      </c>
      <c r="F155" s="106"/>
      <c r="G155" s="107">
        <f>SUM(F200:F225)</f>
        <v>19765.029023999999</v>
      </c>
      <c r="H155" s="106"/>
    </row>
    <row r="156" spans="1:10" s="1" customFormat="1" x14ac:dyDescent="0.3">
      <c r="A156" s="119" t="s">
        <v>61</v>
      </c>
      <c r="B156" s="119"/>
      <c r="C156" s="118">
        <f>SUM(C154:D155)</f>
        <v>52</v>
      </c>
      <c r="D156" s="118"/>
      <c r="E156" s="113">
        <f>SUM(E154:F155)</f>
        <v>26675.850707999998</v>
      </c>
      <c r="F156" s="114"/>
      <c r="G156" s="115">
        <f>SUM(G154:H155)</f>
        <v>42681.361132799997</v>
      </c>
      <c r="H156" s="115"/>
      <c r="J156" s="66">
        <f>SUM(E156,E165)</f>
        <v>214693.71721199999</v>
      </c>
    </row>
    <row r="157" spans="1:10" s="1" customFormat="1" x14ac:dyDescent="0.3">
      <c r="A157" s="119" t="s">
        <v>77</v>
      </c>
      <c r="B157" s="119"/>
      <c r="C157" s="119"/>
      <c r="D157" s="119"/>
      <c r="E157" s="119"/>
      <c r="F157" s="119"/>
      <c r="G157" s="119"/>
      <c r="H157" s="119"/>
    </row>
    <row r="158" spans="1:10" s="1" customFormat="1" ht="15.75" customHeight="1" x14ac:dyDescent="0.3">
      <c r="A158" s="115" t="s">
        <v>58</v>
      </c>
      <c r="B158" s="115"/>
      <c r="C158" s="118" t="s">
        <v>87</v>
      </c>
      <c r="D158" s="118"/>
      <c r="E158" s="114" t="s">
        <v>59</v>
      </c>
      <c r="F158" s="114"/>
      <c r="G158" s="115" t="s">
        <v>60</v>
      </c>
      <c r="H158" s="115"/>
    </row>
    <row r="159" spans="1:10" s="1" customFormat="1" x14ac:dyDescent="0.3">
      <c r="A159" s="108" t="s">
        <v>193</v>
      </c>
      <c r="B159" s="108"/>
      <c r="C159" s="106">
        <f>COUNT(D231:D235)+COUNT(D237:D244)*7+COUNT(D247:D250)</f>
        <v>65</v>
      </c>
      <c r="D159" s="106"/>
      <c r="E159" s="107">
        <f>SUM(D231:D235)+SUM(D237:D244)*7+SUM(D247:D250)</f>
        <v>32141.153303999992</v>
      </c>
      <c r="F159" s="107"/>
      <c r="G159" s="107">
        <f>SUM(F231:F235)+SUM(F237:F244)*7+SUM(F247:F250)</f>
        <v>48211.72995600001</v>
      </c>
      <c r="H159" s="107"/>
    </row>
    <row r="160" spans="1:10" s="1" customFormat="1" x14ac:dyDescent="0.3">
      <c r="A160" s="108" t="s">
        <v>194</v>
      </c>
      <c r="B160" s="108"/>
      <c r="C160" s="106">
        <f>COUNT(D253:D256,D265:D268)+COUNT(D258:D263)*7</f>
        <v>50</v>
      </c>
      <c r="D160" s="106"/>
      <c r="E160" s="107">
        <f>SUM(D253:D256,D265:D268)+SUM(D258:D263)*7</f>
        <v>34198.562736</v>
      </c>
      <c r="F160" s="107"/>
      <c r="G160" s="107">
        <f>SUM(F253:F256,F265:F268)+SUM(F258:F263)*7</f>
        <v>51573.488616000002</v>
      </c>
      <c r="H160" s="107"/>
    </row>
    <row r="161" spans="1:14" s="1" customFormat="1" x14ac:dyDescent="0.3">
      <c r="A161" s="108" t="s">
        <v>195</v>
      </c>
      <c r="B161" s="108"/>
      <c r="C161" s="106">
        <f>COUNT(D271:D275,D287:D295,D297:D301)+COUNT(D277:D285)*6</f>
        <v>71</v>
      </c>
      <c r="D161" s="106"/>
      <c r="E161" s="107">
        <f>SUM(D271:D275,D287:D295,D297:D301)+SUM(D277:D285)*6</f>
        <v>39242.217924000004</v>
      </c>
      <c r="F161" s="107"/>
      <c r="G161" s="107">
        <f>SUM(F271:F275,F287:F295,F297:F301)+SUM(F277:F285)*6</f>
        <v>59556.393935999993</v>
      </c>
      <c r="H161" s="107"/>
    </row>
    <row r="162" spans="1:14" s="1" customFormat="1" x14ac:dyDescent="0.3">
      <c r="A162" s="108" t="s">
        <v>200</v>
      </c>
      <c r="B162" s="108"/>
      <c r="C162" s="106">
        <f>COUNT(D304:D307,D315:D318)+COUNT(D309:D313)*7</f>
        <v>43</v>
      </c>
      <c r="D162" s="106"/>
      <c r="E162" s="107">
        <f>SUM(D304:D307,D315:D318)+SUM(D309:D313)*7</f>
        <v>29592.173519999997</v>
      </c>
      <c r="F162" s="107"/>
      <c r="G162" s="107">
        <f>SUM(F304:F307,F315:F318)+SUM(F309:F313)*7</f>
        <v>44713.047833999997</v>
      </c>
      <c r="H162" s="107"/>
    </row>
    <row r="163" spans="1:14" s="1" customFormat="1" x14ac:dyDescent="0.3">
      <c r="A163" s="108" t="s">
        <v>202</v>
      </c>
      <c r="B163" s="108"/>
      <c r="C163" s="106">
        <f>COUNT(D322:D325,D335:D338,D340:D341,D344:D345)+COUNT(D327:D333)*6</f>
        <v>54</v>
      </c>
      <c r="D163" s="106"/>
      <c r="E163" s="107">
        <f>SUM(D322:D325,D335:D338,D340:D341,D344:D345)+SUM(D327:D333)*6</f>
        <v>20703.283847999999</v>
      </c>
      <c r="F163" s="107"/>
      <c r="G163" s="107">
        <f>SUM(F322:F325,F335:F338,F340:F341,F344:F345)+SUM(F327:F333)*6</f>
        <v>30469.633271999995</v>
      </c>
      <c r="H163" s="107"/>
    </row>
    <row r="164" spans="1:14" s="1" customFormat="1" x14ac:dyDescent="0.3">
      <c r="A164" s="108" t="s">
        <v>203</v>
      </c>
      <c r="B164" s="108"/>
      <c r="C164" s="106">
        <f>COUNT(D349:D353,D365:D368)+COUNT(D355:D362)*7</f>
        <v>65</v>
      </c>
      <c r="D164" s="106"/>
      <c r="E164" s="107">
        <f>SUM(D349:D353,D365:D368)+SUM(D355:D362)*7</f>
        <v>32140.475171999999</v>
      </c>
      <c r="F164" s="107"/>
      <c r="G164" s="107">
        <f>SUM(F349:F353,F365:F368)+SUM(F355:F362)*7</f>
        <v>48210.712758000001</v>
      </c>
      <c r="H164" s="107"/>
    </row>
    <row r="165" spans="1:14" s="1" customFormat="1" x14ac:dyDescent="0.3">
      <c r="A165" s="119" t="s">
        <v>61</v>
      </c>
      <c r="B165" s="119"/>
      <c r="C165" s="118">
        <f>SUM(C159:D164)</f>
        <v>348</v>
      </c>
      <c r="D165" s="118"/>
      <c r="E165" s="113">
        <f>SUM(E159:F164)</f>
        <v>188017.86650399998</v>
      </c>
      <c r="F165" s="114"/>
      <c r="G165" s="115">
        <f>SUM(G159:H164)</f>
        <v>282735.00637199997</v>
      </c>
      <c r="H165" s="115"/>
    </row>
    <row r="166" spans="1:14" s="4" customFormat="1" x14ac:dyDescent="0.3">
      <c r="A166" s="117" t="s">
        <v>62</v>
      </c>
      <c r="B166" s="117"/>
      <c r="C166" s="117"/>
      <c r="D166" s="117"/>
      <c r="E166" s="117"/>
      <c r="F166" s="117"/>
      <c r="G166" s="117"/>
      <c r="H166" s="117"/>
    </row>
    <row r="167" spans="1:14" x14ac:dyDescent="0.3">
      <c r="A167" s="117" t="s">
        <v>63</v>
      </c>
      <c r="B167" s="117"/>
      <c r="C167" s="117"/>
      <c r="D167" s="117"/>
      <c r="E167" s="117"/>
      <c r="F167" s="117"/>
      <c r="G167" s="117"/>
      <c r="H167" s="117"/>
    </row>
    <row r="168" spans="1:14" ht="47.25" customHeight="1" x14ac:dyDescent="0.3">
      <c r="A168" s="105" t="s">
        <v>140</v>
      </c>
      <c r="B168" s="105" t="s">
        <v>139</v>
      </c>
      <c r="C168" s="105" t="s">
        <v>64</v>
      </c>
      <c r="D168" s="105" t="s">
        <v>65</v>
      </c>
      <c r="E168" s="173" t="s">
        <v>66</v>
      </c>
      <c r="F168" s="62" t="s">
        <v>136</v>
      </c>
      <c r="G168" s="105" t="s">
        <v>67</v>
      </c>
      <c r="H168" s="105"/>
    </row>
    <row r="169" spans="1:14" s="2" customFormat="1" x14ac:dyDescent="0.3">
      <c r="A169" s="105"/>
      <c r="B169" s="105"/>
      <c r="C169" s="105"/>
      <c r="D169" s="105"/>
      <c r="E169" s="173"/>
      <c r="F169" s="63">
        <v>0.6</v>
      </c>
      <c r="G169" s="105"/>
      <c r="H169" s="105"/>
    </row>
    <row r="170" spans="1:14" s="2" customFormat="1" x14ac:dyDescent="0.3">
      <c r="A170" s="102" t="s">
        <v>212</v>
      </c>
      <c r="B170" s="103"/>
      <c r="C170" s="103"/>
      <c r="D170" s="103"/>
      <c r="E170" s="103"/>
      <c r="F170" s="103"/>
      <c r="G170" s="103"/>
      <c r="H170" s="104"/>
    </row>
    <row r="171" spans="1:14" s="2" customFormat="1" x14ac:dyDescent="0.3">
      <c r="A171" s="102" t="s">
        <v>137</v>
      </c>
      <c r="B171" s="103"/>
      <c r="C171" s="103"/>
      <c r="D171" s="103"/>
      <c r="E171" s="103"/>
      <c r="F171" s="103"/>
      <c r="G171" s="103"/>
      <c r="H171" s="104"/>
    </row>
    <row r="172" spans="1:14" s="2" customFormat="1" ht="15.75" customHeight="1" x14ac:dyDescent="0.3">
      <c r="A172" s="91">
        <v>1</v>
      </c>
      <c r="B172" s="93"/>
      <c r="C172" s="15" t="s">
        <v>204</v>
      </c>
      <c r="D172" s="15">
        <f>(33.872+11.569)*10.764</f>
        <v>489.12692399999997</v>
      </c>
      <c r="E172" s="15">
        <v>0</v>
      </c>
      <c r="F172" s="15">
        <f>D172*(($F$169)+1)+E172</f>
        <v>782.60307839999996</v>
      </c>
      <c r="G172" s="94" t="str">
        <f>A171</f>
        <v>Ground Floor</v>
      </c>
      <c r="H172" s="95"/>
      <c r="I172" s="33"/>
      <c r="L172" s="101"/>
      <c r="M172" s="101"/>
      <c r="N172" s="33"/>
    </row>
    <row r="173" spans="1:14" s="2" customFormat="1" ht="15.75" customHeight="1" x14ac:dyDescent="0.3">
      <c r="A173" s="91">
        <f>A172+1</f>
        <v>2</v>
      </c>
      <c r="B173" s="93"/>
      <c r="C173" s="15" t="s">
        <v>204</v>
      </c>
      <c r="D173" s="15">
        <f>(56.847+10)*10.764</f>
        <v>719.54110800000001</v>
      </c>
      <c r="E173" s="15">
        <v>0</v>
      </c>
      <c r="F173" s="15">
        <f t="shared" ref="F173:F178" si="0">D173*(($F$169)+1)+E173</f>
        <v>1151.2657728000001</v>
      </c>
      <c r="G173" s="96"/>
      <c r="H173" s="97"/>
      <c r="I173" s="33"/>
      <c r="L173" s="101"/>
      <c r="M173" s="101"/>
      <c r="N173" s="33"/>
    </row>
    <row r="174" spans="1:14" s="2" customFormat="1" ht="15.75" customHeight="1" x14ac:dyDescent="0.3">
      <c r="A174" s="91">
        <f t="shared" ref="A174:A197" si="1">A173+1</f>
        <v>3</v>
      </c>
      <c r="B174" s="93"/>
      <c r="C174" s="15" t="s">
        <v>204</v>
      </c>
      <c r="D174" s="15">
        <f>(40.35+4.5)*10.764</f>
        <v>482.7654</v>
      </c>
      <c r="E174" s="15">
        <v>0</v>
      </c>
      <c r="F174" s="15">
        <f t="shared" si="0"/>
        <v>772.42464000000007</v>
      </c>
      <c r="G174" s="96"/>
      <c r="H174" s="97"/>
      <c r="I174" s="33"/>
      <c r="L174" s="101"/>
      <c r="M174" s="101"/>
      <c r="N174" s="33"/>
    </row>
    <row r="175" spans="1:14" s="2" customFormat="1" ht="15.75" customHeight="1" x14ac:dyDescent="0.3">
      <c r="A175" s="91">
        <f t="shared" si="1"/>
        <v>4</v>
      </c>
      <c r="B175" s="93"/>
      <c r="C175" s="15" t="s">
        <v>204</v>
      </c>
      <c r="D175" s="15">
        <f>(40.35+4.5)*10.764</f>
        <v>482.7654</v>
      </c>
      <c r="E175" s="15">
        <v>0</v>
      </c>
      <c r="F175" s="15">
        <f t="shared" si="0"/>
        <v>772.42464000000007</v>
      </c>
      <c r="G175" s="96"/>
      <c r="H175" s="97"/>
      <c r="I175" s="33"/>
      <c r="L175" s="101"/>
      <c r="M175" s="101"/>
      <c r="N175" s="33"/>
    </row>
    <row r="176" spans="1:14" s="2" customFormat="1" ht="15.75" customHeight="1" x14ac:dyDescent="0.3">
      <c r="A176" s="91">
        <f t="shared" si="1"/>
        <v>5</v>
      </c>
      <c r="B176" s="93"/>
      <c r="C176" s="15" t="s">
        <v>204</v>
      </c>
      <c r="D176" s="15">
        <f>(51.4+6)*10.764</f>
        <v>617.85359999999991</v>
      </c>
      <c r="E176" s="15">
        <v>0</v>
      </c>
      <c r="F176" s="15">
        <f t="shared" si="0"/>
        <v>988.56575999999995</v>
      </c>
      <c r="G176" s="96"/>
      <c r="H176" s="97"/>
      <c r="I176" s="33"/>
      <c r="L176" s="101"/>
      <c r="M176" s="101"/>
      <c r="N176" s="33"/>
    </row>
    <row r="177" spans="1:14" s="2" customFormat="1" ht="15.75" customHeight="1" x14ac:dyDescent="0.3">
      <c r="A177" s="91">
        <f t="shared" si="1"/>
        <v>6</v>
      </c>
      <c r="B177" s="93"/>
      <c r="C177" s="15" t="s">
        <v>204</v>
      </c>
      <c r="D177" s="15">
        <f>(73.97+11.625)*10.764</f>
        <v>921.34457999999995</v>
      </c>
      <c r="E177" s="15">
        <v>0</v>
      </c>
      <c r="F177" s="15">
        <f t="shared" si="0"/>
        <v>1474.1513279999999</v>
      </c>
      <c r="G177" s="96"/>
      <c r="H177" s="97"/>
      <c r="I177" s="33"/>
      <c r="L177" s="101"/>
      <c r="M177" s="101"/>
      <c r="N177" s="33"/>
    </row>
    <row r="178" spans="1:14" s="2" customFormat="1" ht="15.75" customHeight="1" x14ac:dyDescent="0.3">
      <c r="A178" s="91">
        <f t="shared" si="1"/>
        <v>7</v>
      </c>
      <c r="B178" s="93"/>
      <c r="C178" s="15" t="s">
        <v>204</v>
      </c>
      <c r="D178" s="15">
        <f>(50.721+6.538)*10.764</f>
        <v>616.33587599999998</v>
      </c>
      <c r="E178" s="15">
        <v>0</v>
      </c>
      <c r="F178" s="15">
        <f t="shared" si="0"/>
        <v>986.13740159999998</v>
      </c>
      <c r="G178" s="96"/>
      <c r="H178" s="97"/>
      <c r="I178" s="33"/>
      <c r="L178" s="101"/>
      <c r="M178" s="101"/>
      <c r="N178" s="33"/>
    </row>
    <row r="179" spans="1:14" s="2" customFormat="1" ht="15.75" customHeight="1" x14ac:dyDescent="0.3">
      <c r="A179" s="91">
        <f>A178+1</f>
        <v>8</v>
      </c>
      <c r="B179" s="93"/>
      <c r="C179" s="15" t="s">
        <v>204</v>
      </c>
      <c r="D179" s="15">
        <f>(50.728+6.537)*10.764</f>
        <v>616.40045999999995</v>
      </c>
      <c r="E179" s="15">
        <v>0</v>
      </c>
      <c r="F179" s="15">
        <f t="shared" ref="F179:F190" si="2">D179*(($F$169)+1)+E179</f>
        <v>986.24073599999997</v>
      </c>
      <c r="G179" s="96"/>
      <c r="H179" s="97"/>
      <c r="I179" s="33"/>
      <c r="L179" s="101"/>
      <c r="M179" s="101"/>
      <c r="N179" s="33"/>
    </row>
    <row r="180" spans="1:14" s="2" customFormat="1" ht="15.75" customHeight="1" x14ac:dyDescent="0.3">
      <c r="A180" s="91">
        <f t="shared" si="1"/>
        <v>9</v>
      </c>
      <c r="B180" s="93"/>
      <c r="C180" s="15" t="s">
        <v>204</v>
      </c>
      <c r="D180" s="15">
        <f>(46.2+4.5)*10.764</f>
        <v>545.73479999999995</v>
      </c>
      <c r="E180" s="15">
        <v>0</v>
      </c>
      <c r="F180" s="15">
        <f t="shared" si="2"/>
        <v>873.17567999999994</v>
      </c>
      <c r="G180" s="96"/>
      <c r="H180" s="97"/>
      <c r="I180" s="33"/>
      <c r="L180" s="101"/>
      <c r="M180" s="101"/>
      <c r="N180" s="33"/>
    </row>
    <row r="181" spans="1:14" s="2" customFormat="1" ht="15.75" customHeight="1" x14ac:dyDescent="0.3">
      <c r="A181" s="91">
        <f t="shared" si="1"/>
        <v>10</v>
      </c>
      <c r="B181" s="93"/>
      <c r="C181" s="15" t="s">
        <v>204</v>
      </c>
      <c r="D181" s="15">
        <f>(46.2+4.5)*10.764</f>
        <v>545.73479999999995</v>
      </c>
      <c r="E181" s="15">
        <v>0</v>
      </c>
      <c r="F181" s="15">
        <f t="shared" si="2"/>
        <v>873.17567999999994</v>
      </c>
      <c r="G181" s="96"/>
      <c r="H181" s="97"/>
      <c r="I181" s="33"/>
      <c r="L181" s="101"/>
      <c r="M181" s="101"/>
      <c r="N181" s="33"/>
    </row>
    <row r="182" spans="1:14" s="2" customFormat="1" ht="15.75" customHeight="1" x14ac:dyDescent="0.3">
      <c r="A182" s="91">
        <f t="shared" si="1"/>
        <v>11</v>
      </c>
      <c r="B182" s="93"/>
      <c r="C182" s="15" t="s">
        <v>204</v>
      </c>
      <c r="D182" s="15">
        <f>(49.263+6.288)*10.764</f>
        <v>597.950964</v>
      </c>
      <c r="E182" s="15">
        <v>0</v>
      </c>
      <c r="F182" s="15">
        <f t="shared" si="2"/>
        <v>956.72154240000009</v>
      </c>
      <c r="G182" s="96"/>
      <c r="H182" s="97"/>
      <c r="I182" s="33"/>
      <c r="L182" s="101"/>
      <c r="M182" s="101"/>
      <c r="N182" s="33"/>
    </row>
    <row r="183" spans="1:14" s="2" customFormat="1" ht="15.75" customHeight="1" x14ac:dyDescent="0.3">
      <c r="A183" s="91">
        <f t="shared" si="1"/>
        <v>12</v>
      </c>
      <c r="B183" s="93"/>
      <c r="C183" s="15" t="s">
        <v>204</v>
      </c>
      <c r="D183" s="15">
        <f>(57.553+8.012)*10.764</f>
        <v>705.74165999999991</v>
      </c>
      <c r="E183" s="15">
        <v>0</v>
      </c>
      <c r="F183" s="15">
        <f t="shared" si="2"/>
        <v>1129.1866559999999</v>
      </c>
      <c r="G183" s="96"/>
      <c r="H183" s="97"/>
      <c r="I183" s="33"/>
      <c r="L183" s="101"/>
      <c r="M183" s="101"/>
      <c r="N183" s="33"/>
    </row>
    <row r="184" spans="1:14" s="2" customFormat="1" ht="15.75" customHeight="1" x14ac:dyDescent="0.3">
      <c r="A184" s="91">
        <f t="shared" si="1"/>
        <v>13</v>
      </c>
      <c r="B184" s="93"/>
      <c r="C184" s="15" t="s">
        <v>204</v>
      </c>
      <c r="D184" s="15">
        <f>(30.72+4.5)*10.764</f>
        <v>379.10807999999997</v>
      </c>
      <c r="E184" s="15">
        <v>0</v>
      </c>
      <c r="F184" s="15">
        <f t="shared" si="2"/>
        <v>606.57292799999993</v>
      </c>
      <c r="G184" s="96"/>
      <c r="H184" s="97"/>
      <c r="I184" s="33"/>
      <c r="L184" s="101"/>
      <c r="M184" s="101"/>
      <c r="N184" s="33"/>
    </row>
    <row r="185" spans="1:14" s="2" customFormat="1" ht="15.75" customHeight="1" x14ac:dyDescent="0.3">
      <c r="A185" s="91">
        <f>A184+1</f>
        <v>14</v>
      </c>
      <c r="B185" s="93"/>
      <c r="C185" s="15" t="s">
        <v>204</v>
      </c>
      <c r="D185" s="15">
        <f>(30.72+4.5)*10.764</f>
        <v>379.10807999999997</v>
      </c>
      <c r="E185" s="15">
        <v>0</v>
      </c>
      <c r="F185" s="15">
        <f t="shared" si="2"/>
        <v>606.57292799999993</v>
      </c>
      <c r="G185" s="96"/>
      <c r="H185" s="97"/>
      <c r="I185" s="33"/>
      <c r="L185" s="101"/>
      <c r="M185" s="101"/>
      <c r="N185" s="33"/>
    </row>
    <row r="186" spans="1:14" s="2" customFormat="1" ht="15.75" customHeight="1" x14ac:dyDescent="0.3">
      <c r="A186" s="91">
        <f t="shared" si="1"/>
        <v>15</v>
      </c>
      <c r="B186" s="93"/>
      <c r="C186" s="15" t="s">
        <v>204</v>
      </c>
      <c r="D186" s="15">
        <f>(48.31+7.52)*10.764</f>
        <v>600.95411999999999</v>
      </c>
      <c r="E186" s="15">
        <v>0</v>
      </c>
      <c r="F186" s="15">
        <f t="shared" si="2"/>
        <v>961.52659200000005</v>
      </c>
      <c r="G186" s="96"/>
      <c r="H186" s="97"/>
      <c r="I186" s="33"/>
      <c r="L186" s="101"/>
      <c r="M186" s="101"/>
      <c r="N186" s="33"/>
    </row>
    <row r="187" spans="1:14" s="2" customFormat="1" ht="15.75" customHeight="1" x14ac:dyDescent="0.3">
      <c r="A187" s="91">
        <f t="shared" si="1"/>
        <v>16</v>
      </c>
      <c r="B187" s="93"/>
      <c r="C187" s="15" t="s">
        <v>204</v>
      </c>
      <c r="D187" s="15">
        <f>(44.049+4.913)*10.764</f>
        <v>527.02696800000001</v>
      </c>
      <c r="E187" s="15">
        <v>0</v>
      </c>
      <c r="F187" s="15">
        <f t="shared" si="2"/>
        <v>843.24314880000009</v>
      </c>
      <c r="G187" s="96"/>
      <c r="H187" s="97"/>
      <c r="I187" s="33"/>
      <c r="L187" s="101"/>
      <c r="M187" s="101"/>
      <c r="N187" s="33"/>
    </row>
    <row r="188" spans="1:14" s="2" customFormat="1" ht="15.75" customHeight="1" x14ac:dyDescent="0.3">
      <c r="A188" s="91">
        <f t="shared" si="1"/>
        <v>17</v>
      </c>
      <c r="B188" s="93"/>
      <c r="C188" s="15" t="s">
        <v>204</v>
      </c>
      <c r="D188" s="15">
        <f>(40.35+4.5)*10.764</f>
        <v>482.7654</v>
      </c>
      <c r="E188" s="15">
        <v>0</v>
      </c>
      <c r="F188" s="15">
        <f t="shared" si="2"/>
        <v>772.42464000000007</v>
      </c>
      <c r="G188" s="96"/>
      <c r="H188" s="97"/>
      <c r="I188" s="33"/>
      <c r="L188" s="101"/>
      <c r="M188" s="101"/>
      <c r="N188" s="33"/>
    </row>
    <row r="189" spans="1:14" s="2" customFormat="1" ht="15.75" customHeight="1" x14ac:dyDescent="0.3">
      <c r="A189" s="91">
        <f t="shared" si="1"/>
        <v>18</v>
      </c>
      <c r="B189" s="93"/>
      <c r="C189" s="15" t="s">
        <v>204</v>
      </c>
      <c r="D189" s="15">
        <f>(40.35+4.5)*10.764</f>
        <v>482.7654</v>
      </c>
      <c r="E189" s="15">
        <v>0</v>
      </c>
      <c r="F189" s="15">
        <f t="shared" si="2"/>
        <v>772.42464000000007</v>
      </c>
      <c r="G189" s="96"/>
      <c r="H189" s="97"/>
      <c r="I189" s="33"/>
      <c r="L189" s="101"/>
      <c r="M189" s="101"/>
      <c r="N189" s="33"/>
    </row>
    <row r="190" spans="1:14" s="2" customFormat="1" ht="15.75" customHeight="1" x14ac:dyDescent="0.3">
      <c r="A190" s="91">
        <f t="shared" si="1"/>
        <v>19</v>
      </c>
      <c r="B190" s="93"/>
      <c r="C190" s="15" t="s">
        <v>204</v>
      </c>
      <c r="D190" s="15">
        <f>(45.394+5.063)*10.764</f>
        <v>543.119148</v>
      </c>
      <c r="E190" s="15">
        <v>0</v>
      </c>
      <c r="F190" s="15">
        <f t="shared" si="2"/>
        <v>868.99063680000006</v>
      </c>
      <c r="G190" s="96"/>
      <c r="H190" s="97"/>
      <c r="I190" s="33"/>
      <c r="L190" s="101"/>
      <c r="M190" s="101"/>
      <c r="N190" s="33"/>
    </row>
    <row r="191" spans="1:14" s="2" customFormat="1" ht="15.75" customHeight="1" x14ac:dyDescent="0.3">
      <c r="A191" s="91">
        <f>A190+1</f>
        <v>20</v>
      </c>
      <c r="B191" s="93"/>
      <c r="C191" s="15" t="s">
        <v>204</v>
      </c>
      <c r="D191" s="15">
        <f>(44.14+6.521)*10.764</f>
        <v>545.31500399999993</v>
      </c>
      <c r="E191" s="15">
        <v>0</v>
      </c>
      <c r="F191" s="15">
        <f t="shared" ref="F191:F196" si="3">D191*(($F$169)+1)+E191</f>
        <v>872.50400639999998</v>
      </c>
      <c r="G191" s="96"/>
      <c r="H191" s="97"/>
      <c r="I191" s="33"/>
      <c r="L191" s="101"/>
      <c r="M191" s="101"/>
      <c r="N191" s="33"/>
    </row>
    <row r="192" spans="1:14" s="2" customFormat="1" ht="15.75" customHeight="1" x14ac:dyDescent="0.3">
      <c r="A192" s="91">
        <f t="shared" si="1"/>
        <v>21</v>
      </c>
      <c r="B192" s="93"/>
      <c r="C192" s="15" t="s">
        <v>204</v>
      </c>
      <c r="D192" s="15">
        <f>(63.985+10.475)*10.764</f>
        <v>801.48743999999988</v>
      </c>
      <c r="E192" s="15">
        <v>0</v>
      </c>
      <c r="F192" s="15">
        <f t="shared" si="3"/>
        <v>1282.3799039999999</v>
      </c>
      <c r="G192" s="96"/>
      <c r="H192" s="97"/>
      <c r="I192" s="33"/>
      <c r="L192" s="101"/>
      <c r="M192" s="101"/>
      <c r="N192" s="33"/>
    </row>
    <row r="193" spans="1:14" s="2" customFormat="1" ht="15.75" customHeight="1" x14ac:dyDescent="0.3">
      <c r="A193" s="91">
        <f t="shared" si="1"/>
        <v>22</v>
      </c>
      <c r="B193" s="93"/>
      <c r="C193" s="15" t="s">
        <v>204</v>
      </c>
      <c r="D193" s="15">
        <f>(52.015+8.1)*10.764</f>
        <v>647.07785999999999</v>
      </c>
      <c r="E193" s="15">
        <v>0</v>
      </c>
      <c r="F193" s="15">
        <f t="shared" si="3"/>
        <v>1035.324576</v>
      </c>
      <c r="G193" s="96"/>
      <c r="H193" s="97"/>
      <c r="I193" s="33"/>
      <c r="L193" s="101"/>
      <c r="M193" s="101"/>
      <c r="N193" s="33"/>
    </row>
    <row r="194" spans="1:14" s="2" customFormat="1" ht="15.75" customHeight="1" x14ac:dyDescent="0.3">
      <c r="A194" s="91">
        <f t="shared" si="1"/>
        <v>23</v>
      </c>
      <c r="B194" s="93"/>
      <c r="C194" s="15" t="s">
        <v>204</v>
      </c>
      <c r="D194" s="15">
        <f>(39.42+5.6)*10.764</f>
        <v>484.59528</v>
      </c>
      <c r="E194" s="15">
        <v>0</v>
      </c>
      <c r="F194" s="15">
        <f t="shared" si="3"/>
        <v>775.35244800000009</v>
      </c>
      <c r="G194" s="96"/>
      <c r="H194" s="97"/>
      <c r="I194" s="33"/>
      <c r="L194" s="101"/>
      <c r="M194" s="101"/>
      <c r="N194" s="33"/>
    </row>
    <row r="195" spans="1:14" s="2" customFormat="1" ht="15.75" customHeight="1" x14ac:dyDescent="0.3">
      <c r="A195" s="91">
        <f t="shared" si="1"/>
        <v>24</v>
      </c>
      <c r="B195" s="93"/>
      <c r="C195" s="15" t="s">
        <v>204</v>
      </c>
      <c r="D195" s="15">
        <f>(37.95+4.5)*10.764</f>
        <v>456.93180000000001</v>
      </c>
      <c r="E195" s="15">
        <v>0</v>
      </c>
      <c r="F195" s="15">
        <f t="shared" si="3"/>
        <v>731.09088000000008</v>
      </c>
      <c r="G195" s="96"/>
      <c r="H195" s="97"/>
      <c r="I195" s="33"/>
      <c r="L195" s="101"/>
      <c r="M195" s="101"/>
      <c r="N195" s="33"/>
    </row>
    <row r="196" spans="1:14" s="2" customFormat="1" ht="15.75" customHeight="1" x14ac:dyDescent="0.3">
      <c r="A196" s="91">
        <f t="shared" si="1"/>
        <v>25</v>
      </c>
      <c r="B196" s="93"/>
      <c r="C196" s="15" t="s">
        <v>204</v>
      </c>
      <c r="D196" s="15">
        <f>(26.247+4.5)*10.764</f>
        <v>330.96070799999995</v>
      </c>
      <c r="E196" s="15">
        <v>0</v>
      </c>
      <c r="F196" s="15">
        <f t="shared" si="3"/>
        <v>529.53713279999999</v>
      </c>
      <c r="G196" s="96"/>
      <c r="H196" s="97"/>
      <c r="I196" s="33"/>
      <c r="L196" s="101"/>
      <c r="M196" s="101"/>
      <c r="N196" s="33"/>
    </row>
    <row r="197" spans="1:14" s="2" customFormat="1" ht="15.75" customHeight="1" x14ac:dyDescent="0.3">
      <c r="A197" s="91">
        <f t="shared" si="1"/>
        <v>26</v>
      </c>
      <c r="B197" s="93"/>
      <c r="C197" s="15" t="s">
        <v>204</v>
      </c>
      <c r="D197" s="15">
        <f>(16.361+13.386)*10.764</f>
        <v>320.196708</v>
      </c>
      <c r="E197" s="15">
        <v>0</v>
      </c>
      <c r="F197" s="15">
        <f t="shared" ref="F197" si="4">D197*(($F$169)+1)+E197</f>
        <v>512.3147328</v>
      </c>
      <c r="G197" s="98"/>
      <c r="H197" s="99"/>
      <c r="I197" s="33"/>
      <c r="L197" s="101"/>
      <c r="M197" s="101"/>
      <c r="N197" s="33"/>
    </row>
    <row r="198" spans="1:14" s="2" customFormat="1" x14ac:dyDescent="0.3">
      <c r="A198" s="102" t="s">
        <v>211</v>
      </c>
      <c r="B198" s="103"/>
      <c r="C198" s="103"/>
      <c r="D198" s="103"/>
      <c r="E198" s="103"/>
      <c r="F198" s="103"/>
      <c r="G198" s="103"/>
      <c r="H198" s="104"/>
    </row>
    <row r="199" spans="1:14" s="2" customFormat="1" x14ac:dyDescent="0.3">
      <c r="A199" s="102" t="s">
        <v>138</v>
      </c>
      <c r="B199" s="103"/>
      <c r="C199" s="103"/>
      <c r="D199" s="103"/>
      <c r="E199" s="103"/>
      <c r="F199" s="103"/>
      <c r="G199" s="103"/>
      <c r="H199" s="104"/>
    </row>
    <row r="200" spans="1:14" s="2" customFormat="1" x14ac:dyDescent="0.3">
      <c r="A200" s="91">
        <v>201</v>
      </c>
      <c r="B200" s="93"/>
      <c r="C200" s="15" t="s">
        <v>205</v>
      </c>
      <c r="D200" s="15">
        <f>(34.148+14.095)*10.764</f>
        <v>519.28765199999998</v>
      </c>
      <c r="E200" s="15">
        <v>0</v>
      </c>
      <c r="F200" s="15">
        <f>D200*(($F$169)+1)+E200</f>
        <v>830.86024320000001</v>
      </c>
      <c r="G200" s="94" t="str">
        <f>A199</f>
        <v>2nd Floor</v>
      </c>
      <c r="H200" s="95"/>
      <c r="I200" s="33"/>
      <c r="L200" s="101"/>
      <c r="M200" s="101"/>
      <c r="N200" s="33"/>
    </row>
    <row r="201" spans="1:14" s="2" customFormat="1" x14ac:dyDescent="0.3">
      <c r="A201" s="91">
        <f>A200+1</f>
        <v>202</v>
      </c>
      <c r="B201" s="93"/>
      <c r="C201" s="15" t="s">
        <v>205</v>
      </c>
      <c r="D201" s="15">
        <f>(47.2+6)*10.764</f>
        <v>572.64480000000003</v>
      </c>
      <c r="E201" s="15">
        <v>0</v>
      </c>
      <c r="F201" s="15">
        <f t="shared" ref="F201:F225" si="5">D201*(($F$169)+1)+E201</f>
        <v>916.2316800000001</v>
      </c>
      <c r="G201" s="96"/>
      <c r="H201" s="97"/>
      <c r="I201" s="33"/>
      <c r="L201" s="101"/>
      <c r="M201" s="101"/>
      <c r="N201" s="33"/>
    </row>
    <row r="202" spans="1:14" s="2" customFormat="1" x14ac:dyDescent="0.3">
      <c r="A202" s="91">
        <f t="shared" ref="A202:A225" si="6">A201+1</f>
        <v>203</v>
      </c>
      <c r="B202" s="93"/>
      <c r="C202" s="15" t="s">
        <v>205</v>
      </c>
      <c r="D202" s="15">
        <f>(35.4+4.5)*10.764</f>
        <v>429.48359999999997</v>
      </c>
      <c r="E202" s="15">
        <v>0</v>
      </c>
      <c r="F202" s="15">
        <f t="shared" si="5"/>
        <v>687.17376000000002</v>
      </c>
      <c r="G202" s="96"/>
      <c r="H202" s="97"/>
      <c r="I202" s="33"/>
      <c r="L202" s="101"/>
      <c r="M202" s="101"/>
      <c r="N202" s="33"/>
    </row>
    <row r="203" spans="1:14" s="2" customFormat="1" x14ac:dyDescent="0.3">
      <c r="A203" s="91">
        <f t="shared" si="6"/>
        <v>204</v>
      </c>
      <c r="B203" s="93"/>
      <c r="C203" s="15" t="s">
        <v>205</v>
      </c>
      <c r="D203" s="15">
        <f>(35.4+4.499)*10.764</f>
        <v>429.47283599999997</v>
      </c>
      <c r="E203" s="15">
        <v>0</v>
      </c>
      <c r="F203" s="15">
        <f t="shared" si="5"/>
        <v>687.15653759999998</v>
      </c>
      <c r="G203" s="96"/>
      <c r="H203" s="97"/>
      <c r="I203" s="33"/>
      <c r="L203" s="101"/>
      <c r="M203" s="101"/>
      <c r="N203" s="33"/>
    </row>
    <row r="204" spans="1:14" s="2" customFormat="1" x14ac:dyDescent="0.3">
      <c r="A204" s="91">
        <f t="shared" si="6"/>
        <v>205</v>
      </c>
      <c r="B204" s="93"/>
      <c r="C204" s="15" t="s">
        <v>205</v>
      </c>
      <c r="D204" s="15">
        <f>(47.2+6)*10.764</f>
        <v>572.64480000000003</v>
      </c>
      <c r="E204" s="15">
        <v>0</v>
      </c>
      <c r="F204" s="15">
        <f t="shared" si="5"/>
        <v>916.2316800000001</v>
      </c>
      <c r="G204" s="96"/>
      <c r="H204" s="97"/>
      <c r="I204" s="33"/>
      <c r="L204" s="101"/>
      <c r="M204" s="101"/>
      <c r="N204" s="33"/>
    </row>
    <row r="205" spans="1:14" s="2" customFormat="1" x14ac:dyDescent="0.3">
      <c r="A205" s="91">
        <f t="shared" si="6"/>
        <v>206</v>
      </c>
      <c r="B205" s="93"/>
      <c r="C205" s="15" t="s">
        <v>205</v>
      </c>
      <c r="D205" s="15">
        <f>(58.41+7.425)*10.764</f>
        <v>708.64793999999983</v>
      </c>
      <c r="E205" s="15">
        <v>0</v>
      </c>
      <c r="F205" s="15">
        <f t="shared" si="5"/>
        <v>1133.8367039999998</v>
      </c>
      <c r="G205" s="96"/>
      <c r="H205" s="97"/>
      <c r="I205" s="33"/>
      <c r="L205" s="101"/>
      <c r="M205" s="101"/>
      <c r="N205" s="33"/>
    </row>
    <row r="206" spans="1:14" s="2" customFormat="1" x14ac:dyDescent="0.3">
      <c r="A206" s="91">
        <f t="shared" si="6"/>
        <v>207</v>
      </c>
      <c r="B206" s="93"/>
      <c r="C206" s="15" t="s">
        <v>205</v>
      </c>
      <c r="D206" s="15">
        <f>(39.825+5.063)*10.764</f>
        <v>483.17443200000002</v>
      </c>
      <c r="E206" s="15">
        <v>0</v>
      </c>
      <c r="F206" s="15">
        <f t="shared" si="5"/>
        <v>773.07909120000011</v>
      </c>
      <c r="G206" s="96"/>
      <c r="H206" s="97"/>
      <c r="I206" s="33"/>
      <c r="L206" s="101"/>
      <c r="M206" s="101"/>
      <c r="N206" s="33"/>
    </row>
    <row r="207" spans="1:14" s="2" customFormat="1" x14ac:dyDescent="0.3">
      <c r="A207" s="91">
        <f>A206+1</f>
        <v>208</v>
      </c>
      <c r="B207" s="93"/>
      <c r="C207" s="15" t="s">
        <v>205</v>
      </c>
      <c r="D207" s="15">
        <f>(39.825+5.063)*10.764</f>
        <v>483.17443200000002</v>
      </c>
      <c r="E207" s="15">
        <v>0</v>
      </c>
      <c r="F207" s="15">
        <f t="shared" si="5"/>
        <v>773.07909120000011</v>
      </c>
      <c r="G207" s="96"/>
      <c r="H207" s="97"/>
      <c r="I207" s="33"/>
      <c r="L207" s="101"/>
      <c r="M207" s="101"/>
      <c r="N207" s="33"/>
    </row>
    <row r="208" spans="1:14" s="2" customFormat="1" x14ac:dyDescent="0.3">
      <c r="A208" s="91">
        <f t="shared" si="6"/>
        <v>209</v>
      </c>
      <c r="B208" s="93"/>
      <c r="C208" s="15" t="s">
        <v>205</v>
      </c>
      <c r="D208" s="15">
        <f>(35.4+4.5)*10.764</f>
        <v>429.48359999999997</v>
      </c>
      <c r="E208" s="15">
        <v>0</v>
      </c>
      <c r="F208" s="15">
        <f t="shared" si="5"/>
        <v>687.17376000000002</v>
      </c>
      <c r="G208" s="96"/>
      <c r="H208" s="97"/>
      <c r="I208" s="33"/>
      <c r="L208" s="101"/>
      <c r="M208" s="101"/>
      <c r="N208" s="33"/>
    </row>
    <row r="209" spans="1:14" s="2" customFormat="1" x14ac:dyDescent="0.3">
      <c r="A209" s="91">
        <f t="shared" si="6"/>
        <v>210</v>
      </c>
      <c r="B209" s="93"/>
      <c r="C209" s="15" t="s">
        <v>205</v>
      </c>
      <c r="D209" s="15">
        <f>(35.4+4.5)*10.764</f>
        <v>429.48359999999997</v>
      </c>
      <c r="E209" s="15">
        <v>0</v>
      </c>
      <c r="F209" s="15">
        <f t="shared" si="5"/>
        <v>687.17376000000002</v>
      </c>
      <c r="G209" s="96"/>
      <c r="H209" s="97"/>
      <c r="I209" s="33"/>
      <c r="L209" s="101"/>
      <c r="M209" s="101"/>
      <c r="N209" s="33"/>
    </row>
    <row r="210" spans="1:14" s="2" customFormat="1" x14ac:dyDescent="0.3">
      <c r="A210" s="91">
        <f t="shared" si="6"/>
        <v>211</v>
      </c>
      <c r="B210" s="93"/>
      <c r="C210" s="15" t="s">
        <v>205</v>
      </c>
      <c r="D210" s="15">
        <f>(38.645+4.913)*10.764</f>
        <v>468.85831200000007</v>
      </c>
      <c r="E210" s="15">
        <v>0</v>
      </c>
      <c r="F210" s="15">
        <f t="shared" si="5"/>
        <v>750.1732992000002</v>
      </c>
      <c r="G210" s="96"/>
      <c r="H210" s="97"/>
      <c r="I210" s="33"/>
      <c r="L210" s="101"/>
      <c r="M210" s="101"/>
      <c r="N210" s="33"/>
    </row>
    <row r="211" spans="1:14" s="2" customFormat="1" x14ac:dyDescent="0.3">
      <c r="A211" s="91">
        <f t="shared" si="6"/>
        <v>212</v>
      </c>
      <c r="B211" s="93"/>
      <c r="C211" s="15" t="s">
        <v>205</v>
      </c>
      <c r="D211" s="15">
        <f>(38.645+4.913)*10.764</f>
        <v>468.85831200000007</v>
      </c>
      <c r="E211" s="15">
        <v>0</v>
      </c>
      <c r="F211" s="15">
        <f t="shared" si="5"/>
        <v>750.1732992000002</v>
      </c>
      <c r="G211" s="96"/>
      <c r="H211" s="97"/>
      <c r="I211" s="33"/>
      <c r="L211" s="101"/>
      <c r="M211" s="101"/>
      <c r="N211" s="33"/>
    </row>
    <row r="212" spans="1:14" s="2" customFormat="1" x14ac:dyDescent="0.3">
      <c r="A212" s="91">
        <f t="shared" si="6"/>
        <v>213</v>
      </c>
      <c r="B212" s="93"/>
      <c r="C212" s="15" t="s">
        <v>205</v>
      </c>
      <c r="D212" s="15">
        <f>(30.6+4.5)*10.764</f>
        <v>377.81639999999999</v>
      </c>
      <c r="E212" s="15">
        <v>0</v>
      </c>
      <c r="F212" s="15">
        <f t="shared" si="5"/>
        <v>604.50624000000005</v>
      </c>
      <c r="G212" s="96"/>
      <c r="H212" s="97"/>
      <c r="I212" s="33"/>
      <c r="L212" s="101"/>
      <c r="M212" s="101"/>
      <c r="N212" s="33"/>
    </row>
    <row r="213" spans="1:14" s="2" customFormat="1" x14ac:dyDescent="0.3">
      <c r="A213" s="91">
        <f>A212+1</f>
        <v>214</v>
      </c>
      <c r="B213" s="93"/>
      <c r="C213" s="15" t="s">
        <v>205</v>
      </c>
      <c r="D213" s="15">
        <f>(32.52+4.5)*10.764</f>
        <v>398.48328000000004</v>
      </c>
      <c r="E213" s="15">
        <v>0</v>
      </c>
      <c r="F213" s="15">
        <f t="shared" si="5"/>
        <v>637.57324800000015</v>
      </c>
      <c r="G213" s="96"/>
      <c r="H213" s="97"/>
      <c r="I213" s="33"/>
      <c r="L213" s="101"/>
      <c r="M213" s="101"/>
      <c r="N213" s="33"/>
    </row>
    <row r="214" spans="1:14" s="2" customFormat="1" x14ac:dyDescent="0.3">
      <c r="A214" s="91">
        <f t="shared" si="6"/>
        <v>215</v>
      </c>
      <c r="B214" s="93"/>
      <c r="C214" s="15" t="s">
        <v>205</v>
      </c>
      <c r="D214" s="15">
        <f>(38.645+4.913)*10.764</f>
        <v>468.85831200000007</v>
      </c>
      <c r="E214" s="15">
        <v>0</v>
      </c>
      <c r="F214" s="15">
        <f t="shared" si="5"/>
        <v>750.1732992000002</v>
      </c>
      <c r="G214" s="96"/>
      <c r="H214" s="97"/>
      <c r="I214" s="33"/>
      <c r="L214" s="101"/>
      <c r="M214" s="101"/>
      <c r="N214" s="33"/>
    </row>
    <row r="215" spans="1:14" s="2" customFormat="1" x14ac:dyDescent="0.3">
      <c r="A215" s="91">
        <f t="shared" si="6"/>
        <v>216</v>
      </c>
      <c r="B215" s="93"/>
      <c r="C215" s="15" t="s">
        <v>205</v>
      </c>
      <c r="D215" s="15">
        <f>(38.645+4.913)*10.764</f>
        <v>468.85831200000007</v>
      </c>
      <c r="E215" s="15">
        <v>0</v>
      </c>
      <c r="F215" s="15">
        <f t="shared" si="5"/>
        <v>750.1732992000002</v>
      </c>
      <c r="G215" s="96"/>
      <c r="H215" s="97"/>
      <c r="I215" s="33"/>
      <c r="L215" s="101"/>
      <c r="M215" s="101"/>
      <c r="N215" s="33"/>
    </row>
    <row r="216" spans="1:14" s="2" customFormat="1" x14ac:dyDescent="0.3">
      <c r="A216" s="91">
        <f t="shared" si="6"/>
        <v>217</v>
      </c>
      <c r="B216" s="93"/>
      <c r="C216" s="15" t="s">
        <v>205</v>
      </c>
      <c r="D216" s="15">
        <f>(35.4+4.5)*10.764</f>
        <v>429.48359999999997</v>
      </c>
      <c r="E216" s="15">
        <v>0</v>
      </c>
      <c r="F216" s="15">
        <f t="shared" si="5"/>
        <v>687.17376000000002</v>
      </c>
      <c r="G216" s="96"/>
      <c r="H216" s="97"/>
      <c r="I216" s="33"/>
      <c r="L216" s="101"/>
      <c r="M216" s="101"/>
      <c r="N216" s="33"/>
    </row>
    <row r="217" spans="1:14" s="2" customFormat="1" x14ac:dyDescent="0.3">
      <c r="A217" s="91">
        <f t="shared" si="6"/>
        <v>218</v>
      </c>
      <c r="B217" s="93"/>
      <c r="C217" s="15" t="s">
        <v>205</v>
      </c>
      <c r="D217" s="15">
        <f>(35.4+4.5)*10.764</f>
        <v>429.48359999999997</v>
      </c>
      <c r="E217" s="15">
        <v>0</v>
      </c>
      <c r="F217" s="15">
        <f t="shared" si="5"/>
        <v>687.17376000000002</v>
      </c>
      <c r="G217" s="96"/>
      <c r="H217" s="97"/>
      <c r="I217" s="33"/>
      <c r="L217" s="101"/>
      <c r="M217" s="101"/>
      <c r="N217" s="33"/>
    </row>
    <row r="218" spans="1:14" s="2" customFormat="1" x14ac:dyDescent="0.3">
      <c r="A218" s="91">
        <f t="shared" si="6"/>
        <v>219</v>
      </c>
      <c r="B218" s="93"/>
      <c r="C218" s="15" t="s">
        <v>205</v>
      </c>
      <c r="D218" s="15">
        <f>(39.825+5.063)*10.764</f>
        <v>483.17443200000002</v>
      </c>
      <c r="E218" s="15">
        <v>0</v>
      </c>
      <c r="F218" s="15">
        <f t="shared" si="5"/>
        <v>773.07909120000011</v>
      </c>
      <c r="G218" s="96"/>
      <c r="H218" s="97"/>
      <c r="I218" s="33"/>
      <c r="L218" s="101"/>
      <c r="M218" s="101"/>
      <c r="N218" s="33"/>
    </row>
    <row r="219" spans="1:14" s="2" customFormat="1" x14ac:dyDescent="0.3">
      <c r="A219" s="91">
        <f>A218+1</f>
        <v>220</v>
      </c>
      <c r="B219" s="93"/>
      <c r="C219" s="15" t="s">
        <v>205</v>
      </c>
      <c r="D219" s="15">
        <f>(39.825+5.063)*10.764</f>
        <v>483.17443200000002</v>
      </c>
      <c r="E219" s="15">
        <v>0</v>
      </c>
      <c r="F219" s="15">
        <f t="shared" si="5"/>
        <v>773.07909120000011</v>
      </c>
      <c r="G219" s="96"/>
      <c r="H219" s="97"/>
      <c r="I219" s="33"/>
      <c r="L219" s="101"/>
      <c r="M219" s="101"/>
      <c r="N219" s="33"/>
    </row>
    <row r="220" spans="1:14" s="2" customFormat="1" x14ac:dyDescent="0.3">
      <c r="A220" s="91">
        <f t="shared" si="6"/>
        <v>221</v>
      </c>
      <c r="B220" s="93"/>
      <c r="C220" s="15" t="s">
        <v>205</v>
      </c>
      <c r="D220" s="15">
        <f>(58.41+7.425)*10.764</f>
        <v>708.64793999999983</v>
      </c>
      <c r="E220" s="15">
        <v>0</v>
      </c>
      <c r="F220" s="15">
        <f t="shared" si="5"/>
        <v>1133.8367039999998</v>
      </c>
      <c r="G220" s="96"/>
      <c r="H220" s="97"/>
      <c r="I220" s="33"/>
      <c r="L220" s="101"/>
      <c r="M220" s="101"/>
      <c r="N220" s="33"/>
    </row>
    <row r="221" spans="1:14" s="2" customFormat="1" x14ac:dyDescent="0.3">
      <c r="A221" s="91">
        <f t="shared" si="6"/>
        <v>222</v>
      </c>
      <c r="B221" s="93"/>
      <c r="C221" s="15" t="s">
        <v>205</v>
      </c>
      <c r="D221" s="15">
        <f>(47.2+6)*10.764</f>
        <v>572.64480000000003</v>
      </c>
      <c r="E221" s="15">
        <v>0</v>
      </c>
      <c r="F221" s="15">
        <f t="shared" si="5"/>
        <v>916.2316800000001</v>
      </c>
      <c r="G221" s="96"/>
      <c r="H221" s="97"/>
      <c r="I221" s="33"/>
      <c r="L221" s="101"/>
      <c r="M221" s="101"/>
      <c r="N221" s="33"/>
    </row>
    <row r="222" spans="1:14" s="2" customFormat="1" x14ac:dyDescent="0.3">
      <c r="A222" s="91">
        <f t="shared" si="6"/>
        <v>223</v>
      </c>
      <c r="B222" s="93"/>
      <c r="C222" s="15" t="s">
        <v>205</v>
      </c>
      <c r="D222" s="15">
        <f>(35.4+4.5)*10.764</f>
        <v>429.48359999999997</v>
      </c>
      <c r="E222" s="15">
        <v>0</v>
      </c>
      <c r="F222" s="15">
        <f t="shared" si="5"/>
        <v>687.17376000000002</v>
      </c>
      <c r="G222" s="96"/>
      <c r="H222" s="97"/>
      <c r="I222" s="33"/>
      <c r="L222" s="101"/>
      <c r="M222" s="101"/>
      <c r="N222" s="33"/>
    </row>
    <row r="223" spans="1:14" s="2" customFormat="1" x14ac:dyDescent="0.3">
      <c r="A223" s="91">
        <f t="shared" si="6"/>
        <v>224</v>
      </c>
      <c r="B223" s="93"/>
      <c r="C223" s="15" t="s">
        <v>205</v>
      </c>
      <c r="D223" s="15">
        <f>(35.4+4.5)*10.764</f>
        <v>429.48359999999997</v>
      </c>
      <c r="E223" s="15">
        <v>0</v>
      </c>
      <c r="F223" s="15">
        <f t="shared" si="5"/>
        <v>687.17376000000002</v>
      </c>
      <c r="G223" s="96"/>
      <c r="H223" s="97"/>
      <c r="I223" s="33"/>
      <c r="L223" s="101"/>
      <c r="M223" s="101"/>
      <c r="N223" s="33"/>
    </row>
    <row r="224" spans="1:14" s="2" customFormat="1" x14ac:dyDescent="0.3">
      <c r="A224" s="91">
        <f t="shared" si="6"/>
        <v>225</v>
      </c>
      <c r="B224" s="93"/>
      <c r="C224" s="15" t="s">
        <v>205</v>
      </c>
      <c r="D224" s="15">
        <f>(27.047+4.5)*10.764</f>
        <v>339.57190800000001</v>
      </c>
      <c r="E224" s="15">
        <v>0</v>
      </c>
      <c r="F224" s="15">
        <f t="shared" si="5"/>
        <v>543.31505279999999</v>
      </c>
      <c r="G224" s="96"/>
      <c r="H224" s="97"/>
      <c r="I224" s="33"/>
      <c r="L224" s="101"/>
      <c r="M224" s="101"/>
      <c r="N224" s="33"/>
    </row>
    <row r="225" spans="1:16" s="2" customFormat="1" x14ac:dyDescent="0.3">
      <c r="A225" s="91">
        <f t="shared" si="6"/>
        <v>226</v>
      </c>
      <c r="B225" s="93"/>
      <c r="C225" s="15" t="s">
        <v>205</v>
      </c>
      <c r="D225" s="15">
        <f>(18.479+12.993)*10.764</f>
        <v>338.76460800000001</v>
      </c>
      <c r="E225" s="15">
        <v>0</v>
      </c>
      <c r="F225" s="15">
        <f t="shared" si="5"/>
        <v>542.02337280000006</v>
      </c>
      <c r="G225" s="98"/>
      <c r="H225" s="99"/>
      <c r="I225" s="33"/>
      <c r="L225" s="101"/>
      <c r="M225" s="101"/>
      <c r="N225" s="33"/>
    </row>
    <row r="226" spans="1:16" s="2" customFormat="1" x14ac:dyDescent="0.3">
      <c r="A226" s="91"/>
      <c r="B226" s="92"/>
      <c r="C226" s="92"/>
      <c r="D226" s="92"/>
      <c r="E226" s="92"/>
      <c r="F226" s="92"/>
      <c r="G226" s="92"/>
      <c r="H226" s="93"/>
      <c r="I226" s="33"/>
    </row>
    <row r="227" spans="1:16" ht="47.25" customHeight="1" x14ac:dyDescent="0.3">
      <c r="A227" s="105" t="s">
        <v>141</v>
      </c>
      <c r="B227" s="105" t="s">
        <v>142</v>
      </c>
      <c r="C227" s="105" t="s">
        <v>64</v>
      </c>
      <c r="D227" s="105" t="s">
        <v>65</v>
      </c>
      <c r="E227" s="173" t="s">
        <v>66</v>
      </c>
      <c r="F227" s="62" t="s">
        <v>136</v>
      </c>
      <c r="G227" s="105" t="s">
        <v>67</v>
      </c>
      <c r="H227" s="105"/>
      <c r="I227" s="33"/>
    </row>
    <row r="228" spans="1:16" s="2" customFormat="1" x14ac:dyDescent="0.3">
      <c r="A228" s="105"/>
      <c r="B228" s="105"/>
      <c r="C228" s="105"/>
      <c r="D228" s="105"/>
      <c r="E228" s="173"/>
      <c r="F228" s="63">
        <v>0.5</v>
      </c>
      <c r="G228" s="105"/>
      <c r="H228" s="105"/>
      <c r="I228" s="33"/>
    </row>
    <row r="229" spans="1:16" s="2" customFormat="1" x14ac:dyDescent="0.3">
      <c r="A229" s="100" t="s">
        <v>193</v>
      </c>
      <c r="B229" s="100"/>
      <c r="C229" s="100"/>
      <c r="D229" s="100"/>
      <c r="E229" s="100"/>
      <c r="F229" s="100"/>
      <c r="G229" s="100"/>
      <c r="H229" s="100"/>
      <c r="I229" s="33"/>
      <c r="L229" s="101"/>
      <c r="M229" s="101"/>
    </row>
    <row r="230" spans="1:16" s="2" customFormat="1" x14ac:dyDescent="0.3">
      <c r="A230" s="100" t="s">
        <v>206</v>
      </c>
      <c r="B230" s="100"/>
      <c r="C230" s="100"/>
      <c r="D230" s="100"/>
      <c r="E230" s="100"/>
      <c r="F230" s="100"/>
      <c r="G230" s="100"/>
      <c r="H230" s="100"/>
      <c r="I230" s="33"/>
      <c r="L230" s="101"/>
      <c r="M230" s="101"/>
    </row>
    <row r="231" spans="1:16" s="2" customFormat="1" x14ac:dyDescent="0.3">
      <c r="A231" s="90">
        <f>LEFT(A230,SUM(LEN(A230)-LEN(SUBSTITUTE(A230,{"0","1","2","3","4","5","6","7","8","9"},""))))*100+1</f>
        <v>301</v>
      </c>
      <c r="B231" s="90"/>
      <c r="C231" s="15" t="s">
        <v>208</v>
      </c>
      <c r="D231" s="15">
        <f>(27.936+3.844+4.47)*10.764</f>
        <v>390.19499999999999</v>
      </c>
      <c r="E231" s="15">
        <v>0</v>
      </c>
      <c r="F231" s="15">
        <f>D231*(($F$228)+1)+E231</f>
        <v>585.29250000000002</v>
      </c>
      <c r="G231" s="94" t="str">
        <f>A230</f>
        <v>3rd Floor</v>
      </c>
      <c r="H231" s="95"/>
      <c r="I231" s="33"/>
      <c r="N231" s="33"/>
    </row>
    <row r="232" spans="1:16" s="2" customFormat="1" x14ac:dyDescent="0.3">
      <c r="A232" s="90">
        <f>A231+1</f>
        <v>302</v>
      </c>
      <c r="B232" s="90"/>
      <c r="C232" s="15" t="s">
        <v>209</v>
      </c>
      <c r="D232" s="15">
        <f>(42.882+5.748+5.55)*10.764</f>
        <v>583.19351999999992</v>
      </c>
      <c r="E232" s="15">
        <v>0</v>
      </c>
      <c r="F232" s="15">
        <f t="shared" ref="F232:F235" si="7">D232*(($F$228)+1)+E232</f>
        <v>874.79027999999994</v>
      </c>
      <c r="G232" s="96"/>
      <c r="H232" s="97"/>
      <c r="I232" s="33"/>
      <c r="N232" s="33"/>
    </row>
    <row r="233" spans="1:16" s="2" customFormat="1" x14ac:dyDescent="0.3">
      <c r="A233" s="90">
        <f>A232+1</f>
        <v>303</v>
      </c>
      <c r="B233" s="90"/>
      <c r="C233" s="15" t="s">
        <v>209</v>
      </c>
      <c r="D233" s="15">
        <f>(43.255+5.885+6.06)*10.764</f>
        <v>594.17279999999994</v>
      </c>
      <c r="E233" s="15">
        <v>0</v>
      </c>
      <c r="F233" s="15">
        <f t="shared" si="7"/>
        <v>891.25919999999996</v>
      </c>
      <c r="G233" s="96"/>
      <c r="H233" s="97"/>
      <c r="I233" s="33"/>
      <c r="N233" s="33"/>
    </row>
    <row r="234" spans="1:16" s="2" customFormat="1" x14ac:dyDescent="0.3">
      <c r="A234" s="90">
        <f t="shared" ref="A234:A235" si="8">A233+1</f>
        <v>304</v>
      </c>
      <c r="B234" s="90"/>
      <c r="C234" s="15" t="s">
        <v>209</v>
      </c>
      <c r="D234" s="15">
        <f>(43.255+5.885+6.06)*10.764</f>
        <v>594.17279999999994</v>
      </c>
      <c r="E234" s="15">
        <v>0</v>
      </c>
      <c r="F234" s="15">
        <f t="shared" si="7"/>
        <v>891.25919999999996</v>
      </c>
      <c r="G234" s="96"/>
      <c r="H234" s="97"/>
      <c r="I234" s="33"/>
      <c r="N234" s="33"/>
    </row>
    <row r="235" spans="1:16" s="2" customFormat="1" x14ac:dyDescent="0.3">
      <c r="A235" s="90">
        <f t="shared" si="8"/>
        <v>305</v>
      </c>
      <c r="B235" s="90"/>
      <c r="C235" s="15" t="s">
        <v>209</v>
      </c>
      <c r="D235" s="15">
        <f>(42.882+5.748+5.55)*10.764</f>
        <v>583.19351999999992</v>
      </c>
      <c r="E235" s="15">
        <v>0</v>
      </c>
      <c r="F235" s="15">
        <f t="shared" si="7"/>
        <v>874.79027999999994</v>
      </c>
      <c r="G235" s="98"/>
      <c r="H235" s="99"/>
      <c r="I235" s="33"/>
      <c r="N235" s="33"/>
    </row>
    <row r="236" spans="1:16" s="2" customFormat="1" x14ac:dyDescent="0.3">
      <c r="A236" s="102" t="s">
        <v>192</v>
      </c>
      <c r="B236" s="103"/>
      <c r="C236" s="103"/>
      <c r="D236" s="103"/>
      <c r="E236" s="103"/>
      <c r="F236" s="103"/>
      <c r="G236" s="103"/>
      <c r="H236" s="104"/>
      <c r="I236" s="33"/>
    </row>
    <row r="237" spans="1:16" s="2" customFormat="1" ht="15.75" customHeight="1" x14ac:dyDescent="0.3">
      <c r="A237" s="91" t="str">
        <f t="shared" ref="A237:A242" ca="1" si="9">N237</f>
        <v>401 to 1001</v>
      </c>
      <c r="B237" s="93"/>
      <c r="C237" s="15" t="s">
        <v>208</v>
      </c>
      <c r="D237" s="15">
        <f>(27.936+3.844+4.47)*10.764</f>
        <v>390.19499999999999</v>
      </c>
      <c r="E237" s="15">
        <v>0</v>
      </c>
      <c r="F237" s="15">
        <f t="shared" ref="F237:F239" si="10">D237*(($F$228)+1)+E237</f>
        <v>585.29250000000002</v>
      </c>
      <c r="G237" s="94" t="str">
        <f>A236</f>
        <v>4th to 10th Floor</v>
      </c>
      <c r="H237" s="95"/>
      <c r="I237" s="33"/>
      <c r="N237" s="2" t="str">
        <f t="shared" ref="N237:N242" ca="1" si="11">O237&amp;""&amp;" to "&amp;""&amp;P237</f>
        <v>401 to 1001</v>
      </c>
      <c r="O237" s="2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10^ROW(INDIRECT("1:"&amp;LEN((LEFT(A236,SUM(LEN(A236)-LEN(SUBSTITUTE(A236,{"0","1","2"},""))))))))/10))*100+1</f>
        <v>401</v>
      </c>
      <c r="P237" s="2">
        <f ca="1">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",LEN(A236))),LEN(A236)))))))/10))*100+1</f>
        <v>1001</v>
      </c>
    </row>
    <row r="238" spans="1:16" s="2" customFormat="1" ht="15.75" customHeight="1" x14ac:dyDescent="0.3">
      <c r="A238" s="91" t="str">
        <f t="shared" ca="1" si="9"/>
        <v>402 to 1002</v>
      </c>
      <c r="B238" s="93"/>
      <c r="C238" s="15" t="s">
        <v>209</v>
      </c>
      <c r="D238" s="15">
        <f>(42.882+5.748+5.55)*10.764</f>
        <v>583.19351999999992</v>
      </c>
      <c r="E238" s="15">
        <v>0</v>
      </c>
      <c r="F238" s="15">
        <f t="shared" si="10"/>
        <v>874.79027999999994</v>
      </c>
      <c r="G238" s="96"/>
      <c r="H238" s="97"/>
      <c r="I238" s="33"/>
      <c r="N238" s="2" t="str">
        <f t="shared" ca="1" si="11"/>
        <v>402 to 1002</v>
      </c>
      <c r="O238" s="2">
        <f t="shared" ref="O238:P238" ca="1" si="12">O237+1</f>
        <v>402</v>
      </c>
      <c r="P238" s="2">
        <f t="shared" ca="1" si="12"/>
        <v>1002</v>
      </c>
    </row>
    <row r="239" spans="1:16" s="2" customFormat="1" ht="15.75" customHeight="1" x14ac:dyDescent="0.3">
      <c r="A239" s="91" t="str">
        <f t="shared" ca="1" si="9"/>
        <v>403 to 1003</v>
      </c>
      <c r="B239" s="93"/>
      <c r="C239" s="15" t="s">
        <v>209</v>
      </c>
      <c r="D239" s="15">
        <f>(43.255+5.885+6.06)*10.764</f>
        <v>594.17279999999994</v>
      </c>
      <c r="E239" s="15">
        <v>0</v>
      </c>
      <c r="F239" s="15">
        <f t="shared" si="10"/>
        <v>891.25919999999996</v>
      </c>
      <c r="G239" s="96"/>
      <c r="H239" s="97"/>
      <c r="I239" s="33"/>
      <c r="N239" s="2" t="str">
        <f t="shared" ca="1" si="11"/>
        <v>403 to 1003</v>
      </c>
      <c r="O239" s="2">
        <f t="shared" ref="O239:P239" ca="1" si="13">O238+1</f>
        <v>403</v>
      </c>
      <c r="P239" s="2">
        <f t="shared" ca="1" si="13"/>
        <v>1003</v>
      </c>
    </row>
    <row r="240" spans="1:16" s="2" customFormat="1" ht="15.75" customHeight="1" x14ac:dyDescent="0.3">
      <c r="A240" s="91" t="str">
        <f t="shared" ca="1" si="9"/>
        <v>404 to 1004</v>
      </c>
      <c r="B240" s="93"/>
      <c r="C240" s="15" t="s">
        <v>209</v>
      </c>
      <c r="D240" s="15">
        <f>(43.255+5.885+6.06)*10.764</f>
        <v>594.17279999999994</v>
      </c>
      <c r="E240" s="15">
        <v>0</v>
      </c>
      <c r="F240" s="15">
        <f>D240*(($F$228)+1)+E240</f>
        <v>891.25919999999996</v>
      </c>
      <c r="G240" s="96"/>
      <c r="H240" s="97"/>
      <c r="I240" s="33"/>
      <c r="N240" s="2" t="str">
        <f t="shared" ca="1" si="11"/>
        <v>404 to 1004</v>
      </c>
      <c r="O240" s="2">
        <f t="shared" ref="O240:P240" ca="1" si="14">O239+1</f>
        <v>404</v>
      </c>
      <c r="P240" s="2">
        <f t="shared" ca="1" si="14"/>
        <v>1004</v>
      </c>
    </row>
    <row r="241" spans="1:16" s="2" customFormat="1" ht="15.75" customHeight="1" x14ac:dyDescent="0.3">
      <c r="A241" s="91" t="str">
        <f t="shared" ca="1" si="9"/>
        <v>405 to 1005</v>
      </c>
      <c r="B241" s="93"/>
      <c r="C241" s="15" t="s">
        <v>209</v>
      </c>
      <c r="D241" s="15">
        <f>(42.882+5.748+5.55)*10.764</f>
        <v>583.19351999999992</v>
      </c>
      <c r="E241" s="15">
        <v>0</v>
      </c>
      <c r="F241" s="15">
        <f t="shared" ref="F241:F242" si="15">D241*(($F$228)+1)+E241</f>
        <v>874.79027999999994</v>
      </c>
      <c r="G241" s="96"/>
      <c r="H241" s="97"/>
      <c r="I241" s="33"/>
      <c r="N241" s="2" t="str">
        <f t="shared" ca="1" si="11"/>
        <v>405 to 1005</v>
      </c>
      <c r="O241" s="2">
        <f t="shared" ref="O241:P241" ca="1" si="16">O240+1</f>
        <v>405</v>
      </c>
      <c r="P241" s="2">
        <f t="shared" ca="1" si="16"/>
        <v>1005</v>
      </c>
    </row>
    <row r="242" spans="1:16" s="2" customFormat="1" ht="15.75" customHeight="1" x14ac:dyDescent="0.3">
      <c r="A242" s="91" t="str">
        <f t="shared" ca="1" si="9"/>
        <v>406 to 1006</v>
      </c>
      <c r="B242" s="93"/>
      <c r="C242" s="15" t="s">
        <v>208</v>
      </c>
      <c r="D242" s="15">
        <f>(26.543+3.613+4.47)*10.764</f>
        <v>372.71426399999996</v>
      </c>
      <c r="E242" s="15">
        <v>0</v>
      </c>
      <c r="F242" s="15">
        <f t="shared" si="15"/>
        <v>559.07139599999994</v>
      </c>
      <c r="G242" s="96"/>
      <c r="H242" s="97"/>
      <c r="I242" s="33"/>
      <c r="N242" s="2" t="str">
        <f t="shared" ca="1" si="11"/>
        <v>406 to 1006</v>
      </c>
      <c r="O242" s="2">
        <f t="shared" ref="O242:P242" ca="1" si="17">O241+1</f>
        <v>406</v>
      </c>
      <c r="P242" s="2">
        <f t="shared" ca="1" si="17"/>
        <v>1006</v>
      </c>
    </row>
    <row r="243" spans="1:16" s="2" customFormat="1" ht="15.75" customHeight="1" x14ac:dyDescent="0.3">
      <c r="A243" s="91" t="str">
        <f t="shared" ref="A243:A244" ca="1" si="18">N243</f>
        <v>407 to 1007</v>
      </c>
      <c r="B243" s="93"/>
      <c r="C243" s="15" t="s">
        <v>208</v>
      </c>
      <c r="D243" s="15">
        <f>(26.458+3.698+4.47)*10.764</f>
        <v>372.71426399999996</v>
      </c>
      <c r="E243" s="15">
        <v>0</v>
      </c>
      <c r="F243" s="15">
        <f t="shared" ref="F243:F244" si="19">D243*(($F$228)+1)+E243</f>
        <v>559.07139599999994</v>
      </c>
      <c r="G243" s="96"/>
      <c r="H243" s="97"/>
      <c r="I243" s="33"/>
      <c r="N243" s="2" t="str">
        <f t="shared" ref="N243:N244" ca="1" si="20">O243&amp;""&amp;" to "&amp;""&amp;P243</f>
        <v>407 to 1007</v>
      </c>
      <c r="O243" s="2">
        <f t="shared" ref="O243:P243" ca="1" si="21">O242+1</f>
        <v>407</v>
      </c>
      <c r="P243" s="2">
        <f t="shared" ca="1" si="21"/>
        <v>1007</v>
      </c>
    </row>
    <row r="244" spans="1:16" s="2" customFormat="1" ht="15.75" customHeight="1" x14ac:dyDescent="0.3">
      <c r="A244" s="91" t="str">
        <f t="shared" ca="1" si="18"/>
        <v>408 to 1008</v>
      </c>
      <c r="B244" s="93"/>
      <c r="C244" s="15" t="s">
        <v>208</v>
      </c>
      <c r="D244" s="15">
        <f>(26.458+3.698+4.47)*10.764</f>
        <v>372.71426399999996</v>
      </c>
      <c r="E244" s="15">
        <v>0</v>
      </c>
      <c r="F244" s="15">
        <f t="shared" si="19"/>
        <v>559.07139599999994</v>
      </c>
      <c r="G244" s="98"/>
      <c r="H244" s="99"/>
      <c r="I244" s="33"/>
      <c r="N244" s="2" t="str">
        <f t="shared" ca="1" si="20"/>
        <v>408 to 1008</v>
      </c>
      <c r="O244" s="2">
        <f t="shared" ref="O244:P244" ca="1" si="22">O243+1</f>
        <v>408</v>
      </c>
      <c r="P244" s="2">
        <f t="shared" ca="1" si="22"/>
        <v>1008</v>
      </c>
    </row>
    <row r="245" spans="1:16" s="2" customFormat="1" x14ac:dyDescent="0.3">
      <c r="A245" s="100" t="s">
        <v>199</v>
      </c>
      <c r="B245" s="100"/>
      <c r="C245" s="100"/>
      <c r="D245" s="100"/>
      <c r="E245" s="100"/>
      <c r="F245" s="100"/>
      <c r="G245" s="100"/>
      <c r="H245" s="100"/>
      <c r="I245" s="33"/>
      <c r="L245" s="101"/>
      <c r="M245" s="101"/>
    </row>
    <row r="246" spans="1:16" s="2" customFormat="1" x14ac:dyDescent="0.3">
      <c r="A246" s="90">
        <f>LEFT(A245,SUM(LEN(A245)-LEN(SUBSTITUTE(A245,{"0","1","2","3","4","5","6","7","8","9"},""))))*100+1</f>
        <v>1101</v>
      </c>
      <c r="B246" s="90"/>
      <c r="C246" s="91" t="s">
        <v>207</v>
      </c>
      <c r="D246" s="92"/>
      <c r="E246" s="92"/>
      <c r="F246" s="93"/>
      <c r="G246" s="94" t="str">
        <f>A245</f>
        <v>11th Floor</v>
      </c>
      <c r="H246" s="95"/>
      <c r="I246" s="33"/>
      <c r="N246" s="33"/>
    </row>
    <row r="247" spans="1:16" s="2" customFormat="1" x14ac:dyDescent="0.3">
      <c r="A247" s="90">
        <f>A246+1</f>
        <v>1102</v>
      </c>
      <c r="B247" s="90"/>
      <c r="C247" s="15" t="s">
        <v>209</v>
      </c>
      <c r="D247" s="15">
        <f>(42.882+5.748+5.55)*10.764</f>
        <v>583.19351999999992</v>
      </c>
      <c r="E247" s="15">
        <v>0</v>
      </c>
      <c r="F247" s="15">
        <f t="shared" ref="F247:F250" si="23">D247*(($F$228)+1)+E247</f>
        <v>874.79027999999994</v>
      </c>
      <c r="G247" s="96"/>
      <c r="H247" s="97"/>
      <c r="I247" s="33"/>
      <c r="N247" s="33"/>
    </row>
    <row r="248" spans="1:16" s="2" customFormat="1" x14ac:dyDescent="0.3">
      <c r="A248" s="90">
        <f>A247+1</f>
        <v>1103</v>
      </c>
      <c r="B248" s="90"/>
      <c r="C248" s="15" t="s">
        <v>209</v>
      </c>
      <c r="D248" s="15">
        <f>(43.255+5.885+6.06)*10.764</f>
        <v>594.17279999999994</v>
      </c>
      <c r="E248" s="15">
        <v>0</v>
      </c>
      <c r="F248" s="15">
        <f t="shared" si="23"/>
        <v>891.25919999999996</v>
      </c>
      <c r="G248" s="96"/>
      <c r="H248" s="97"/>
      <c r="I248" s="33"/>
      <c r="N248" s="33"/>
    </row>
    <row r="249" spans="1:16" s="2" customFormat="1" x14ac:dyDescent="0.3">
      <c r="A249" s="90">
        <f t="shared" ref="A249:A250" si="24">A248+1</f>
        <v>1104</v>
      </c>
      <c r="B249" s="90"/>
      <c r="C249" s="15" t="s">
        <v>209</v>
      </c>
      <c r="D249" s="15">
        <f>(43.255+5.885+6.06)*10.764</f>
        <v>594.17279999999994</v>
      </c>
      <c r="E249" s="15">
        <v>0</v>
      </c>
      <c r="F249" s="15">
        <f t="shared" si="23"/>
        <v>891.25919999999996</v>
      </c>
      <c r="G249" s="96"/>
      <c r="H249" s="97"/>
      <c r="I249" s="33"/>
      <c r="N249" s="33"/>
    </row>
    <row r="250" spans="1:16" s="2" customFormat="1" x14ac:dyDescent="0.3">
      <c r="A250" s="90">
        <f t="shared" si="24"/>
        <v>1105</v>
      </c>
      <c r="B250" s="90"/>
      <c r="C250" s="15" t="s">
        <v>209</v>
      </c>
      <c r="D250" s="15">
        <f>(42.882+5.748+5.55)*10.764</f>
        <v>583.19351999999992</v>
      </c>
      <c r="E250" s="15">
        <v>0</v>
      </c>
      <c r="F250" s="15">
        <f t="shared" si="23"/>
        <v>874.79027999999994</v>
      </c>
      <c r="G250" s="98"/>
      <c r="H250" s="99"/>
      <c r="I250" s="33"/>
      <c r="N250" s="33"/>
    </row>
    <row r="251" spans="1:16" s="2" customFormat="1" x14ac:dyDescent="0.3">
      <c r="A251" s="100" t="s">
        <v>194</v>
      </c>
      <c r="B251" s="100"/>
      <c r="C251" s="100"/>
      <c r="D251" s="100"/>
      <c r="E251" s="100"/>
      <c r="F251" s="100"/>
      <c r="G251" s="100"/>
      <c r="H251" s="100"/>
      <c r="I251" s="33"/>
      <c r="L251" s="101"/>
      <c r="M251" s="101"/>
    </row>
    <row r="252" spans="1:16" s="2" customFormat="1" x14ac:dyDescent="0.3">
      <c r="A252" s="100" t="s">
        <v>206</v>
      </c>
      <c r="B252" s="100"/>
      <c r="C252" s="100"/>
      <c r="D252" s="100"/>
      <c r="E252" s="100"/>
      <c r="F252" s="100"/>
      <c r="G252" s="100"/>
      <c r="H252" s="100"/>
      <c r="I252" s="33"/>
      <c r="L252" s="101"/>
      <c r="M252" s="101"/>
    </row>
    <row r="253" spans="1:16" s="2" customFormat="1" x14ac:dyDescent="0.3">
      <c r="A253" s="90">
        <f>LEFT(A252,SUM(LEN(A252)-LEN(SUBSTITUTE(A252,{"0","1","2","3","4","5","6","7","8","9"},""))))*100+1</f>
        <v>301</v>
      </c>
      <c r="B253" s="90"/>
      <c r="C253" s="15" t="s">
        <v>128</v>
      </c>
      <c r="D253" s="15">
        <f>(64.891+8.599+1.41)*10.764</f>
        <v>806.22360000000003</v>
      </c>
      <c r="E253" s="15">
        <f>25.393*10.764</f>
        <v>273.33025199999997</v>
      </c>
      <c r="F253" s="15">
        <f>D253*(($F$228)+1)+E253/2</f>
        <v>1346.0005259999998</v>
      </c>
      <c r="G253" s="94" t="str">
        <f>A252</f>
        <v>3rd Floor</v>
      </c>
      <c r="H253" s="95"/>
      <c r="I253" s="33"/>
      <c r="N253" s="33"/>
    </row>
    <row r="254" spans="1:16" s="2" customFormat="1" x14ac:dyDescent="0.3">
      <c r="A254" s="90">
        <f>A253+1</f>
        <v>302</v>
      </c>
      <c r="B254" s="90"/>
      <c r="C254" s="15" t="s">
        <v>128</v>
      </c>
      <c r="D254" s="15">
        <f>(62.956+8.436+3.03)*10.764</f>
        <v>801.07840799999997</v>
      </c>
      <c r="E254" s="15">
        <f>15.223*10.764</f>
        <v>163.86037200000001</v>
      </c>
      <c r="F254" s="15">
        <f>D254*(($F$228)+1)+E254/2</f>
        <v>1283.5477980000001</v>
      </c>
      <c r="G254" s="96"/>
      <c r="H254" s="97"/>
      <c r="I254" s="33"/>
      <c r="N254" s="33"/>
    </row>
    <row r="255" spans="1:16" s="2" customFormat="1" x14ac:dyDescent="0.3">
      <c r="A255" s="90">
        <f>A254+1</f>
        <v>303</v>
      </c>
      <c r="B255" s="90"/>
      <c r="C255" s="15" t="s">
        <v>209</v>
      </c>
      <c r="D255" s="15">
        <f>(42.89+5.86+4.47)*10.764</f>
        <v>572.86007999999993</v>
      </c>
      <c r="E255" s="15">
        <f>5.3*10.764</f>
        <v>57.049199999999992</v>
      </c>
      <c r="F255" s="15">
        <f>D255*(($F$228)+1)+E255</f>
        <v>916.33931999999993</v>
      </c>
      <c r="G255" s="96"/>
      <c r="H255" s="97"/>
      <c r="I255" s="33"/>
      <c r="N255" s="33"/>
    </row>
    <row r="256" spans="1:16" s="2" customFormat="1" x14ac:dyDescent="0.3">
      <c r="A256" s="90">
        <f t="shared" ref="A256" si="25">A255+1</f>
        <v>304</v>
      </c>
      <c r="B256" s="90"/>
      <c r="C256" s="15" t="s">
        <v>209</v>
      </c>
      <c r="D256" s="15">
        <f>(42.873+5.758+5.55)*10.764</f>
        <v>583.20428399999992</v>
      </c>
      <c r="E256" s="15">
        <v>0</v>
      </c>
      <c r="F256" s="15">
        <f>D256*(($F$228)+1)+E256</f>
        <v>874.80642599999987</v>
      </c>
      <c r="G256" s="98"/>
      <c r="H256" s="99"/>
      <c r="I256" s="33"/>
      <c r="N256" s="33"/>
    </row>
    <row r="257" spans="1:16" s="2" customFormat="1" x14ac:dyDescent="0.3">
      <c r="A257" s="102" t="s">
        <v>192</v>
      </c>
      <c r="B257" s="103"/>
      <c r="C257" s="103"/>
      <c r="D257" s="103"/>
      <c r="E257" s="103"/>
      <c r="F257" s="103"/>
      <c r="G257" s="103"/>
      <c r="H257" s="104"/>
      <c r="I257" s="33"/>
    </row>
    <row r="258" spans="1:16" s="2" customFormat="1" ht="15.75" customHeight="1" x14ac:dyDescent="0.3">
      <c r="A258" s="91" t="str">
        <f t="shared" ref="A258:A263" ca="1" si="26">N258</f>
        <v>401 to 1001</v>
      </c>
      <c r="B258" s="93"/>
      <c r="C258" s="15" t="s">
        <v>128</v>
      </c>
      <c r="D258" s="15">
        <f>(64.891+8.599+7.68)*10.764</f>
        <v>873.71388000000013</v>
      </c>
      <c r="E258" s="15">
        <v>0</v>
      </c>
      <c r="F258" s="15">
        <f t="shared" ref="F258:F260" si="27">D258*(($F$228)+1)+E258</f>
        <v>1310.5708200000001</v>
      </c>
      <c r="G258" s="94" t="str">
        <f>A257</f>
        <v>4th to 10th Floor</v>
      </c>
      <c r="H258" s="95"/>
      <c r="I258" s="33"/>
      <c r="N258" s="2" t="str">
        <f t="shared" ref="N258:N263" ca="1" si="28">O258&amp;""&amp;" to "&amp;""&amp;P258</f>
        <v>401 to 1001</v>
      </c>
      <c r="O258" s="2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10^ROW(INDIRECT("1:"&amp;LEN((LEFT(A257,SUM(LEN(A257)-LEN(SUBSTITUTE(A257,{"0","1","2"},""))))))))/10))*100+1</f>
        <v>401</v>
      </c>
      <c r="P258" s="2">
        <f ca="1">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",LEN(A257))),LEN(A257)))))))/10))*100+1</f>
        <v>1001</v>
      </c>
    </row>
    <row r="259" spans="1:16" s="2" customFormat="1" ht="15.75" customHeight="1" x14ac:dyDescent="0.3">
      <c r="A259" s="91" t="str">
        <f t="shared" ca="1" si="26"/>
        <v>402 to 1002</v>
      </c>
      <c r="B259" s="93"/>
      <c r="C259" s="15" t="s">
        <v>128</v>
      </c>
      <c r="D259" s="15">
        <f>(62.956+8.436+8.13)*10.764</f>
        <v>855.97480799999983</v>
      </c>
      <c r="E259" s="15">
        <v>0</v>
      </c>
      <c r="F259" s="15">
        <f t="shared" si="27"/>
        <v>1283.9622119999997</v>
      </c>
      <c r="G259" s="96"/>
      <c r="H259" s="97"/>
      <c r="I259" s="33"/>
      <c r="N259" s="2" t="str">
        <f t="shared" ca="1" si="28"/>
        <v>402 to 1002</v>
      </c>
      <c r="O259" s="2">
        <f t="shared" ref="O259:P259" ca="1" si="29">O258+1</f>
        <v>402</v>
      </c>
      <c r="P259" s="2">
        <f t="shared" ca="1" si="29"/>
        <v>1002</v>
      </c>
    </row>
    <row r="260" spans="1:16" s="2" customFormat="1" ht="15.75" customHeight="1" x14ac:dyDescent="0.3">
      <c r="A260" s="91" t="str">
        <f t="shared" ca="1" si="26"/>
        <v>403 to 1003</v>
      </c>
      <c r="B260" s="93"/>
      <c r="C260" s="15" t="s">
        <v>209</v>
      </c>
      <c r="D260" s="15">
        <f>(42.89+5.86+6.06)*10.764</f>
        <v>589.97483999999997</v>
      </c>
      <c r="E260" s="15">
        <v>0</v>
      </c>
      <c r="F260" s="15">
        <f t="shared" si="27"/>
        <v>884.96226000000001</v>
      </c>
      <c r="G260" s="96"/>
      <c r="H260" s="97"/>
      <c r="I260" s="33"/>
      <c r="N260" s="2" t="str">
        <f t="shared" ca="1" si="28"/>
        <v>403 to 1003</v>
      </c>
      <c r="O260" s="2">
        <f t="shared" ref="O260:P260" ca="1" si="30">O259+1</f>
        <v>403</v>
      </c>
      <c r="P260" s="2">
        <f t="shared" ca="1" si="30"/>
        <v>1003</v>
      </c>
    </row>
    <row r="261" spans="1:16" s="2" customFormat="1" ht="15.75" customHeight="1" x14ac:dyDescent="0.3">
      <c r="A261" s="91" t="str">
        <f t="shared" ca="1" si="26"/>
        <v>404 to 1004</v>
      </c>
      <c r="B261" s="93"/>
      <c r="C261" s="15" t="s">
        <v>209</v>
      </c>
      <c r="D261" s="15">
        <f>(42.873+5.758+5.55)*10.764</f>
        <v>583.20428399999992</v>
      </c>
      <c r="E261" s="15">
        <v>0</v>
      </c>
      <c r="F261" s="15">
        <f>D261*(($F$228)+1)+E261</f>
        <v>874.80642599999987</v>
      </c>
      <c r="G261" s="96"/>
      <c r="H261" s="97"/>
      <c r="I261" s="33"/>
      <c r="N261" s="2" t="str">
        <f t="shared" ca="1" si="28"/>
        <v>404 to 1004</v>
      </c>
      <c r="O261" s="2">
        <f t="shared" ref="O261:P261" ca="1" si="31">O260+1</f>
        <v>404</v>
      </c>
      <c r="P261" s="2">
        <f t="shared" ca="1" si="31"/>
        <v>1004</v>
      </c>
    </row>
    <row r="262" spans="1:16" s="2" customFormat="1" ht="15.75" customHeight="1" x14ac:dyDescent="0.3">
      <c r="A262" s="91" t="str">
        <f t="shared" ca="1" si="26"/>
        <v>405 to 1005</v>
      </c>
      <c r="B262" s="93"/>
      <c r="C262" s="15" t="s">
        <v>209</v>
      </c>
      <c r="D262" s="15">
        <f>(42.873+5.758+5.55)*10.764</f>
        <v>583.20428399999992</v>
      </c>
      <c r="E262" s="15">
        <v>0</v>
      </c>
      <c r="F262" s="15">
        <f t="shared" ref="F262:F263" si="32">D262*(($F$228)+1)+E262</f>
        <v>874.80642599999987</v>
      </c>
      <c r="G262" s="96"/>
      <c r="H262" s="97"/>
      <c r="I262" s="33"/>
      <c r="N262" s="2" t="str">
        <f t="shared" ca="1" si="28"/>
        <v>405 to 1005</v>
      </c>
      <c r="O262" s="2">
        <f t="shared" ref="O262:P262" ca="1" si="33">O261+1</f>
        <v>405</v>
      </c>
      <c r="P262" s="2">
        <f t="shared" ca="1" si="33"/>
        <v>1005</v>
      </c>
    </row>
    <row r="263" spans="1:16" s="2" customFormat="1" ht="15.75" customHeight="1" x14ac:dyDescent="0.3">
      <c r="A263" s="91" t="str">
        <f t="shared" ca="1" si="26"/>
        <v>406 to 1006</v>
      </c>
      <c r="B263" s="93"/>
      <c r="C263" s="15" t="s">
        <v>209</v>
      </c>
      <c r="D263" s="15">
        <f>(42.89+5.86+6.06)*10.764</f>
        <v>589.97483999999997</v>
      </c>
      <c r="E263" s="15">
        <v>0</v>
      </c>
      <c r="F263" s="15">
        <f t="shared" si="32"/>
        <v>884.96226000000001</v>
      </c>
      <c r="G263" s="98"/>
      <c r="H263" s="99"/>
      <c r="I263" s="33"/>
      <c r="N263" s="2" t="str">
        <f t="shared" ca="1" si="28"/>
        <v>406 to 1006</v>
      </c>
      <c r="O263" s="2">
        <f t="shared" ref="O263:P263" ca="1" si="34">O262+1</f>
        <v>406</v>
      </c>
      <c r="P263" s="2">
        <f t="shared" ca="1" si="34"/>
        <v>1006</v>
      </c>
    </row>
    <row r="264" spans="1:16" s="2" customFormat="1" x14ac:dyDescent="0.3">
      <c r="A264" s="100" t="s">
        <v>199</v>
      </c>
      <c r="B264" s="100"/>
      <c r="C264" s="100"/>
      <c r="D264" s="100"/>
      <c r="E264" s="100"/>
      <c r="F264" s="100"/>
      <c r="G264" s="100"/>
      <c r="H264" s="100"/>
      <c r="I264" s="33"/>
      <c r="L264" s="101"/>
      <c r="M264" s="101"/>
    </row>
    <row r="265" spans="1:16" s="2" customFormat="1" x14ac:dyDescent="0.3">
      <c r="A265" s="90">
        <f>LEFT(A264,SUM(LEN(A264)-LEN(SUBSTITUTE(A264,{"0","1","2","3","4","5","6","7","8","9"},""))))*100+1</f>
        <v>1101</v>
      </c>
      <c r="B265" s="90"/>
      <c r="C265" s="15" t="s">
        <v>128</v>
      </c>
      <c r="D265" s="15">
        <f>(64.891+8.599+7.68)*10.764</f>
        <v>873.71388000000013</v>
      </c>
      <c r="E265" s="15">
        <v>0</v>
      </c>
      <c r="F265" s="15">
        <f>D265*(($F$228)+1)+E265</f>
        <v>1310.5708200000001</v>
      </c>
      <c r="G265" s="94" t="str">
        <f>A264</f>
        <v>11th Floor</v>
      </c>
      <c r="H265" s="95"/>
      <c r="I265" s="33"/>
      <c r="N265" s="33"/>
    </row>
    <row r="266" spans="1:16" s="2" customFormat="1" x14ac:dyDescent="0.3">
      <c r="A266" s="90">
        <f>A265+1</f>
        <v>1102</v>
      </c>
      <c r="B266" s="90"/>
      <c r="C266" s="15" t="s">
        <v>128</v>
      </c>
      <c r="D266" s="15">
        <f>(62.956+8.436+8.13)*10.764</f>
        <v>855.97480799999983</v>
      </c>
      <c r="E266" s="15">
        <v>0</v>
      </c>
      <c r="F266" s="15">
        <f t="shared" ref="F266:F268" si="35">D266*(($F$228)+1)+E266</f>
        <v>1283.9622119999997</v>
      </c>
      <c r="G266" s="96"/>
      <c r="H266" s="97"/>
      <c r="I266" s="33"/>
      <c r="N266" s="33"/>
    </row>
    <row r="267" spans="1:16" s="2" customFormat="1" x14ac:dyDescent="0.3">
      <c r="A267" s="90">
        <f>A266+1</f>
        <v>1103</v>
      </c>
      <c r="B267" s="90"/>
      <c r="C267" s="15" t="s">
        <v>209</v>
      </c>
      <c r="D267" s="15">
        <f>(42.89+5.86+6.06)*10.764</f>
        <v>589.97483999999997</v>
      </c>
      <c r="E267" s="15">
        <v>0</v>
      </c>
      <c r="F267" s="15">
        <f t="shared" si="35"/>
        <v>884.96226000000001</v>
      </c>
      <c r="G267" s="96"/>
      <c r="H267" s="97"/>
      <c r="I267" s="33"/>
      <c r="N267" s="33"/>
    </row>
    <row r="268" spans="1:16" s="2" customFormat="1" x14ac:dyDescent="0.3">
      <c r="A268" s="90">
        <f t="shared" ref="A268" si="36">A267+1</f>
        <v>1104</v>
      </c>
      <c r="B268" s="90"/>
      <c r="C268" s="15" t="s">
        <v>209</v>
      </c>
      <c r="D268" s="15">
        <f>(42.873+5.758+5.55)*10.764</f>
        <v>583.20428399999992</v>
      </c>
      <c r="E268" s="15">
        <v>0</v>
      </c>
      <c r="F268" s="15">
        <f t="shared" si="35"/>
        <v>874.80642599999987</v>
      </c>
      <c r="G268" s="98"/>
      <c r="H268" s="99"/>
      <c r="I268" s="33"/>
      <c r="N268" s="33"/>
    </row>
    <row r="269" spans="1:16" s="2" customFormat="1" x14ac:dyDescent="0.3">
      <c r="A269" s="100" t="s">
        <v>195</v>
      </c>
      <c r="B269" s="100"/>
      <c r="C269" s="100"/>
      <c r="D269" s="100"/>
      <c r="E269" s="100"/>
      <c r="F269" s="100"/>
      <c r="G269" s="100"/>
      <c r="H269" s="100"/>
      <c r="I269" s="33"/>
      <c r="L269" s="101"/>
      <c r="M269" s="101"/>
    </row>
    <row r="270" spans="1:16" s="2" customFormat="1" x14ac:dyDescent="0.3">
      <c r="A270" s="100" t="s">
        <v>206</v>
      </c>
      <c r="B270" s="100"/>
      <c r="C270" s="100"/>
      <c r="D270" s="100"/>
      <c r="E270" s="100"/>
      <c r="F270" s="100"/>
      <c r="G270" s="100"/>
      <c r="H270" s="100"/>
      <c r="I270" s="33"/>
      <c r="L270" s="101"/>
      <c r="M270" s="101"/>
    </row>
    <row r="271" spans="1:16" s="2" customFormat="1" x14ac:dyDescent="0.3">
      <c r="A271" s="90">
        <f>LEFT(A270,SUM(LEN(A270)-LEN(SUBSTITUTE(A270,{"0","1","2","3","4","5","6","7","8","9"},""))))*100+1</f>
        <v>301</v>
      </c>
      <c r="B271" s="90"/>
      <c r="C271" s="15" t="s">
        <v>209</v>
      </c>
      <c r="D271" s="15">
        <f>(44.066+5.929)*10.764</f>
        <v>538.14618000000007</v>
      </c>
      <c r="E271" s="15">
        <f>25.368*10.764</f>
        <v>273.06115199999999</v>
      </c>
      <c r="F271" s="15">
        <f t="shared" ref="F271:F275" si="37">D271*(($F$228)+1)+E271/2</f>
        <v>943.74984600000005</v>
      </c>
      <c r="G271" s="94" t="str">
        <f>A270</f>
        <v>3rd Floor</v>
      </c>
      <c r="H271" s="95"/>
      <c r="I271" s="33"/>
      <c r="N271" s="33"/>
    </row>
    <row r="272" spans="1:16" s="2" customFormat="1" x14ac:dyDescent="0.3">
      <c r="A272" s="90">
        <f>A271+1</f>
        <v>302</v>
      </c>
      <c r="B272" s="90"/>
      <c r="C272" s="15" t="s">
        <v>209</v>
      </c>
      <c r="D272" s="15">
        <f>(44.065+5.929)*10.764</f>
        <v>538.13541599999996</v>
      </c>
      <c r="E272" s="15">
        <f>26.073*10.764</f>
        <v>280.64977199999998</v>
      </c>
      <c r="F272" s="15">
        <f t="shared" si="37"/>
        <v>947.52800999999988</v>
      </c>
      <c r="G272" s="96"/>
      <c r="H272" s="97"/>
      <c r="I272" s="33"/>
      <c r="N272" s="33"/>
    </row>
    <row r="273" spans="1:16" s="2" customFormat="1" x14ac:dyDescent="0.3">
      <c r="A273" s="90">
        <f>A272+1</f>
        <v>303</v>
      </c>
      <c r="B273" s="90"/>
      <c r="C273" s="15" t="s">
        <v>209</v>
      </c>
      <c r="D273" s="15">
        <f>(46.25+6.225)*10.764</f>
        <v>564.84090000000003</v>
      </c>
      <c r="E273" s="15">
        <f>25.893*10.764</f>
        <v>278.71225199999998</v>
      </c>
      <c r="F273" s="15">
        <f t="shared" si="37"/>
        <v>986.61747600000001</v>
      </c>
      <c r="G273" s="96"/>
      <c r="H273" s="97"/>
      <c r="I273" s="33"/>
      <c r="N273" s="33"/>
    </row>
    <row r="274" spans="1:16" s="2" customFormat="1" x14ac:dyDescent="0.3">
      <c r="A274" s="90">
        <f t="shared" ref="A274:A275" si="38">A273+1</f>
        <v>304</v>
      </c>
      <c r="B274" s="90"/>
      <c r="C274" s="15" t="s">
        <v>209</v>
      </c>
      <c r="D274" s="15">
        <f>(44.065+5.929)*10.764</f>
        <v>538.13541599999996</v>
      </c>
      <c r="E274" s="15">
        <f>26.073*10.764</f>
        <v>280.64977199999998</v>
      </c>
      <c r="F274" s="15">
        <f t="shared" si="37"/>
        <v>947.52800999999988</v>
      </c>
      <c r="G274" s="96"/>
      <c r="H274" s="97"/>
      <c r="I274" s="33"/>
      <c r="N274" s="33"/>
    </row>
    <row r="275" spans="1:16" s="2" customFormat="1" x14ac:dyDescent="0.3">
      <c r="A275" s="90">
        <f t="shared" si="38"/>
        <v>305</v>
      </c>
      <c r="B275" s="90"/>
      <c r="C275" s="15" t="s">
        <v>209</v>
      </c>
      <c r="D275" s="15">
        <f>(44.066+5.929)*10.764</f>
        <v>538.14618000000007</v>
      </c>
      <c r="E275" s="15">
        <f>25.368*10.764</f>
        <v>273.06115199999999</v>
      </c>
      <c r="F275" s="15">
        <f t="shared" si="37"/>
        <v>943.74984600000005</v>
      </c>
      <c r="G275" s="98"/>
      <c r="H275" s="99"/>
      <c r="I275" s="33"/>
      <c r="N275" s="33"/>
    </row>
    <row r="276" spans="1:16" s="2" customFormat="1" ht="15.75" customHeight="1" x14ac:dyDescent="0.3">
      <c r="A276" s="102" t="s">
        <v>196</v>
      </c>
      <c r="B276" s="103"/>
      <c r="C276" s="103"/>
      <c r="D276" s="103"/>
      <c r="E276" s="103"/>
      <c r="F276" s="103"/>
      <c r="G276" s="103"/>
      <c r="H276" s="104"/>
      <c r="I276" s="33"/>
    </row>
    <row r="277" spans="1:16" s="2" customFormat="1" ht="15.75" customHeight="1" x14ac:dyDescent="0.3">
      <c r="A277" s="91" t="str">
        <f t="shared" ref="A277:A282" ca="1" si="39">N277</f>
        <v>401,..,1001</v>
      </c>
      <c r="B277" s="93"/>
      <c r="C277" s="15" t="s">
        <v>209</v>
      </c>
      <c r="D277" s="15">
        <f>(44.066+5.929+5.73)*10.764</f>
        <v>599.82390000000009</v>
      </c>
      <c r="E277" s="15">
        <v>0</v>
      </c>
      <c r="F277" s="15">
        <f t="shared" ref="F277:F281" si="40">D277*(($F$228)+1)+E277</f>
        <v>899.73585000000014</v>
      </c>
      <c r="G277" s="94" t="str">
        <f>A276</f>
        <v>4th to 7th, 9th, 10th Floor</v>
      </c>
      <c r="H277" s="95"/>
      <c r="I277" s="33"/>
      <c r="N277" s="2" t="str">
        <f t="shared" ref="N277:N282" ca="1" si="41">O277&amp;""&amp;",..,"&amp;""&amp;P277</f>
        <v>401,..,1001</v>
      </c>
      <c r="O277" s="2">
        <f ca="1">(SUMPRODUCT(MID(0&amp;(LEFT(A276,SUM(LEN(A276)-LEN(SUBSTITUTE(A276,{"0","1","2"},""))))), LARGE(INDEX(ISNUMBER(--MID((LEFT(A276,SUM(LEN(A276)-LEN(SUBSTITUTE(A276,{"0","1","2"},""))))), ROW(INDIRECT("1:"&amp;LEN((LEFT(A276,SUM(LEN(A276)-LEN(SUBSTITUTE(A276,{"0","1","2"},"")))))))), 1)) * ROW(INDIRECT("1:"&amp;LEN((LEFT(A276,SUM(LEN(A276)-LEN(SUBSTITUTE(A276,{"0","1","2"},"")))))))), 0), ROW(INDIRECT("1:"&amp;LEN((LEFT(A276,SUM(LEN(A276)-LEN(SUBSTITUTE(A276,{"0","1","2"},"")))))))))+1, 1) * 10^ROW(INDIRECT("1:"&amp;LEN((LEFT(A276,SUM(LEN(A276)-LEN(SUBSTITUTE(A276,{"0","1","2"},""))))))))/10))*100+1</f>
        <v>401</v>
      </c>
      <c r="P277" s="2">
        <f ca="1">(SUMPRODUCT(MID(0&amp;(--TRIM(RIGHT(SUBSTITUTE(LEFT(A276,_xlfn.AGGREGATE(16,6,FIND({0,1,2,3,4,5,6,7,8,9},A276,ROW(INDIRECT("1:"&amp;LEN(A276)))),1))," ",REPT(" ",LEN(A276))),LEN(A276)))), LARGE(INDEX(ISNUMBER(--MID((--TRIM(RIGHT(SUBSTITUTE(LEFT(A276,_xlfn.AGGREGATE(16,6,FIND({0,1,2,3,4,5,6,7,8,9},A276,ROW(INDIRECT("1:"&amp;LEN(A276)))),1))," ",REPT(" ",LEN(A276))),LEN(A276)))), ROW(INDIRECT("1:"&amp;LEN((--TRIM(RIGHT(SUBSTITUTE(LEFT(A276,_xlfn.AGGREGATE(16,6,FIND({0,1,2,3,4,5,6,7,8,9},A276,ROW(INDIRECT("1:"&amp;LEN(A276)))),1))," ",REPT(" ",LEN(A276))),LEN(A276))))))), 1)) * ROW(INDIRECT("1:"&amp;LEN((--TRIM(RIGHT(SUBSTITUTE(LEFT(A276,_xlfn.AGGREGATE(16,6,FIND({0,1,2,3,4,5,6,7,8,9},A276,ROW(INDIRECT("1:"&amp;LEN(A276)))),1))," ",REPT(" ",LEN(A276))),LEN(A276))))))), 0), ROW(INDIRECT("1:"&amp;LEN((--TRIM(RIGHT(SUBSTITUTE(LEFT(A276,_xlfn.AGGREGATE(16,6,FIND({0,1,2,3,4,5,6,7,8,9},A276,ROW(INDIRECT("1:"&amp;LEN(A276)))),1))," ",REPT(" ",LEN(A276))),LEN(A276))))))))+1, 1) * 10^ROW(INDIRECT("1:"&amp;LEN((--TRIM(RIGHT(SUBSTITUTE(LEFT(A276,_xlfn.AGGREGATE(16,6,FIND({0,1,2,3,4,5,6,7,8,9},A276,ROW(INDIRECT("1:"&amp;LEN(A276)))),1))," ",REPT(" ",LEN(A276))),LEN(A276)))))))/10))*100+1</f>
        <v>1001</v>
      </c>
    </row>
    <row r="278" spans="1:16" s="2" customFormat="1" ht="15.75" customHeight="1" x14ac:dyDescent="0.3">
      <c r="A278" s="91" t="str">
        <f t="shared" ca="1" si="39"/>
        <v>402,..,1002</v>
      </c>
      <c r="B278" s="93"/>
      <c r="C278" s="15" t="s">
        <v>209</v>
      </c>
      <c r="D278" s="15">
        <f>(44.065+5.929+5.73)*10.764</f>
        <v>599.81313599999999</v>
      </c>
      <c r="E278" s="15">
        <v>0</v>
      </c>
      <c r="F278" s="15">
        <f t="shared" si="40"/>
        <v>899.71970399999998</v>
      </c>
      <c r="G278" s="96"/>
      <c r="H278" s="97"/>
      <c r="I278" s="33"/>
      <c r="N278" s="2" t="str">
        <f t="shared" ca="1" si="41"/>
        <v>402,..,1002</v>
      </c>
      <c r="O278" s="2">
        <f t="shared" ref="O278:P281" ca="1" si="42">O277+1</f>
        <v>402</v>
      </c>
      <c r="P278" s="2">
        <f t="shared" ca="1" si="42"/>
        <v>1002</v>
      </c>
    </row>
    <row r="279" spans="1:16" s="2" customFormat="1" ht="15.75" customHeight="1" x14ac:dyDescent="0.3">
      <c r="A279" s="91" t="str">
        <f t="shared" ca="1" si="39"/>
        <v>403,..,1003</v>
      </c>
      <c r="B279" s="93"/>
      <c r="C279" s="15" t="s">
        <v>209</v>
      </c>
      <c r="D279" s="15">
        <f>(46.25+6.225+5.13)*10.764</f>
        <v>620.06021999999996</v>
      </c>
      <c r="E279" s="15">
        <v>0</v>
      </c>
      <c r="F279" s="15">
        <f t="shared" si="40"/>
        <v>930.09032999999999</v>
      </c>
      <c r="G279" s="96"/>
      <c r="H279" s="97"/>
      <c r="I279" s="33"/>
      <c r="N279" s="2" t="str">
        <f t="shared" ca="1" si="41"/>
        <v>403,..,1003</v>
      </c>
      <c r="O279" s="2">
        <f t="shared" ca="1" si="42"/>
        <v>403</v>
      </c>
      <c r="P279" s="2">
        <f t="shared" ca="1" si="42"/>
        <v>1003</v>
      </c>
    </row>
    <row r="280" spans="1:16" s="2" customFormat="1" ht="15.75" customHeight="1" x14ac:dyDescent="0.3">
      <c r="A280" s="91" t="str">
        <f t="shared" ca="1" si="39"/>
        <v>404,..,1004</v>
      </c>
      <c r="B280" s="93"/>
      <c r="C280" s="15" t="s">
        <v>209</v>
      </c>
      <c r="D280" s="15">
        <f>(44.065+5.929+5.73)*10.764</f>
        <v>599.81313599999999</v>
      </c>
      <c r="E280" s="15">
        <v>0</v>
      </c>
      <c r="F280" s="15">
        <f t="shared" si="40"/>
        <v>899.71970399999998</v>
      </c>
      <c r="G280" s="96"/>
      <c r="H280" s="97"/>
      <c r="I280" s="33"/>
      <c r="N280" s="2" t="str">
        <f t="shared" ca="1" si="41"/>
        <v>404,..,1004</v>
      </c>
      <c r="O280" s="2">
        <f t="shared" ca="1" si="42"/>
        <v>404</v>
      </c>
      <c r="P280" s="2">
        <f t="shared" ca="1" si="42"/>
        <v>1004</v>
      </c>
    </row>
    <row r="281" spans="1:16" s="2" customFormat="1" ht="15.75" customHeight="1" x14ac:dyDescent="0.3">
      <c r="A281" s="91" t="str">
        <f t="shared" ca="1" si="39"/>
        <v>405,..,1005</v>
      </c>
      <c r="B281" s="93"/>
      <c r="C281" s="15" t="s">
        <v>209</v>
      </c>
      <c r="D281" s="15">
        <f>(44.066+5.929+5.73)*10.764</f>
        <v>599.82390000000009</v>
      </c>
      <c r="E281" s="15">
        <v>0</v>
      </c>
      <c r="F281" s="15">
        <f t="shared" si="40"/>
        <v>899.73585000000014</v>
      </c>
      <c r="G281" s="96"/>
      <c r="H281" s="97"/>
      <c r="I281" s="33"/>
      <c r="N281" s="2" t="str">
        <f t="shared" ca="1" si="41"/>
        <v>405,..,1005</v>
      </c>
      <c r="O281" s="2">
        <f t="shared" ca="1" si="42"/>
        <v>405</v>
      </c>
      <c r="P281" s="2">
        <f t="shared" ca="1" si="42"/>
        <v>1005</v>
      </c>
    </row>
    <row r="282" spans="1:16" s="2" customFormat="1" ht="15.75" customHeight="1" x14ac:dyDescent="0.3">
      <c r="A282" s="91" t="str">
        <f t="shared" ca="1" si="39"/>
        <v>406,..,1006</v>
      </c>
      <c r="B282" s="93"/>
      <c r="C282" s="15" t="s">
        <v>209</v>
      </c>
      <c r="D282" s="15">
        <f>(42.194+5.737+5.58)*10.764</f>
        <v>575.99240399999996</v>
      </c>
      <c r="E282" s="15">
        <v>0</v>
      </c>
      <c r="F282" s="15">
        <f t="shared" ref="F282:F285" si="43">D282*(($F$228)+1)+E282</f>
        <v>863.98860599999989</v>
      </c>
      <c r="G282" s="96"/>
      <c r="H282" s="97"/>
      <c r="I282" s="33"/>
      <c r="N282" s="2" t="str">
        <f t="shared" ca="1" si="41"/>
        <v>406,..,1006</v>
      </c>
      <c r="O282" s="2">
        <f t="shared" ref="O282:P282" ca="1" si="44">O281+1</f>
        <v>406</v>
      </c>
      <c r="P282" s="2">
        <f t="shared" ca="1" si="44"/>
        <v>1006</v>
      </c>
    </row>
    <row r="283" spans="1:16" s="2" customFormat="1" ht="15.75" customHeight="1" x14ac:dyDescent="0.3">
      <c r="A283" s="91" t="str">
        <f t="shared" ref="A283:A285" ca="1" si="45">N283</f>
        <v>407,..,1007</v>
      </c>
      <c r="B283" s="93"/>
      <c r="C283" s="15" t="s">
        <v>208</v>
      </c>
      <c r="D283" s="15">
        <f>(28.384+3.831+4.59)*10.764</f>
        <v>396.16902000000005</v>
      </c>
      <c r="E283" s="15">
        <v>0</v>
      </c>
      <c r="F283" s="15">
        <f t="shared" si="43"/>
        <v>594.25353000000007</v>
      </c>
      <c r="G283" s="96"/>
      <c r="H283" s="97"/>
      <c r="I283" s="33"/>
      <c r="N283" s="2" t="str">
        <f t="shared" ref="N283:N285" ca="1" si="46">O283&amp;""&amp;",..,"&amp;""&amp;P283</f>
        <v>407,..,1007</v>
      </c>
      <c r="O283" s="2">
        <f t="shared" ref="O283:P283" ca="1" si="47">O282+1</f>
        <v>407</v>
      </c>
      <c r="P283" s="2">
        <f t="shared" ca="1" si="47"/>
        <v>1007</v>
      </c>
    </row>
    <row r="284" spans="1:16" s="2" customFormat="1" ht="15.75" customHeight="1" x14ac:dyDescent="0.3">
      <c r="A284" s="91" t="str">
        <f t="shared" ca="1" si="45"/>
        <v>408,..,1008</v>
      </c>
      <c r="B284" s="93"/>
      <c r="C284" s="15" t="s">
        <v>208</v>
      </c>
      <c r="D284" s="15">
        <f>(28.384+3.831+4.59)*10.764</f>
        <v>396.16902000000005</v>
      </c>
      <c r="E284" s="15">
        <v>0</v>
      </c>
      <c r="F284" s="15">
        <f t="shared" si="43"/>
        <v>594.25353000000007</v>
      </c>
      <c r="G284" s="96"/>
      <c r="H284" s="97"/>
      <c r="I284" s="33"/>
      <c r="N284" s="2" t="str">
        <f t="shared" ca="1" si="46"/>
        <v>408,..,1008</v>
      </c>
      <c r="O284" s="2">
        <f t="shared" ref="O284:P284" ca="1" si="48">O283+1</f>
        <v>408</v>
      </c>
      <c r="P284" s="2">
        <f t="shared" ca="1" si="48"/>
        <v>1008</v>
      </c>
    </row>
    <row r="285" spans="1:16" s="2" customFormat="1" ht="15.75" customHeight="1" x14ac:dyDescent="0.3">
      <c r="A285" s="91" t="str">
        <f t="shared" ca="1" si="45"/>
        <v>409,..,1009</v>
      </c>
      <c r="B285" s="93"/>
      <c r="C285" s="15" t="s">
        <v>209</v>
      </c>
      <c r="D285" s="15">
        <f>(42.194+5.737+5.58)*10.764</f>
        <v>575.99240399999996</v>
      </c>
      <c r="E285" s="15">
        <v>0</v>
      </c>
      <c r="F285" s="15">
        <f t="shared" si="43"/>
        <v>863.98860599999989</v>
      </c>
      <c r="G285" s="98"/>
      <c r="H285" s="99"/>
      <c r="I285" s="33"/>
      <c r="N285" s="2" t="str">
        <f t="shared" ca="1" si="46"/>
        <v>409,..,1009</v>
      </c>
      <c r="O285" s="2">
        <f t="shared" ref="O285:P285" ca="1" si="49">O284+1</f>
        <v>409</v>
      </c>
      <c r="P285" s="2">
        <f t="shared" ca="1" si="49"/>
        <v>1009</v>
      </c>
    </row>
    <row r="286" spans="1:16" s="2" customFormat="1" x14ac:dyDescent="0.3">
      <c r="A286" s="100" t="s">
        <v>197</v>
      </c>
      <c r="B286" s="100"/>
      <c r="C286" s="100"/>
      <c r="D286" s="100"/>
      <c r="E286" s="100"/>
      <c r="F286" s="100"/>
      <c r="G286" s="100"/>
      <c r="H286" s="100"/>
      <c r="I286" s="33"/>
      <c r="L286" s="101"/>
      <c r="M286" s="101"/>
    </row>
    <row r="287" spans="1:16" s="2" customFormat="1" x14ac:dyDescent="0.3">
      <c r="A287" s="90">
        <f>LEFT(A286,SUM(LEN(A286)-LEN(SUBSTITUTE(A286,{"0","1","2","3","4","5","6","7","8","9"},""))))*100+1</f>
        <v>801</v>
      </c>
      <c r="B287" s="90"/>
      <c r="C287" s="15" t="s">
        <v>209</v>
      </c>
      <c r="D287" s="15">
        <f>(44.066+5.929+5.73)*10.764</f>
        <v>599.82390000000009</v>
      </c>
      <c r="E287" s="15">
        <v>0</v>
      </c>
      <c r="F287" s="15">
        <f>D287*(($F$228)+1)+E287</f>
        <v>899.73585000000014</v>
      </c>
      <c r="G287" s="94" t="str">
        <f>A286</f>
        <v>8th Floor</v>
      </c>
      <c r="H287" s="95"/>
      <c r="I287" s="33"/>
      <c r="N287" s="33"/>
    </row>
    <row r="288" spans="1:16" s="2" customFormat="1" x14ac:dyDescent="0.3">
      <c r="A288" s="90">
        <f>A287+1</f>
        <v>802</v>
      </c>
      <c r="B288" s="90"/>
      <c r="C288" s="15" t="s">
        <v>209</v>
      </c>
      <c r="D288" s="15">
        <f>(44.065+5.929+5.73)*10.764</f>
        <v>599.81313599999999</v>
      </c>
      <c r="E288" s="15">
        <v>0</v>
      </c>
      <c r="F288" s="15">
        <f t="shared" ref="F288:F290" si="50">D288*(($F$228)+1)+E288</f>
        <v>899.71970399999998</v>
      </c>
      <c r="G288" s="96"/>
      <c r="H288" s="97"/>
      <c r="I288" s="33"/>
      <c r="N288" s="33"/>
    </row>
    <row r="289" spans="1:14" s="2" customFormat="1" x14ac:dyDescent="0.3">
      <c r="A289" s="90">
        <f>A288+1</f>
        <v>803</v>
      </c>
      <c r="B289" s="90"/>
      <c r="C289" s="91" t="s">
        <v>198</v>
      </c>
      <c r="D289" s="92"/>
      <c r="E289" s="92"/>
      <c r="F289" s="93"/>
      <c r="G289" s="96"/>
      <c r="H289" s="97"/>
      <c r="I289" s="33"/>
      <c r="N289" s="33"/>
    </row>
    <row r="290" spans="1:14" s="2" customFormat="1" x14ac:dyDescent="0.3">
      <c r="A290" s="90">
        <f t="shared" ref="A290" si="51">A289+1</f>
        <v>804</v>
      </c>
      <c r="B290" s="90"/>
      <c r="C290" s="15" t="s">
        <v>209</v>
      </c>
      <c r="D290" s="15">
        <f>(44.065+5.929+5.73)*10.764</f>
        <v>599.81313599999999</v>
      </c>
      <c r="E290" s="15">
        <v>0</v>
      </c>
      <c r="F290" s="15">
        <f t="shared" si="50"/>
        <v>899.71970399999998</v>
      </c>
      <c r="G290" s="96"/>
      <c r="H290" s="97"/>
      <c r="I290" s="33"/>
      <c r="N290" s="33"/>
    </row>
    <row r="291" spans="1:14" s="2" customFormat="1" x14ac:dyDescent="0.3">
      <c r="A291" s="90">
        <f>A290+1</f>
        <v>805</v>
      </c>
      <c r="B291" s="90"/>
      <c r="C291" s="15" t="s">
        <v>209</v>
      </c>
      <c r="D291" s="15">
        <f>(44.066+5.929+5.73)*10.764</f>
        <v>599.82390000000009</v>
      </c>
      <c r="E291" s="15">
        <v>0</v>
      </c>
      <c r="F291" s="15">
        <f t="shared" ref="F291:F293" si="52">D291*(($F$228)+1)+E291</f>
        <v>899.73585000000014</v>
      </c>
      <c r="G291" s="96"/>
      <c r="H291" s="97"/>
      <c r="I291" s="33"/>
      <c r="N291" s="33"/>
    </row>
    <row r="292" spans="1:14" s="2" customFormat="1" x14ac:dyDescent="0.3">
      <c r="A292" s="90">
        <f>A291+1</f>
        <v>806</v>
      </c>
      <c r="B292" s="90"/>
      <c r="C292" s="15" t="s">
        <v>209</v>
      </c>
      <c r="D292" s="15">
        <f>(42.194+5.737+5.58)*10.764</f>
        <v>575.99240399999996</v>
      </c>
      <c r="E292" s="15">
        <v>0</v>
      </c>
      <c r="F292" s="15">
        <f t="shared" si="52"/>
        <v>863.98860599999989</v>
      </c>
      <c r="G292" s="96"/>
      <c r="H292" s="97"/>
      <c r="I292" s="33"/>
      <c r="N292" s="33"/>
    </row>
    <row r="293" spans="1:14" s="2" customFormat="1" x14ac:dyDescent="0.3">
      <c r="A293" s="90">
        <f t="shared" ref="A293:A295" si="53">A292+1</f>
        <v>807</v>
      </c>
      <c r="B293" s="90"/>
      <c r="C293" s="15" t="s">
        <v>208</v>
      </c>
      <c r="D293" s="15">
        <f>(28.384+3.831+4.59)*10.764</f>
        <v>396.16902000000005</v>
      </c>
      <c r="E293" s="15">
        <v>0</v>
      </c>
      <c r="F293" s="15">
        <f t="shared" si="52"/>
        <v>594.25353000000007</v>
      </c>
      <c r="G293" s="96"/>
      <c r="H293" s="97"/>
      <c r="I293" s="33"/>
      <c r="N293" s="33"/>
    </row>
    <row r="294" spans="1:14" s="2" customFormat="1" x14ac:dyDescent="0.3">
      <c r="A294" s="90">
        <f t="shared" si="53"/>
        <v>808</v>
      </c>
      <c r="B294" s="90"/>
      <c r="C294" s="15" t="s">
        <v>208</v>
      </c>
      <c r="D294" s="15">
        <f>(28.384+3.831+4.59)*10.764</f>
        <v>396.16902000000005</v>
      </c>
      <c r="E294" s="15">
        <v>0</v>
      </c>
      <c r="F294" s="15">
        <f t="shared" ref="F294" si="54">D294*(($F$228)+1)+E294</f>
        <v>594.25353000000007</v>
      </c>
      <c r="G294" s="96"/>
      <c r="H294" s="97"/>
      <c r="I294" s="33"/>
      <c r="N294" s="33"/>
    </row>
    <row r="295" spans="1:14" s="2" customFormat="1" x14ac:dyDescent="0.3">
      <c r="A295" s="90">
        <f t="shared" si="53"/>
        <v>809</v>
      </c>
      <c r="B295" s="90"/>
      <c r="C295" s="15" t="s">
        <v>209</v>
      </c>
      <c r="D295" s="15">
        <f>(42.194+5.737+5.58)*10.764</f>
        <v>575.99240399999996</v>
      </c>
      <c r="E295" s="15">
        <v>0</v>
      </c>
      <c r="F295" s="15">
        <f t="shared" ref="F295" si="55">D295*(($F$228)+1)+E295</f>
        <v>863.98860599999989</v>
      </c>
      <c r="G295" s="98"/>
      <c r="H295" s="99"/>
      <c r="I295" s="33"/>
      <c r="N295" s="33"/>
    </row>
    <row r="296" spans="1:14" s="2" customFormat="1" x14ac:dyDescent="0.3">
      <c r="A296" s="100" t="s">
        <v>199</v>
      </c>
      <c r="B296" s="100"/>
      <c r="C296" s="100"/>
      <c r="D296" s="100"/>
      <c r="E296" s="100"/>
      <c r="F296" s="100"/>
      <c r="G296" s="100"/>
      <c r="H296" s="100"/>
      <c r="I296" s="33"/>
      <c r="L296" s="101"/>
      <c r="M296" s="101"/>
    </row>
    <row r="297" spans="1:14" s="2" customFormat="1" x14ac:dyDescent="0.3">
      <c r="A297" s="90">
        <f>LEFT(A296,SUM(LEN(A296)-LEN(SUBSTITUTE(A296,{"0","1","2","3","4","5","6","7","8","9"},""))))*100+1</f>
        <v>1101</v>
      </c>
      <c r="B297" s="90"/>
      <c r="C297" s="15" t="s">
        <v>209</v>
      </c>
      <c r="D297" s="15">
        <f>(44.066+5.929+5.73)*10.764</f>
        <v>599.82390000000009</v>
      </c>
      <c r="E297" s="15">
        <v>0</v>
      </c>
      <c r="F297" s="15">
        <f>D297*(($F$228)+1)+E297</f>
        <v>899.73585000000014</v>
      </c>
      <c r="G297" s="94" t="str">
        <f>A296</f>
        <v>11th Floor</v>
      </c>
      <c r="H297" s="95"/>
      <c r="I297" s="33"/>
      <c r="N297" s="33"/>
    </row>
    <row r="298" spans="1:14" s="2" customFormat="1" x14ac:dyDescent="0.3">
      <c r="A298" s="90">
        <f>A297+1</f>
        <v>1102</v>
      </c>
      <c r="B298" s="90"/>
      <c r="C298" s="15" t="s">
        <v>209</v>
      </c>
      <c r="D298" s="15">
        <f>(44.065+5.929+5.73)*10.764</f>
        <v>599.81313599999999</v>
      </c>
      <c r="E298" s="15">
        <v>0</v>
      </c>
      <c r="F298" s="15">
        <f t="shared" ref="F298" si="56">D298*(($F$228)+1)+E298</f>
        <v>899.71970399999998</v>
      </c>
      <c r="G298" s="96"/>
      <c r="H298" s="97"/>
      <c r="I298" s="33"/>
      <c r="N298" s="33"/>
    </row>
    <row r="299" spans="1:14" s="2" customFormat="1" x14ac:dyDescent="0.3">
      <c r="A299" s="90">
        <f>A298+1</f>
        <v>1103</v>
      </c>
      <c r="B299" s="90"/>
      <c r="C299" s="91" t="s">
        <v>207</v>
      </c>
      <c r="D299" s="92"/>
      <c r="E299" s="92"/>
      <c r="F299" s="93"/>
      <c r="G299" s="96"/>
      <c r="H299" s="97"/>
      <c r="I299" s="33"/>
      <c r="N299" s="33"/>
    </row>
    <row r="300" spans="1:14" s="2" customFormat="1" x14ac:dyDescent="0.3">
      <c r="A300" s="90">
        <f t="shared" ref="A300" si="57">A299+1</f>
        <v>1104</v>
      </c>
      <c r="B300" s="90"/>
      <c r="C300" s="15" t="s">
        <v>209</v>
      </c>
      <c r="D300" s="15">
        <f>(44.065+5.929+5.73)*10.764</f>
        <v>599.81313599999999</v>
      </c>
      <c r="E300" s="15">
        <v>0</v>
      </c>
      <c r="F300" s="15">
        <f>D300*(($F$228)+1)+E300</f>
        <v>899.71970399999998</v>
      </c>
      <c r="G300" s="96"/>
      <c r="H300" s="97"/>
      <c r="I300" s="33"/>
      <c r="N300" s="33"/>
    </row>
    <row r="301" spans="1:14" s="2" customFormat="1" x14ac:dyDescent="0.3">
      <c r="A301" s="90">
        <f>A300+1</f>
        <v>1105</v>
      </c>
      <c r="B301" s="90"/>
      <c r="C301" s="15" t="s">
        <v>209</v>
      </c>
      <c r="D301" s="15">
        <f>(44.066+5.929+5.73)*10.764</f>
        <v>599.82390000000009</v>
      </c>
      <c r="E301" s="15">
        <v>0</v>
      </c>
      <c r="F301" s="15">
        <f>D301*(($F$228)+1)+E301</f>
        <v>899.73585000000014</v>
      </c>
      <c r="G301" s="98"/>
      <c r="H301" s="99"/>
      <c r="I301" s="33"/>
      <c r="N301" s="33"/>
    </row>
    <row r="302" spans="1:14" s="2" customFormat="1" x14ac:dyDescent="0.3">
      <c r="A302" s="100" t="s">
        <v>200</v>
      </c>
      <c r="B302" s="100"/>
      <c r="C302" s="100"/>
      <c r="D302" s="100"/>
      <c r="E302" s="100"/>
      <c r="F302" s="100"/>
      <c r="G302" s="100"/>
      <c r="H302" s="100"/>
      <c r="I302" s="33"/>
      <c r="L302" s="101"/>
      <c r="M302" s="101"/>
    </row>
    <row r="303" spans="1:14" s="2" customFormat="1" x14ac:dyDescent="0.3">
      <c r="A303" s="100" t="s">
        <v>206</v>
      </c>
      <c r="B303" s="100"/>
      <c r="C303" s="100"/>
      <c r="D303" s="100"/>
      <c r="E303" s="100"/>
      <c r="F303" s="100"/>
      <c r="G303" s="100"/>
      <c r="H303" s="100"/>
      <c r="I303" s="33"/>
      <c r="L303" s="101"/>
      <c r="M303" s="101"/>
    </row>
    <row r="304" spans="1:14" s="2" customFormat="1" x14ac:dyDescent="0.3">
      <c r="A304" s="90">
        <f>LEFT(A303,SUM(LEN(A303)-LEN(SUBSTITUTE(A303,{"0","1","2","3","4","5","6","7","8","9"},""))))*100+1</f>
        <v>301</v>
      </c>
      <c r="B304" s="90"/>
      <c r="C304" s="15" t="s">
        <v>128</v>
      </c>
      <c r="D304" s="15">
        <f>(64.869+8.619+1.41)*10.764</f>
        <v>806.20207199999993</v>
      </c>
      <c r="E304" s="15">
        <f>26.098*10.764</f>
        <v>280.91887199999996</v>
      </c>
      <c r="F304" s="15">
        <f>D304*(($F$228)+1)+E304/2</f>
        <v>1349.7625439999997</v>
      </c>
      <c r="G304" s="94" t="str">
        <f>A303</f>
        <v>3rd Floor</v>
      </c>
      <c r="H304" s="95"/>
      <c r="I304" s="33"/>
      <c r="N304" s="33"/>
    </row>
    <row r="305" spans="1:16" s="2" customFormat="1" x14ac:dyDescent="0.3">
      <c r="A305" s="90">
        <f>A304+1</f>
        <v>302</v>
      </c>
      <c r="B305" s="90"/>
      <c r="C305" s="15" t="s">
        <v>128</v>
      </c>
      <c r="D305" s="15">
        <f>(64.854+8.619)*10.764</f>
        <v>790.86337199999991</v>
      </c>
      <c r="E305" s="15">
        <f>48.698*10.764</f>
        <v>524.18527199999994</v>
      </c>
      <c r="F305" s="15">
        <f>D305*(($F$228)+1)+E305/4</f>
        <v>1317.3413759999999</v>
      </c>
      <c r="G305" s="96"/>
      <c r="H305" s="97"/>
      <c r="I305" s="33"/>
      <c r="N305" s="33"/>
    </row>
    <row r="306" spans="1:16" s="2" customFormat="1" x14ac:dyDescent="0.3">
      <c r="A306" s="90">
        <f>A305+1</f>
        <v>303</v>
      </c>
      <c r="B306" s="90"/>
      <c r="C306" s="15" t="s">
        <v>209</v>
      </c>
      <c r="D306" s="15">
        <f>(38.574+5.361+2.25)*10.764</f>
        <v>497.13533999999993</v>
      </c>
      <c r="E306" s="15">
        <f>9.9*10.764</f>
        <v>106.56359999999999</v>
      </c>
      <c r="F306" s="15">
        <f>D306*(($F$228)+1)+E306/2</f>
        <v>798.98480999999992</v>
      </c>
      <c r="G306" s="96"/>
      <c r="H306" s="97"/>
      <c r="I306" s="33"/>
      <c r="N306" s="33"/>
    </row>
    <row r="307" spans="1:16" s="2" customFormat="1" x14ac:dyDescent="0.3">
      <c r="A307" s="90">
        <f t="shared" ref="A307" si="58">A306+1</f>
        <v>304</v>
      </c>
      <c r="B307" s="90"/>
      <c r="C307" s="15" t="s">
        <v>209</v>
      </c>
      <c r="D307" s="15">
        <f>(42.873+5.758+5.52)*10.764</f>
        <v>582.88136399999996</v>
      </c>
      <c r="E307" s="15"/>
      <c r="F307" s="15">
        <f>D307*(($F$228)+1)+E307</f>
        <v>874.322046</v>
      </c>
      <c r="G307" s="98"/>
      <c r="H307" s="99"/>
      <c r="I307" s="33"/>
      <c r="N307" s="33"/>
    </row>
    <row r="308" spans="1:16" s="2" customFormat="1" x14ac:dyDescent="0.3">
      <c r="A308" s="102" t="s">
        <v>192</v>
      </c>
      <c r="B308" s="103"/>
      <c r="C308" s="103"/>
      <c r="D308" s="103"/>
      <c r="E308" s="103"/>
      <c r="F308" s="103"/>
      <c r="G308" s="103"/>
      <c r="H308" s="104"/>
      <c r="I308" s="33"/>
    </row>
    <row r="309" spans="1:16" s="2" customFormat="1" ht="15.75" customHeight="1" x14ac:dyDescent="0.3">
      <c r="A309" s="91" t="str">
        <f t="shared" ref="A309:A313" ca="1" si="59">N309</f>
        <v>401 to 1001</v>
      </c>
      <c r="B309" s="93"/>
      <c r="C309" s="15" t="s">
        <v>128</v>
      </c>
      <c r="D309" s="15">
        <f>(64.869+8.619+7.68)*10.764</f>
        <v>873.69235200000003</v>
      </c>
      <c r="E309" s="15">
        <v>0</v>
      </c>
      <c r="F309" s="15">
        <f t="shared" ref="F309:F311" si="60">D309*(($F$228)+1)+E309</f>
        <v>1310.538528</v>
      </c>
      <c r="G309" s="94" t="str">
        <f>A308</f>
        <v>4th to 10th Floor</v>
      </c>
      <c r="H309" s="95"/>
      <c r="I309" s="33"/>
      <c r="N309" s="2" t="str">
        <f t="shared" ref="N309:N313" ca="1" si="61">O309&amp;""&amp;" to "&amp;""&amp;P309</f>
        <v>401 to 1001</v>
      </c>
      <c r="O309" s="2">
        <f ca="1">(SUMPRODUCT(MID(0&amp;(LEFT(A308,SUM(LEN(A308)-LEN(SUBSTITUTE(A308,{"0","1","2"},""))))), LARGE(INDEX(ISNUMBER(--MID((LEFT(A308,SUM(LEN(A308)-LEN(SUBSTITUTE(A308,{"0","1","2"},""))))), ROW(INDIRECT("1:"&amp;LEN((LEFT(A308,SUM(LEN(A308)-LEN(SUBSTITUTE(A308,{"0","1","2"},"")))))))), 1)) * ROW(INDIRECT("1:"&amp;LEN((LEFT(A308,SUM(LEN(A308)-LEN(SUBSTITUTE(A308,{"0","1","2"},"")))))))), 0), ROW(INDIRECT("1:"&amp;LEN((LEFT(A308,SUM(LEN(A308)-LEN(SUBSTITUTE(A308,{"0","1","2"},"")))))))))+1, 1) * 10^ROW(INDIRECT("1:"&amp;LEN((LEFT(A308,SUM(LEN(A308)-LEN(SUBSTITUTE(A308,{"0","1","2"},""))))))))/10))*100+1</f>
        <v>401</v>
      </c>
      <c r="P309" s="2">
        <f ca="1">(SUMPRODUCT(MID(0&amp;(--TRIM(RIGHT(SUBSTITUTE(LEFT(A308,_xlfn.AGGREGATE(16,6,FIND({0,1,2,3,4,5,6,7,8,9},A308,ROW(INDIRECT("1:"&amp;LEN(A308)))),1))," ",REPT(" ",LEN(A308))),LEN(A308)))), LARGE(INDEX(ISNUMBER(--MID((--TRIM(RIGHT(SUBSTITUTE(LEFT(A308,_xlfn.AGGREGATE(16,6,FIND({0,1,2,3,4,5,6,7,8,9},A308,ROW(INDIRECT("1:"&amp;LEN(A308)))),1))," ",REPT(" ",LEN(A308))),LEN(A308)))), ROW(INDIRECT("1:"&amp;LEN((--TRIM(RIGHT(SUBSTITUTE(LEFT(A308,_xlfn.AGGREGATE(16,6,FIND({0,1,2,3,4,5,6,7,8,9},A308,ROW(INDIRECT("1:"&amp;LEN(A308)))),1))," ",REPT(" ",LEN(A308))),LEN(A308))))))), 1)) * ROW(INDIRECT("1:"&amp;LEN((--TRIM(RIGHT(SUBSTITUTE(LEFT(A308,_xlfn.AGGREGATE(16,6,FIND({0,1,2,3,4,5,6,7,8,9},A308,ROW(INDIRECT("1:"&amp;LEN(A308)))),1))," ",REPT(" ",LEN(A308))),LEN(A308))))))), 0), ROW(INDIRECT("1:"&amp;LEN((--TRIM(RIGHT(SUBSTITUTE(LEFT(A308,_xlfn.AGGREGATE(16,6,FIND({0,1,2,3,4,5,6,7,8,9},A308,ROW(INDIRECT("1:"&amp;LEN(A308)))),1))," ",REPT(" ",LEN(A308))),LEN(A308))))))))+1, 1) * 10^ROW(INDIRECT("1:"&amp;LEN((--TRIM(RIGHT(SUBSTITUTE(LEFT(A308,_xlfn.AGGREGATE(16,6,FIND({0,1,2,3,4,5,6,7,8,9},A308,ROW(INDIRECT("1:"&amp;LEN(A308)))),1))," ",REPT(" ",LEN(A308))),LEN(A308)))))))/10))*100+1</f>
        <v>1001</v>
      </c>
    </row>
    <row r="310" spans="1:16" s="2" customFormat="1" ht="15.75" customHeight="1" x14ac:dyDescent="0.3">
      <c r="A310" s="91" t="str">
        <f t="shared" ca="1" si="59"/>
        <v>402 to 1002</v>
      </c>
      <c r="B310" s="93"/>
      <c r="C310" s="15" t="s">
        <v>128</v>
      </c>
      <c r="D310" s="15">
        <f>(64.854+8.619+7.68)*10.764</f>
        <v>873.53089199999988</v>
      </c>
      <c r="E310" s="15">
        <v>0</v>
      </c>
      <c r="F310" s="15">
        <f t="shared" si="60"/>
        <v>1310.2963379999999</v>
      </c>
      <c r="G310" s="96"/>
      <c r="H310" s="97"/>
      <c r="I310" s="33"/>
      <c r="N310" s="2" t="str">
        <f t="shared" ca="1" si="61"/>
        <v>402 to 1002</v>
      </c>
      <c r="O310" s="2">
        <f t="shared" ref="O310:P310" ca="1" si="62">O309+1</f>
        <v>402</v>
      </c>
      <c r="P310" s="2">
        <f t="shared" ca="1" si="62"/>
        <v>1002</v>
      </c>
    </row>
    <row r="311" spans="1:16" s="2" customFormat="1" ht="15.75" customHeight="1" x14ac:dyDescent="0.3">
      <c r="A311" s="91" t="str">
        <f t="shared" ca="1" si="59"/>
        <v>403 to 1003</v>
      </c>
      <c r="B311" s="93"/>
      <c r="C311" s="15" t="s">
        <v>209</v>
      </c>
      <c r="D311" s="15">
        <f>(38.574+5.361+4.77)*10.764</f>
        <v>524.2606199999999</v>
      </c>
      <c r="E311" s="15">
        <v>0</v>
      </c>
      <c r="F311" s="15">
        <f t="shared" si="60"/>
        <v>786.3909299999998</v>
      </c>
      <c r="G311" s="96"/>
      <c r="H311" s="97"/>
      <c r="I311" s="33"/>
      <c r="N311" s="2" t="str">
        <f t="shared" ca="1" si="61"/>
        <v>403 to 1003</v>
      </c>
      <c r="O311" s="2">
        <f t="shared" ref="O311:P311" ca="1" si="63">O310+1</f>
        <v>403</v>
      </c>
      <c r="P311" s="2">
        <f t="shared" ca="1" si="63"/>
        <v>1003</v>
      </c>
    </row>
    <row r="312" spans="1:16" s="2" customFormat="1" ht="15.75" customHeight="1" x14ac:dyDescent="0.3">
      <c r="A312" s="91" t="str">
        <f t="shared" ca="1" si="59"/>
        <v>404 to 1004</v>
      </c>
      <c r="B312" s="93"/>
      <c r="C312" s="15" t="s">
        <v>209</v>
      </c>
      <c r="D312" s="15">
        <f>(42.873+5.758+5.52)*10.764</f>
        <v>582.88136399999996</v>
      </c>
      <c r="E312" s="15">
        <v>0</v>
      </c>
      <c r="F312" s="15">
        <f>D312*(($F$228)+1)+E312</f>
        <v>874.322046</v>
      </c>
      <c r="G312" s="96"/>
      <c r="H312" s="97"/>
      <c r="I312" s="33"/>
      <c r="N312" s="2" t="str">
        <f t="shared" ca="1" si="61"/>
        <v>404 to 1004</v>
      </c>
      <c r="O312" s="2">
        <f t="shared" ref="O312:P312" ca="1" si="64">O311+1</f>
        <v>404</v>
      </c>
      <c r="P312" s="2">
        <f t="shared" ca="1" si="64"/>
        <v>1004</v>
      </c>
    </row>
    <row r="313" spans="1:16" s="2" customFormat="1" ht="15.75" customHeight="1" x14ac:dyDescent="0.3">
      <c r="A313" s="91" t="str">
        <f t="shared" ca="1" si="59"/>
        <v>405 to 1005</v>
      </c>
      <c r="B313" s="93"/>
      <c r="C313" s="15" t="s">
        <v>209</v>
      </c>
      <c r="D313" s="15">
        <f>(42.873+5.758+5.52)*10.764</f>
        <v>582.88136399999996</v>
      </c>
      <c r="E313" s="15">
        <v>0</v>
      </c>
      <c r="F313" s="15">
        <f t="shared" ref="F313" si="65">D313*(($F$228)+1)+E313</f>
        <v>874.322046</v>
      </c>
      <c r="G313" s="98"/>
      <c r="H313" s="99"/>
      <c r="I313" s="33"/>
      <c r="N313" s="2" t="str">
        <f t="shared" ca="1" si="61"/>
        <v>405 to 1005</v>
      </c>
      <c r="O313" s="2">
        <f t="shared" ref="O313:P313" ca="1" si="66">O312+1</f>
        <v>405</v>
      </c>
      <c r="P313" s="2">
        <f t="shared" ca="1" si="66"/>
        <v>1005</v>
      </c>
    </row>
    <row r="314" spans="1:16" s="2" customFormat="1" x14ac:dyDescent="0.3">
      <c r="A314" s="100" t="s">
        <v>199</v>
      </c>
      <c r="B314" s="100"/>
      <c r="C314" s="100"/>
      <c r="D314" s="100"/>
      <c r="E314" s="100"/>
      <c r="F314" s="100"/>
      <c r="G314" s="100"/>
      <c r="H314" s="100"/>
      <c r="I314" s="33"/>
      <c r="L314" s="101"/>
      <c r="M314" s="101"/>
    </row>
    <row r="315" spans="1:16" s="2" customFormat="1" x14ac:dyDescent="0.3">
      <c r="A315" s="90">
        <f>LEFT(A314,SUM(LEN(A314)-LEN(SUBSTITUTE(A314,{"0","1","2","3","4","5","6","7","8","9"},""))))*100+1</f>
        <v>1101</v>
      </c>
      <c r="B315" s="90"/>
      <c r="C315" s="15" t="s">
        <v>128</v>
      </c>
      <c r="D315" s="15">
        <f>(64.869+8.619+7.68)*10.764</f>
        <v>873.69235200000003</v>
      </c>
      <c r="E315" s="15">
        <v>0</v>
      </c>
      <c r="F315" s="15">
        <f>D315*(($F$228)+1)+E315</f>
        <v>1310.538528</v>
      </c>
      <c r="G315" s="94" t="str">
        <f>A314</f>
        <v>11th Floor</v>
      </c>
      <c r="H315" s="95"/>
      <c r="I315" s="33"/>
      <c r="N315" s="33"/>
    </row>
    <row r="316" spans="1:16" s="2" customFormat="1" x14ac:dyDescent="0.3">
      <c r="A316" s="90">
        <f>A315+1</f>
        <v>1102</v>
      </c>
      <c r="B316" s="90"/>
      <c r="C316" s="15" t="s">
        <v>128</v>
      </c>
      <c r="D316" s="15">
        <f>(64.854+8.619+7.68)*10.764</f>
        <v>873.53089199999988</v>
      </c>
      <c r="E316" s="15">
        <v>0</v>
      </c>
      <c r="F316" s="15">
        <f t="shared" ref="F316:F318" si="67">D316*(($F$228)+1)+E316</f>
        <v>1310.2963379999999</v>
      </c>
      <c r="G316" s="96"/>
      <c r="H316" s="97"/>
      <c r="I316" s="33"/>
      <c r="N316" s="33"/>
    </row>
    <row r="317" spans="1:16" s="2" customFormat="1" x14ac:dyDescent="0.3">
      <c r="A317" s="90">
        <f>A316+1</f>
        <v>1103</v>
      </c>
      <c r="B317" s="90"/>
      <c r="C317" s="15" t="s">
        <v>209</v>
      </c>
      <c r="D317" s="15">
        <f>(38.574+5.361+4.77)*10.764</f>
        <v>524.2606199999999</v>
      </c>
      <c r="E317" s="15">
        <v>0</v>
      </c>
      <c r="F317" s="15">
        <f t="shared" si="67"/>
        <v>786.3909299999998</v>
      </c>
      <c r="G317" s="96"/>
      <c r="H317" s="97"/>
      <c r="I317" s="33"/>
      <c r="N317" s="33"/>
    </row>
    <row r="318" spans="1:16" s="2" customFormat="1" x14ac:dyDescent="0.3">
      <c r="A318" s="90">
        <f t="shared" ref="A318" si="68">A317+1</f>
        <v>1104</v>
      </c>
      <c r="B318" s="90"/>
      <c r="C318" s="15" t="s">
        <v>209</v>
      </c>
      <c r="D318" s="15">
        <f>(42.873+5.758+5.52)*10.764</f>
        <v>582.88136399999996</v>
      </c>
      <c r="E318" s="15">
        <v>0</v>
      </c>
      <c r="F318" s="15">
        <f t="shared" si="67"/>
        <v>874.322046</v>
      </c>
      <c r="G318" s="98"/>
      <c r="H318" s="99"/>
      <c r="I318" s="33"/>
      <c r="N318" s="33"/>
    </row>
    <row r="319" spans="1:16" s="2" customFormat="1" x14ac:dyDescent="0.3">
      <c r="A319" s="100" t="s">
        <v>202</v>
      </c>
      <c r="B319" s="100"/>
      <c r="C319" s="100"/>
      <c r="D319" s="100"/>
      <c r="E319" s="100"/>
      <c r="F319" s="100"/>
      <c r="G319" s="100"/>
      <c r="H319" s="100"/>
      <c r="I319" s="33"/>
      <c r="L319" s="101"/>
      <c r="M319" s="101"/>
    </row>
    <row r="320" spans="1:16" s="2" customFormat="1" x14ac:dyDescent="0.3">
      <c r="A320" s="100" t="s">
        <v>206</v>
      </c>
      <c r="B320" s="100"/>
      <c r="C320" s="100"/>
      <c r="D320" s="100"/>
      <c r="E320" s="100"/>
      <c r="F320" s="100"/>
      <c r="G320" s="100"/>
      <c r="H320" s="100"/>
      <c r="I320" s="33"/>
      <c r="L320" s="101"/>
      <c r="M320" s="101"/>
    </row>
    <row r="321" spans="1:16" s="2" customFormat="1" x14ac:dyDescent="0.3">
      <c r="A321" s="90">
        <f>LEFT(A320,SUM(LEN(A320)-LEN(SUBSTITUTE(A320,{"0","1","2","3","4","5","6","7","8","9"},""))))*100+1</f>
        <v>301</v>
      </c>
      <c r="B321" s="90"/>
      <c r="C321" s="91" t="s">
        <v>201</v>
      </c>
      <c r="D321" s="92"/>
      <c r="E321" s="92"/>
      <c r="F321" s="93"/>
      <c r="G321" s="94" t="str">
        <f>A320</f>
        <v>3rd Floor</v>
      </c>
      <c r="H321" s="95"/>
      <c r="I321" s="33"/>
      <c r="N321" s="33"/>
    </row>
    <row r="322" spans="1:16" s="2" customFormat="1" x14ac:dyDescent="0.3">
      <c r="A322" s="90">
        <f>A321+1</f>
        <v>302</v>
      </c>
      <c r="B322" s="90"/>
      <c r="C322" s="15" t="s">
        <v>208</v>
      </c>
      <c r="D322" s="15">
        <f>(27.986+3.794+4.47)*10.764</f>
        <v>390.19499999999999</v>
      </c>
      <c r="E322" s="15">
        <v>0</v>
      </c>
      <c r="F322" s="15">
        <f t="shared" ref="F322:F324" si="69">D322*(($F$228)+1)+E322</f>
        <v>585.29250000000002</v>
      </c>
      <c r="G322" s="96"/>
      <c r="H322" s="97"/>
      <c r="I322" s="33"/>
      <c r="N322" s="33"/>
    </row>
    <row r="323" spans="1:16" s="2" customFormat="1" x14ac:dyDescent="0.3">
      <c r="A323" s="90">
        <f>A322+1</f>
        <v>303</v>
      </c>
      <c r="B323" s="90"/>
      <c r="C323" s="15" t="s">
        <v>208</v>
      </c>
      <c r="D323" s="15">
        <f t="shared" ref="D323:D325" si="70">(27.986+3.794+4.47)*10.764</f>
        <v>390.19499999999999</v>
      </c>
      <c r="E323" s="15">
        <v>0</v>
      </c>
      <c r="F323" s="15">
        <f t="shared" si="69"/>
        <v>585.29250000000002</v>
      </c>
      <c r="G323" s="96"/>
      <c r="H323" s="97"/>
      <c r="I323" s="33"/>
      <c r="N323" s="33"/>
    </row>
    <row r="324" spans="1:16" s="2" customFormat="1" x14ac:dyDescent="0.3">
      <c r="A324" s="90">
        <f t="shared" ref="A324:A325" si="71">A323+1</f>
        <v>304</v>
      </c>
      <c r="B324" s="90"/>
      <c r="C324" s="15" t="s">
        <v>208</v>
      </c>
      <c r="D324" s="15">
        <f t="shared" si="70"/>
        <v>390.19499999999999</v>
      </c>
      <c r="E324" s="15">
        <v>0</v>
      </c>
      <c r="F324" s="15">
        <f t="shared" si="69"/>
        <v>585.29250000000002</v>
      </c>
      <c r="G324" s="96"/>
      <c r="H324" s="97"/>
      <c r="I324" s="33"/>
      <c r="N324" s="33"/>
    </row>
    <row r="325" spans="1:16" s="2" customFormat="1" x14ac:dyDescent="0.3">
      <c r="A325" s="90">
        <f t="shared" si="71"/>
        <v>305</v>
      </c>
      <c r="B325" s="90"/>
      <c r="C325" s="15" t="s">
        <v>208</v>
      </c>
      <c r="D325" s="15">
        <f t="shared" si="70"/>
        <v>390.19499999999999</v>
      </c>
      <c r="E325" s="15">
        <v>0</v>
      </c>
      <c r="F325" s="15">
        <f t="shared" ref="F325" si="72">D325*(($F$228)+1)+E325</f>
        <v>585.29250000000002</v>
      </c>
      <c r="G325" s="98"/>
      <c r="H325" s="99"/>
      <c r="I325" s="33"/>
      <c r="N325" s="33"/>
    </row>
    <row r="326" spans="1:16" s="2" customFormat="1" ht="15.75" customHeight="1" x14ac:dyDescent="0.3">
      <c r="A326" s="102" t="s">
        <v>196</v>
      </c>
      <c r="B326" s="103"/>
      <c r="C326" s="103"/>
      <c r="D326" s="103"/>
      <c r="E326" s="103"/>
      <c r="F326" s="103"/>
      <c r="G326" s="103"/>
      <c r="H326" s="104"/>
      <c r="I326" s="33"/>
    </row>
    <row r="327" spans="1:16" s="2" customFormat="1" ht="15.75" customHeight="1" x14ac:dyDescent="0.3">
      <c r="A327" s="91" t="str">
        <f t="shared" ref="A327:A333" ca="1" si="73">N327</f>
        <v>401,..,1001</v>
      </c>
      <c r="B327" s="93"/>
      <c r="C327" s="15" t="s">
        <v>208</v>
      </c>
      <c r="D327" s="15">
        <f>(26.543+3.613+4.47)*10.764</f>
        <v>372.71426399999996</v>
      </c>
      <c r="E327" s="15">
        <v>0</v>
      </c>
      <c r="F327" s="15">
        <f t="shared" ref="F327:F333" si="74">D327*(($F$228)+1)+E327</f>
        <v>559.07139599999994</v>
      </c>
      <c r="G327" s="94" t="str">
        <f>A326</f>
        <v>4th to 7th, 9th, 10th Floor</v>
      </c>
      <c r="H327" s="95"/>
      <c r="I327" s="33"/>
      <c r="N327" s="2" t="str">
        <f t="shared" ref="N327:N333" ca="1" si="75">O327&amp;""&amp;",..,"&amp;""&amp;P327</f>
        <v>401,..,1001</v>
      </c>
      <c r="O327" s="2">
        <f ca="1">(SUMPRODUCT(MID(0&amp;(LEFT(A326,SUM(LEN(A326)-LEN(SUBSTITUTE(A326,{"0","1","2"},""))))), LARGE(INDEX(ISNUMBER(--MID((LEFT(A326,SUM(LEN(A326)-LEN(SUBSTITUTE(A326,{"0","1","2"},""))))), ROW(INDIRECT("1:"&amp;LEN((LEFT(A326,SUM(LEN(A326)-LEN(SUBSTITUTE(A326,{"0","1","2"},"")))))))), 1)) * ROW(INDIRECT("1:"&amp;LEN((LEFT(A326,SUM(LEN(A326)-LEN(SUBSTITUTE(A326,{"0","1","2"},"")))))))), 0), ROW(INDIRECT("1:"&amp;LEN((LEFT(A326,SUM(LEN(A326)-LEN(SUBSTITUTE(A326,{"0","1","2"},"")))))))))+1, 1) * 10^ROW(INDIRECT("1:"&amp;LEN((LEFT(A326,SUM(LEN(A326)-LEN(SUBSTITUTE(A326,{"0","1","2"},""))))))))/10))*100+1</f>
        <v>401</v>
      </c>
      <c r="P327" s="2">
        <f ca="1">(SUMPRODUCT(MID(0&amp;(--TRIM(RIGHT(SUBSTITUTE(LEFT(A326,_xlfn.AGGREGATE(16,6,FIND({0,1,2,3,4,5,6,7,8,9},A326,ROW(INDIRECT("1:"&amp;LEN(A326)))),1))," ",REPT(" ",LEN(A326))),LEN(A326)))), LARGE(INDEX(ISNUMBER(--MID((--TRIM(RIGHT(SUBSTITUTE(LEFT(A326,_xlfn.AGGREGATE(16,6,FIND({0,1,2,3,4,5,6,7,8,9},A326,ROW(INDIRECT("1:"&amp;LEN(A326)))),1))," ",REPT(" ",LEN(A326))),LEN(A326)))), ROW(INDIRECT("1:"&amp;LEN((--TRIM(RIGHT(SUBSTITUTE(LEFT(A326,_xlfn.AGGREGATE(16,6,FIND({0,1,2,3,4,5,6,7,8,9},A326,ROW(INDIRECT("1:"&amp;LEN(A326)))),1))," ",REPT(" ",LEN(A326))),LEN(A326))))))), 1)) * ROW(INDIRECT("1:"&amp;LEN((--TRIM(RIGHT(SUBSTITUTE(LEFT(A326,_xlfn.AGGREGATE(16,6,FIND({0,1,2,3,4,5,6,7,8,9},A326,ROW(INDIRECT("1:"&amp;LEN(A326)))),1))," ",REPT(" ",LEN(A326))),LEN(A326))))))), 0), ROW(INDIRECT("1:"&amp;LEN((--TRIM(RIGHT(SUBSTITUTE(LEFT(A326,_xlfn.AGGREGATE(16,6,FIND({0,1,2,3,4,5,6,7,8,9},A326,ROW(INDIRECT("1:"&amp;LEN(A326)))),1))," ",REPT(" ",LEN(A326))),LEN(A326))))))))+1, 1) * 10^ROW(INDIRECT("1:"&amp;LEN((--TRIM(RIGHT(SUBSTITUTE(LEFT(A326,_xlfn.AGGREGATE(16,6,FIND({0,1,2,3,4,5,6,7,8,9},A326,ROW(INDIRECT("1:"&amp;LEN(A326)))),1))," ",REPT(" ",LEN(A326))),LEN(A326)))))))/10))*100+1</f>
        <v>1001</v>
      </c>
    </row>
    <row r="328" spans="1:16" s="2" customFormat="1" ht="15.75" customHeight="1" x14ac:dyDescent="0.3">
      <c r="A328" s="91" t="str">
        <f t="shared" ca="1" si="73"/>
        <v>402,..,1002</v>
      </c>
      <c r="B328" s="93"/>
      <c r="C328" s="15" t="s">
        <v>208</v>
      </c>
      <c r="D328" s="15">
        <f t="shared" ref="D328:D331" si="76">(27.986+3.794+4.47)*10.764</f>
        <v>390.19499999999999</v>
      </c>
      <c r="E328" s="15">
        <v>0</v>
      </c>
      <c r="F328" s="15">
        <f t="shared" si="74"/>
        <v>585.29250000000002</v>
      </c>
      <c r="G328" s="96"/>
      <c r="H328" s="97"/>
      <c r="I328" s="33"/>
      <c r="N328" s="2" t="str">
        <f t="shared" ca="1" si="75"/>
        <v>402,..,1002</v>
      </c>
      <c r="O328" s="2">
        <f t="shared" ref="O328:P328" ca="1" si="77">O327+1</f>
        <v>402</v>
      </c>
      <c r="P328" s="2">
        <f t="shared" ca="1" si="77"/>
        <v>1002</v>
      </c>
    </row>
    <row r="329" spans="1:16" s="2" customFormat="1" ht="15.75" customHeight="1" x14ac:dyDescent="0.3">
      <c r="A329" s="91" t="str">
        <f t="shared" ca="1" si="73"/>
        <v>403,..,1003</v>
      </c>
      <c r="B329" s="93"/>
      <c r="C329" s="15" t="s">
        <v>208</v>
      </c>
      <c r="D329" s="15">
        <f t="shared" si="76"/>
        <v>390.19499999999999</v>
      </c>
      <c r="E329" s="15">
        <v>0</v>
      </c>
      <c r="F329" s="15">
        <f t="shared" si="74"/>
        <v>585.29250000000002</v>
      </c>
      <c r="G329" s="96"/>
      <c r="H329" s="97"/>
      <c r="I329" s="33"/>
      <c r="N329" s="2" t="str">
        <f t="shared" ca="1" si="75"/>
        <v>403,..,1003</v>
      </c>
      <c r="O329" s="2">
        <f t="shared" ref="O329:P329" ca="1" si="78">O328+1</f>
        <v>403</v>
      </c>
      <c r="P329" s="2">
        <f t="shared" ca="1" si="78"/>
        <v>1003</v>
      </c>
    </row>
    <row r="330" spans="1:16" s="2" customFormat="1" ht="15.75" customHeight="1" x14ac:dyDescent="0.3">
      <c r="A330" s="91" t="str">
        <f t="shared" ca="1" si="73"/>
        <v>404,..,1004</v>
      </c>
      <c r="B330" s="93"/>
      <c r="C330" s="15" t="s">
        <v>208</v>
      </c>
      <c r="D330" s="15">
        <f t="shared" si="76"/>
        <v>390.19499999999999</v>
      </c>
      <c r="E330" s="15">
        <v>0</v>
      </c>
      <c r="F330" s="15">
        <f t="shared" si="74"/>
        <v>585.29250000000002</v>
      </c>
      <c r="G330" s="96"/>
      <c r="H330" s="97"/>
      <c r="I330" s="33"/>
      <c r="N330" s="2" t="str">
        <f t="shared" ca="1" si="75"/>
        <v>404,..,1004</v>
      </c>
      <c r="O330" s="2">
        <f t="shared" ref="O330:P330" ca="1" si="79">O329+1</f>
        <v>404</v>
      </c>
      <c r="P330" s="2">
        <f t="shared" ca="1" si="79"/>
        <v>1004</v>
      </c>
    </row>
    <row r="331" spans="1:16" s="2" customFormat="1" ht="15.75" customHeight="1" x14ac:dyDescent="0.3">
      <c r="A331" s="91" t="str">
        <f t="shared" ca="1" si="73"/>
        <v>405,..,1005</v>
      </c>
      <c r="B331" s="93"/>
      <c r="C331" s="15" t="s">
        <v>208</v>
      </c>
      <c r="D331" s="15">
        <f t="shared" si="76"/>
        <v>390.19499999999999</v>
      </c>
      <c r="E331" s="15">
        <v>0</v>
      </c>
      <c r="F331" s="15">
        <f t="shared" si="74"/>
        <v>585.29250000000002</v>
      </c>
      <c r="G331" s="96"/>
      <c r="H331" s="97"/>
      <c r="I331" s="33"/>
      <c r="N331" s="2" t="str">
        <f t="shared" ca="1" si="75"/>
        <v>405,..,1005</v>
      </c>
      <c r="O331" s="2">
        <f t="shared" ref="O331:P331" ca="1" si="80">O330+1</f>
        <v>405</v>
      </c>
      <c r="P331" s="2">
        <f t="shared" ca="1" si="80"/>
        <v>1005</v>
      </c>
    </row>
    <row r="332" spans="1:16" s="2" customFormat="1" ht="15.75" customHeight="1" x14ac:dyDescent="0.3">
      <c r="A332" s="91" t="str">
        <f t="shared" ca="1" si="73"/>
        <v>406,..,1006</v>
      </c>
      <c r="B332" s="93"/>
      <c r="C332" s="15" t="s">
        <v>208</v>
      </c>
      <c r="D332" s="15">
        <f>(26.5+3.655+4.47)*10.764</f>
        <v>372.70349999999996</v>
      </c>
      <c r="E332" s="15">
        <v>0</v>
      </c>
      <c r="F332" s="15">
        <f t="shared" si="74"/>
        <v>559.05524999999989</v>
      </c>
      <c r="G332" s="96"/>
      <c r="H332" s="97"/>
      <c r="I332" s="33"/>
      <c r="N332" s="2" t="str">
        <f t="shared" ca="1" si="75"/>
        <v>406,..,1006</v>
      </c>
      <c r="O332" s="2">
        <f t="shared" ref="O332:P332" ca="1" si="81">O331+1</f>
        <v>406</v>
      </c>
      <c r="P332" s="2">
        <f t="shared" ca="1" si="81"/>
        <v>1006</v>
      </c>
    </row>
    <row r="333" spans="1:16" s="2" customFormat="1" ht="15.75" customHeight="1" x14ac:dyDescent="0.3">
      <c r="A333" s="91" t="str">
        <f t="shared" ca="1" si="73"/>
        <v>407,..,1007</v>
      </c>
      <c r="B333" s="93"/>
      <c r="C333" s="15" t="s">
        <v>208</v>
      </c>
      <c r="D333" s="15">
        <f>(26.5+3.655+4.47)*10.764</f>
        <v>372.70349999999996</v>
      </c>
      <c r="E333" s="15">
        <v>0</v>
      </c>
      <c r="F333" s="15">
        <f t="shared" si="74"/>
        <v>559.05524999999989</v>
      </c>
      <c r="G333" s="98"/>
      <c r="H333" s="99"/>
      <c r="I333" s="33"/>
      <c r="N333" s="2" t="str">
        <f t="shared" ca="1" si="75"/>
        <v>407,..,1007</v>
      </c>
      <c r="O333" s="2">
        <f t="shared" ref="O333:P333" ca="1" si="82">O332+1</f>
        <v>407</v>
      </c>
      <c r="P333" s="2">
        <f t="shared" ca="1" si="82"/>
        <v>1007</v>
      </c>
    </row>
    <row r="334" spans="1:16" s="2" customFormat="1" x14ac:dyDescent="0.3">
      <c r="A334" s="100" t="s">
        <v>197</v>
      </c>
      <c r="B334" s="100"/>
      <c r="C334" s="100"/>
      <c r="D334" s="100"/>
      <c r="E334" s="100"/>
      <c r="F334" s="100"/>
      <c r="G334" s="100"/>
      <c r="H334" s="100"/>
      <c r="I334" s="33"/>
      <c r="L334" s="101"/>
      <c r="M334" s="101"/>
    </row>
    <row r="335" spans="1:16" s="2" customFormat="1" x14ac:dyDescent="0.3">
      <c r="A335" s="90">
        <f>LEFT(A334,SUM(LEN(A334)-LEN(SUBSTITUTE(A334,{"0","1","2","3","4","5","6","7","8","9"},""))))*100+1</f>
        <v>801</v>
      </c>
      <c r="B335" s="90"/>
      <c r="C335" s="15" t="s">
        <v>208</v>
      </c>
      <c r="D335" s="15">
        <f>(26.543+3.613+4.47)*10.764</f>
        <v>372.71426399999996</v>
      </c>
      <c r="E335" s="15">
        <v>0</v>
      </c>
      <c r="F335" s="15">
        <f>D335*(($F$228)+1)+E335</f>
        <v>559.07139599999994</v>
      </c>
      <c r="G335" s="94" t="str">
        <f>A334</f>
        <v>8th Floor</v>
      </c>
      <c r="H335" s="95"/>
      <c r="I335" s="33"/>
      <c r="N335" s="33"/>
    </row>
    <row r="336" spans="1:16" s="2" customFormat="1" x14ac:dyDescent="0.3">
      <c r="A336" s="90">
        <f>A335+1</f>
        <v>802</v>
      </c>
      <c r="B336" s="90"/>
      <c r="C336" s="15" t="s">
        <v>208</v>
      </c>
      <c r="D336" s="15">
        <f t="shared" ref="D336:D338" si="83">(27.986+3.794+4.47)*10.764</f>
        <v>390.19499999999999</v>
      </c>
      <c r="E336" s="15">
        <v>0</v>
      </c>
      <c r="F336" s="15">
        <f t="shared" ref="F336" si="84">D336*(($F$228)+1)+E336</f>
        <v>585.29250000000002</v>
      </c>
      <c r="G336" s="96"/>
      <c r="H336" s="97"/>
      <c r="I336" s="33"/>
      <c r="N336" s="33"/>
    </row>
    <row r="337" spans="1:14" s="2" customFormat="1" x14ac:dyDescent="0.3">
      <c r="A337" s="90">
        <f>A336+1</f>
        <v>803</v>
      </c>
      <c r="B337" s="90"/>
      <c r="C337" s="15" t="s">
        <v>208</v>
      </c>
      <c r="D337" s="15">
        <f t="shared" si="83"/>
        <v>390.19499999999999</v>
      </c>
      <c r="E337" s="60"/>
      <c r="F337" s="61"/>
      <c r="G337" s="96"/>
      <c r="H337" s="97"/>
      <c r="I337" s="33"/>
      <c r="N337" s="33"/>
    </row>
    <row r="338" spans="1:14" s="2" customFormat="1" x14ac:dyDescent="0.3">
      <c r="A338" s="90">
        <f t="shared" ref="A338" si="85">A337+1</f>
        <v>804</v>
      </c>
      <c r="B338" s="90"/>
      <c r="C338" s="15" t="s">
        <v>208</v>
      </c>
      <c r="D338" s="15">
        <f t="shared" si="83"/>
        <v>390.19499999999999</v>
      </c>
      <c r="E338" s="15">
        <v>0</v>
      </c>
      <c r="F338" s="15">
        <f>D338*(($F$228)+1)+E338</f>
        <v>585.29250000000002</v>
      </c>
      <c r="G338" s="96"/>
      <c r="H338" s="97"/>
      <c r="I338" s="33"/>
      <c r="N338" s="33"/>
    </row>
    <row r="339" spans="1:14" s="2" customFormat="1" x14ac:dyDescent="0.3">
      <c r="A339" s="90">
        <f>A338+1</f>
        <v>805</v>
      </c>
      <c r="B339" s="90"/>
      <c r="C339" s="91" t="s">
        <v>198</v>
      </c>
      <c r="D339" s="92"/>
      <c r="E339" s="92"/>
      <c r="F339" s="93"/>
      <c r="G339" s="96"/>
      <c r="H339" s="97"/>
      <c r="I339" s="33"/>
      <c r="N339" s="33"/>
    </row>
    <row r="340" spans="1:14" s="2" customFormat="1" x14ac:dyDescent="0.3">
      <c r="A340" s="90">
        <f>A339+1</f>
        <v>806</v>
      </c>
      <c r="B340" s="90"/>
      <c r="C340" s="15" t="s">
        <v>208</v>
      </c>
      <c r="D340" s="15">
        <f>(26.5+3.655+4.47)*10.764</f>
        <v>372.70349999999996</v>
      </c>
      <c r="E340" s="15">
        <v>0</v>
      </c>
      <c r="F340" s="15">
        <f>D340*(($F$228)+1)+E340</f>
        <v>559.05524999999989</v>
      </c>
      <c r="G340" s="96"/>
      <c r="H340" s="97"/>
      <c r="I340" s="33"/>
      <c r="N340" s="33"/>
    </row>
    <row r="341" spans="1:14" s="2" customFormat="1" x14ac:dyDescent="0.3">
      <c r="A341" s="90">
        <f t="shared" ref="A341" si="86">A340+1</f>
        <v>807</v>
      </c>
      <c r="B341" s="90"/>
      <c r="C341" s="15" t="s">
        <v>208</v>
      </c>
      <c r="D341" s="15">
        <f>(26.5+3.655+4.47)*10.764</f>
        <v>372.70349999999996</v>
      </c>
      <c r="E341" s="15">
        <v>0</v>
      </c>
      <c r="F341" s="15">
        <f>D341*(($F$228)+1)+E341</f>
        <v>559.05524999999989</v>
      </c>
      <c r="G341" s="98"/>
      <c r="H341" s="99"/>
      <c r="I341" s="33"/>
      <c r="N341" s="33"/>
    </row>
    <row r="342" spans="1:14" s="2" customFormat="1" x14ac:dyDescent="0.3">
      <c r="A342" s="100" t="s">
        <v>199</v>
      </c>
      <c r="B342" s="100"/>
      <c r="C342" s="100"/>
      <c r="D342" s="100"/>
      <c r="E342" s="100"/>
      <c r="F342" s="100"/>
      <c r="G342" s="100"/>
      <c r="H342" s="100"/>
      <c r="I342" s="33"/>
      <c r="L342" s="101"/>
      <c r="M342" s="101"/>
    </row>
    <row r="343" spans="1:14" s="2" customFormat="1" x14ac:dyDescent="0.3">
      <c r="A343" s="90">
        <f>LEFT(A342,SUM(LEN(A342)-LEN(SUBSTITUTE(A342,{"0","1","2","3","4","5","6","7","8","9"},""))))*100+1</f>
        <v>1101</v>
      </c>
      <c r="B343" s="90"/>
      <c r="C343" s="91" t="s">
        <v>207</v>
      </c>
      <c r="D343" s="92"/>
      <c r="E343" s="92"/>
      <c r="F343" s="93"/>
      <c r="G343" s="94" t="str">
        <f>A342</f>
        <v>11th Floor</v>
      </c>
      <c r="H343" s="95"/>
      <c r="I343" s="33"/>
      <c r="N343" s="33"/>
    </row>
    <row r="344" spans="1:14" s="2" customFormat="1" x14ac:dyDescent="0.3">
      <c r="A344" s="90">
        <f>A343+1</f>
        <v>1102</v>
      </c>
      <c r="B344" s="90"/>
      <c r="C344" s="15" t="s">
        <v>208</v>
      </c>
      <c r="D344" s="15">
        <f t="shared" ref="D344:D345" si="87">(27.986+3.794+4.47)*10.764</f>
        <v>390.19499999999999</v>
      </c>
      <c r="E344" s="15">
        <v>0</v>
      </c>
      <c r="F344" s="15">
        <f t="shared" ref="F344" si="88">D344*(($F$228)+1)+E344</f>
        <v>585.29250000000002</v>
      </c>
      <c r="G344" s="96"/>
      <c r="H344" s="97"/>
      <c r="I344" s="33"/>
      <c r="N344" s="33"/>
    </row>
    <row r="345" spans="1:14" s="2" customFormat="1" x14ac:dyDescent="0.3">
      <c r="A345" s="90">
        <f>A344+1</f>
        <v>1103</v>
      </c>
      <c r="B345" s="90"/>
      <c r="C345" s="15" t="s">
        <v>208</v>
      </c>
      <c r="D345" s="15">
        <f t="shared" si="87"/>
        <v>390.19499999999999</v>
      </c>
      <c r="E345" s="15">
        <v>0</v>
      </c>
      <c r="F345" s="15">
        <f t="shared" ref="F345" si="89">D345*(($F$228)+1)+E345</f>
        <v>585.29250000000002</v>
      </c>
      <c r="G345" s="96"/>
      <c r="H345" s="97"/>
      <c r="I345" s="33"/>
      <c r="N345" s="33"/>
    </row>
    <row r="346" spans="1:14" s="2" customFormat="1" x14ac:dyDescent="0.3">
      <c r="A346" s="90">
        <f t="shared" ref="A346" si="90">A345+1</f>
        <v>1104</v>
      </c>
      <c r="B346" s="90"/>
      <c r="C346" s="91" t="s">
        <v>207</v>
      </c>
      <c r="D346" s="92"/>
      <c r="E346" s="92"/>
      <c r="F346" s="93"/>
      <c r="G346" s="98"/>
      <c r="H346" s="99"/>
      <c r="I346" s="33"/>
      <c r="N346" s="33"/>
    </row>
    <row r="347" spans="1:14" s="2" customFormat="1" x14ac:dyDescent="0.3">
      <c r="A347" s="100" t="s">
        <v>203</v>
      </c>
      <c r="B347" s="100"/>
      <c r="C347" s="100"/>
      <c r="D347" s="100"/>
      <c r="E347" s="100"/>
      <c r="F347" s="100"/>
      <c r="G347" s="100"/>
      <c r="H347" s="100"/>
      <c r="I347" s="33"/>
      <c r="L347" s="101"/>
      <c r="M347" s="101"/>
    </row>
    <row r="348" spans="1:14" s="2" customFormat="1" x14ac:dyDescent="0.3">
      <c r="A348" s="100" t="s">
        <v>206</v>
      </c>
      <c r="B348" s="100"/>
      <c r="C348" s="100"/>
      <c r="D348" s="100"/>
      <c r="E348" s="100"/>
      <c r="F348" s="100"/>
      <c r="G348" s="100"/>
      <c r="H348" s="100"/>
      <c r="I348" s="33"/>
      <c r="L348" s="101"/>
      <c r="M348" s="101"/>
    </row>
    <row r="349" spans="1:14" s="2" customFormat="1" x14ac:dyDescent="0.3">
      <c r="A349" s="90">
        <f>LEFT(A348,SUM(LEN(A348)-LEN(SUBSTITUTE(A348,{"0","1","2","3","4","5","6","7","8","9"},""))))*100+1</f>
        <v>301</v>
      </c>
      <c r="B349" s="90"/>
      <c r="C349" s="15" t="s">
        <v>208</v>
      </c>
      <c r="D349" s="15">
        <f>(27.925+3.855+4.47)*10.764</f>
        <v>390.19499999999999</v>
      </c>
      <c r="E349" s="15">
        <v>0</v>
      </c>
      <c r="F349" s="15">
        <f>D349*(($F$228)+1)+E349</f>
        <v>585.29250000000002</v>
      </c>
      <c r="G349" s="94" t="str">
        <f>A348</f>
        <v>3rd Floor</v>
      </c>
      <c r="H349" s="95"/>
      <c r="I349" s="33"/>
      <c r="N349" s="33"/>
    </row>
    <row r="350" spans="1:14" s="2" customFormat="1" x14ac:dyDescent="0.3">
      <c r="A350" s="90">
        <f>A349+1</f>
        <v>302</v>
      </c>
      <c r="B350" s="90"/>
      <c r="C350" s="15" t="s">
        <v>209</v>
      </c>
      <c r="D350" s="15">
        <f>(42.882+5.748+5.55)*10.764</f>
        <v>583.19351999999992</v>
      </c>
      <c r="E350" s="15">
        <v>0</v>
      </c>
      <c r="F350" s="15">
        <f t="shared" ref="F350:F352" si="91">D350*(($F$228)+1)+E350</f>
        <v>874.79027999999994</v>
      </c>
      <c r="G350" s="96"/>
      <c r="H350" s="97"/>
      <c r="I350" s="33"/>
      <c r="N350" s="33"/>
    </row>
    <row r="351" spans="1:14" s="2" customFormat="1" x14ac:dyDescent="0.3">
      <c r="A351" s="90">
        <f>A350+1</f>
        <v>303</v>
      </c>
      <c r="B351" s="90"/>
      <c r="C351" s="15" t="s">
        <v>209</v>
      </c>
      <c r="D351" s="15">
        <f>(43.255+5.885+6.06)*10.764</f>
        <v>594.17279999999994</v>
      </c>
      <c r="E351" s="15">
        <v>0</v>
      </c>
      <c r="F351" s="15">
        <f t="shared" si="91"/>
        <v>891.25919999999996</v>
      </c>
      <c r="G351" s="96"/>
      <c r="H351" s="97"/>
      <c r="I351" s="33"/>
      <c r="N351" s="33"/>
    </row>
    <row r="352" spans="1:14" s="2" customFormat="1" x14ac:dyDescent="0.3">
      <c r="A352" s="90">
        <f t="shared" ref="A352:A353" si="92">A351+1</f>
        <v>304</v>
      </c>
      <c r="B352" s="90"/>
      <c r="C352" s="15" t="s">
        <v>209</v>
      </c>
      <c r="D352" s="15">
        <f>(43.255+5.885+6.06)*10.764</f>
        <v>594.17279999999994</v>
      </c>
      <c r="E352" s="15">
        <v>0</v>
      </c>
      <c r="F352" s="15">
        <f t="shared" si="91"/>
        <v>891.25919999999996</v>
      </c>
      <c r="G352" s="96"/>
      <c r="H352" s="97"/>
      <c r="I352" s="33"/>
      <c r="N352" s="33"/>
    </row>
    <row r="353" spans="1:16" s="2" customFormat="1" x14ac:dyDescent="0.3">
      <c r="A353" s="90">
        <f t="shared" si="92"/>
        <v>305</v>
      </c>
      <c r="B353" s="90"/>
      <c r="C353" s="15" t="s">
        <v>209</v>
      </c>
      <c r="D353" s="15">
        <f>(42.882+5.748+5.55)*10.764</f>
        <v>583.19351999999992</v>
      </c>
      <c r="E353" s="15">
        <v>0</v>
      </c>
      <c r="F353" s="15">
        <f t="shared" ref="F353" si="93">D353*(($F$228)+1)+E353</f>
        <v>874.79027999999994</v>
      </c>
      <c r="G353" s="98"/>
      <c r="H353" s="99"/>
      <c r="I353" s="33"/>
      <c r="N353" s="33"/>
    </row>
    <row r="354" spans="1:16" s="2" customFormat="1" x14ac:dyDescent="0.3">
      <c r="A354" s="102" t="s">
        <v>192</v>
      </c>
      <c r="B354" s="103"/>
      <c r="C354" s="103"/>
      <c r="D354" s="103"/>
      <c r="E354" s="103"/>
      <c r="F354" s="103"/>
      <c r="G354" s="103"/>
      <c r="H354" s="104"/>
      <c r="I354" s="33"/>
    </row>
    <row r="355" spans="1:16" s="2" customFormat="1" ht="15.75" customHeight="1" x14ac:dyDescent="0.3">
      <c r="A355" s="91" t="str">
        <f t="shared" ref="A355:A359" ca="1" si="94">N355</f>
        <v>401 to 1001</v>
      </c>
      <c r="B355" s="93"/>
      <c r="C355" s="15" t="s">
        <v>208</v>
      </c>
      <c r="D355" s="15">
        <f>(27.979+3.801+4.47)*10.764</f>
        <v>390.19499999999999</v>
      </c>
      <c r="E355" s="15">
        <v>0</v>
      </c>
      <c r="F355" s="15">
        <f t="shared" ref="F355:F357" si="95">D355*(($F$228)+1)+E355</f>
        <v>585.29250000000002</v>
      </c>
      <c r="G355" s="94" t="str">
        <f>A354</f>
        <v>4th to 10th Floor</v>
      </c>
      <c r="H355" s="95"/>
      <c r="I355" s="33"/>
      <c r="N355" s="2" t="str">
        <f t="shared" ref="N355:N359" ca="1" si="96">O355&amp;""&amp;" to "&amp;""&amp;P355</f>
        <v>401 to 1001</v>
      </c>
      <c r="O355" s="2">
        <f ca="1">(SUMPRODUCT(MID(0&amp;(LEFT(A354,SUM(LEN(A354)-LEN(SUBSTITUTE(A354,{"0","1","2"},""))))), LARGE(INDEX(ISNUMBER(--MID((LEFT(A354,SUM(LEN(A354)-LEN(SUBSTITUTE(A354,{"0","1","2"},""))))), ROW(INDIRECT("1:"&amp;LEN((LEFT(A354,SUM(LEN(A354)-LEN(SUBSTITUTE(A354,{"0","1","2"},"")))))))), 1)) * ROW(INDIRECT("1:"&amp;LEN((LEFT(A354,SUM(LEN(A354)-LEN(SUBSTITUTE(A354,{"0","1","2"},"")))))))), 0), ROW(INDIRECT("1:"&amp;LEN((LEFT(A354,SUM(LEN(A354)-LEN(SUBSTITUTE(A354,{"0","1","2"},"")))))))))+1, 1) * 10^ROW(INDIRECT("1:"&amp;LEN((LEFT(A354,SUM(LEN(A354)-LEN(SUBSTITUTE(A354,{"0","1","2"},""))))))))/10))*100+1</f>
        <v>401</v>
      </c>
      <c r="P355" s="2">
        <f ca="1">(SUMPRODUCT(MID(0&amp;(--TRIM(RIGHT(SUBSTITUTE(LEFT(A354,_xlfn.AGGREGATE(16,6,FIND({0,1,2,3,4,5,6,7,8,9},A354,ROW(INDIRECT("1:"&amp;LEN(A354)))),1))," ",REPT(" ",LEN(A354))),LEN(A354)))), LARGE(INDEX(ISNUMBER(--MID((--TRIM(RIGHT(SUBSTITUTE(LEFT(A354,_xlfn.AGGREGATE(16,6,FIND({0,1,2,3,4,5,6,7,8,9},A354,ROW(INDIRECT("1:"&amp;LEN(A354)))),1))," ",REPT(" ",LEN(A354))),LEN(A354)))), ROW(INDIRECT("1:"&amp;LEN((--TRIM(RIGHT(SUBSTITUTE(LEFT(A354,_xlfn.AGGREGATE(16,6,FIND({0,1,2,3,4,5,6,7,8,9},A354,ROW(INDIRECT("1:"&amp;LEN(A354)))),1))," ",REPT(" ",LEN(A354))),LEN(A354))))))), 1)) * ROW(INDIRECT("1:"&amp;LEN((--TRIM(RIGHT(SUBSTITUTE(LEFT(A354,_xlfn.AGGREGATE(16,6,FIND({0,1,2,3,4,5,6,7,8,9},A354,ROW(INDIRECT("1:"&amp;LEN(A354)))),1))," ",REPT(" ",LEN(A354))),LEN(A354))))))), 0), ROW(INDIRECT("1:"&amp;LEN((--TRIM(RIGHT(SUBSTITUTE(LEFT(A354,_xlfn.AGGREGATE(16,6,FIND({0,1,2,3,4,5,6,7,8,9},A354,ROW(INDIRECT("1:"&amp;LEN(A354)))),1))," ",REPT(" ",LEN(A354))),LEN(A354))))))))+1, 1) * 10^ROW(INDIRECT("1:"&amp;LEN((--TRIM(RIGHT(SUBSTITUTE(LEFT(A354,_xlfn.AGGREGATE(16,6,FIND({0,1,2,3,4,5,6,7,8,9},A354,ROW(INDIRECT("1:"&amp;LEN(A354)))),1))," ",REPT(" ",LEN(A354))),LEN(A354)))))))/10))*100+1</f>
        <v>1001</v>
      </c>
    </row>
    <row r="356" spans="1:16" s="2" customFormat="1" ht="15.75" customHeight="1" x14ac:dyDescent="0.3">
      <c r="A356" s="91" t="str">
        <f t="shared" ca="1" si="94"/>
        <v>402 to 1002</v>
      </c>
      <c r="B356" s="93"/>
      <c r="C356" s="15" t="s">
        <v>209</v>
      </c>
      <c r="D356" s="15">
        <f>(42.882+5.748+5.55)*10.764</f>
        <v>583.19351999999992</v>
      </c>
      <c r="E356" s="15">
        <v>0</v>
      </c>
      <c r="F356" s="15">
        <f t="shared" si="95"/>
        <v>874.79027999999994</v>
      </c>
      <c r="G356" s="96"/>
      <c r="H356" s="97"/>
      <c r="I356" s="33"/>
      <c r="N356" s="2" t="str">
        <f t="shared" ca="1" si="96"/>
        <v>402 to 1002</v>
      </c>
      <c r="O356" s="2">
        <f t="shared" ref="O356:P356" ca="1" si="97">O355+1</f>
        <v>402</v>
      </c>
      <c r="P356" s="2">
        <f t="shared" ca="1" si="97"/>
        <v>1002</v>
      </c>
    </row>
    <row r="357" spans="1:16" s="2" customFormat="1" ht="15.75" customHeight="1" x14ac:dyDescent="0.3">
      <c r="A357" s="91" t="str">
        <f t="shared" ca="1" si="94"/>
        <v>403 to 1003</v>
      </c>
      <c r="B357" s="93"/>
      <c r="C357" s="15" t="s">
        <v>209</v>
      </c>
      <c r="D357" s="15">
        <f>(43.255+5.885+6.06)*10.764</f>
        <v>594.17279999999994</v>
      </c>
      <c r="E357" s="15">
        <v>0</v>
      </c>
      <c r="F357" s="15">
        <f t="shared" si="95"/>
        <v>891.25919999999996</v>
      </c>
      <c r="G357" s="96"/>
      <c r="H357" s="97"/>
      <c r="I357" s="33"/>
      <c r="N357" s="2" t="str">
        <f t="shared" ca="1" si="96"/>
        <v>403 to 1003</v>
      </c>
      <c r="O357" s="2">
        <f t="shared" ref="O357:P357" ca="1" si="98">O356+1</f>
        <v>403</v>
      </c>
      <c r="P357" s="2">
        <f t="shared" ca="1" si="98"/>
        <v>1003</v>
      </c>
    </row>
    <row r="358" spans="1:16" s="2" customFormat="1" ht="15.75" customHeight="1" x14ac:dyDescent="0.3">
      <c r="A358" s="91" t="str">
        <f t="shared" ca="1" si="94"/>
        <v>404 to 1004</v>
      </c>
      <c r="B358" s="93"/>
      <c r="C358" s="15" t="s">
        <v>209</v>
      </c>
      <c r="D358" s="15">
        <f>(43.255+5.885+6.06)*10.764</f>
        <v>594.17279999999994</v>
      </c>
      <c r="E358" s="15">
        <v>0</v>
      </c>
      <c r="F358" s="15">
        <f>D358*(($F$228)+1)+E358</f>
        <v>891.25919999999996</v>
      </c>
      <c r="G358" s="96"/>
      <c r="H358" s="97"/>
      <c r="I358" s="33"/>
      <c r="N358" s="2" t="str">
        <f t="shared" ca="1" si="96"/>
        <v>404 to 1004</v>
      </c>
      <c r="O358" s="2">
        <f t="shared" ref="O358:P358" ca="1" si="99">O357+1</f>
        <v>404</v>
      </c>
      <c r="P358" s="2">
        <f t="shared" ca="1" si="99"/>
        <v>1004</v>
      </c>
    </row>
    <row r="359" spans="1:16" s="2" customFormat="1" ht="15.75" customHeight="1" x14ac:dyDescent="0.3">
      <c r="A359" s="91" t="str">
        <f t="shared" ca="1" si="94"/>
        <v>405 to 1005</v>
      </c>
      <c r="B359" s="93"/>
      <c r="C359" s="15" t="s">
        <v>209</v>
      </c>
      <c r="D359" s="15">
        <f>(42.882+5.748+5.55)*10.764</f>
        <v>583.19351999999992</v>
      </c>
      <c r="E359" s="15">
        <v>0</v>
      </c>
      <c r="F359" s="15">
        <f t="shared" ref="F359:F361" si="100">D359*(($F$228)+1)+E359</f>
        <v>874.79027999999994</v>
      </c>
      <c r="G359" s="96"/>
      <c r="H359" s="97"/>
      <c r="I359" s="33"/>
      <c r="N359" s="2" t="str">
        <f t="shared" ca="1" si="96"/>
        <v>405 to 1005</v>
      </c>
      <c r="O359" s="2">
        <f t="shared" ref="O359:P359" ca="1" si="101">O358+1</f>
        <v>405</v>
      </c>
      <c r="P359" s="2">
        <f t="shared" ca="1" si="101"/>
        <v>1005</v>
      </c>
    </row>
    <row r="360" spans="1:16" s="2" customFormat="1" ht="15.75" customHeight="1" x14ac:dyDescent="0.3">
      <c r="A360" s="91" t="str">
        <f t="shared" ref="A360:A362" ca="1" si="102">N360</f>
        <v>406 to 1006</v>
      </c>
      <c r="B360" s="93"/>
      <c r="C360" s="15" t="s">
        <v>208</v>
      </c>
      <c r="D360" s="15">
        <f>(26.534+3.613+4.47)*10.764</f>
        <v>372.61738799999995</v>
      </c>
      <c r="E360" s="15">
        <v>0</v>
      </c>
      <c r="F360" s="15">
        <f t="shared" si="100"/>
        <v>558.92608199999995</v>
      </c>
      <c r="G360" s="96"/>
      <c r="H360" s="97"/>
      <c r="I360" s="33"/>
      <c r="N360" s="2" t="str">
        <f t="shared" ref="N360:N362" ca="1" si="103">O360&amp;""&amp;" to "&amp;""&amp;P360</f>
        <v>406 to 1006</v>
      </c>
      <c r="O360" s="2">
        <f t="shared" ref="O360:P360" ca="1" si="104">O359+1</f>
        <v>406</v>
      </c>
      <c r="P360" s="2">
        <f t="shared" ca="1" si="104"/>
        <v>1006</v>
      </c>
    </row>
    <row r="361" spans="1:16" s="2" customFormat="1" ht="15.75" customHeight="1" x14ac:dyDescent="0.3">
      <c r="A361" s="91" t="str">
        <f t="shared" ca="1" si="102"/>
        <v>407 to 1007</v>
      </c>
      <c r="B361" s="93"/>
      <c r="C361" s="15" t="s">
        <v>208</v>
      </c>
      <c r="D361" s="15">
        <f>(26.458+3.698+4.47)*10.764</f>
        <v>372.71426399999996</v>
      </c>
      <c r="E361" s="15">
        <v>0</v>
      </c>
      <c r="F361" s="15">
        <f t="shared" si="100"/>
        <v>559.07139599999994</v>
      </c>
      <c r="G361" s="96"/>
      <c r="H361" s="97"/>
      <c r="I361" s="33"/>
      <c r="N361" s="2" t="str">
        <f t="shared" ca="1" si="103"/>
        <v>407 to 1007</v>
      </c>
      <c r="O361" s="2">
        <f t="shared" ref="O361:P361" ca="1" si="105">O360+1</f>
        <v>407</v>
      </c>
      <c r="P361" s="2">
        <f t="shared" ca="1" si="105"/>
        <v>1007</v>
      </c>
    </row>
    <row r="362" spans="1:16" s="2" customFormat="1" ht="15.75" customHeight="1" x14ac:dyDescent="0.3">
      <c r="A362" s="91" t="str">
        <f t="shared" ca="1" si="102"/>
        <v>408 to 1008</v>
      </c>
      <c r="B362" s="93"/>
      <c r="C362" s="15" t="s">
        <v>208</v>
      </c>
      <c r="D362" s="15">
        <f>(26.458+3.698+4.47)*10.764</f>
        <v>372.71426399999996</v>
      </c>
      <c r="E362" s="15">
        <v>0</v>
      </c>
      <c r="F362" s="15">
        <f>D362*(($F$228)+1)+E362</f>
        <v>559.07139599999994</v>
      </c>
      <c r="G362" s="98"/>
      <c r="H362" s="99"/>
      <c r="I362" s="33"/>
      <c r="N362" s="2" t="str">
        <f t="shared" ca="1" si="103"/>
        <v>408 to 1008</v>
      </c>
      <c r="O362" s="2">
        <f t="shared" ref="O362:P362" ca="1" si="106">O361+1</f>
        <v>408</v>
      </c>
      <c r="P362" s="2">
        <f t="shared" ca="1" si="106"/>
        <v>1008</v>
      </c>
    </row>
    <row r="363" spans="1:16" s="2" customFormat="1" x14ac:dyDescent="0.3">
      <c r="A363" s="100" t="s">
        <v>199</v>
      </c>
      <c r="B363" s="100"/>
      <c r="C363" s="100"/>
      <c r="D363" s="100"/>
      <c r="E363" s="100"/>
      <c r="F363" s="100"/>
      <c r="G363" s="100"/>
      <c r="H363" s="100"/>
      <c r="I363" s="33"/>
      <c r="L363" s="101"/>
      <c r="M363" s="101"/>
    </row>
    <row r="364" spans="1:16" s="2" customFormat="1" x14ac:dyDescent="0.3">
      <c r="A364" s="90">
        <f>LEFT(A363,SUM(LEN(A363)-LEN(SUBSTITUTE(A363,{"0","1","2","3","4","5","6","7","8","9"},""))))*100+1</f>
        <v>1101</v>
      </c>
      <c r="B364" s="90"/>
      <c r="C364" s="91" t="s">
        <v>207</v>
      </c>
      <c r="D364" s="92"/>
      <c r="E364" s="92"/>
      <c r="F364" s="93"/>
      <c r="G364" s="94" t="str">
        <f>A363</f>
        <v>11th Floor</v>
      </c>
      <c r="H364" s="95"/>
      <c r="I364" s="33"/>
      <c r="N364" s="33"/>
    </row>
    <row r="365" spans="1:16" s="2" customFormat="1" x14ac:dyDescent="0.3">
      <c r="A365" s="90">
        <f>A364+1</f>
        <v>1102</v>
      </c>
      <c r="B365" s="90"/>
      <c r="C365" s="15" t="s">
        <v>209</v>
      </c>
      <c r="D365" s="15">
        <f>(42.882+5.748+5.55)*10.764</f>
        <v>583.19351999999992</v>
      </c>
      <c r="E365" s="15">
        <v>0</v>
      </c>
      <c r="F365" s="15">
        <f t="shared" ref="F365:F367" si="107">D365*(($F$228)+1)+E365</f>
        <v>874.79027999999994</v>
      </c>
      <c r="G365" s="96"/>
      <c r="H365" s="97"/>
      <c r="I365" s="33"/>
      <c r="N365" s="33"/>
    </row>
    <row r="366" spans="1:16" s="2" customFormat="1" x14ac:dyDescent="0.3">
      <c r="A366" s="90">
        <f>A365+1</f>
        <v>1103</v>
      </c>
      <c r="B366" s="90"/>
      <c r="C366" s="15" t="s">
        <v>209</v>
      </c>
      <c r="D366" s="15">
        <f>(43.255+5.885+6.06)*10.764</f>
        <v>594.17279999999994</v>
      </c>
      <c r="E366" s="15">
        <v>0</v>
      </c>
      <c r="F366" s="15">
        <f t="shared" si="107"/>
        <v>891.25919999999996</v>
      </c>
      <c r="G366" s="96"/>
      <c r="H366" s="97"/>
      <c r="I366" s="33"/>
      <c r="N366" s="33"/>
    </row>
    <row r="367" spans="1:16" s="2" customFormat="1" x14ac:dyDescent="0.3">
      <c r="A367" s="90">
        <f t="shared" ref="A367:A368" si="108">A366+1</f>
        <v>1104</v>
      </c>
      <c r="B367" s="90"/>
      <c r="C367" s="15" t="s">
        <v>209</v>
      </c>
      <c r="D367" s="15">
        <f>(43.255+5.885+6.06)*10.764</f>
        <v>594.17279999999994</v>
      </c>
      <c r="E367" s="15">
        <v>0</v>
      </c>
      <c r="F367" s="15">
        <f t="shared" si="107"/>
        <v>891.25919999999996</v>
      </c>
      <c r="G367" s="96"/>
      <c r="H367" s="97"/>
      <c r="I367" s="33"/>
      <c r="N367" s="33"/>
    </row>
    <row r="368" spans="1:16" s="2" customFormat="1" x14ac:dyDescent="0.3">
      <c r="A368" s="90">
        <f t="shared" si="108"/>
        <v>1105</v>
      </c>
      <c r="B368" s="90"/>
      <c r="C368" s="15" t="s">
        <v>209</v>
      </c>
      <c r="D368" s="15">
        <f>(42.882+5.748+5.55)*10.764</f>
        <v>583.19351999999992</v>
      </c>
      <c r="E368" s="15">
        <v>0</v>
      </c>
      <c r="F368" s="15">
        <f t="shared" ref="F368" si="109">D368*(($F$228)+1)+E368</f>
        <v>874.79027999999994</v>
      </c>
      <c r="G368" s="98"/>
      <c r="H368" s="99"/>
      <c r="I368" s="33"/>
      <c r="N368" s="33"/>
    </row>
    <row r="369" spans="1:9" s="1" customFormat="1" x14ac:dyDescent="0.3">
      <c r="A369" s="148" t="s">
        <v>75</v>
      </c>
      <c r="B369" s="148"/>
      <c r="C369" s="148"/>
      <c r="D369" s="148"/>
      <c r="E369" s="148"/>
      <c r="F369" s="148"/>
      <c r="G369" s="148"/>
      <c r="H369" s="148"/>
    </row>
    <row r="370" spans="1:9" s="1" customFormat="1" x14ac:dyDescent="0.3">
      <c r="A370" s="37">
        <v>1</v>
      </c>
      <c r="B370" s="87" t="s">
        <v>253</v>
      </c>
      <c r="C370" s="88"/>
      <c r="D370" s="88"/>
      <c r="E370" s="88"/>
      <c r="F370" s="88"/>
      <c r="G370" s="88"/>
      <c r="H370" s="89"/>
      <c r="I370" s="1" t="s">
        <v>250</v>
      </c>
    </row>
    <row r="371" spans="1:9" s="1" customFormat="1" x14ac:dyDescent="0.3">
      <c r="A371" s="37">
        <f>A370+1</f>
        <v>2</v>
      </c>
      <c r="B371" s="87" t="s">
        <v>210</v>
      </c>
      <c r="C371" s="88"/>
      <c r="D371" s="88"/>
      <c r="E371" s="88"/>
      <c r="F371" s="88"/>
      <c r="G371" s="88"/>
      <c r="H371" s="89"/>
      <c r="I371" s="195" t="s">
        <v>251</v>
      </c>
    </row>
    <row r="372" spans="1:9" s="1" customFormat="1" x14ac:dyDescent="0.3">
      <c r="A372" s="37">
        <f t="shared" ref="A372:A377" si="110">A371+1</f>
        <v>3</v>
      </c>
      <c r="B372" s="87" t="s">
        <v>145</v>
      </c>
      <c r="C372" s="88"/>
      <c r="D372" s="88"/>
      <c r="E372" s="88"/>
      <c r="F372" s="88"/>
      <c r="G372" s="88"/>
      <c r="H372" s="89"/>
    </row>
    <row r="373" spans="1:9" s="1" customFormat="1" x14ac:dyDescent="0.3">
      <c r="A373" s="37">
        <f t="shared" si="110"/>
        <v>4</v>
      </c>
      <c r="B373" s="87" t="s">
        <v>146</v>
      </c>
      <c r="C373" s="88"/>
      <c r="D373" s="88"/>
      <c r="E373" s="88"/>
      <c r="F373" s="88"/>
      <c r="G373" s="88"/>
      <c r="H373" s="89"/>
    </row>
    <row r="374" spans="1:9" s="1" customFormat="1" ht="31.5" hidden="1" customHeight="1" x14ac:dyDescent="0.3">
      <c r="A374" s="37">
        <f t="shared" si="110"/>
        <v>5</v>
      </c>
      <c r="B374" s="87" t="s">
        <v>223</v>
      </c>
      <c r="C374" s="88"/>
      <c r="D374" s="88"/>
      <c r="E374" s="88"/>
      <c r="F374" s="88"/>
      <c r="G374" s="88"/>
      <c r="H374" s="89"/>
    </row>
    <row r="375" spans="1:9" s="1" customFormat="1" x14ac:dyDescent="0.3">
      <c r="A375" s="37">
        <v>5</v>
      </c>
      <c r="B375" s="87" t="s">
        <v>147</v>
      </c>
      <c r="C375" s="88"/>
      <c r="D375" s="88"/>
      <c r="E375" s="88"/>
      <c r="F375" s="88"/>
      <c r="G375" s="88"/>
      <c r="H375" s="89"/>
    </row>
    <row r="376" spans="1:9" s="1" customFormat="1" x14ac:dyDescent="0.3">
      <c r="A376" s="37">
        <f t="shared" si="110"/>
        <v>6</v>
      </c>
      <c r="B376" s="87" t="s">
        <v>148</v>
      </c>
      <c r="C376" s="88"/>
      <c r="D376" s="88"/>
      <c r="E376" s="88"/>
      <c r="F376" s="88"/>
      <c r="G376" s="88"/>
      <c r="H376" s="89"/>
    </row>
    <row r="377" spans="1:9" s="1" customFormat="1" hidden="1" x14ac:dyDescent="0.3">
      <c r="A377" s="37">
        <f t="shared" si="110"/>
        <v>7</v>
      </c>
      <c r="B377" s="87" t="s">
        <v>236</v>
      </c>
      <c r="C377" s="88"/>
      <c r="D377" s="88"/>
      <c r="E377" s="88"/>
      <c r="F377" s="88"/>
      <c r="G377" s="88"/>
      <c r="H377" s="89"/>
    </row>
    <row r="378" spans="1:9" x14ac:dyDescent="0.3">
      <c r="A378" s="149" t="s">
        <v>68</v>
      </c>
      <c r="B378" s="149"/>
      <c r="C378" s="149"/>
      <c r="D378" s="149"/>
      <c r="E378" s="149"/>
      <c r="F378" s="149"/>
      <c r="G378" s="149"/>
      <c r="H378" s="149"/>
    </row>
    <row r="379" spans="1:9" x14ac:dyDescent="0.3">
      <c r="A379" s="116" t="s">
        <v>69</v>
      </c>
      <c r="B379" s="116"/>
      <c r="C379" s="116"/>
      <c r="D379" s="116"/>
      <c r="E379" s="116"/>
      <c r="F379" s="116"/>
      <c r="G379" s="116"/>
      <c r="H379" s="116"/>
    </row>
    <row r="380" spans="1:9" ht="15.75" customHeight="1" x14ac:dyDescent="0.3">
      <c r="A380" s="172" t="s">
        <v>70</v>
      </c>
      <c r="B380" s="172"/>
      <c r="C380" s="172"/>
      <c r="D380" s="172"/>
      <c r="E380" s="172"/>
      <c r="F380" s="172"/>
      <c r="G380" s="172"/>
      <c r="H380" s="172"/>
    </row>
    <row r="381" spans="1:9" x14ac:dyDescent="0.3">
      <c r="A381" s="116" t="s">
        <v>71</v>
      </c>
      <c r="B381" s="116"/>
      <c r="C381" s="116"/>
      <c r="D381" s="116"/>
      <c r="E381" s="116"/>
      <c r="F381" s="116"/>
      <c r="G381" s="116"/>
      <c r="H381" s="116"/>
    </row>
    <row r="382" spans="1:9" x14ac:dyDescent="0.3">
      <c r="A382" s="116" t="s">
        <v>72</v>
      </c>
      <c r="B382" s="116"/>
      <c r="C382" s="116"/>
      <c r="D382" s="116"/>
      <c r="E382" s="116"/>
      <c r="F382" s="116"/>
      <c r="G382" s="116"/>
      <c r="H382" s="116"/>
    </row>
    <row r="383" spans="1:9" x14ac:dyDescent="0.3">
      <c r="A383" s="116" t="s">
        <v>149</v>
      </c>
      <c r="B383" s="116"/>
      <c r="C383" s="116"/>
      <c r="D383" s="116"/>
      <c r="E383" s="116"/>
      <c r="F383" s="116"/>
      <c r="G383" s="116"/>
      <c r="H383" s="116"/>
    </row>
    <row r="384" spans="1:9" ht="35.25" hidden="1" customHeight="1" x14ac:dyDescent="0.3">
      <c r="A384" s="123" t="s">
        <v>150</v>
      </c>
      <c r="B384" s="123"/>
      <c r="C384" s="123"/>
      <c r="D384" s="123"/>
      <c r="E384" s="123"/>
      <c r="F384" s="123"/>
      <c r="G384" s="123"/>
      <c r="H384" s="123"/>
    </row>
    <row r="385" spans="1:8" x14ac:dyDescent="0.3">
      <c r="A385" s="146" t="s">
        <v>86</v>
      </c>
      <c r="B385" s="146"/>
      <c r="C385" s="146" t="s">
        <v>242</v>
      </c>
      <c r="D385" s="146"/>
      <c r="E385" s="146" t="s">
        <v>121</v>
      </c>
      <c r="F385" s="146"/>
      <c r="G385" s="146" t="s">
        <v>252</v>
      </c>
      <c r="H385" s="146"/>
    </row>
    <row r="386" spans="1:8" x14ac:dyDescent="0.3">
      <c r="A386" s="145" t="s">
        <v>88</v>
      </c>
      <c r="B386" s="145"/>
      <c r="C386" s="145"/>
      <c r="D386" s="145"/>
      <c r="E386" s="145"/>
      <c r="F386" s="145"/>
      <c r="G386" s="145"/>
      <c r="H386" s="145"/>
    </row>
    <row r="387" spans="1:8" x14ac:dyDescent="0.3">
      <c r="A387" s="145"/>
      <c r="B387" s="145"/>
      <c r="C387" s="145"/>
      <c r="D387" s="145"/>
      <c r="E387" s="145"/>
      <c r="F387" s="145"/>
      <c r="G387" s="145"/>
      <c r="H387" s="145"/>
    </row>
    <row r="388" spans="1:8" x14ac:dyDescent="0.3">
      <c r="A388" s="145"/>
      <c r="B388" s="145"/>
      <c r="C388" s="145"/>
      <c r="D388" s="145"/>
      <c r="E388" s="145"/>
      <c r="F388" s="145"/>
      <c r="G388" s="145"/>
      <c r="H388" s="145"/>
    </row>
    <row r="389" spans="1:8" x14ac:dyDescent="0.3">
      <c r="A389" s="145"/>
      <c r="B389" s="145"/>
      <c r="C389" s="145"/>
      <c r="D389" s="145"/>
      <c r="E389" s="145"/>
      <c r="F389" s="145"/>
      <c r="G389" s="145"/>
      <c r="H389" s="145"/>
    </row>
    <row r="390" spans="1:8" x14ac:dyDescent="0.3">
      <c r="A390" s="10" t="s">
        <v>73</v>
      </c>
      <c r="B390" s="11"/>
      <c r="C390" s="11"/>
      <c r="D390" s="10" t="str">
        <f>E8</f>
        <v>Planet 6</v>
      </c>
      <c r="F390" s="11"/>
      <c r="G390" s="11"/>
      <c r="H390" s="11"/>
    </row>
    <row r="391" spans="1:8" x14ac:dyDescent="0.3">
      <c r="A391" s="11"/>
      <c r="B391" s="11"/>
      <c r="C391" s="11"/>
      <c r="D391" s="11"/>
      <c r="E391" s="11"/>
      <c r="F391" s="11"/>
      <c r="G391" s="11"/>
      <c r="H391" s="11"/>
    </row>
    <row r="392" spans="1:8" x14ac:dyDescent="0.3">
      <c r="A392" s="11"/>
      <c r="B392" s="11"/>
      <c r="C392" s="11"/>
      <c r="D392" s="11"/>
      <c r="E392" s="11"/>
      <c r="F392" s="11"/>
      <c r="G392" s="11"/>
      <c r="H392" s="11"/>
    </row>
    <row r="393" spans="1:8" ht="15" customHeight="1" x14ac:dyDescent="0.3"/>
    <row r="433" spans="1:1" x14ac:dyDescent="0.3">
      <c r="A433" s="13" t="s">
        <v>74</v>
      </c>
    </row>
  </sheetData>
  <mergeCells count="643">
    <mergeCell ref="G265:H268"/>
    <mergeCell ref="G258:H263"/>
    <mergeCell ref="G253:H256"/>
    <mergeCell ref="G246:H250"/>
    <mergeCell ref="G237:H244"/>
    <mergeCell ref="G231:H235"/>
    <mergeCell ref="G200:H225"/>
    <mergeCell ref="G172:H197"/>
    <mergeCell ref="A139:E139"/>
    <mergeCell ref="F139:H139"/>
    <mergeCell ref="A145:E145"/>
    <mergeCell ref="A147:E147"/>
    <mergeCell ref="F141:H141"/>
    <mergeCell ref="A142:E142"/>
    <mergeCell ref="F142:H142"/>
    <mergeCell ref="A143:E143"/>
    <mergeCell ref="F143:H143"/>
    <mergeCell ref="F145:H145"/>
    <mergeCell ref="A144:E144"/>
    <mergeCell ref="F144:H144"/>
    <mergeCell ref="A141:E141"/>
    <mergeCell ref="A199:H199"/>
    <mergeCell ref="A200:B200"/>
    <mergeCell ref="A265:B265"/>
    <mergeCell ref="C36:H36"/>
    <mergeCell ref="A37:B37"/>
    <mergeCell ref="C37:H37"/>
    <mergeCell ref="A120:B120"/>
    <mergeCell ref="C120:H120"/>
    <mergeCell ref="F138:H138"/>
    <mergeCell ref="A135:H135"/>
    <mergeCell ref="A136:B136"/>
    <mergeCell ref="A127:B127"/>
    <mergeCell ref="C122:H122"/>
    <mergeCell ref="A123:B123"/>
    <mergeCell ref="E123:F123"/>
    <mergeCell ref="G123:H123"/>
    <mergeCell ref="A122:B122"/>
    <mergeCell ref="A124:B124"/>
    <mergeCell ref="E124:F133"/>
    <mergeCell ref="G124:H133"/>
    <mergeCell ref="A125:B125"/>
    <mergeCell ref="A126:B126"/>
    <mergeCell ref="A138:E138"/>
    <mergeCell ref="F134:H134"/>
    <mergeCell ref="A134:E134"/>
    <mergeCell ref="A102:B102"/>
    <mergeCell ref="A103:B103"/>
    <mergeCell ref="A334:H334"/>
    <mergeCell ref="A327:B327"/>
    <mergeCell ref="A328:B328"/>
    <mergeCell ref="A329:B329"/>
    <mergeCell ref="A330:B330"/>
    <mergeCell ref="A331:B331"/>
    <mergeCell ref="A317:B317"/>
    <mergeCell ref="A318:B318"/>
    <mergeCell ref="A319:H319"/>
    <mergeCell ref="A320:H320"/>
    <mergeCell ref="A321:B321"/>
    <mergeCell ref="A322:B322"/>
    <mergeCell ref="G327:H333"/>
    <mergeCell ref="G321:H325"/>
    <mergeCell ref="G315:H318"/>
    <mergeCell ref="A315:B315"/>
    <mergeCell ref="A323:B323"/>
    <mergeCell ref="A104:B104"/>
    <mergeCell ref="A105:B105"/>
    <mergeCell ref="A119:B119"/>
    <mergeCell ref="A92:B92"/>
    <mergeCell ref="C92:H92"/>
    <mergeCell ref="A94:B94"/>
    <mergeCell ref="C94:H94"/>
    <mergeCell ref="A95:B95"/>
    <mergeCell ref="E95:F95"/>
    <mergeCell ref="G95:H95"/>
    <mergeCell ref="A96:B96"/>
    <mergeCell ref="E96:F105"/>
    <mergeCell ref="G96:H105"/>
    <mergeCell ref="A97:B97"/>
    <mergeCell ref="A98:B98"/>
    <mergeCell ref="A99:B99"/>
    <mergeCell ref="A100:B100"/>
    <mergeCell ref="A101:B101"/>
    <mergeCell ref="C106:H106"/>
    <mergeCell ref="A108:B108"/>
    <mergeCell ref="C108:H108"/>
    <mergeCell ref="A109:B109"/>
    <mergeCell ref="E109:F109"/>
    <mergeCell ref="G109:H109"/>
    <mergeCell ref="A383:H383"/>
    <mergeCell ref="A380:H380"/>
    <mergeCell ref="A231:B231"/>
    <mergeCell ref="A158:B158"/>
    <mergeCell ref="D227:D228"/>
    <mergeCell ref="E227:E228"/>
    <mergeCell ref="G227:H228"/>
    <mergeCell ref="A128:B128"/>
    <mergeCell ref="A129:B129"/>
    <mergeCell ref="A130:B130"/>
    <mergeCell ref="A153:B153"/>
    <mergeCell ref="A173:B173"/>
    <mergeCell ref="A174:B174"/>
    <mergeCell ref="A175:B175"/>
    <mergeCell ref="A176:B176"/>
    <mergeCell ref="C227:C228"/>
    <mergeCell ref="C136:H136"/>
    <mergeCell ref="F140:H140"/>
    <mergeCell ref="A140:E140"/>
    <mergeCell ref="A149:E149"/>
    <mergeCell ref="A171:H171"/>
    <mergeCell ref="E168:E169"/>
    <mergeCell ref="G168:H169"/>
    <mergeCell ref="F148:H148"/>
    <mergeCell ref="A46:B46"/>
    <mergeCell ref="C46:E46"/>
    <mergeCell ref="G46:H46"/>
    <mergeCell ref="G48:H48"/>
    <mergeCell ref="D52:H52"/>
    <mergeCell ref="C48:E48"/>
    <mergeCell ref="D57:H57"/>
    <mergeCell ref="D58:H58"/>
    <mergeCell ref="C47:E47"/>
    <mergeCell ref="A50:B50"/>
    <mergeCell ref="C50:E50"/>
    <mergeCell ref="A47:B47"/>
    <mergeCell ref="A51:H51"/>
    <mergeCell ref="A52:C52"/>
    <mergeCell ref="A53:C53"/>
    <mergeCell ref="A48:B49"/>
    <mergeCell ref="D54:H54"/>
    <mergeCell ref="A54:C54"/>
    <mergeCell ref="G47:H47"/>
    <mergeCell ref="D56:H56"/>
    <mergeCell ref="C49:H49"/>
    <mergeCell ref="D55:H55"/>
    <mergeCell ref="A55:C59"/>
    <mergeCell ref="A386:H389"/>
    <mergeCell ref="A385:B385"/>
    <mergeCell ref="E385:F385"/>
    <mergeCell ref="C385:D385"/>
    <mergeCell ref="G385:H385"/>
    <mergeCell ref="A152:H152"/>
    <mergeCell ref="A150:E150"/>
    <mergeCell ref="F150:H150"/>
    <mergeCell ref="A151:E151"/>
    <mergeCell ref="F151:H151"/>
    <mergeCell ref="A230:H230"/>
    <mergeCell ref="A159:B159"/>
    <mergeCell ref="A279:B279"/>
    <mergeCell ref="A154:B154"/>
    <mergeCell ref="A381:H381"/>
    <mergeCell ref="A157:H157"/>
    <mergeCell ref="A384:H384"/>
    <mergeCell ref="A382:H382"/>
    <mergeCell ref="A369:H369"/>
    <mergeCell ref="A378:H378"/>
    <mergeCell ref="A379:H379"/>
    <mergeCell ref="C158:D158"/>
    <mergeCell ref="G154:H154"/>
    <mergeCell ref="C153:D153"/>
    <mergeCell ref="E43:H43"/>
    <mergeCell ref="E44:H44"/>
    <mergeCell ref="A42:D42"/>
    <mergeCell ref="A43:D43"/>
    <mergeCell ref="A44:D44"/>
    <mergeCell ref="A45:H45"/>
    <mergeCell ref="E158:F158"/>
    <mergeCell ref="G158:H158"/>
    <mergeCell ref="D59:H59"/>
    <mergeCell ref="A63:C63"/>
    <mergeCell ref="D63:H63"/>
    <mergeCell ref="A62:C62"/>
    <mergeCell ref="D62:H62"/>
    <mergeCell ref="A60:C60"/>
    <mergeCell ref="A61:C61"/>
    <mergeCell ref="D60:H60"/>
    <mergeCell ref="D61:H61"/>
    <mergeCell ref="A146:E146"/>
    <mergeCell ref="F146:H146"/>
    <mergeCell ref="D53:H53"/>
    <mergeCell ref="G50:H50"/>
    <mergeCell ref="A137:H137"/>
    <mergeCell ref="E153:F153"/>
    <mergeCell ref="E42:H4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A10:D10"/>
    <mergeCell ref="E10:H10"/>
    <mergeCell ref="E12:H12"/>
    <mergeCell ref="A13:D13"/>
    <mergeCell ref="E13:H13"/>
    <mergeCell ref="A14:B14"/>
    <mergeCell ref="C14:H14"/>
    <mergeCell ref="C15:H15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8:D28"/>
    <mergeCell ref="E28:H28"/>
    <mergeCell ref="A35:H35"/>
    <mergeCell ref="A34:B34"/>
    <mergeCell ref="A29:D29"/>
    <mergeCell ref="E29:H29"/>
    <mergeCell ref="A25:D25"/>
    <mergeCell ref="E25:H25"/>
    <mergeCell ref="E24:H24"/>
    <mergeCell ref="A26:D26"/>
    <mergeCell ref="E26:H26"/>
    <mergeCell ref="A33:B33"/>
    <mergeCell ref="C33:E33"/>
    <mergeCell ref="C34:E34"/>
    <mergeCell ref="A23:D23"/>
    <mergeCell ref="E23:H23"/>
    <mergeCell ref="A27:D27"/>
    <mergeCell ref="E27:H27"/>
    <mergeCell ref="A24:D24"/>
    <mergeCell ref="A20:D21"/>
    <mergeCell ref="E20:H21"/>
    <mergeCell ref="A22:D22"/>
    <mergeCell ref="E41:H41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8:H38"/>
    <mergeCell ref="E40:H40"/>
    <mergeCell ref="A40:D40"/>
    <mergeCell ref="A41:D41"/>
    <mergeCell ref="D168:D169"/>
    <mergeCell ref="C164:D164"/>
    <mergeCell ref="E164:F164"/>
    <mergeCell ref="G164:H164"/>
    <mergeCell ref="C168:C169"/>
    <mergeCell ref="F149:H149"/>
    <mergeCell ref="F147:H147"/>
    <mergeCell ref="A167:H167"/>
    <mergeCell ref="G153:H153"/>
    <mergeCell ref="A155:B155"/>
    <mergeCell ref="C155:D155"/>
    <mergeCell ref="E160:F160"/>
    <mergeCell ref="G160:H160"/>
    <mergeCell ref="A161:B161"/>
    <mergeCell ref="C161:D161"/>
    <mergeCell ref="E161:F161"/>
    <mergeCell ref="G161:H161"/>
    <mergeCell ref="A162:B162"/>
    <mergeCell ref="E163:F163"/>
    <mergeCell ref="G163:H163"/>
    <mergeCell ref="A165:B165"/>
    <mergeCell ref="L172:M172"/>
    <mergeCell ref="L173:M173"/>
    <mergeCell ref="L174:M174"/>
    <mergeCell ref="L175:M175"/>
    <mergeCell ref="L176:M176"/>
    <mergeCell ref="A148:E148"/>
    <mergeCell ref="C154:D154"/>
    <mergeCell ref="E154:F154"/>
    <mergeCell ref="B168:B169"/>
    <mergeCell ref="A168:A169"/>
    <mergeCell ref="A172:B172"/>
    <mergeCell ref="C159:D159"/>
    <mergeCell ref="E159:F159"/>
    <mergeCell ref="G159:H159"/>
    <mergeCell ref="A166:H166"/>
    <mergeCell ref="C165:D165"/>
    <mergeCell ref="E155:F155"/>
    <mergeCell ref="G155:H155"/>
    <mergeCell ref="A156:B156"/>
    <mergeCell ref="C156:D156"/>
    <mergeCell ref="E156:F156"/>
    <mergeCell ref="G156:H156"/>
    <mergeCell ref="A160:B160"/>
    <mergeCell ref="C160:D160"/>
    <mergeCell ref="L200:M200"/>
    <mergeCell ref="A201:B201"/>
    <mergeCell ref="L201:M201"/>
    <mergeCell ref="A202:B202"/>
    <mergeCell ref="L202:M202"/>
    <mergeCell ref="A196:B196"/>
    <mergeCell ref="L196:M196"/>
    <mergeCell ref="A198:H198"/>
    <mergeCell ref="A197:B197"/>
    <mergeCell ref="L197:M197"/>
    <mergeCell ref="L178:M178"/>
    <mergeCell ref="L177:M177"/>
    <mergeCell ref="L179:M179"/>
    <mergeCell ref="L180:M180"/>
    <mergeCell ref="L181:M181"/>
    <mergeCell ref="L182:M182"/>
    <mergeCell ref="L183:M183"/>
    <mergeCell ref="A184:B184"/>
    <mergeCell ref="L184:M184"/>
    <mergeCell ref="A177:B177"/>
    <mergeCell ref="A178:B178"/>
    <mergeCell ref="B376:H376"/>
    <mergeCell ref="B377:H377"/>
    <mergeCell ref="A267:B267"/>
    <mergeCell ref="A268:B268"/>
    <mergeCell ref="A266:B266"/>
    <mergeCell ref="B370:H370"/>
    <mergeCell ref="B371:H371"/>
    <mergeCell ref="B372:H372"/>
    <mergeCell ref="B373:H373"/>
    <mergeCell ref="B375:H375"/>
    <mergeCell ref="A282:B282"/>
    <mergeCell ref="A281:B281"/>
    <mergeCell ref="A280:B280"/>
    <mergeCell ref="A277:B277"/>
    <mergeCell ref="A283:B283"/>
    <mergeCell ref="A284:B284"/>
    <mergeCell ref="A285:B285"/>
    <mergeCell ref="A269:H269"/>
    <mergeCell ref="A286:H286"/>
    <mergeCell ref="A294:B294"/>
    <mergeCell ref="A295:B295"/>
    <mergeCell ref="A309:B309"/>
    <mergeCell ref="A310:B310"/>
    <mergeCell ref="A311:B311"/>
    <mergeCell ref="A131:B131"/>
    <mergeCell ref="A132:B132"/>
    <mergeCell ref="A133:B133"/>
    <mergeCell ref="E165:F165"/>
    <mergeCell ref="G165:H165"/>
    <mergeCell ref="A164:B164"/>
    <mergeCell ref="A182:B182"/>
    <mergeCell ref="A183:B183"/>
    <mergeCell ref="A226:H226"/>
    <mergeCell ref="A227:A228"/>
    <mergeCell ref="A263:B263"/>
    <mergeCell ref="A179:B179"/>
    <mergeCell ref="A180:B180"/>
    <mergeCell ref="A181:B181"/>
    <mergeCell ref="A170:H170"/>
    <mergeCell ref="C162:D162"/>
    <mergeCell ref="E162:F162"/>
    <mergeCell ref="G162:H162"/>
    <mergeCell ref="A163:B163"/>
    <mergeCell ref="C163:D163"/>
    <mergeCell ref="A191:B191"/>
    <mergeCell ref="A208:B208"/>
    <mergeCell ref="A213:B213"/>
    <mergeCell ref="A218:B218"/>
    <mergeCell ref="A246:B246"/>
    <mergeCell ref="A238:B238"/>
    <mergeCell ref="A239:B239"/>
    <mergeCell ref="L191:M191"/>
    <mergeCell ref="A192:B192"/>
    <mergeCell ref="L192:M192"/>
    <mergeCell ref="L193:M193"/>
    <mergeCell ref="A194:B194"/>
    <mergeCell ref="L194:M194"/>
    <mergeCell ref="A195:B195"/>
    <mergeCell ref="L195:M195"/>
    <mergeCell ref="L185:M185"/>
    <mergeCell ref="A186:B186"/>
    <mergeCell ref="L186:M186"/>
    <mergeCell ref="A187:B187"/>
    <mergeCell ref="L187:M187"/>
    <mergeCell ref="A188:B188"/>
    <mergeCell ref="L188:M188"/>
    <mergeCell ref="L189:M189"/>
    <mergeCell ref="A190:B190"/>
    <mergeCell ref="L190:M190"/>
    <mergeCell ref="A185:B185"/>
    <mergeCell ref="A189:B189"/>
    <mergeCell ref="A193:B193"/>
    <mergeCell ref="L203:M203"/>
    <mergeCell ref="A204:B204"/>
    <mergeCell ref="L204:M204"/>
    <mergeCell ref="A205:B205"/>
    <mergeCell ref="L205:M205"/>
    <mergeCell ref="A206:B206"/>
    <mergeCell ref="L206:M206"/>
    <mergeCell ref="A203:B203"/>
    <mergeCell ref="L207:M207"/>
    <mergeCell ref="L208:M208"/>
    <mergeCell ref="A209:B209"/>
    <mergeCell ref="L209:M209"/>
    <mergeCell ref="A210:B210"/>
    <mergeCell ref="L210:M210"/>
    <mergeCell ref="A207:B207"/>
    <mergeCell ref="A211:B211"/>
    <mergeCell ref="L211:M211"/>
    <mergeCell ref="A212:B212"/>
    <mergeCell ref="L212:M212"/>
    <mergeCell ref="L213:M213"/>
    <mergeCell ref="A214:B214"/>
    <mergeCell ref="L214:M214"/>
    <mergeCell ref="A215:B215"/>
    <mergeCell ref="L215:M215"/>
    <mergeCell ref="A216:B216"/>
    <mergeCell ref="L216:M216"/>
    <mergeCell ref="A217:B217"/>
    <mergeCell ref="L217:M217"/>
    <mergeCell ref="L218:M218"/>
    <mergeCell ref="A219:B219"/>
    <mergeCell ref="L219:M219"/>
    <mergeCell ref="A220:B220"/>
    <mergeCell ref="L220:M220"/>
    <mergeCell ref="A221:B221"/>
    <mergeCell ref="L221:M221"/>
    <mergeCell ref="L245:M245"/>
    <mergeCell ref="A244:B244"/>
    <mergeCell ref="A222:B222"/>
    <mergeCell ref="L222:M222"/>
    <mergeCell ref="A223:B223"/>
    <mergeCell ref="L223:M223"/>
    <mergeCell ref="A224:B224"/>
    <mergeCell ref="L224:M224"/>
    <mergeCell ref="A225:B225"/>
    <mergeCell ref="L225:M225"/>
    <mergeCell ref="A245:H245"/>
    <mergeCell ref="A243:B243"/>
    <mergeCell ref="B227:B228"/>
    <mergeCell ref="A229:H229"/>
    <mergeCell ref="L229:M229"/>
    <mergeCell ref="A236:H236"/>
    <mergeCell ref="A237:B237"/>
    <mergeCell ref="L230:M230"/>
    <mergeCell ref="A235:B235"/>
    <mergeCell ref="A232:B232"/>
    <mergeCell ref="A233:B233"/>
    <mergeCell ref="A234:B234"/>
    <mergeCell ref="L264:M264"/>
    <mergeCell ref="A251:H251"/>
    <mergeCell ref="L251:M251"/>
    <mergeCell ref="A252:H252"/>
    <mergeCell ref="L252:M252"/>
    <mergeCell ref="A253:B253"/>
    <mergeCell ref="A254:B254"/>
    <mergeCell ref="A255:B255"/>
    <mergeCell ref="A258:B258"/>
    <mergeCell ref="A259:B259"/>
    <mergeCell ref="A260:B260"/>
    <mergeCell ref="A261:B261"/>
    <mergeCell ref="A262:B262"/>
    <mergeCell ref="A257:H257"/>
    <mergeCell ref="A256:B256"/>
    <mergeCell ref="A264:H264"/>
    <mergeCell ref="L269:M269"/>
    <mergeCell ref="A270:H270"/>
    <mergeCell ref="L270:M270"/>
    <mergeCell ref="A271:B271"/>
    <mergeCell ref="A272:B272"/>
    <mergeCell ref="A273:B273"/>
    <mergeCell ref="A276:H276"/>
    <mergeCell ref="A278:B278"/>
    <mergeCell ref="G277:H285"/>
    <mergeCell ref="G271:H275"/>
    <mergeCell ref="A274:B274"/>
    <mergeCell ref="L286:M286"/>
    <mergeCell ref="A287:B287"/>
    <mergeCell ref="A288:B288"/>
    <mergeCell ref="A289:B289"/>
    <mergeCell ref="A290:B290"/>
    <mergeCell ref="C289:F289"/>
    <mergeCell ref="A291:B291"/>
    <mergeCell ref="A292:B292"/>
    <mergeCell ref="A293:B293"/>
    <mergeCell ref="G287:H295"/>
    <mergeCell ref="L296:M296"/>
    <mergeCell ref="A297:B297"/>
    <mergeCell ref="A298:B298"/>
    <mergeCell ref="A299:B299"/>
    <mergeCell ref="C299:F299"/>
    <mergeCell ref="A324:B324"/>
    <mergeCell ref="A326:H326"/>
    <mergeCell ref="A325:B325"/>
    <mergeCell ref="C321:F321"/>
    <mergeCell ref="L319:M319"/>
    <mergeCell ref="L320:M320"/>
    <mergeCell ref="L302:M302"/>
    <mergeCell ref="A303:H303"/>
    <mergeCell ref="L303:M303"/>
    <mergeCell ref="A304:B304"/>
    <mergeCell ref="A305:B305"/>
    <mergeCell ref="A306:B306"/>
    <mergeCell ref="A312:B312"/>
    <mergeCell ref="A313:B313"/>
    <mergeCell ref="A314:H314"/>
    <mergeCell ref="L314:M314"/>
    <mergeCell ref="A307:B307"/>
    <mergeCell ref="A308:H308"/>
    <mergeCell ref="G309:H313"/>
    <mergeCell ref="L347:M347"/>
    <mergeCell ref="A348:H348"/>
    <mergeCell ref="L348:M348"/>
    <mergeCell ref="A349:B349"/>
    <mergeCell ref="A300:B300"/>
    <mergeCell ref="A301:B301"/>
    <mergeCell ref="A342:H342"/>
    <mergeCell ref="L342:M342"/>
    <mergeCell ref="A343:B343"/>
    <mergeCell ref="A344:B344"/>
    <mergeCell ref="A345:B345"/>
    <mergeCell ref="A346:B346"/>
    <mergeCell ref="A339:B339"/>
    <mergeCell ref="A340:B340"/>
    <mergeCell ref="A341:B341"/>
    <mergeCell ref="C339:F339"/>
    <mergeCell ref="L334:M334"/>
    <mergeCell ref="A335:B335"/>
    <mergeCell ref="A336:B336"/>
    <mergeCell ref="A337:B337"/>
    <mergeCell ref="A338:B338"/>
    <mergeCell ref="G304:H307"/>
    <mergeCell ref="G297:H301"/>
    <mergeCell ref="A302:H302"/>
    <mergeCell ref="L363:M363"/>
    <mergeCell ref="A364:B364"/>
    <mergeCell ref="A365:B365"/>
    <mergeCell ref="A350:B350"/>
    <mergeCell ref="A351:B351"/>
    <mergeCell ref="A352:B352"/>
    <mergeCell ref="A354:H354"/>
    <mergeCell ref="A355:B355"/>
    <mergeCell ref="A353:B353"/>
    <mergeCell ref="G355:H362"/>
    <mergeCell ref="G349:H353"/>
    <mergeCell ref="A356:B356"/>
    <mergeCell ref="A357:B357"/>
    <mergeCell ref="A358:B358"/>
    <mergeCell ref="A359:B359"/>
    <mergeCell ref="A366:B366"/>
    <mergeCell ref="A367:B367"/>
    <mergeCell ref="G364:H368"/>
    <mergeCell ref="A247:B247"/>
    <mergeCell ref="A248:B248"/>
    <mergeCell ref="A249:B249"/>
    <mergeCell ref="A250:B250"/>
    <mergeCell ref="A240:B240"/>
    <mergeCell ref="A241:B241"/>
    <mergeCell ref="A242:B242"/>
    <mergeCell ref="G343:H346"/>
    <mergeCell ref="G335:H341"/>
    <mergeCell ref="A363:H363"/>
    <mergeCell ref="A360:B360"/>
    <mergeCell ref="A361:B361"/>
    <mergeCell ref="A362:B362"/>
    <mergeCell ref="C343:F343"/>
    <mergeCell ref="C346:F346"/>
    <mergeCell ref="A347:H347"/>
    <mergeCell ref="A296:H296"/>
    <mergeCell ref="C246:F246"/>
    <mergeCell ref="A332:B332"/>
    <mergeCell ref="A333:B333"/>
    <mergeCell ref="A316:B316"/>
    <mergeCell ref="B374:H374"/>
    <mergeCell ref="A64:B64"/>
    <mergeCell ref="C64:H64"/>
    <mergeCell ref="A66:B66"/>
    <mergeCell ref="C66:H66"/>
    <mergeCell ref="A67:B67"/>
    <mergeCell ref="E67:F67"/>
    <mergeCell ref="G67:H67"/>
    <mergeCell ref="A68:B68"/>
    <mergeCell ref="E68:F77"/>
    <mergeCell ref="G68:H77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368:B368"/>
    <mergeCell ref="C364:F364"/>
    <mergeCell ref="A275:B275"/>
    <mergeCell ref="A106:B106"/>
    <mergeCell ref="A110:B110"/>
    <mergeCell ref="E110:F119"/>
    <mergeCell ref="G110:H119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78:B78"/>
    <mergeCell ref="C78:H78"/>
    <mergeCell ref="A80:B80"/>
    <mergeCell ref="C80:H80"/>
    <mergeCell ref="A81:B81"/>
    <mergeCell ref="E81:F81"/>
    <mergeCell ref="G81:H81"/>
    <mergeCell ref="A82:B82"/>
    <mergeCell ref="E82:F91"/>
    <mergeCell ref="G82:H91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9" scale="9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&amp;P</oddFooter>
  </headerFooter>
  <rowBreaks count="4" manualBreakCount="4">
    <brk id="77" max="16383" man="1"/>
    <brk id="105" max="16383" man="1"/>
    <brk id="389" max="16383" man="1"/>
    <brk id="43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workbookViewId="0">
      <selection activeCell="H2" sqref="H2:I6"/>
    </sheetView>
  </sheetViews>
  <sheetFormatPr defaultRowHeight="14.4" x14ac:dyDescent="0.3"/>
  <sheetData>
    <row r="1" spans="1:18" x14ac:dyDescent="0.3">
      <c r="A1" s="193" t="s">
        <v>193</v>
      </c>
      <c r="B1" s="193"/>
      <c r="C1" s="193"/>
      <c r="D1" s="193" t="s">
        <v>194</v>
      </c>
      <c r="E1" s="193"/>
      <c r="F1" s="193"/>
      <c r="G1" s="193" t="s">
        <v>195</v>
      </c>
      <c r="H1" s="193"/>
      <c r="I1" s="193"/>
      <c r="J1" s="193" t="s">
        <v>200</v>
      </c>
      <c r="K1" s="193"/>
      <c r="L1" s="193"/>
      <c r="M1" s="193" t="s">
        <v>202</v>
      </c>
      <c r="N1" s="193"/>
      <c r="O1" s="193"/>
      <c r="P1" s="193" t="s">
        <v>203</v>
      </c>
      <c r="Q1" s="193"/>
      <c r="R1" s="193"/>
    </row>
    <row r="2" spans="1:18" ht="31.2" x14ac:dyDescent="0.3">
      <c r="A2">
        <v>1</v>
      </c>
      <c r="B2" s="15">
        <f>(27.936+3.844+4.47)*10.764</f>
        <v>390.19499999999999</v>
      </c>
      <c r="D2">
        <v>1</v>
      </c>
      <c r="E2" s="15">
        <f>(64.891+8.599+1.41)*10.764</f>
        <v>806.22360000000003</v>
      </c>
      <c r="F2" s="15">
        <f>25.393*10.764</f>
        <v>273.33025199999997</v>
      </c>
      <c r="G2">
        <v>1</v>
      </c>
      <c r="H2" s="15">
        <f>(44.066+5.929)*10.764</f>
        <v>538.14618000000007</v>
      </c>
      <c r="I2" s="15">
        <f>25.368*10.764</f>
        <v>273.06115199999999</v>
      </c>
      <c r="J2">
        <v>1</v>
      </c>
      <c r="K2" s="15">
        <f>(64.869+8.619+1.41)*10.764</f>
        <v>806.20207199999993</v>
      </c>
      <c r="L2" s="15">
        <f>26.098*10.764</f>
        <v>280.91887199999996</v>
      </c>
      <c r="M2">
        <v>1</v>
      </c>
      <c r="N2" s="15" t="s">
        <v>201</v>
      </c>
      <c r="O2" s="49"/>
      <c r="P2">
        <v>1</v>
      </c>
      <c r="Q2" s="15">
        <f>(27.925+3.855+4.47)*10.764</f>
        <v>390.19499999999999</v>
      </c>
      <c r="R2" s="49"/>
    </row>
    <row r="3" spans="1:18" ht="15.6" x14ac:dyDescent="0.3">
      <c r="A3">
        <v>2</v>
      </c>
      <c r="B3" s="15">
        <f>(42.882+5.748+5.55)*10.764</f>
        <v>583.19351999999992</v>
      </c>
      <c r="D3">
        <v>2</v>
      </c>
      <c r="E3" s="15">
        <f>(62.956+8.436+3.03)*10.764</f>
        <v>801.07840799999997</v>
      </c>
      <c r="F3" s="15">
        <f>15.223*10.764</f>
        <v>163.86037200000001</v>
      </c>
      <c r="G3">
        <v>2</v>
      </c>
      <c r="H3" s="15">
        <f>(44.065+5.929)*10.764</f>
        <v>538.13541599999996</v>
      </c>
      <c r="I3" s="15">
        <f>26.073*10.764</f>
        <v>280.64977199999998</v>
      </c>
      <c r="J3">
        <v>2</v>
      </c>
      <c r="K3" s="15">
        <f>(64.854+8.619)*10.764</f>
        <v>790.86337199999991</v>
      </c>
      <c r="L3" s="15">
        <f>48.698*10.764</f>
        <v>524.18527199999994</v>
      </c>
      <c r="M3">
        <v>2</v>
      </c>
      <c r="N3" s="15">
        <f>(27.986+3.794+4.47)*10.764</f>
        <v>390.19499999999999</v>
      </c>
      <c r="O3" s="49"/>
      <c r="P3">
        <v>2</v>
      </c>
      <c r="Q3" s="15">
        <f>(42.882+5.748+5.55)*10.764</f>
        <v>583.19351999999992</v>
      </c>
      <c r="R3" s="49"/>
    </row>
    <row r="4" spans="1:18" ht="15.6" x14ac:dyDescent="0.3">
      <c r="A4">
        <v>3</v>
      </c>
      <c r="B4" s="15">
        <f>(43.255+5.885+6.06)*10.764</f>
        <v>594.17279999999994</v>
      </c>
      <c r="D4">
        <v>3</v>
      </c>
      <c r="E4" s="15">
        <f>(42.89+5.86+4.47)*10.764</f>
        <v>572.86007999999993</v>
      </c>
      <c r="F4" s="15">
        <f>5.3*10.764</f>
        <v>57.049199999999992</v>
      </c>
      <c r="G4">
        <v>3</v>
      </c>
      <c r="H4" s="15">
        <f>(46.25+6.225)*10.764</f>
        <v>564.84090000000003</v>
      </c>
      <c r="I4" s="15">
        <f>25.893*10.764</f>
        <v>278.71225199999998</v>
      </c>
      <c r="J4">
        <v>3</v>
      </c>
      <c r="K4" s="15">
        <f>(38.574+5.361+2.25)*10.764</f>
        <v>497.13533999999993</v>
      </c>
      <c r="L4" s="15">
        <f>9.9*10.764</f>
        <v>106.56359999999999</v>
      </c>
      <c r="M4">
        <v>3</v>
      </c>
      <c r="N4" s="15">
        <f t="shared" ref="N4:N6" si="0">(27.986+3.794+4.47)*10.764</f>
        <v>390.19499999999999</v>
      </c>
      <c r="O4" s="49"/>
      <c r="P4">
        <v>3</v>
      </c>
      <c r="Q4" s="15">
        <f>(43.255+5.885+6.06)*10.764</f>
        <v>594.17279999999994</v>
      </c>
      <c r="R4" s="49"/>
    </row>
    <row r="5" spans="1:18" ht="15.6" x14ac:dyDescent="0.3">
      <c r="A5">
        <v>4</v>
      </c>
      <c r="B5" s="15">
        <f>(43.255+5.885+6.06)*10.764</f>
        <v>594.17279999999994</v>
      </c>
      <c r="D5">
        <v>4</v>
      </c>
      <c r="E5" s="15">
        <f>(42.873+5.758+5.55)*10.764</f>
        <v>583.20428399999992</v>
      </c>
      <c r="F5" s="15"/>
      <c r="G5">
        <v>4</v>
      </c>
      <c r="H5" s="15">
        <f>(44.065+5.929)*10.764</f>
        <v>538.13541599999996</v>
      </c>
      <c r="I5" s="15">
        <f>26.073*10.764</f>
        <v>280.64977199999998</v>
      </c>
      <c r="J5">
        <v>4</v>
      </c>
      <c r="K5" s="15">
        <f>(42.873+5.758+5.52)*10.764</f>
        <v>582.88136399999996</v>
      </c>
      <c r="L5" s="15"/>
      <c r="M5">
        <v>4</v>
      </c>
      <c r="N5" s="15">
        <f t="shared" si="0"/>
        <v>390.19499999999999</v>
      </c>
      <c r="O5" s="49"/>
      <c r="P5">
        <v>4</v>
      </c>
      <c r="Q5" s="15">
        <f>(43.255+5.885+6.06)*10.764</f>
        <v>594.17279999999994</v>
      </c>
      <c r="R5" s="49"/>
    </row>
    <row r="6" spans="1:18" ht="15.6" x14ac:dyDescent="0.3">
      <c r="A6">
        <v>5</v>
      </c>
      <c r="B6" s="15">
        <f>(42.882+5.748+5.55)*10.764</f>
        <v>583.19351999999992</v>
      </c>
      <c r="E6" s="49"/>
      <c r="G6">
        <v>5</v>
      </c>
      <c r="H6" s="15">
        <f>(44.066+5.929)*10.764</f>
        <v>538.14618000000007</v>
      </c>
      <c r="I6" s="15">
        <f>25.368*10.764</f>
        <v>273.06115199999999</v>
      </c>
      <c r="M6">
        <v>5</v>
      </c>
      <c r="N6" s="15">
        <f t="shared" si="0"/>
        <v>390.19499999999999</v>
      </c>
      <c r="O6" s="49"/>
      <c r="P6">
        <v>5</v>
      </c>
      <c r="Q6" s="15">
        <f>(42.882+5.748+5.55)*10.764</f>
        <v>583.19351999999992</v>
      </c>
      <c r="R6" s="49"/>
    </row>
    <row r="7" spans="1:18" x14ac:dyDescent="0.3">
      <c r="A7" s="193" t="s">
        <v>192</v>
      </c>
      <c r="B7" s="193"/>
      <c r="C7" s="193"/>
      <c r="D7" s="193" t="s">
        <v>192</v>
      </c>
      <c r="E7" s="193"/>
      <c r="F7" s="193"/>
      <c r="G7" s="193" t="s">
        <v>196</v>
      </c>
      <c r="H7" s="193"/>
      <c r="I7" s="193"/>
      <c r="J7" s="193" t="s">
        <v>192</v>
      </c>
      <c r="K7" s="193"/>
      <c r="L7" s="193"/>
      <c r="M7" s="193" t="s">
        <v>196</v>
      </c>
      <c r="N7" s="193"/>
      <c r="O7" s="193"/>
      <c r="P7" s="193" t="s">
        <v>192</v>
      </c>
      <c r="Q7" s="193"/>
      <c r="R7" s="193"/>
    </row>
    <row r="8" spans="1:18" ht="15.6" x14ac:dyDescent="0.3">
      <c r="A8">
        <v>1</v>
      </c>
      <c r="B8" s="15">
        <f>(27.936+3.844+4.47)*10.764</f>
        <v>390.19499999999999</v>
      </c>
      <c r="D8">
        <v>1</v>
      </c>
      <c r="E8" s="15">
        <f>(64.891+8.599+7.68)*10.764</f>
        <v>873.71388000000013</v>
      </c>
      <c r="G8">
        <v>1</v>
      </c>
      <c r="H8" s="15">
        <f>(44.066+5.929+5.73)*10.764</f>
        <v>599.82390000000009</v>
      </c>
      <c r="J8">
        <v>1</v>
      </c>
      <c r="K8" s="15">
        <f>(64.869+8.619+7.68)*10.764</f>
        <v>873.69235200000003</v>
      </c>
      <c r="M8">
        <v>1</v>
      </c>
      <c r="N8" s="15">
        <f>(26.543+3.613+4.47)*10.764</f>
        <v>372.71426399999996</v>
      </c>
      <c r="P8">
        <v>1</v>
      </c>
      <c r="Q8" s="15">
        <f>(27.979+3.801+4.47)*10.764</f>
        <v>390.19499999999999</v>
      </c>
    </row>
    <row r="9" spans="1:18" ht="15.6" x14ac:dyDescent="0.3">
      <c r="A9">
        <v>2</v>
      </c>
      <c r="B9" s="15">
        <f>(42.882+5.748+5.55)*10.764</f>
        <v>583.19351999999992</v>
      </c>
      <c r="D9">
        <v>2</v>
      </c>
      <c r="E9" s="15">
        <f>(62.956+8.436+8.13)*10.764</f>
        <v>855.97480799999983</v>
      </c>
      <c r="G9">
        <v>2</v>
      </c>
      <c r="H9" s="15">
        <f>(44.065+5.929+5.73)*10.764</f>
        <v>599.81313599999999</v>
      </c>
      <c r="J9">
        <v>2</v>
      </c>
      <c r="K9" s="15">
        <f>(64.854+8.619+7.68)*10.764</f>
        <v>873.53089199999988</v>
      </c>
      <c r="M9">
        <v>2</v>
      </c>
      <c r="N9" s="15">
        <f t="shared" ref="N9:N12" si="1">(27.986+3.794+4.47)*10.764</f>
        <v>390.19499999999999</v>
      </c>
      <c r="P9">
        <v>2</v>
      </c>
      <c r="Q9" s="15">
        <f>(42.882+5.748+5.55)*10.764</f>
        <v>583.19351999999992</v>
      </c>
    </row>
    <row r="10" spans="1:18" ht="15.6" x14ac:dyDescent="0.3">
      <c r="A10">
        <v>3</v>
      </c>
      <c r="B10" s="15">
        <f>(43.255+5.885+6.06)*10.764</f>
        <v>594.17279999999994</v>
      </c>
      <c r="D10">
        <v>3</v>
      </c>
      <c r="E10" s="15">
        <f>(42.89+5.86+6.06)*10.764</f>
        <v>589.97483999999997</v>
      </c>
      <c r="G10">
        <v>3</v>
      </c>
      <c r="H10" s="15">
        <f>(46.25+6.225+5.13)*10.764</f>
        <v>620.06021999999996</v>
      </c>
      <c r="J10">
        <v>3</v>
      </c>
      <c r="K10" s="15">
        <f>(38.574+5.361+4.77)*10.764</f>
        <v>524.2606199999999</v>
      </c>
      <c r="M10">
        <v>3</v>
      </c>
      <c r="N10" s="15">
        <f t="shared" si="1"/>
        <v>390.19499999999999</v>
      </c>
      <c r="P10">
        <v>3</v>
      </c>
      <c r="Q10" s="15">
        <f>(43.255+5.885+6.06)*10.764</f>
        <v>594.17279999999994</v>
      </c>
    </row>
    <row r="11" spans="1:18" ht="15.6" x14ac:dyDescent="0.3">
      <c r="A11">
        <v>4</v>
      </c>
      <c r="B11" s="15">
        <f>(43.255+5.885+6.06)*10.764</f>
        <v>594.17279999999994</v>
      </c>
      <c r="D11">
        <v>4</v>
      </c>
      <c r="E11" s="15">
        <f>(42.873+5.758+5.55)*10.764</f>
        <v>583.20428399999992</v>
      </c>
      <c r="G11">
        <v>4</v>
      </c>
      <c r="H11" s="15">
        <f>(44.065+5.929+5.73)*10.764</f>
        <v>599.81313599999999</v>
      </c>
      <c r="J11">
        <v>4</v>
      </c>
      <c r="K11" s="15">
        <f>(42.873+5.758+5.52)*10.764</f>
        <v>582.88136399999996</v>
      </c>
      <c r="M11">
        <v>4</v>
      </c>
      <c r="N11" s="15">
        <f t="shared" si="1"/>
        <v>390.19499999999999</v>
      </c>
      <c r="P11">
        <v>4</v>
      </c>
      <c r="Q11" s="15">
        <f>(43.255+5.885+6.06)*10.764</f>
        <v>594.17279999999994</v>
      </c>
    </row>
    <row r="12" spans="1:18" ht="15.6" x14ac:dyDescent="0.3">
      <c r="A12">
        <v>5</v>
      </c>
      <c r="B12" s="15">
        <f>(42.882+5.748+5.55)*10.764</f>
        <v>583.19351999999992</v>
      </c>
      <c r="D12">
        <v>5</v>
      </c>
      <c r="E12" s="15">
        <f>(42.873+5.758+5.55)*10.764</f>
        <v>583.20428399999992</v>
      </c>
      <c r="G12">
        <v>5</v>
      </c>
      <c r="H12" s="15">
        <f>(44.066+5.929+5.73)*10.764</f>
        <v>599.82390000000009</v>
      </c>
      <c r="J12">
        <v>5</v>
      </c>
      <c r="K12" s="15">
        <f>(42.873+5.758+5.52)*10.764</f>
        <v>582.88136399999996</v>
      </c>
      <c r="M12">
        <v>5</v>
      </c>
      <c r="N12" s="15">
        <f t="shared" si="1"/>
        <v>390.19499999999999</v>
      </c>
      <c r="P12">
        <v>5</v>
      </c>
      <c r="Q12" s="15">
        <f>(42.882+5.748+5.55)*10.764</f>
        <v>583.19351999999992</v>
      </c>
    </row>
    <row r="13" spans="1:18" ht="15.6" x14ac:dyDescent="0.3">
      <c r="A13">
        <v>6</v>
      </c>
      <c r="B13" s="15">
        <f>(26.543+3.613+4.47)*10.764</f>
        <v>372.71426399999996</v>
      </c>
      <c r="D13">
        <v>6</v>
      </c>
      <c r="E13" s="15">
        <f>(42.89+5.86+6.06)*10.764</f>
        <v>589.97483999999997</v>
      </c>
      <c r="G13">
        <v>6</v>
      </c>
      <c r="H13" s="15">
        <f>(42.194+5.737+5.58)*10.764</f>
        <v>575.99240399999996</v>
      </c>
      <c r="M13">
        <v>6</v>
      </c>
      <c r="N13" s="15">
        <f>(26.5+3.655+4.47)*10.764</f>
        <v>372.70349999999996</v>
      </c>
      <c r="P13">
        <v>6</v>
      </c>
      <c r="Q13" s="15">
        <f>(26.534+3.613+4.47)*10.764</f>
        <v>372.61738799999995</v>
      </c>
    </row>
    <row r="14" spans="1:18" ht="15.6" x14ac:dyDescent="0.3">
      <c r="A14">
        <v>7</v>
      </c>
      <c r="B14" s="15">
        <f>(26.458+3.698+4.47)*10.764</f>
        <v>372.71426399999996</v>
      </c>
      <c r="E14" s="49"/>
      <c r="G14">
        <v>7</v>
      </c>
      <c r="H14" s="15">
        <f>(28.384+3.831+4.59)*10.764</f>
        <v>396.16902000000005</v>
      </c>
      <c r="M14">
        <v>7</v>
      </c>
      <c r="N14" s="15">
        <f>(26.5+3.655+4.47)*10.764</f>
        <v>372.70349999999996</v>
      </c>
      <c r="P14">
        <v>7</v>
      </c>
      <c r="Q14" s="15">
        <f>(26.458+3.698+4.47)*10.764</f>
        <v>372.71426399999996</v>
      </c>
    </row>
    <row r="15" spans="1:18" ht="15.6" x14ac:dyDescent="0.3">
      <c r="A15">
        <v>8</v>
      </c>
      <c r="B15" s="15">
        <f>(26.458+3.698+4.47)*10.764</f>
        <v>372.71426399999996</v>
      </c>
      <c r="E15" s="49"/>
      <c r="G15">
        <v>8</v>
      </c>
      <c r="H15" s="15">
        <f>(28.384+3.831+4.59)*10.764</f>
        <v>396.16902000000005</v>
      </c>
      <c r="P15">
        <v>8</v>
      </c>
      <c r="Q15" s="15">
        <f>(26.458+3.698+4.47)*10.764</f>
        <v>372.71426399999996</v>
      </c>
    </row>
    <row r="16" spans="1:18" ht="15.6" x14ac:dyDescent="0.3">
      <c r="G16">
        <v>9</v>
      </c>
      <c r="H16" s="15">
        <f>(42.194+5.737+5.58)*10.764</f>
        <v>575.99240399999996</v>
      </c>
    </row>
    <row r="17" spans="1:18" x14ac:dyDescent="0.3">
      <c r="A17" s="193"/>
      <c r="B17" s="193"/>
      <c r="D17" s="193"/>
      <c r="E17" s="193"/>
      <c r="G17" s="193" t="s">
        <v>197</v>
      </c>
      <c r="H17" s="193"/>
      <c r="I17" s="193"/>
      <c r="M17" s="193" t="s">
        <v>197</v>
      </c>
      <c r="N17" s="193"/>
      <c r="O17" s="193"/>
    </row>
    <row r="18" spans="1:18" ht="15.6" x14ac:dyDescent="0.3">
      <c r="B18" s="49"/>
      <c r="E18" s="49"/>
      <c r="G18">
        <v>1</v>
      </c>
      <c r="H18" s="15">
        <f>(44.066+5.929+5.73)*10.764</f>
        <v>599.82390000000009</v>
      </c>
      <c r="M18">
        <v>1</v>
      </c>
      <c r="N18" s="15">
        <f>(26.543+3.613+4.47)*10.764</f>
        <v>372.71426399999996</v>
      </c>
    </row>
    <row r="19" spans="1:18" ht="15.6" x14ac:dyDescent="0.3">
      <c r="B19" s="49"/>
      <c r="E19" s="49"/>
      <c r="G19">
        <v>2</v>
      </c>
      <c r="H19" s="15">
        <f>(44.065+5.929+5.73)*10.764</f>
        <v>599.81313599999999</v>
      </c>
      <c r="M19">
        <v>2</v>
      </c>
      <c r="N19" s="15">
        <f t="shared" ref="N19:N21" si="2">(27.986+3.794+4.47)*10.764</f>
        <v>390.19499999999999</v>
      </c>
    </row>
    <row r="20" spans="1:18" ht="31.2" x14ac:dyDescent="0.3">
      <c r="B20" s="49"/>
      <c r="E20" s="49"/>
      <c r="G20">
        <v>3</v>
      </c>
      <c r="H20" s="15" t="s">
        <v>198</v>
      </c>
      <c r="M20">
        <v>3</v>
      </c>
      <c r="N20" s="15">
        <f t="shared" si="2"/>
        <v>390.19499999999999</v>
      </c>
    </row>
    <row r="21" spans="1:18" ht="15.6" x14ac:dyDescent="0.3">
      <c r="B21" s="49"/>
      <c r="E21" s="49"/>
      <c r="G21">
        <v>4</v>
      </c>
      <c r="H21" s="15">
        <f>(44.065+5.929+5.73)*10.764</f>
        <v>599.81313599999999</v>
      </c>
      <c r="M21">
        <v>4</v>
      </c>
      <c r="N21" s="15">
        <f t="shared" si="2"/>
        <v>390.19499999999999</v>
      </c>
    </row>
    <row r="22" spans="1:18" ht="31.2" x14ac:dyDescent="0.3">
      <c r="B22" s="49"/>
      <c r="E22" s="49"/>
      <c r="G22">
        <v>5</v>
      </c>
      <c r="H22" s="15">
        <f>(44.066+5.929+5.73)*10.764</f>
        <v>599.82390000000009</v>
      </c>
      <c r="M22">
        <v>5</v>
      </c>
      <c r="N22" s="15" t="s">
        <v>198</v>
      </c>
    </row>
    <row r="23" spans="1:18" ht="15.6" x14ac:dyDescent="0.3">
      <c r="B23" s="49"/>
      <c r="E23" s="49"/>
      <c r="G23">
        <v>6</v>
      </c>
      <c r="H23" s="15">
        <f>(42.194+5.737+5.58)*10.764</f>
        <v>575.99240399999996</v>
      </c>
      <c r="M23">
        <v>6</v>
      </c>
      <c r="N23" s="15">
        <f>(26.5+3.655+4.47)*10.764</f>
        <v>372.70349999999996</v>
      </c>
    </row>
    <row r="24" spans="1:18" ht="15.6" x14ac:dyDescent="0.3">
      <c r="B24" s="49"/>
      <c r="E24" s="49"/>
      <c r="G24">
        <v>7</v>
      </c>
      <c r="H24" s="15">
        <f>(28.384+3.831+4.59)*10.764</f>
        <v>396.16902000000005</v>
      </c>
      <c r="M24">
        <v>7</v>
      </c>
      <c r="N24" s="15">
        <f>(26.5+3.655+4.47)*10.764</f>
        <v>372.70349999999996</v>
      </c>
    </row>
    <row r="25" spans="1:18" ht="15.6" x14ac:dyDescent="0.3">
      <c r="B25" s="49"/>
      <c r="E25" s="49"/>
      <c r="G25">
        <v>8</v>
      </c>
      <c r="H25" s="15">
        <f>(28.384+3.831+4.59)*10.764</f>
        <v>396.16902000000005</v>
      </c>
    </row>
    <row r="26" spans="1:18" ht="15.6" x14ac:dyDescent="0.3">
      <c r="G26">
        <v>9</v>
      </c>
      <c r="H26" s="15">
        <f>(42.194+5.737+5.58)*10.764</f>
        <v>575.99240399999996</v>
      </c>
    </row>
    <row r="27" spans="1:18" x14ac:dyDescent="0.3">
      <c r="A27" s="193" t="s">
        <v>199</v>
      </c>
      <c r="B27" s="193"/>
      <c r="C27" s="193"/>
      <c r="D27" s="193" t="s">
        <v>199</v>
      </c>
      <c r="E27" s="193"/>
      <c r="F27" s="193"/>
      <c r="G27" s="193" t="s">
        <v>199</v>
      </c>
      <c r="H27" s="193"/>
      <c r="I27" s="193"/>
      <c r="J27" s="193" t="s">
        <v>199</v>
      </c>
      <c r="K27" s="193"/>
      <c r="L27" s="193"/>
      <c r="M27" s="193" t="s">
        <v>199</v>
      </c>
      <c r="N27" s="193"/>
      <c r="O27" s="193"/>
      <c r="P27" s="193" t="s">
        <v>199</v>
      </c>
      <c r="Q27" s="193"/>
      <c r="R27" s="193"/>
    </row>
    <row r="28" spans="1:18" ht="15.6" x14ac:dyDescent="0.3">
      <c r="A28">
        <v>2</v>
      </c>
      <c r="B28" s="15">
        <f>(42.882+5.748+5.55)*10.764</f>
        <v>583.19351999999992</v>
      </c>
      <c r="D28">
        <v>1</v>
      </c>
      <c r="E28" s="15">
        <f>(64.891+8.599+7.68)*10.764</f>
        <v>873.71388000000013</v>
      </c>
      <c r="G28">
        <v>1</v>
      </c>
      <c r="H28" s="15">
        <f>(44.066+5.929+5.73)*10.764</f>
        <v>599.82390000000009</v>
      </c>
      <c r="J28">
        <v>1</v>
      </c>
      <c r="K28" s="15">
        <f>(64.869+8.619+7.68)*10.764</f>
        <v>873.69235200000003</v>
      </c>
      <c r="P28">
        <v>2</v>
      </c>
      <c r="Q28" s="15">
        <f>(42.882+5.748+5.55)*10.764</f>
        <v>583.19351999999992</v>
      </c>
    </row>
    <row r="29" spans="1:18" ht="15.6" x14ac:dyDescent="0.3">
      <c r="A29">
        <v>3</v>
      </c>
      <c r="B29" s="15">
        <f>(43.255+5.885+6.06)*10.764</f>
        <v>594.17279999999994</v>
      </c>
      <c r="D29">
        <v>2</v>
      </c>
      <c r="E29" s="15">
        <f>(62.956+8.436+8.13)*10.764</f>
        <v>855.97480799999983</v>
      </c>
      <c r="G29">
        <v>2</v>
      </c>
      <c r="H29" s="15">
        <f>(44.065+5.929+5.73)*10.764</f>
        <v>599.81313599999999</v>
      </c>
      <c r="J29">
        <v>2</v>
      </c>
      <c r="K29" s="15">
        <f>(64.854+8.619+7.68)*10.764</f>
        <v>873.53089199999988</v>
      </c>
      <c r="P29">
        <v>3</v>
      </c>
      <c r="Q29" s="15">
        <f>(43.255+5.885+6.06)*10.764</f>
        <v>594.17279999999994</v>
      </c>
    </row>
    <row r="30" spans="1:18" ht="31.2" x14ac:dyDescent="0.3">
      <c r="A30">
        <v>4</v>
      </c>
      <c r="B30" s="15">
        <f>(43.255+5.885+6.06)*10.764</f>
        <v>594.17279999999994</v>
      </c>
      <c r="D30">
        <v>3</v>
      </c>
      <c r="E30" s="15">
        <f>(42.89+5.86+6.06)*10.764</f>
        <v>589.97483999999997</v>
      </c>
      <c r="G30">
        <v>3</v>
      </c>
      <c r="H30" s="15" t="s">
        <v>198</v>
      </c>
      <c r="J30">
        <v>3</v>
      </c>
      <c r="K30" s="15">
        <f>(38.574+5.361+4.77)*10.764</f>
        <v>524.2606199999999</v>
      </c>
      <c r="M30">
        <v>3</v>
      </c>
      <c r="N30" s="15">
        <f t="shared" ref="N30:N31" si="3">(27.986+3.794+4.47)*10.764</f>
        <v>390.19499999999999</v>
      </c>
      <c r="P30">
        <v>4</v>
      </c>
      <c r="Q30" s="15">
        <f>(43.255+5.885+6.06)*10.764</f>
        <v>594.17279999999994</v>
      </c>
    </row>
    <row r="31" spans="1:18" ht="15.6" x14ac:dyDescent="0.3">
      <c r="A31">
        <v>5</v>
      </c>
      <c r="B31" s="15">
        <f>(42.882+5.748+5.55)*10.764</f>
        <v>583.19351999999992</v>
      </c>
      <c r="D31">
        <v>4</v>
      </c>
      <c r="E31" s="15">
        <f>(42.873+5.758+5.55)*10.764</f>
        <v>583.20428399999992</v>
      </c>
      <c r="G31">
        <v>4</v>
      </c>
      <c r="H31" s="15">
        <f>(44.065+5.929+5.73)*10.764</f>
        <v>599.81313599999999</v>
      </c>
      <c r="J31">
        <v>4</v>
      </c>
      <c r="K31" s="15">
        <f>(42.873+5.758+5.52)*10.764</f>
        <v>582.88136399999996</v>
      </c>
      <c r="M31">
        <v>4</v>
      </c>
      <c r="N31" s="15">
        <f t="shared" si="3"/>
        <v>390.19499999999999</v>
      </c>
      <c r="P31">
        <v>5</v>
      </c>
      <c r="Q31" s="15">
        <f>(42.882+5.748+5.55)*10.764</f>
        <v>583.19351999999992</v>
      </c>
    </row>
    <row r="32" spans="1:18" ht="15.6" x14ac:dyDescent="0.3">
      <c r="G32">
        <v>5</v>
      </c>
      <c r="H32" s="15">
        <f>(44.066+5.929+5.73)*10.764</f>
        <v>599.82390000000009</v>
      </c>
    </row>
  </sheetData>
  <mergeCells count="22">
    <mergeCell ref="G27:I27"/>
    <mergeCell ref="A1:C1"/>
    <mergeCell ref="A17:B17"/>
    <mergeCell ref="D17:E17"/>
    <mergeCell ref="A27:C27"/>
    <mergeCell ref="D27:F27"/>
    <mergeCell ref="M27:O27"/>
    <mergeCell ref="A7:C7"/>
    <mergeCell ref="D7:F7"/>
    <mergeCell ref="P1:R1"/>
    <mergeCell ref="P7:R7"/>
    <mergeCell ref="P27:R27"/>
    <mergeCell ref="D1:F1"/>
    <mergeCell ref="G1:I1"/>
    <mergeCell ref="J1:L1"/>
    <mergeCell ref="J7:L7"/>
    <mergeCell ref="J27:L27"/>
    <mergeCell ref="M1:O1"/>
    <mergeCell ref="M7:O7"/>
    <mergeCell ref="M17:O17"/>
    <mergeCell ref="G7:I7"/>
    <mergeCell ref="G17:I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B14" sqref="B14"/>
    </sheetView>
  </sheetViews>
  <sheetFormatPr defaultColWidth="8.6640625" defaultRowHeight="14.4" x14ac:dyDescent="0.3"/>
  <cols>
    <col min="1" max="1" width="8.6640625" style="21"/>
    <col min="2" max="2" width="22.109375" style="21" customWidth="1"/>
    <col min="3" max="3" width="37" style="21" customWidth="1"/>
    <col min="4" max="5" width="11.44140625" style="21" customWidth="1"/>
    <col min="6" max="6" width="14" style="21" customWidth="1"/>
    <col min="7" max="7" width="20" style="21" customWidth="1"/>
    <col min="8" max="8" width="16.44140625" style="21" customWidth="1"/>
    <col min="9" max="16384" width="8.6640625" style="21"/>
  </cols>
  <sheetData>
    <row r="1" spans="1:9" ht="15" customHeight="1" x14ac:dyDescent="0.3"/>
    <row r="2" spans="1:9" ht="15" customHeight="1" x14ac:dyDescent="0.3">
      <c r="A2" s="22"/>
      <c r="B2" s="22"/>
      <c r="C2" s="22"/>
      <c r="D2" s="22"/>
      <c r="E2" s="22"/>
      <c r="F2" s="22"/>
      <c r="G2" s="22"/>
      <c r="H2" s="22"/>
    </row>
    <row r="3" spans="1:9" ht="15.75" customHeight="1" x14ac:dyDescent="0.3">
      <c r="A3" s="22"/>
      <c r="B3" s="194" t="s">
        <v>122</v>
      </c>
      <c r="C3" s="194"/>
      <c r="D3" s="194"/>
      <c r="E3" s="194"/>
      <c r="F3" s="194"/>
      <c r="G3" s="194"/>
      <c r="H3" s="194"/>
    </row>
    <row r="4" spans="1:9" x14ac:dyDescent="0.3">
      <c r="A4" s="22"/>
      <c r="B4" s="23" t="s">
        <v>123</v>
      </c>
      <c r="C4" s="23" t="s">
        <v>124</v>
      </c>
      <c r="D4" s="23" t="s">
        <v>76</v>
      </c>
      <c r="E4" s="23" t="s">
        <v>125</v>
      </c>
      <c r="F4" s="23" t="s">
        <v>132</v>
      </c>
      <c r="G4" s="23" t="s">
        <v>133</v>
      </c>
      <c r="H4" s="23" t="s">
        <v>126</v>
      </c>
    </row>
    <row r="5" spans="1:9" ht="15" customHeight="1" x14ac:dyDescent="0.3">
      <c r="A5" s="22"/>
      <c r="B5" s="25" t="s">
        <v>127</v>
      </c>
      <c r="C5" s="26"/>
      <c r="D5" s="25" t="s">
        <v>128</v>
      </c>
      <c r="E5" s="25">
        <v>1106</v>
      </c>
      <c r="F5" s="27">
        <f>E5*1.6</f>
        <v>1769.6000000000001</v>
      </c>
      <c r="G5" s="27">
        <f>H5/F5</f>
        <v>31532.549728752259</v>
      </c>
      <c r="H5" s="28">
        <v>55800000</v>
      </c>
    </row>
    <row r="6" spans="1:9" x14ac:dyDescent="0.3">
      <c r="A6" s="22"/>
      <c r="B6" s="25" t="s">
        <v>127</v>
      </c>
      <c r="C6" s="29"/>
      <c r="D6" s="25"/>
      <c r="E6" s="25"/>
      <c r="F6" s="27">
        <f t="shared" ref="F6:F11" si="0">E6*1.6</f>
        <v>0</v>
      </c>
      <c r="G6" s="27" t="e">
        <f t="shared" ref="G6:G11" si="1">H6/F6</f>
        <v>#DIV/0!</v>
      </c>
      <c r="H6" s="28"/>
    </row>
    <row r="7" spans="1:9" ht="15" customHeight="1" x14ac:dyDescent="0.3">
      <c r="A7" s="22"/>
      <c r="B7" s="25" t="s">
        <v>127</v>
      </c>
      <c r="C7" s="26"/>
      <c r="D7" s="25"/>
      <c r="E7" s="25"/>
      <c r="F7" s="27">
        <f t="shared" si="0"/>
        <v>0</v>
      </c>
      <c r="G7" s="27" t="e">
        <f t="shared" si="1"/>
        <v>#DIV/0!</v>
      </c>
      <c r="H7" s="28"/>
    </row>
    <row r="8" spans="1:9" x14ac:dyDescent="0.3">
      <c r="A8" s="22"/>
      <c r="B8" s="25" t="s">
        <v>127</v>
      </c>
      <c r="C8" s="29"/>
      <c r="D8" s="25"/>
      <c r="E8" s="25"/>
      <c r="F8" s="27">
        <f t="shared" si="0"/>
        <v>0</v>
      </c>
      <c r="G8" s="27" t="e">
        <f t="shared" si="1"/>
        <v>#DIV/0!</v>
      </c>
      <c r="H8" s="28"/>
    </row>
    <row r="9" spans="1:9" ht="15" customHeight="1" x14ac:dyDescent="0.3">
      <c r="A9" s="22"/>
      <c r="B9" s="25" t="s">
        <v>127</v>
      </c>
      <c r="C9" s="29"/>
      <c r="D9" s="25"/>
      <c r="E9" s="25"/>
      <c r="F9" s="27">
        <f t="shared" si="0"/>
        <v>0</v>
      </c>
      <c r="G9" s="27" t="e">
        <f t="shared" si="1"/>
        <v>#DIV/0!</v>
      </c>
      <c r="H9" s="28"/>
    </row>
    <row r="10" spans="1:9" ht="15" customHeight="1" x14ac:dyDescent="0.3">
      <c r="A10" s="22"/>
      <c r="B10" s="25" t="s">
        <v>129</v>
      </c>
      <c r="C10" s="26"/>
      <c r="D10" s="25"/>
      <c r="E10" s="25"/>
      <c r="F10" s="27">
        <f t="shared" si="0"/>
        <v>0</v>
      </c>
      <c r="G10" s="27" t="e">
        <f t="shared" si="1"/>
        <v>#DIV/0!</v>
      </c>
      <c r="H10" s="28"/>
    </row>
    <row r="11" spans="1:9" ht="15" customHeight="1" x14ac:dyDescent="0.3">
      <c r="A11" s="22"/>
      <c r="B11" s="25" t="s">
        <v>129</v>
      </c>
      <c r="C11" s="26"/>
      <c r="D11" s="25"/>
      <c r="E11" s="25"/>
      <c r="F11" s="27">
        <f t="shared" si="0"/>
        <v>0</v>
      </c>
      <c r="G11" s="27" t="e">
        <f t="shared" si="1"/>
        <v>#DIV/0!</v>
      </c>
      <c r="H11" s="28"/>
    </row>
    <row r="12" spans="1:9" ht="15" customHeight="1" x14ac:dyDescent="0.3">
      <c r="A12" s="22"/>
      <c r="B12" s="30" t="s">
        <v>130</v>
      </c>
      <c r="C12" s="25"/>
      <c r="D12" s="25"/>
      <c r="E12" s="25"/>
      <c r="F12" s="25"/>
      <c r="G12" s="31" t="e">
        <f>AVERAGE(G5:G11)</f>
        <v>#DIV/0!</v>
      </c>
      <c r="H12" s="25"/>
    </row>
    <row r="13" spans="1:9" ht="15" customHeight="1" x14ac:dyDescent="0.3">
      <c r="B13" s="30" t="s">
        <v>131</v>
      </c>
      <c r="C13" s="25"/>
      <c r="D13" s="25"/>
      <c r="E13" s="25"/>
      <c r="F13" s="32"/>
      <c r="G13" s="30"/>
      <c r="H13" s="30"/>
      <c r="I13" s="2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Sheet1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2025-08-18T09:34:31Z</cp:lastPrinted>
  <dcterms:created xsi:type="dcterms:W3CDTF">2019-07-16T09:29:46Z</dcterms:created>
  <dcterms:modified xsi:type="dcterms:W3CDTF">2025-08-18T09:39:41Z</dcterms:modified>
</cp:coreProperties>
</file>