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Aug 25\Axis\Dump\Axis Dump\"/>
    </mc:Choice>
  </mc:AlternateContent>
  <xr:revisionPtr revIDLastSave="0" documentId="13_ncr:1_{2F21ABA6-C54B-46B2-BD4C-4EFABBE8E36B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4" i="1" l="1"/>
  <c r="F144" i="1" l="1"/>
  <c r="D246" i="1"/>
  <c r="D250" i="1"/>
  <c r="D181" i="1"/>
  <c r="D180" i="1"/>
  <c r="D179" i="1"/>
  <c r="D178" i="1"/>
  <c r="D177" i="1"/>
  <c r="D176" i="1"/>
  <c r="D170" i="1"/>
  <c r="D171" i="1"/>
  <c r="D172" i="1"/>
  <c r="D173" i="1"/>
  <c r="D174" i="1"/>
  <c r="D169" i="1"/>
  <c r="D167" i="1"/>
  <c r="F167" i="1" s="1"/>
  <c r="D163" i="1"/>
  <c r="F163" i="1" s="1"/>
  <c r="D162" i="1"/>
  <c r="I163" i="1"/>
  <c r="D272" i="1" l="1"/>
  <c r="F272" i="1" s="1"/>
  <c r="D271" i="1"/>
  <c r="F271" i="1" s="1"/>
  <c r="D270" i="1"/>
  <c r="F270" i="1" s="1"/>
  <c r="D269" i="1"/>
  <c r="F269" i="1" s="1"/>
  <c r="D268" i="1"/>
  <c r="F268" i="1" s="1"/>
  <c r="D267" i="1"/>
  <c r="F267" i="1" s="1"/>
  <c r="D266" i="1"/>
  <c r="F266" i="1" s="1"/>
  <c r="D265" i="1"/>
  <c r="F265" i="1" s="1"/>
  <c r="D264" i="1"/>
  <c r="F264" i="1" s="1"/>
  <c r="D263" i="1"/>
  <c r="F263" i="1" s="1"/>
  <c r="D262" i="1"/>
  <c r="F262" i="1" s="1"/>
  <c r="D261" i="1"/>
  <c r="F261" i="1" s="1"/>
  <c r="D260" i="1"/>
  <c r="F260" i="1" s="1"/>
  <c r="D259" i="1"/>
  <c r="F259" i="1" s="1"/>
  <c r="D258" i="1"/>
  <c r="F258" i="1" s="1"/>
  <c r="D257" i="1"/>
  <c r="F257" i="1" s="1"/>
  <c r="D256" i="1"/>
  <c r="F256" i="1" s="1"/>
  <c r="D254" i="1"/>
  <c r="F254" i="1" s="1"/>
  <c r="D253" i="1"/>
  <c r="F253" i="1" s="1"/>
  <c r="D252" i="1"/>
  <c r="F252" i="1" s="1"/>
  <c r="D251" i="1"/>
  <c r="F251" i="1" s="1"/>
  <c r="F250" i="1"/>
  <c r="D249" i="1"/>
  <c r="F249" i="1" s="1"/>
  <c r="D248" i="1"/>
  <c r="F248" i="1" s="1"/>
  <c r="D247" i="1"/>
  <c r="F247" i="1" s="1"/>
  <c r="F246" i="1"/>
  <c r="D245" i="1"/>
  <c r="F245" i="1" s="1"/>
  <c r="D244" i="1"/>
  <c r="F244" i="1" s="1"/>
  <c r="D243" i="1"/>
  <c r="F243" i="1" s="1"/>
  <c r="D242" i="1"/>
  <c r="F242" i="1" s="1"/>
  <c r="D241" i="1"/>
  <c r="F241" i="1" s="1"/>
  <c r="D240" i="1"/>
  <c r="F240" i="1" s="1"/>
  <c r="D239" i="1"/>
  <c r="F239" i="1" s="1"/>
  <c r="D238" i="1"/>
  <c r="F238" i="1" s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2" i="1"/>
  <c r="F212" i="1" s="1"/>
  <c r="D211" i="1"/>
  <c r="F211" i="1" s="1"/>
  <c r="D210" i="1"/>
  <c r="F210" i="1" s="1"/>
  <c r="D209" i="1"/>
  <c r="F209" i="1" s="1"/>
  <c r="D208" i="1"/>
  <c r="F208" i="1" s="1"/>
  <c r="D207" i="1"/>
  <c r="F207" i="1" s="1"/>
  <c r="D206" i="1"/>
  <c r="F206" i="1" s="1"/>
  <c r="D205" i="1"/>
  <c r="F205" i="1" s="1"/>
  <c r="D204" i="1"/>
  <c r="F204" i="1" s="1"/>
  <c r="D203" i="1"/>
  <c r="F203" i="1" s="1"/>
  <c r="D201" i="1"/>
  <c r="F201" i="1" s="1"/>
  <c r="D200" i="1"/>
  <c r="F200" i="1" s="1"/>
  <c r="D199" i="1"/>
  <c r="F199" i="1" s="1"/>
  <c r="D198" i="1"/>
  <c r="F198" i="1" s="1"/>
  <c r="D197" i="1"/>
  <c r="F197" i="1" s="1"/>
  <c r="D196" i="1"/>
  <c r="D195" i="1"/>
  <c r="F195" i="1" s="1"/>
  <c r="D194" i="1"/>
  <c r="F194" i="1" s="1"/>
  <c r="D193" i="1"/>
  <c r="F193" i="1" s="1"/>
  <c r="D192" i="1"/>
  <c r="F192" i="1" s="1"/>
  <c r="D191" i="1"/>
  <c r="F191" i="1" s="1"/>
  <c r="D190" i="1"/>
  <c r="F190" i="1" s="1"/>
  <c r="D166" i="1"/>
  <c r="D165" i="1"/>
  <c r="D161" i="1"/>
  <c r="D160" i="1"/>
  <c r="D159" i="1"/>
  <c r="D158" i="1"/>
  <c r="I164" i="1"/>
  <c r="I203" i="1"/>
  <c r="G203" i="1"/>
  <c r="F196" i="1"/>
  <c r="I256" i="1"/>
  <c r="G256" i="1"/>
  <c r="I238" i="1"/>
  <c r="G238" i="1"/>
  <c r="I190" i="1"/>
  <c r="G190" i="1"/>
  <c r="C147" i="1" l="1"/>
  <c r="E147" i="1"/>
  <c r="G149" i="1"/>
  <c r="E148" i="1"/>
  <c r="C148" i="1"/>
  <c r="E150" i="1"/>
  <c r="C150" i="1"/>
  <c r="L190" i="1"/>
  <c r="E149" i="1"/>
  <c r="C149" i="1"/>
  <c r="F226" i="1"/>
  <c r="F223" i="1"/>
  <c r="I220" i="1"/>
  <c r="F236" i="1"/>
  <c r="F235" i="1"/>
  <c r="F234" i="1"/>
  <c r="F233" i="1"/>
  <c r="F232" i="1"/>
  <c r="F231" i="1"/>
  <c r="F230" i="1"/>
  <c r="F229" i="1"/>
  <c r="F228" i="1"/>
  <c r="F227" i="1"/>
  <c r="F225" i="1"/>
  <c r="F224" i="1"/>
  <c r="E151" i="1" l="1"/>
  <c r="C151" i="1"/>
  <c r="F181" i="1"/>
  <c r="F180" i="1"/>
  <c r="F179" i="1"/>
  <c r="F178" i="1"/>
  <c r="F177" i="1"/>
  <c r="G176" i="1"/>
  <c r="F176" i="1"/>
  <c r="F171" i="1"/>
  <c r="F170" i="1"/>
  <c r="F169" i="1"/>
  <c r="F174" i="1"/>
  <c r="F173" i="1"/>
  <c r="F172" i="1"/>
  <c r="G169" i="1"/>
  <c r="F222" i="1"/>
  <c r="F221" i="1"/>
  <c r="G220" i="1"/>
  <c r="F220" i="1"/>
  <c r="F166" i="1"/>
  <c r="F165" i="1"/>
  <c r="G165" i="1"/>
  <c r="J158" i="1"/>
  <c r="G150" i="1" l="1"/>
  <c r="G148" i="1"/>
  <c r="I158" i="1"/>
  <c r="I159" i="1"/>
  <c r="I162" i="1" l="1"/>
  <c r="F162" i="1"/>
  <c r="E29" i="1" l="1"/>
  <c r="C72" i="1"/>
  <c r="B73" i="1" s="1"/>
  <c r="E24" i="1"/>
  <c r="E26" i="1" l="1"/>
  <c r="C14" i="1"/>
  <c r="E42" i="1" l="1"/>
  <c r="E43" i="1" s="1"/>
  <c r="F159" i="1" l="1"/>
  <c r="F160" i="1"/>
  <c r="F161" i="1"/>
  <c r="F158" i="1"/>
  <c r="G147" i="1" l="1"/>
  <c r="G151" i="1" s="1"/>
  <c r="B275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99" i="1"/>
  <c r="G158" i="1"/>
  <c r="C100" i="1"/>
  <c r="B101" i="1" s="1"/>
  <c r="C86" i="1"/>
  <c r="B87" i="1" s="1"/>
  <c r="D58" i="1"/>
  <c r="C49" i="1"/>
  <c r="E3" i="1"/>
  <c r="H73" i="1"/>
  <c r="H87" i="1"/>
  <c r="I66" i="1" l="1"/>
  <c r="J92" i="1"/>
  <c r="J93" i="1" s="1"/>
  <c r="J86" i="1"/>
  <c r="J88" i="1" s="1"/>
  <c r="D97" i="1"/>
  <c r="D98" i="1"/>
  <c r="D99" i="1"/>
  <c r="D93" i="1"/>
  <c r="D94" i="1"/>
  <c r="D95" i="1"/>
  <c r="D96" i="1"/>
  <c r="D85" i="1"/>
  <c r="D83" i="1"/>
  <c r="D82" i="1"/>
  <c r="D81" i="1"/>
  <c r="D79" i="1"/>
  <c r="J72" i="1"/>
  <c r="D84" i="1"/>
  <c r="D80" i="1"/>
  <c r="J76" i="1"/>
  <c r="J77" i="1"/>
  <c r="C76" i="1" s="1"/>
  <c r="J75" i="1"/>
  <c r="J78" i="1"/>
  <c r="J79" i="1" s="1"/>
  <c r="J84" i="1" s="1"/>
  <c r="J90" i="1"/>
  <c r="J91" i="1"/>
  <c r="C90" i="1" s="1"/>
  <c r="J89" i="1"/>
  <c r="H101" i="1"/>
  <c r="D111" i="1" l="1"/>
  <c r="D108" i="1"/>
  <c r="D109" i="1"/>
  <c r="D107" i="1"/>
  <c r="J105" i="1"/>
  <c r="C104" i="1" s="1"/>
  <c r="D104" i="1" s="1"/>
  <c r="J103" i="1"/>
  <c r="J100" i="1"/>
  <c r="J102" i="1" s="1"/>
  <c r="J106" i="1"/>
  <c r="J107" i="1" s="1"/>
  <c r="J112" i="1" s="1"/>
  <c r="J104" i="1"/>
  <c r="D112" i="1"/>
  <c r="D113" i="1"/>
  <c r="D110" i="1"/>
  <c r="J98" i="1"/>
  <c r="J108" i="1"/>
  <c r="J109" i="1" s="1"/>
  <c r="J110" i="1" s="1"/>
  <c r="J111" i="1" s="1"/>
  <c r="J94" i="1"/>
  <c r="J95" i="1" s="1"/>
  <c r="J96" i="1" s="1"/>
  <c r="J97" i="1" s="1"/>
  <c r="J80" i="1"/>
  <c r="J81" i="1" s="1"/>
  <c r="J82" i="1" s="1"/>
  <c r="J83" i="1" s="1"/>
  <c r="D106" i="1"/>
  <c r="D92" i="1"/>
  <c r="D78" i="1"/>
  <c r="J74" i="1"/>
  <c r="D76" i="1"/>
  <c r="D90" i="1"/>
  <c r="J113" i="1" l="1"/>
  <c r="C105" i="1" s="1"/>
  <c r="E104" i="1" s="1"/>
  <c r="J85" i="1"/>
  <c r="C77" i="1" s="1"/>
  <c r="G76" i="1" s="1"/>
  <c r="J99" i="1"/>
  <c r="J101" i="1" l="1"/>
  <c r="D105" i="1"/>
  <c r="I101" i="1" s="1"/>
  <c r="I102" i="1" s="1"/>
  <c r="I100" i="1" s="1"/>
  <c r="C102" i="1" s="1"/>
  <c r="G104" i="1"/>
  <c r="C91" i="1"/>
  <c r="J87" i="1" s="1"/>
  <c r="D70" i="1"/>
  <c r="D71" i="1" s="1"/>
  <c r="J73" i="1"/>
  <c r="D77" i="1"/>
  <c r="E76" i="1"/>
  <c r="I73" i="1" l="1"/>
  <c r="I74" i="1" s="1"/>
  <c r="I72" i="1" s="1"/>
  <c r="C74" i="1" s="1"/>
  <c r="G90" i="1"/>
  <c r="E90" i="1"/>
  <c r="D91" i="1"/>
  <c r="I87" i="1" s="1"/>
  <c r="I88" i="1" s="1"/>
  <c r="I86" i="1" s="1"/>
  <c r="C88" i="1" s="1"/>
  <c r="F71" i="1"/>
  <c r="B115" i="1" l="1"/>
  <c r="H115" i="1"/>
  <c r="D127" i="1" l="1"/>
  <c r="D123" i="1"/>
  <c r="D125" i="1"/>
  <c r="D121" i="1"/>
  <c r="D120" i="1"/>
  <c r="J114" i="1"/>
  <c r="J116" i="1" s="1"/>
  <c r="D126" i="1"/>
  <c r="D122" i="1"/>
  <c r="J118" i="1"/>
  <c r="J117" i="1"/>
  <c r="D124" i="1"/>
  <c r="J119" i="1"/>
  <c r="C118" i="1" s="1"/>
  <c r="D118" i="1" s="1"/>
  <c r="J123" i="1"/>
  <c r="J122" i="1"/>
  <c r="J125" i="1"/>
  <c r="J124" i="1"/>
  <c r="J120" i="1"/>
  <c r="J121" i="1" s="1"/>
  <c r="J126" i="1" s="1"/>
  <c r="J127" i="1" s="1"/>
  <c r="C119" i="1" s="1"/>
  <c r="E118" i="1" l="1"/>
  <c r="E128" i="1" s="1"/>
  <c r="D119" i="1"/>
  <c r="I115" i="1" s="1"/>
  <c r="G118" i="1"/>
  <c r="H128" i="1" s="1"/>
  <c r="J115" i="1"/>
  <c r="I116" i="1" l="1"/>
  <c r="I114" i="1" s="1"/>
  <c r="C116" i="1" s="1"/>
</calcChain>
</file>

<file path=xl/sharedStrings.xml><?xml version="1.0" encoding="utf-8"?>
<sst xmlns="http://schemas.openxmlformats.org/spreadsheetml/2006/main" count="502" uniqueCount="252">
  <si>
    <t xml:space="preserve">Valuation Report </t>
  </si>
  <si>
    <t>Date:</t>
  </si>
  <si>
    <t>CPC Name:</t>
  </si>
  <si>
    <t>Date Of Property Visit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</si>
  <si>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</si>
  <si>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</si>
  <si>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</si>
  <si>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</si>
  <si>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</si>
  <si>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</si>
  <si>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</si>
  <si>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</si>
  <si>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</si>
  <si>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</si>
  <si>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</si>
  <si>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</si>
  <si>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</si>
  <si>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</si>
  <si>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</si>
  <si>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</si>
  <si>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</si>
  <si>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</si>
  <si>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</si>
  <si>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</si>
  <si>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</si>
  <si>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</si>
  <si>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</si>
  <si>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</si>
  <si>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</si>
  <si>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</si>
  <si>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</si>
  <si>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</si>
  <si>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</si>
  <si>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</si>
  <si>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</si>
  <si>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</si>
  <si>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</si>
  <si>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</si>
  <si>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</si>
  <si>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</si>
  <si>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</si>
  <si>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</si>
  <si>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</si>
  <si>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</si>
  <si>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</si>
  <si>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</si>
  <si>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</si>
  <si>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</si>
  <si>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</si>
  <si>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</si>
  <si>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</si>
  <si>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</si>
  <si>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</si>
  <si>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</si>
  <si>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</si>
  <si>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</si>
  <si>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</si>
  <si>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</si>
  <si>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</si>
  <si>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</si>
  <si>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</si>
  <si>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</si>
  <si>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</si>
  <si>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</si>
  <si>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</si>
  <si>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</si>
  <si>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</si>
  <si>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</si>
  <si>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</si>
  <si>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</si>
  <si>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</si>
  <si>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</si>
  <si>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</si>
  <si>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</si>
  <si>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</si>
  <si>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</si>
  <si>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</si>
  <si>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</si>
  <si>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</si>
  <si>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</si>
  <si>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</si>
  <si>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</si>
  <si>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</si>
  <si>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</si>
  <si>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</si>
  <si>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</si>
  <si>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</si>
  <si>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</si>
  <si>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</si>
  <si>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</si>
  <si>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</si>
  <si>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</si>
  <si>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</si>
  <si>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</si>
  <si>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</si>
  <si>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</si>
  <si>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</si>
  <si>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</si>
  <si>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</si>
  <si>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</si>
  <si>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</si>
  <si>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</si>
  <si>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</si>
  <si>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</si>
  <si>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</si>
  <si>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</si>
  <si>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</si>
  <si>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</si>
  <si>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</si>
  <si>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</si>
  <si>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</si>
  <si>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</si>
  <si>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</si>
  <si>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</si>
  <si>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</si>
  <si>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</si>
  <si>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</si>
  <si>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</si>
  <si>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</si>
  <si>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</si>
  <si>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</si>
  <si>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</si>
  <si>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</si>
  <si>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</si>
  <si>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</si>
  <si>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</si>
  <si>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</si>
  <si>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</si>
  <si>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</si>
  <si>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</si>
  <si>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</si>
  <si>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</si>
  <si>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</si>
  <si>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</si>
  <si>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</si>
  <si>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</si>
  <si>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</si>
  <si>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</si>
  <si>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</si>
  <si>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</si>
  <si>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</si>
  <si>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</si>
  <si>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</si>
  <si>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</si>
  <si>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</si>
  <si>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</si>
  <si>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</si>
  <si>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</si>
  <si>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</si>
  <si>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</si>
  <si>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</si>
  <si>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</si>
  <si>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</si>
  <si>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</si>
  <si>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</si>
  <si>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</si>
  <si>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</si>
  <si>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</si>
  <si>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</si>
  <si>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</si>
  <si>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</si>
  <si>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</si>
  <si>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Provided Contact Details (Name &amp; Contact No.)</t>
  </si>
  <si>
    <t>Site Person - Contact Details (Name &amp; Contact No.)</t>
  </si>
  <si>
    <t>Axis Sanpada</t>
  </si>
  <si>
    <t>Plan M Business Park</t>
  </si>
  <si>
    <t xml:space="preserve">Nagesh Buildtech LLP </t>
  </si>
  <si>
    <t>P51700023125</t>
  </si>
  <si>
    <t>Thane</t>
  </si>
  <si>
    <t>Turbhe</t>
  </si>
  <si>
    <t>Thane - Belapur Road</t>
  </si>
  <si>
    <t>Open Plot</t>
  </si>
  <si>
    <t>Destination India Shopping Mall</t>
  </si>
  <si>
    <t>Turbhe Chemicals Pvt. Ltd</t>
  </si>
  <si>
    <t>https://goo.gl/maps/ukxhhJQRXvkCLXZT8?coh=178572&amp;entry=tt</t>
  </si>
  <si>
    <t>As per RERA - 01/11/2025</t>
  </si>
  <si>
    <t>Plot No</t>
  </si>
  <si>
    <t>Maharashtra Industrial Development Corporation (MIDC)</t>
  </si>
  <si>
    <t>9 &amp; 9A</t>
  </si>
  <si>
    <t>Wing A</t>
  </si>
  <si>
    <t>Ground Floor For Commercial</t>
  </si>
  <si>
    <t>Shopping Outlet</t>
  </si>
  <si>
    <t>Common Conference Room, Water Body, Cafeteria Cafe, Yoga &amp; Meditation Center, Gymnasium, Indoor Mini Golf, Themed Spa &amp; Salon, Indoor Games, Steam Room With Sauna, Swimming Pool With Jacuzzi etc.</t>
  </si>
  <si>
    <t>1st  Floor For Commercial</t>
  </si>
  <si>
    <t>Financial Office</t>
  </si>
  <si>
    <t>Wing B</t>
  </si>
  <si>
    <t>Ground Floor For Meter Room &amp; Parking</t>
  </si>
  <si>
    <t>1st Podium Floor For Electric Room &amp; Parking</t>
  </si>
  <si>
    <t>2nd to 4th Floor For Commercial</t>
  </si>
  <si>
    <t>Attached Otla area</t>
  </si>
  <si>
    <t>5th Floor For Commercial (Refuge Balcony Provided)</t>
  </si>
  <si>
    <t>6th Floor For Cofee Shop, Restaurant &amp; Loung Bar (Part Terrace Area)</t>
  </si>
  <si>
    <t>EE/Dn.II/SPA/A52003/2019</t>
  </si>
  <si>
    <t>2nd to 8th Podium Floor (P1 to P8) For Parking</t>
  </si>
  <si>
    <t>IT Office</t>
  </si>
  <si>
    <t>Wing C</t>
  </si>
  <si>
    <t>Ground Floor For Parking</t>
  </si>
  <si>
    <t>1st to 8th Podium Floor (P1 to P8) For Parking</t>
  </si>
  <si>
    <t>6th Floor For Food Court &amp; Café Area (Part Terrace Area)</t>
  </si>
  <si>
    <t>7th Floor For Gym</t>
  </si>
  <si>
    <t>7th Floor For Commercial</t>
  </si>
  <si>
    <t>Refuge Area</t>
  </si>
  <si>
    <t>We considered Gross carpet area = Net carpet + Open balcony.</t>
  </si>
  <si>
    <t>Wing A, B &amp; C</t>
  </si>
  <si>
    <t>03 Wings</t>
  </si>
  <si>
    <t xml:space="preserve">Airports Authority Of India-NOC No
Valid Up to: </t>
  </si>
  <si>
    <t>NAVI/WEST/B/081318/326469</t>
  </si>
  <si>
    <t>88.29M (AMSL)</t>
  </si>
  <si>
    <t>A Wing = G + 1st to 6th Floor</t>
  </si>
  <si>
    <t xml:space="preserve">Part O. Certificate No.: </t>
  </si>
  <si>
    <t>A Wing = G + 1st to 6th Floor
B Wing = G + 1st to 12th Floor
C Wing = G + 1st to 12th Floor</t>
  </si>
  <si>
    <t>EE/Dn.II/SPA/MHP/IFMS/E38934/
2022
Approved upto : Wing A = G + 1st Floor</t>
  </si>
  <si>
    <t>Approved Plans, CC, Sale Plans</t>
  </si>
  <si>
    <t>EE/Dn.II/MHP/SPA/B24865/2023</t>
  </si>
  <si>
    <t>9th, 13th &amp; 17th Floor (Part Refuge Area)</t>
  </si>
  <si>
    <t>8th, 10th, 11th, 12th, 14th, 15th, 16th &amp; 18th Floor For Commercial</t>
  </si>
  <si>
    <t>8th, 10th, 11th, 12th, 14th to 16th &amp; 18th Floor</t>
  </si>
  <si>
    <t>9th, 13th &amp; 17th Floor (Balcony Refuge Area)</t>
  </si>
  <si>
    <t>A Wing = G + 1st to 6th Floor
B Wing = G + P1 to P8(23.35m) + 6th(26.25m) to 18th Floor
C Wing = G + P1 to P8(23.35m) + 6th(26.25m) to 18th Floor</t>
  </si>
  <si>
    <t>0.75 KM from Turbhe Railway Station</t>
  </si>
  <si>
    <t>Mr.Sachin Garg 9322668754</t>
  </si>
  <si>
    <t>Shopping Outlet - 06, Financial Office - 27, IT Office - 330</t>
  </si>
  <si>
    <t>As Wing B is mentioned twice in the approved layout and floor plan, we have considered
Wing Bifercation as per the sale plan.</t>
  </si>
  <si>
    <t>We have updated approved floor plan of Wing A, B &amp; C (on 03/07/2023).</t>
  </si>
  <si>
    <t xml:space="preserve">6th Floor For Lawn &amp; Gazebo </t>
  </si>
  <si>
    <t>Recommended rate of the Shopping Outlet Per Sq. Ft.</t>
  </si>
  <si>
    <t>Recommended rate of the IT Office Per Sq. Ft. (11th to 29th Floor)</t>
  </si>
  <si>
    <t>C Wing (Part II) = G + 1st to 29th Floor</t>
  </si>
  <si>
    <t>AS PER SITE MEET PERSON HAMZA ON 04/07/2023</t>
  </si>
  <si>
    <t>Recommended rate of the Financial Office Per Sq. Ft. 
(1st to 6th Floor)</t>
  </si>
  <si>
    <t>Recommended rate of the IT Office Per Sq. Ft. 
(1st to 10th Floor)</t>
  </si>
  <si>
    <t>Average Construction of Wing C</t>
  </si>
  <si>
    <t>Name of the builder group As per RERA</t>
  </si>
  <si>
    <t>Name of the builder company As Per Builder</t>
  </si>
  <si>
    <t>Vishwagreen Plus LLP</t>
  </si>
  <si>
    <t>Builder Name Clarification Letter :</t>
  </si>
  <si>
    <t>A Builder Name Clarification Letter is attached below.</t>
  </si>
  <si>
    <t>B Wing = G + 1st to 29th Floor</t>
  </si>
  <si>
    <t>Facade &amp; Plumbing</t>
  </si>
  <si>
    <t>Photos taken from 10th slab(podium top) Visit date 03/05/2024</t>
  </si>
  <si>
    <t>19.071659,73.019871</t>
  </si>
  <si>
    <t>C Wing = G + 1st to 29th Floor</t>
  </si>
  <si>
    <t xml:space="preserve">Combined Approval Letter
Valid Up to: </t>
  </si>
  <si>
    <t>EE/Dn.II/MHP/SPA/B24865/of2023</t>
  </si>
  <si>
    <t>We have updated Combined Approval Letter on 14/11/2024.</t>
  </si>
  <si>
    <t>Plot No. 9/9A
Total Builtup Area = 25697.24Sq.m
Amended to Approved Floor Plans dtd. 17/05/2023</t>
  </si>
  <si>
    <t>Please provide revised approved plans &amp; CC, As the construction work goes beyond the CC permission, Combined Approval letter and approved plans (Wing B &amp; C = G + 1st to 18th Floor)</t>
  </si>
  <si>
    <t xml:space="preserve">Mr. Nayan 8104972376 / </t>
  </si>
  <si>
    <t>60 Years after completion</t>
  </si>
  <si>
    <t>Wing A, B &amp; C = Construction work is in process at the time of Visit. Internal Visit was not allowed. (Very Very Slow Speed)</t>
  </si>
  <si>
    <t>Kunal Kadam</t>
  </si>
  <si>
    <t>Anish Vishwakarma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</si>
</sst>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2" fontId="7" fillId="0" borderId="0" xfId="1" applyNumberFormat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0" fontId="24" fillId="2" borderId="15" xfId="0" applyFont="1" applyFill="1" applyBorder="1"/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15" fillId="2" borderId="0" xfId="1" applyFont="1" applyFill="1" applyAlignment="1">
      <alignment horizontal="center" wrapText="1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4" fontId="8" fillId="0" borderId="8" xfId="1" applyNumberFormat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16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8" fillId="3" borderId="35" xfId="1" applyFont="1" applyFill="1" applyBorder="1" applyAlignment="1" applyProtection="1">
      <alignment horizontal="center" vertical="center" wrapText="1"/>
      <protection locked="0"/>
    </xf>
    <xf numFmtId="0" fontId="8" fillId="3" borderId="33" xfId="1" applyFont="1" applyFill="1" applyBorder="1" applyAlignment="1" applyProtection="1">
      <alignment horizontal="center" vertical="center" wrapText="1"/>
      <protection locked="0"/>
    </xf>
    <xf numFmtId="0" fontId="8" fillId="3" borderId="36" xfId="1" applyFont="1" applyFill="1" applyBorder="1" applyAlignment="1" applyProtection="1">
      <alignment horizontal="center" vertical="center" wrapText="1"/>
      <protection locked="0"/>
    </xf>
    <xf numFmtId="0" fontId="8" fillId="3" borderId="29" xfId="1" applyFont="1" applyFill="1" applyBorder="1" applyAlignment="1" applyProtection="1">
      <alignment horizontal="center" vertical="center" wrapText="1"/>
      <protection locked="0"/>
    </xf>
    <xf numFmtId="0" fontId="8" fillId="3" borderId="32" xfId="1" applyFont="1" applyFill="1" applyBorder="1" applyAlignment="1" applyProtection="1">
      <alignment horizontal="center" vertical="center"/>
      <protection locked="0"/>
    </xf>
    <xf numFmtId="0" fontId="8" fillId="3" borderId="33" xfId="1" applyFont="1" applyFill="1" applyBorder="1" applyAlignment="1" applyProtection="1">
      <alignment horizontal="center" vertical="center"/>
      <protection locked="0"/>
    </xf>
    <xf numFmtId="0" fontId="8" fillId="3" borderId="28" xfId="1" applyFont="1" applyFill="1" applyBorder="1" applyAlignment="1" applyProtection="1">
      <alignment horizontal="center" vertical="center"/>
      <protection locked="0"/>
    </xf>
    <xf numFmtId="0" fontId="8" fillId="3" borderId="29" xfId="1" applyFont="1" applyFill="1" applyBorder="1" applyAlignment="1" applyProtection="1">
      <alignment horizontal="center" vertical="center"/>
      <protection locked="0"/>
    </xf>
    <xf numFmtId="9" fontId="8" fillId="3" borderId="34" xfId="1" applyNumberFormat="1" applyFont="1" applyFill="1" applyBorder="1" applyAlignment="1" applyProtection="1">
      <alignment horizontal="center" vertical="center"/>
      <protection locked="0"/>
    </xf>
    <xf numFmtId="0" fontId="8" fillId="3" borderId="37" xfId="1" applyFont="1" applyFill="1" applyBorder="1" applyAlignment="1" applyProtection="1">
      <alignment horizontal="center" vertical="center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13" Type="http://schemas.openxmlformats.org/officeDocument/2006/relationships/image" Target="../media/image11.png"/><Relationship Id="rId18" Type="http://schemas.openxmlformats.org/officeDocument/2006/relationships/image" Target="../media/image16.png"/><Relationship Id="rId26" Type="http://schemas.openxmlformats.org/officeDocument/2006/relationships/image" Target="../media/image24.jpeg"/><Relationship Id="rId3" Type="http://schemas.openxmlformats.org/officeDocument/2006/relationships/image" Target="../media/image3.png"/><Relationship Id="rId21" Type="http://schemas.openxmlformats.org/officeDocument/2006/relationships/image" Target="../media/image19.jpeg"/><Relationship Id="rId7" Type="http://schemas.openxmlformats.org/officeDocument/2006/relationships/image" Target="../media/image6.png"/><Relationship Id="rId12" Type="http://schemas.openxmlformats.org/officeDocument/2006/relationships/image" Target="../media/image10.png"/><Relationship Id="rId17" Type="http://schemas.openxmlformats.org/officeDocument/2006/relationships/image" Target="../media/image15.png"/><Relationship Id="rId25" Type="http://schemas.openxmlformats.org/officeDocument/2006/relationships/image" Target="../media/image23.jpe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20" Type="http://schemas.openxmlformats.org/officeDocument/2006/relationships/image" Target="../media/image18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11" Type="http://schemas.openxmlformats.org/officeDocument/2006/relationships/image" Target="../media/image9.png"/><Relationship Id="rId24" Type="http://schemas.openxmlformats.org/officeDocument/2006/relationships/image" Target="../media/image22.jpg"/><Relationship Id="rId5" Type="http://schemas.openxmlformats.org/officeDocument/2006/relationships/image" Target="../media/image5.png"/><Relationship Id="rId15" Type="http://schemas.openxmlformats.org/officeDocument/2006/relationships/image" Target="../media/image13.png"/><Relationship Id="rId23" Type="http://schemas.openxmlformats.org/officeDocument/2006/relationships/image" Target="../media/image21.jpg"/><Relationship Id="rId10" Type="http://schemas.openxmlformats.org/officeDocument/2006/relationships/image" Target="../media/image8.png"/><Relationship Id="rId19" Type="http://schemas.openxmlformats.org/officeDocument/2006/relationships/image" Target="../media/image17.png"/><Relationship Id="rId4" Type="http://schemas.openxmlformats.org/officeDocument/2006/relationships/image" Target="../media/image4.png"/><Relationship Id="rId9" Type="http://schemas.openxmlformats.org/officeDocument/2006/relationships/image" Target="../media/image7.png"/><Relationship Id="rId14" Type="http://schemas.openxmlformats.org/officeDocument/2006/relationships/image" Target="../media/image12.png"/><Relationship Id="rId22" Type="http://schemas.openxmlformats.org/officeDocument/2006/relationships/image" Target="../media/image20.jpeg"/><Relationship Id="rId27" Type="http://schemas.openxmlformats.org/officeDocument/2006/relationships/image" Target="../media/image25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101272</xdr:colOff>
      <xdr:row>441</xdr:row>
      <xdr:rowOff>72904</xdr:rowOff>
    </xdr:from>
    <xdr:to>
      <xdr:col>6</xdr:col>
      <xdr:colOff>673568</xdr:colOff>
      <xdr:row>457</xdr:row>
      <xdr:rowOff>126361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3272" y="65596245"/>
          <a:ext cx="4720001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69273</xdr:colOff>
      <xdr:row>424</xdr:row>
      <xdr:rowOff>17319</xdr:rowOff>
    </xdr:from>
    <xdr:to>
      <xdr:col>6</xdr:col>
      <xdr:colOff>673568</xdr:colOff>
      <xdr:row>440</xdr:row>
      <xdr:rowOff>70773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31273" y="62154955"/>
          <a:ext cx="4752000" cy="324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>
    <xdr:from>
      <xdr:col>3</xdr:col>
      <xdr:colOff>737755</xdr:colOff>
      <xdr:row>446</xdr:row>
      <xdr:rowOff>28576</xdr:rowOff>
    </xdr:from>
    <xdr:to>
      <xdr:col>5</xdr:col>
      <xdr:colOff>438150</xdr:colOff>
      <xdr:row>450</xdr:row>
      <xdr:rowOff>76200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147580" y="88572976"/>
          <a:ext cx="1424420" cy="847724"/>
        </a:xfrm>
        <a:prstGeom prst="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8</xdr:col>
      <xdr:colOff>71870</xdr:colOff>
      <xdr:row>44</xdr:row>
      <xdr:rowOff>8659</xdr:rowOff>
    </xdr:from>
    <xdr:to>
      <xdr:col>12</xdr:col>
      <xdr:colOff>584874</xdr:colOff>
      <xdr:row>50</xdr:row>
      <xdr:rowOff>151338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96495" y="9686059"/>
          <a:ext cx="3846754" cy="1571429"/>
        </a:xfrm>
        <a:prstGeom prst="rect">
          <a:avLst/>
        </a:prstGeom>
      </xdr:spPr>
    </xdr:pic>
    <xdr:clientData/>
  </xdr:twoCellAnchor>
  <xdr:twoCellAnchor editAs="oneCell">
    <xdr:from>
      <xdr:col>8</xdr:col>
      <xdr:colOff>75335</xdr:colOff>
      <xdr:row>50</xdr:row>
      <xdr:rowOff>238990</xdr:rowOff>
    </xdr:from>
    <xdr:to>
      <xdr:col>12</xdr:col>
      <xdr:colOff>169292</xdr:colOff>
      <xdr:row>53</xdr:row>
      <xdr:rowOff>50924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99960" y="11345140"/>
          <a:ext cx="3427707" cy="1307359"/>
        </a:xfrm>
        <a:prstGeom prst="rect">
          <a:avLst/>
        </a:prstGeom>
      </xdr:spPr>
    </xdr:pic>
    <xdr:clientData/>
  </xdr:twoCellAnchor>
  <xdr:twoCellAnchor editAs="oneCell">
    <xdr:from>
      <xdr:col>0</xdr:col>
      <xdr:colOff>649432</xdr:colOff>
      <xdr:row>342</xdr:row>
      <xdr:rowOff>17318</xdr:rowOff>
    </xdr:from>
    <xdr:to>
      <xdr:col>7</xdr:col>
      <xdr:colOff>360409</xdr:colOff>
      <xdr:row>356</xdr:row>
      <xdr:rowOff>59527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1934215" y="67563649"/>
          <a:ext cx="2830434" cy="540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87821</xdr:colOff>
      <xdr:row>357</xdr:row>
      <xdr:rowOff>32893</xdr:rowOff>
    </xdr:from>
    <xdr:to>
      <xdr:col>7</xdr:col>
      <xdr:colOff>160017</xdr:colOff>
      <xdr:row>370</xdr:row>
      <xdr:rowOff>143823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9821" y="71851393"/>
          <a:ext cx="4999219" cy="270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561975</xdr:colOff>
      <xdr:row>382</xdr:row>
      <xdr:rowOff>47625</xdr:rowOff>
    </xdr:from>
    <xdr:to>
      <xdr:col>7</xdr:col>
      <xdr:colOff>266025</xdr:colOff>
      <xdr:row>413</xdr:row>
      <xdr:rowOff>105697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61975" y="85048725"/>
          <a:ext cx="5400000" cy="625884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22</xdr:col>
      <xdr:colOff>486763</xdr:colOff>
      <xdr:row>331</xdr:row>
      <xdr:rowOff>54428</xdr:rowOff>
    </xdr:from>
    <xdr:to>
      <xdr:col>24</xdr:col>
      <xdr:colOff>403049</xdr:colOff>
      <xdr:row>342</xdr:row>
      <xdr:rowOff>43755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60263" y="73750714"/>
          <a:ext cx="1140929" cy="22345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391513</xdr:colOff>
      <xdr:row>331</xdr:row>
      <xdr:rowOff>81642</xdr:rowOff>
    </xdr:from>
    <xdr:to>
      <xdr:col>17</xdr:col>
      <xdr:colOff>144513</xdr:colOff>
      <xdr:row>342</xdr:row>
      <xdr:rowOff>69036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515477" y="73777928"/>
          <a:ext cx="1140929" cy="223257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1206500</xdr:colOff>
      <xdr:row>295</xdr:row>
      <xdr:rowOff>158750</xdr:rowOff>
    </xdr:from>
    <xdr:to>
      <xdr:col>9</xdr:col>
      <xdr:colOff>583874</xdr:colOff>
      <xdr:row>297</xdr:row>
      <xdr:rowOff>29610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051800" y="65062100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</a:t>
          </a:r>
        </a:p>
      </xdr:txBody>
    </xdr:sp>
    <xdr:clientData/>
  </xdr:twoCellAnchor>
  <xdr:twoCellAnchor>
    <xdr:from>
      <xdr:col>10</xdr:col>
      <xdr:colOff>463550</xdr:colOff>
      <xdr:row>294</xdr:row>
      <xdr:rowOff>0</xdr:rowOff>
    </xdr:from>
    <xdr:to>
      <xdr:col>11</xdr:col>
      <xdr:colOff>323524</xdr:colOff>
      <xdr:row>295</xdr:row>
      <xdr:rowOff>67710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9328150" y="64706500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 Wing</a:t>
          </a:r>
        </a:p>
      </xdr:txBody>
    </xdr:sp>
    <xdr:clientData/>
  </xdr:twoCellAnchor>
  <xdr:twoCellAnchor>
    <xdr:from>
      <xdr:col>11</xdr:col>
      <xdr:colOff>730250</xdr:colOff>
      <xdr:row>296</xdr:row>
      <xdr:rowOff>63500</xdr:rowOff>
    </xdr:from>
    <xdr:to>
      <xdr:col>12</xdr:col>
      <xdr:colOff>590224</xdr:colOff>
      <xdr:row>297</xdr:row>
      <xdr:rowOff>131210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0331450" y="65163700"/>
          <a:ext cx="5965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11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C Wing</a:t>
          </a:r>
        </a:p>
      </xdr:txBody>
    </xdr:sp>
    <xdr:clientData/>
  </xdr:twoCellAnchor>
  <xdr:twoCellAnchor>
    <xdr:from>
      <xdr:col>8</xdr:col>
      <xdr:colOff>293757</xdr:colOff>
      <xdr:row>300</xdr:row>
      <xdr:rowOff>29266</xdr:rowOff>
    </xdr:from>
    <xdr:to>
      <xdr:col>16</xdr:col>
      <xdr:colOff>264374</xdr:colOff>
      <xdr:row>336</xdr:row>
      <xdr:rowOff>195766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025861" y="66190744"/>
          <a:ext cx="6543696" cy="7316048"/>
          <a:chOff x="101600" y="65779650"/>
          <a:chExt cx="6641707" cy="7244818"/>
        </a:xfrm>
      </xdr:grpSpPr>
      <xdr:pic>
        <xdr:nvPicPr>
          <xdr:cNvPr id="54" name="Picture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27178" y="71044468"/>
            <a:ext cx="1816129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52362" y="68772059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72007" y="6877205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7" name="Picture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10126" y="71044468"/>
            <a:ext cx="1483454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600" y="71044468"/>
            <a:ext cx="1483454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1" name="Picture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18652" y="71044468"/>
            <a:ext cx="1483454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2" name="Picture 6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30804" y="65779650"/>
            <a:ext cx="3836444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6732" y="65779650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4" name="Picture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1737" y="68772059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377687</xdr:colOff>
      <xdr:row>300</xdr:row>
      <xdr:rowOff>13254</xdr:rowOff>
    </xdr:from>
    <xdr:to>
      <xdr:col>7</xdr:col>
      <xdr:colOff>477078</xdr:colOff>
      <xdr:row>339</xdr:row>
      <xdr:rowOff>86140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46ED407A-A986-C7C2-A215-0CA7D2B4B71B}"/>
            </a:ext>
          </a:extLst>
        </xdr:cNvPr>
        <xdr:cNvGrpSpPr/>
      </xdr:nvGrpSpPr>
      <xdr:grpSpPr>
        <a:xfrm>
          <a:off x="377687" y="66174732"/>
          <a:ext cx="5976730" cy="7818782"/>
          <a:chOff x="355281" y="279240"/>
          <a:chExt cx="5967769" cy="8180101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A9A04A2C-675A-28F1-0D7A-C959BFDD64B3}"/>
              </a:ext>
            </a:extLst>
          </xdr:cNvPr>
          <xdr:cNvGrpSpPr/>
        </xdr:nvGrpSpPr>
        <xdr:grpSpPr>
          <a:xfrm>
            <a:off x="1926418" y="6646532"/>
            <a:ext cx="2825495" cy="1812809"/>
            <a:chOff x="949036" y="6646532"/>
            <a:chExt cx="2825495" cy="1812809"/>
          </a:xfrm>
        </xdr:grpSpPr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FF0E09A7-4871-025E-1E21-CE1F94D77C4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49036" y="6646532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A0572B3A-6526-8E84-DC86-022BCD741C6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426406" y="6659341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F6517D13-DDE6-64EC-4FB0-A8C4E146E2DA}"/>
              </a:ext>
            </a:extLst>
          </xdr:cNvPr>
          <xdr:cNvGrpSpPr/>
        </xdr:nvGrpSpPr>
        <xdr:grpSpPr>
          <a:xfrm>
            <a:off x="355281" y="279240"/>
            <a:ext cx="5967769" cy="3845341"/>
            <a:chOff x="355281" y="279240"/>
            <a:chExt cx="5967769" cy="3845341"/>
          </a:xfrm>
        </xdr:grpSpPr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917EBE80-B1CE-F601-EF21-9D207D1A09E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55281" y="279240"/>
              <a:ext cx="2880000" cy="3845341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D6CA4DDE-519B-FCE5-0560-F20AB8F5204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443050" y="279240"/>
              <a:ext cx="2880000" cy="3845341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20" name="TextBox 22">
              <a:extLst>
                <a:ext uri="{FF2B5EF4-FFF2-40B4-BE49-F238E27FC236}">
                  <a16:creationId xmlns:a16="http://schemas.microsoft.com/office/drawing/2014/main" id="{6776983E-D88C-D39A-45AF-B821BD2B6BEF}"/>
                </a:ext>
              </a:extLst>
            </xdr:cNvPr>
            <xdr:cNvSpPr txBox="1"/>
          </xdr:nvSpPr>
          <xdr:spPr>
            <a:xfrm>
              <a:off x="534950" y="1763728"/>
              <a:ext cx="324128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/>
                <a:t>A</a:t>
              </a:r>
              <a:endParaRPr lang="en-IN" b="1"/>
            </a:p>
          </xdr:txBody>
        </xdr:sp>
        <xdr:sp macro="" textlink="">
          <xdr:nvSpPr>
            <xdr:cNvPr id="21" name="TextBox 23">
              <a:extLst>
                <a:ext uri="{FF2B5EF4-FFF2-40B4-BE49-F238E27FC236}">
                  <a16:creationId xmlns:a16="http://schemas.microsoft.com/office/drawing/2014/main" id="{1A355E90-DC38-EF89-5752-328283A18960}"/>
                </a:ext>
              </a:extLst>
            </xdr:cNvPr>
            <xdr:cNvSpPr txBox="1"/>
          </xdr:nvSpPr>
          <xdr:spPr>
            <a:xfrm>
              <a:off x="1340601" y="697468"/>
              <a:ext cx="324128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/>
                <a:t>B</a:t>
              </a:r>
              <a:endParaRPr lang="en-IN" b="1"/>
            </a:p>
          </xdr:txBody>
        </xdr:sp>
        <xdr:sp macro="" textlink="">
          <xdr:nvSpPr>
            <xdr:cNvPr id="24" name="TextBox 24">
              <a:extLst>
                <a:ext uri="{FF2B5EF4-FFF2-40B4-BE49-F238E27FC236}">
                  <a16:creationId xmlns:a16="http://schemas.microsoft.com/office/drawing/2014/main" id="{52CA51F6-4CB3-95A5-697E-DE2C78C2104D}"/>
                </a:ext>
              </a:extLst>
            </xdr:cNvPr>
            <xdr:cNvSpPr txBox="1"/>
          </xdr:nvSpPr>
          <xdr:spPr>
            <a:xfrm>
              <a:off x="2610749" y="1249680"/>
              <a:ext cx="306494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/>
                <a:t>C</a:t>
              </a:r>
              <a:endParaRPr lang="en-IN" b="1"/>
            </a:p>
          </xdr:txBody>
        </xdr:sp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D99F5F64-8923-E08F-1776-4F7027D2D85E}"/>
              </a:ext>
            </a:extLst>
          </xdr:cNvPr>
          <xdr:cNvGrpSpPr/>
        </xdr:nvGrpSpPr>
        <xdr:grpSpPr>
          <a:xfrm>
            <a:off x="783295" y="4282770"/>
            <a:ext cx="5111740" cy="2189191"/>
            <a:chOff x="679411" y="4282770"/>
            <a:chExt cx="5111740" cy="2189191"/>
          </a:xfrm>
        </xdr:grpSpPr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5F283906-34BF-D10C-28D7-55E373C9B74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426406" y="4311961"/>
              <a:ext cx="161775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3AE069C5-65A8-75AA-D95D-23D22417DD1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173401" y="4311961"/>
              <a:ext cx="161775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F5ED1C4A-61DB-BE19-EEA5-E697DA16180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79411" y="4311961"/>
              <a:ext cx="161775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3" name="TextBox 25">
              <a:extLst>
                <a:ext uri="{FF2B5EF4-FFF2-40B4-BE49-F238E27FC236}">
                  <a16:creationId xmlns:a16="http://schemas.microsoft.com/office/drawing/2014/main" id="{8759789F-BD0F-D46B-8B94-4FF2F8379B40}"/>
                </a:ext>
              </a:extLst>
            </xdr:cNvPr>
            <xdr:cNvSpPr txBox="1"/>
          </xdr:nvSpPr>
          <xdr:spPr>
            <a:xfrm>
              <a:off x="3468560" y="4381862"/>
              <a:ext cx="324128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/>
                <a:t>A</a:t>
              </a:r>
              <a:endParaRPr lang="en-IN" b="1"/>
            </a:p>
          </xdr:txBody>
        </xdr:sp>
        <xdr:sp macro="" textlink="">
          <xdr:nvSpPr>
            <xdr:cNvPr id="17" name="TextBox 26">
              <a:extLst>
                <a:ext uri="{FF2B5EF4-FFF2-40B4-BE49-F238E27FC236}">
                  <a16:creationId xmlns:a16="http://schemas.microsoft.com/office/drawing/2014/main" id="{02C2C404-69CB-9096-366E-6069E5B4F05D}"/>
                </a:ext>
              </a:extLst>
            </xdr:cNvPr>
            <xdr:cNvSpPr txBox="1"/>
          </xdr:nvSpPr>
          <xdr:spPr>
            <a:xfrm>
              <a:off x="1340601" y="4282770"/>
              <a:ext cx="324128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/>
                <a:t>B</a:t>
              </a:r>
              <a:endParaRPr lang="en-IN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ukxhhJQRXvkCLXZT8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423"/>
  <sheetViews>
    <sheetView tabSelected="1" showWhiteSpace="0" view="pageBreakPreview" zoomScale="115" zoomScaleNormal="100" zoomScaleSheetLayoutView="115" workbookViewId="0">
      <selection activeCell="J7" sqref="J7"/>
    </sheetView>
  </sheetViews>
  <sheetFormatPr defaultColWidth="9.21875" defaultRowHeight="15.6" x14ac:dyDescent="0.3"/>
  <cols>
    <col min="1" max="1" width="11.44140625" style="39" customWidth="1"/>
    <col min="2" max="2" width="12" style="39" customWidth="1"/>
    <col min="3" max="3" width="12.77734375" style="39" customWidth="1"/>
    <col min="4" max="4" width="14.21875" style="39" customWidth="1"/>
    <col min="5" max="7" width="11.77734375" style="39" customWidth="1"/>
    <col min="8" max="8" width="12.44140625" style="39" customWidth="1"/>
    <col min="9" max="9" width="17.44140625" style="20" customWidth="1"/>
    <col min="10" max="10" width="11.44140625" style="20" customWidth="1"/>
    <col min="11" max="11" width="10.5546875" style="20" bestFit="1" customWidth="1"/>
    <col min="12" max="12" width="10.5546875" style="20" customWidth="1"/>
    <col min="13" max="13" width="11.77734375" style="20" customWidth="1"/>
    <col min="14" max="14" width="12.5546875" style="20" customWidth="1"/>
    <col min="15" max="15" width="9.77734375" style="20" customWidth="1"/>
    <col min="16" max="16" width="11.77734375" style="20" customWidth="1"/>
    <col min="17" max="247" width="9.21875" style="20"/>
    <col min="248" max="248" width="8.77734375" style="20" customWidth="1"/>
    <col min="249" max="249" width="9.77734375" style="20" customWidth="1"/>
    <col min="250" max="250" width="14.44140625" style="20" customWidth="1"/>
    <col min="251" max="251" width="7.21875" style="20" customWidth="1"/>
    <col min="252" max="252" width="5.5546875" style="20" customWidth="1"/>
    <col min="253" max="253" width="9" style="20" customWidth="1"/>
    <col min="254" max="255" width="9.77734375" style="20" customWidth="1"/>
    <col min="256" max="256" width="11.21875" style="20" customWidth="1"/>
    <col min="257" max="257" width="2.77734375" style="20" customWidth="1"/>
    <col min="258" max="258" width="3.5546875" style="20" customWidth="1"/>
    <col min="259" max="503" width="9.21875" style="20"/>
    <col min="504" max="504" width="8.77734375" style="20" customWidth="1"/>
    <col min="505" max="505" width="9.77734375" style="20" customWidth="1"/>
    <col min="506" max="506" width="14.44140625" style="20" customWidth="1"/>
    <col min="507" max="507" width="7.21875" style="20" customWidth="1"/>
    <col min="508" max="508" width="5.5546875" style="20" customWidth="1"/>
    <col min="509" max="509" width="9" style="20" customWidth="1"/>
    <col min="510" max="511" width="9.77734375" style="20" customWidth="1"/>
    <col min="512" max="512" width="11.21875" style="20" customWidth="1"/>
    <col min="513" max="513" width="2.77734375" style="20" customWidth="1"/>
    <col min="514" max="514" width="3.5546875" style="20" customWidth="1"/>
    <col min="515" max="759" width="9.21875" style="20"/>
    <col min="760" max="760" width="8.77734375" style="20" customWidth="1"/>
    <col min="761" max="761" width="9.77734375" style="20" customWidth="1"/>
    <col min="762" max="762" width="14.44140625" style="20" customWidth="1"/>
    <col min="763" max="763" width="7.21875" style="20" customWidth="1"/>
    <col min="764" max="764" width="5.5546875" style="20" customWidth="1"/>
    <col min="765" max="765" width="9" style="20" customWidth="1"/>
    <col min="766" max="767" width="9.77734375" style="20" customWidth="1"/>
    <col min="768" max="768" width="11.21875" style="20" customWidth="1"/>
    <col min="769" max="769" width="2.77734375" style="20" customWidth="1"/>
    <col min="770" max="770" width="3.5546875" style="20" customWidth="1"/>
    <col min="771" max="1015" width="9.21875" style="20"/>
    <col min="1016" max="1016" width="8.77734375" style="20" customWidth="1"/>
    <col min="1017" max="1017" width="9.77734375" style="20" customWidth="1"/>
    <col min="1018" max="1018" width="14.44140625" style="20" customWidth="1"/>
    <col min="1019" max="1019" width="7.21875" style="20" customWidth="1"/>
    <col min="1020" max="1020" width="5.5546875" style="20" customWidth="1"/>
    <col min="1021" max="1021" width="9" style="20" customWidth="1"/>
    <col min="1022" max="1023" width="9.77734375" style="20" customWidth="1"/>
    <col min="1024" max="1024" width="11.21875" style="20" customWidth="1"/>
    <col min="1025" max="1025" width="2.77734375" style="20" customWidth="1"/>
    <col min="1026" max="1026" width="3.5546875" style="20" customWidth="1"/>
    <col min="1027" max="1271" width="9.21875" style="20"/>
    <col min="1272" max="1272" width="8.77734375" style="20" customWidth="1"/>
    <col min="1273" max="1273" width="9.77734375" style="20" customWidth="1"/>
    <col min="1274" max="1274" width="14.44140625" style="20" customWidth="1"/>
    <col min="1275" max="1275" width="7.21875" style="20" customWidth="1"/>
    <col min="1276" max="1276" width="5.5546875" style="20" customWidth="1"/>
    <col min="1277" max="1277" width="9" style="20" customWidth="1"/>
    <col min="1278" max="1279" width="9.77734375" style="20" customWidth="1"/>
    <col min="1280" max="1280" width="11.21875" style="20" customWidth="1"/>
    <col min="1281" max="1281" width="2.77734375" style="20" customWidth="1"/>
    <col min="1282" max="1282" width="3.5546875" style="20" customWidth="1"/>
    <col min="1283" max="1527" width="9.21875" style="20"/>
    <col min="1528" max="1528" width="8.77734375" style="20" customWidth="1"/>
    <col min="1529" max="1529" width="9.77734375" style="20" customWidth="1"/>
    <col min="1530" max="1530" width="14.44140625" style="20" customWidth="1"/>
    <col min="1531" max="1531" width="7.21875" style="20" customWidth="1"/>
    <col min="1532" max="1532" width="5.5546875" style="20" customWidth="1"/>
    <col min="1533" max="1533" width="9" style="20" customWidth="1"/>
    <col min="1534" max="1535" width="9.77734375" style="20" customWidth="1"/>
    <col min="1536" max="1536" width="11.21875" style="20" customWidth="1"/>
    <col min="1537" max="1537" width="2.77734375" style="20" customWidth="1"/>
    <col min="1538" max="1538" width="3.5546875" style="20" customWidth="1"/>
    <col min="1539" max="1783" width="9.21875" style="20"/>
    <col min="1784" max="1784" width="8.77734375" style="20" customWidth="1"/>
    <col min="1785" max="1785" width="9.77734375" style="20" customWidth="1"/>
    <col min="1786" max="1786" width="14.44140625" style="20" customWidth="1"/>
    <col min="1787" max="1787" width="7.21875" style="20" customWidth="1"/>
    <col min="1788" max="1788" width="5.5546875" style="20" customWidth="1"/>
    <col min="1789" max="1789" width="9" style="20" customWidth="1"/>
    <col min="1790" max="1791" width="9.77734375" style="20" customWidth="1"/>
    <col min="1792" max="1792" width="11.21875" style="20" customWidth="1"/>
    <col min="1793" max="1793" width="2.77734375" style="20" customWidth="1"/>
    <col min="1794" max="1794" width="3.5546875" style="20" customWidth="1"/>
    <col min="1795" max="2039" width="9.21875" style="20"/>
    <col min="2040" max="2040" width="8.77734375" style="20" customWidth="1"/>
    <col min="2041" max="2041" width="9.77734375" style="20" customWidth="1"/>
    <col min="2042" max="2042" width="14.44140625" style="20" customWidth="1"/>
    <col min="2043" max="2043" width="7.21875" style="20" customWidth="1"/>
    <col min="2044" max="2044" width="5.5546875" style="20" customWidth="1"/>
    <col min="2045" max="2045" width="9" style="20" customWidth="1"/>
    <col min="2046" max="2047" width="9.77734375" style="20" customWidth="1"/>
    <col min="2048" max="2048" width="11.21875" style="20" customWidth="1"/>
    <col min="2049" max="2049" width="2.77734375" style="20" customWidth="1"/>
    <col min="2050" max="2050" width="3.5546875" style="20" customWidth="1"/>
    <col min="2051" max="2295" width="9.21875" style="20"/>
    <col min="2296" max="2296" width="8.77734375" style="20" customWidth="1"/>
    <col min="2297" max="2297" width="9.77734375" style="20" customWidth="1"/>
    <col min="2298" max="2298" width="14.44140625" style="20" customWidth="1"/>
    <col min="2299" max="2299" width="7.21875" style="20" customWidth="1"/>
    <col min="2300" max="2300" width="5.5546875" style="20" customWidth="1"/>
    <col min="2301" max="2301" width="9" style="20" customWidth="1"/>
    <col min="2302" max="2303" width="9.77734375" style="20" customWidth="1"/>
    <col min="2304" max="2304" width="11.21875" style="20" customWidth="1"/>
    <col min="2305" max="2305" width="2.77734375" style="20" customWidth="1"/>
    <col min="2306" max="2306" width="3.5546875" style="20" customWidth="1"/>
    <col min="2307" max="2551" width="9.21875" style="20"/>
    <col min="2552" max="2552" width="8.77734375" style="20" customWidth="1"/>
    <col min="2553" max="2553" width="9.77734375" style="20" customWidth="1"/>
    <col min="2554" max="2554" width="14.44140625" style="20" customWidth="1"/>
    <col min="2555" max="2555" width="7.21875" style="20" customWidth="1"/>
    <col min="2556" max="2556" width="5.5546875" style="20" customWidth="1"/>
    <col min="2557" max="2557" width="9" style="20" customWidth="1"/>
    <col min="2558" max="2559" width="9.77734375" style="20" customWidth="1"/>
    <col min="2560" max="2560" width="11.21875" style="20" customWidth="1"/>
    <col min="2561" max="2561" width="2.77734375" style="20" customWidth="1"/>
    <col min="2562" max="2562" width="3.5546875" style="20" customWidth="1"/>
    <col min="2563" max="2807" width="9.21875" style="20"/>
    <col min="2808" max="2808" width="8.77734375" style="20" customWidth="1"/>
    <col min="2809" max="2809" width="9.77734375" style="20" customWidth="1"/>
    <col min="2810" max="2810" width="14.44140625" style="20" customWidth="1"/>
    <col min="2811" max="2811" width="7.21875" style="20" customWidth="1"/>
    <col min="2812" max="2812" width="5.5546875" style="20" customWidth="1"/>
    <col min="2813" max="2813" width="9" style="20" customWidth="1"/>
    <col min="2814" max="2815" width="9.77734375" style="20" customWidth="1"/>
    <col min="2816" max="2816" width="11.21875" style="20" customWidth="1"/>
    <col min="2817" max="2817" width="2.77734375" style="20" customWidth="1"/>
    <col min="2818" max="2818" width="3.5546875" style="20" customWidth="1"/>
    <col min="2819" max="3063" width="9.21875" style="20"/>
    <col min="3064" max="3064" width="8.77734375" style="20" customWidth="1"/>
    <col min="3065" max="3065" width="9.77734375" style="20" customWidth="1"/>
    <col min="3066" max="3066" width="14.44140625" style="20" customWidth="1"/>
    <col min="3067" max="3067" width="7.21875" style="20" customWidth="1"/>
    <col min="3068" max="3068" width="5.5546875" style="20" customWidth="1"/>
    <col min="3069" max="3069" width="9" style="20" customWidth="1"/>
    <col min="3070" max="3071" width="9.77734375" style="20" customWidth="1"/>
    <col min="3072" max="3072" width="11.21875" style="20" customWidth="1"/>
    <col min="3073" max="3073" width="2.77734375" style="20" customWidth="1"/>
    <col min="3074" max="3074" width="3.5546875" style="20" customWidth="1"/>
    <col min="3075" max="3319" width="9.21875" style="20"/>
    <col min="3320" max="3320" width="8.77734375" style="20" customWidth="1"/>
    <col min="3321" max="3321" width="9.77734375" style="20" customWidth="1"/>
    <col min="3322" max="3322" width="14.44140625" style="20" customWidth="1"/>
    <col min="3323" max="3323" width="7.21875" style="20" customWidth="1"/>
    <col min="3324" max="3324" width="5.5546875" style="20" customWidth="1"/>
    <col min="3325" max="3325" width="9" style="20" customWidth="1"/>
    <col min="3326" max="3327" width="9.77734375" style="20" customWidth="1"/>
    <col min="3328" max="3328" width="11.21875" style="20" customWidth="1"/>
    <col min="3329" max="3329" width="2.77734375" style="20" customWidth="1"/>
    <col min="3330" max="3330" width="3.5546875" style="20" customWidth="1"/>
    <col min="3331" max="3575" width="9.21875" style="20"/>
    <col min="3576" max="3576" width="8.77734375" style="20" customWidth="1"/>
    <col min="3577" max="3577" width="9.77734375" style="20" customWidth="1"/>
    <col min="3578" max="3578" width="14.44140625" style="20" customWidth="1"/>
    <col min="3579" max="3579" width="7.21875" style="20" customWidth="1"/>
    <col min="3580" max="3580" width="5.5546875" style="20" customWidth="1"/>
    <col min="3581" max="3581" width="9" style="20" customWidth="1"/>
    <col min="3582" max="3583" width="9.77734375" style="20" customWidth="1"/>
    <col min="3584" max="3584" width="11.21875" style="20" customWidth="1"/>
    <col min="3585" max="3585" width="2.77734375" style="20" customWidth="1"/>
    <col min="3586" max="3586" width="3.5546875" style="20" customWidth="1"/>
    <col min="3587" max="3831" width="9.21875" style="20"/>
    <col min="3832" max="3832" width="8.77734375" style="20" customWidth="1"/>
    <col min="3833" max="3833" width="9.77734375" style="20" customWidth="1"/>
    <col min="3834" max="3834" width="14.44140625" style="20" customWidth="1"/>
    <col min="3835" max="3835" width="7.21875" style="20" customWidth="1"/>
    <col min="3836" max="3836" width="5.5546875" style="20" customWidth="1"/>
    <col min="3837" max="3837" width="9" style="20" customWidth="1"/>
    <col min="3838" max="3839" width="9.77734375" style="20" customWidth="1"/>
    <col min="3840" max="3840" width="11.21875" style="20" customWidth="1"/>
    <col min="3841" max="3841" width="2.77734375" style="20" customWidth="1"/>
    <col min="3842" max="3842" width="3.5546875" style="20" customWidth="1"/>
    <col min="3843" max="4087" width="9.21875" style="20"/>
    <col min="4088" max="4088" width="8.77734375" style="20" customWidth="1"/>
    <col min="4089" max="4089" width="9.77734375" style="20" customWidth="1"/>
    <col min="4090" max="4090" width="14.44140625" style="20" customWidth="1"/>
    <col min="4091" max="4091" width="7.21875" style="20" customWidth="1"/>
    <col min="4092" max="4092" width="5.5546875" style="20" customWidth="1"/>
    <col min="4093" max="4093" width="9" style="20" customWidth="1"/>
    <col min="4094" max="4095" width="9.77734375" style="20" customWidth="1"/>
    <col min="4096" max="4096" width="11.21875" style="20" customWidth="1"/>
    <col min="4097" max="4097" width="2.77734375" style="20" customWidth="1"/>
    <col min="4098" max="4098" width="3.5546875" style="20" customWidth="1"/>
    <col min="4099" max="4343" width="9.21875" style="20"/>
    <col min="4344" max="4344" width="8.77734375" style="20" customWidth="1"/>
    <col min="4345" max="4345" width="9.77734375" style="20" customWidth="1"/>
    <col min="4346" max="4346" width="14.44140625" style="20" customWidth="1"/>
    <col min="4347" max="4347" width="7.21875" style="20" customWidth="1"/>
    <col min="4348" max="4348" width="5.5546875" style="20" customWidth="1"/>
    <col min="4349" max="4349" width="9" style="20" customWidth="1"/>
    <col min="4350" max="4351" width="9.77734375" style="20" customWidth="1"/>
    <col min="4352" max="4352" width="11.21875" style="20" customWidth="1"/>
    <col min="4353" max="4353" width="2.77734375" style="20" customWidth="1"/>
    <col min="4354" max="4354" width="3.5546875" style="20" customWidth="1"/>
    <col min="4355" max="4599" width="9.21875" style="20"/>
    <col min="4600" max="4600" width="8.77734375" style="20" customWidth="1"/>
    <col min="4601" max="4601" width="9.77734375" style="20" customWidth="1"/>
    <col min="4602" max="4602" width="14.44140625" style="20" customWidth="1"/>
    <col min="4603" max="4603" width="7.21875" style="20" customWidth="1"/>
    <col min="4604" max="4604" width="5.5546875" style="20" customWidth="1"/>
    <col min="4605" max="4605" width="9" style="20" customWidth="1"/>
    <col min="4606" max="4607" width="9.77734375" style="20" customWidth="1"/>
    <col min="4608" max="4608" width="11.21875" style="20" customWidth="1"/>
    <col min="4609" max="4609" width="2.77734375" style="20" customWidth="1"/>
    <col min="4610" max="4610" width="3.5546875" style="20" customWidth="1"/>
    <col min="4611" max="4855" width="9.21875" style="20"/>
    <col min="4856" max="4856" width="8.77734375" style="20" customWidth="1"/>
    <col min="4857" max="4857" width="9.77734375" style="20" customWidth="1"/>
    <col min="4858" max="4858" width="14.44140625" style="20" customWidth="1"/>
    <col min="4859" max="4859" width="7.21875" style="20" customWidth="1"/>
    <col min="4860" max="4860" width="5.5546875" style="20" customWidth="1"/>
    <col min="4861" max="4861" width="9" style="20" customWidth="1"/>
    <col min="4862" max="4863" width="9.77734375" style="20" customWidth="1"/>
    <col min="4864" max="4864" width="11.21875" style="20" customWidth="1"/>
    <col min="4865" max="4865" width="2.77734375" style="20" customWidth="1"/>
    <col min="4866" max="4866" width="3.5546875" style="20" customWidth="1"/>
    <col min="4867" max="5111" width="9.21875" style="20"/>
    <col min="5112" max="5112" width="8.77734375" style="20" customWidth="1"/>
    <col min="5113" max="5113" width="9.77734375" style="20" customWidth="1"/>
    <col min="5114" max="5114" width="14.44140625" style="20" customWidth="1"/>
    <col min="5115" max="5115" width="7.21875" style="20" customWidth="1"/>
    <col min="5116" max="5116" width="5.5546875" style="20" customWidth="1"/>
    <col min="5117" max="5117" width="9" style="20" customWidth="1"/>
    <col min="5118" max="5119" width="9.77734375" style="20" customWidth="1"/>
    <col min="5120" max="5120" width="11.21875" style="20" customWidth="1"/>
    <col min="5121" max="5121" width="2.77734375" style="20" customWidth="1"/>
    <col min="5122" max="5122" width="3.5546875" style="20" customWidth="1"/>
    <col min="5123" max="5367" width="9.21875" style="20"/>
    <col min="5368" max="5368" width="8.77734375" style="20" customWidth="1"/>
    <col min="5369" max="5369" width="9.77734375" style="20" customWidth="1"/>
    <col min="5370" max="5370" width="14.44140625" style="20" customWidth="1"/>
    <col min="5371" max="5371" width="7.21875" style="20" customWidth="1"/>
    <col min="5372" max="5372" width="5.5546875" style="20" customWidth="1"/>
    <col min="5373" max="5373" width="9" style="20" customWidth="1"/>
    <col min="5374" max="5375" width="9.77734375" style="20" customWidth="1"/>
    <col min="5376" max="5376" width="11.21875" style="20" customWidth="1"/>
    <col min="5377" max="5377" width="2.77734375" style="20" customWidth="1"/>
    <col min="5378" max="5378" width="3.5546875" style="20" customWidth="1"/>
    <col min="5379" max="5623" width="9.21875" style="20"/>
    <col min="5624" max="5624" width="8.77734375" style="20" customWidth="1"/>
    <col min="5625" max="5625" width="9.77734375" style="20" customWidth="1"/>
    <col min="5626" max="5626" width="14.44140625" style="20" customWidth="1"/>
    <col min="5627" max="5627" width="7.21875" style="20" customWidth="1"/>
    <col min="5628" max="5628" width="5.5546875" style="20" customWidth="1"/>
    <col min="5629" max="5629" width="9" style="20" customWidth="1"/>
    <col min="5630" max="5631" width="9.77734375" style="20" customWidth="1"/>
    <col min="5632" max="5632" width="11.21875" style="20" customWidth="1"/>
    <col min="5633" max="5633" width="2.77734375" style="20" customWidth="1"/>
    <col min="5634" max="5634" width="3.5546875" style="20" customWidth="1"/>
    <col min="5635" max="5879" width="9.21875" style="20"/>
    <col min="5880" max="5880" width="8.77734375" style="20" customWidth="1"/>
    <col min="5881" max="5881" width="9.77734375" style="20" customWidth="1"/>
    <col min="5882" max="5882" width="14.44140625" style="20" customWidth="1"/>
    <col min="5883" max="5883" width="7.21875" style="20" customWidth="1"/>
    <col min="5884" max="5884" width="5.5546875" style="20" customWidth="1"/>
    <col min="5885" max="5885" width="9" style="20" customWidth="1"/>
    <col min="5886" max="5887" width="9.77734375" style="20" customWidth="1"/>
    <col min="5888" max="5888" width="11.21875" style="20" customWidth="1"/>
    <col min="5889" max="5889" width="2.77734375" style="20" customWidth="1"/>
    <col min="5890" max="5890" width="3.5546875" style="20" customWidth="1"/>
    <col min="5891" max="6135" width="9.21875" style="20"/>
    <col min="6136" max="6136" width="8.77734375" style="20" customWidth="1"/>
    <col min="6137" max="6137" width="9.77734375" style="20" customWidth="1"/>
    <col min="6138" max="6138" width="14.44140625" style="20" customWidth="1"/>
    <col min="6139" max="6139" width="7.21875" style="20" customWidth="1"/>
    <col min="6140" max="6140" width="5.5546875" style="20" customWidth="1"/>
    <col min="6141" max="6141" width="9" style="20" customWidth="1"/>
    <col min="6142" max="6143" width="9.77734375" style="20" customWidth="1"/>
    <col min="6144" max="6144" width="11.21875" style="20" customWidth="1"/>
    <col min="6145" max="6145" width="2.77734375" style="20" customWidth="1"/>
    <col min="6146" max="6146" width="3.5546875" style="20" customWidth="1"/>
    <col min="6147" max="6391" width="9.21875" style="20"/>
    <col min="6392" max="6392" width="8.77734375" style="20" customWidth="1"/>
    <col min="6393" max="6393" width="9.77734375" style="20" customWidth="1"/>
    <col min="6394" max="6394" width="14.44140625" style="20" customWidth="1"/>
    <col min="6395" max="6395" width="7.21875" style="20" customWidth="1"/>
    <col min="6396" max="6396" width="5.5546875" style="20" customWidth="1"/>
    <col min="6397" max="6397" width="9" style="20" customWidth="1"/>
    <col min="6398" max="6399" width="9.77734375" style="20" customWidth="1"/>
    <col min="6400" max="6400" width="11.21875" style="20" customWidth="1"/>
    <col min="6401" max="6401" width="2.77734375" style="20" customWidth="1"/>
    <col min="6402" max="6402" width="3.5546875" style="20" customWidth="1"/>
    <col min="6403" max="6647" width="9.21875" style="20"/>
    <col min="6648" max="6648" width="8.77734375" style="20" customWidth="1"/>
    <col min="6649" max="6649" width="9.77734375" style="20" customWidth="1"/>
    <col min="6650" max="6650" width="14.44140625" style="20" customWidth="1"/>
    <col min="6651" max="6651" width="7.21875" style="20" customWidth="1"/>
    <col min="6652" max="6652" width="5.5546875" style="20" customWidth="1"/>
    <col min="6653" max="6653" width="9" style="20" customWidth="1"/>
    <col min="6654" max="6655" width="9.77734375" style="20" customWidth="1"/>
    <col min="6656" max="6656" width="11.21875" style="20" customWidth="1"/>
    <col min="6657" max="6657" width="2.77734375" style="20" customWidth="1"/>
    <col min="6658" max="6658" width="3.5546875" style="20" customWidth="1"/>
    <col min="6659" max="6903" width="9.21875" style="20"/>
    <col min="6904" max="6904" width="8.77734375" style="20" customWidth="1"/>
    <col min="6905" max="6905" width="9.77734375" style="20" customWidth="1"/>
    <col min="6906" max="6906" width="14.44140625" style="20" customWidth="1"/>
    <col min="6907" max="6907" width="7.21875" style="20" customWidth="1"/>
    <col min="6908" max="6908" width="5.5546875" style="20" customWidth="1"/>
    <col min="6909" max="6909" width="9" style="20" customWidth="1"/>
    <col min="6910" max="6911" width="9.77734375" style="20" customWidth="1"/>
    <col min="6912" max="6912" width="11.21875" style="20" customWidth="1"/>
    <col min="6913" max="6913" width="2.77734375" style="20" customWidth="1"/>
    <col min="6914" max="6914" width="3.5546875" style="20" customWidth="1"/>
    <col min="6915" max="7159" width="9.21875" style="20"/>
    <col min="7160" max="7160" width="8.77734375" style="20" customWidth="1"/>
    <col min="7161" max="7161" width="9.77734375" style="20" customWidth="1"/>
    <col min="7162" max="7162" width="14.44140625" style="20" customWidth="1"/>
    <col min="7163" max="7163" width="7.21875" style="20" customWidth="1"/>
    <col min="7164" max="7164" width="5.5546875" style="20" customWidth="1"/>
    <col min="7165" max="7165" width="9" style="20" customWidth="1"/>
    <col min="7166" max="7167" width="9.77734375" style="20" customWidth="1"/>
    <col min="7168" max="7168" width="11.21875" style="20" customWidth="1"/>
    <col min="7169" max="7169" width="2.77734375" style="20" customWidth="1"/>
    <col min="7170" max="7170" width="3.5546875" style="20" customWidth="1"/>
    <col min="7171" max="7415" width="9.21875" style="20"/>
    <col min="7416" max="7416" width="8.77734375" style="20" customWidth="1"/>
    <col min="7417" max="7417" width="9.77734375" style="20" customWidth="1"/>
    <col min="7418" max="7418" width="14.44140625" style="20" customWidth="1"/>
    <col min="7419" max="7419" width="7.21875" style="20" customWidth="1"/>
    <col min="7420" max="7420" width="5.5546875" style="20" customWidth="1"/>
    <col min="7421" max="7421" width="9" style="20" customWidth="1"/>
    <col min="7422" max="7423" width="9.77734375" style="20" customWidth="1"/>
    <col min="7424" max="7424" width="11.21875" style="20" customWidth="1"/>
    <col min="7425" max="7425" width="2.77734375" style="20" customWidth="1"/>
    <col min="7426" max="7426" width="3.5546875" style="20" customWidth="1"/>
    <col min="7427" max="7671" width="9.21875" style="20"/>
    <col min="7672" max="7672" width="8.77734375" style="20" customWidth="1"/>
    <col min="7673" max="7673" width="9.77734375" style="20" customWidth="1"/>
    <col min="7674" max="7674" width="14.44140625" style="20" customWidth="1"/>
    <col min="7675" max="7675" width="7.21875" style="20" customWidth="1"/>
    <col min="7676" max="7676" width="5.5546875" style="20" customWidth="1"/>
    <col min="7677" max="7677" width="9" style="20" customWidth="1"/>
    <col min="7678" max="7679" width="9.77734375" style="20" customWidth="1"/>
    <col min="7680" max="7680" width="11.21875" style="20" customWidth="1"/>
    <col min="7681" max="7681" width="2.77734375" style="20" customWidth="1"/>
    <col min="7682" max="7682" width="3.5546875" style="20" customWidth="1"/>
    <col min="7683" max="7927" width="9.21875" style="20"/>
    <col min="7928" max="7928" width="8.77734375" style="20" customWidth="1"/>
    <col min="7929" max="7929" width="9.77734375" style="20" customWidth="1"/>
    <col min="7930" max="7930" width="14.44140625" style="20" customWidth="1"/>
    <col min="7931" max="7931" width="7.21875" style="20" customWidth="1"/>
    <col min="7932" max="7932" width="5.5546875" style="20" customWidth="1"/>
    <col min="7933" max="7933" width="9" style="20" customWidth="1"/>
    <col min="7934" max="7935" width="9.77734375" style="20" customWidth="1"/>
    <col min="7936" max="7936" width="11.21875" style="20" customWidth="1"/>
    <col min="7937" max="7937" width="2.77734375" style="20" customWidth="1"/>
    <col min="7938" max="7938" width="3.5546875" style="20" customWidth="1"/>
    <col min="7939" max="8183" width="9.21875" style="20"/>
    <col min="8184" max="8184" width="8.77734375" style="20" customWidth="1"/>
    <col min="8185" max="8185" width="9.77734375" style="20" customWidth="1"/>
    <col min="8186" max="8186" width="14.44140625" style="20" customWidth="1"/>
    <col min="8187" max="8187" width="7.21875" style="20" customWidth="1"/>
    <col min="8188" max="8188" width="5.5546875" style="20" customWidth="1"/>
    <col min="8189" max="8189" width="9" style="20" customWidth="1"/>
    <col min="8190" max="8191" width="9.77734375" style="20" customWidth="1"/>
    <col min="8192" max="8192" width="11.21875" style="20" customWidth="1"/>
    <col min="8193" max="8193" width="2.77734375" style="20" customWidth="1"/>
    <col min="8194" max="8194" width="3.5546875" style="20" customWidth="1"/>
    <col min="8195" max="8439" width="9.21875" style="20"/>
    <col min="8440" max="8440" width="8.77734375" style="20" customWidth="1"/>
    <col min="8441" max="8441" width="9.77734375" style="20" customWidth="1"/>
    <col min="8442" max="8442" width="14.44140625" style="20" customWidth="1"/>
    <col min="8443" max="8443" width="7.21875" style="20" customWidth="1"/>
    <col min="8444" max="8444" width="5.5546875" style="20" customWidth="1"/>
    <col min="8445" max="8445" width="9" style="20" customWidth="1"/>
    <col min="8446" max="8447" width="9.77734375" style="20" customWidth="1"/>
    <col min="8448" max="8448" width="11.21875" style="20" customWidth="1"/>
    <col min="8449" max="8449" width="2.77734375" style="20" customWidth="1"/>
    <col min="8450" max="8450" width="3.5546875" style="20" customWidth="1"/>
    <col min="8451" max="8695" width="9.21875" style="20"/>
    <col min="8696" max="8696" width="8.77734375" style="20" customWidth="1"/>
    <col min="8697" max="8697" width="9.77734375" style="20" customWidth="1"/>
    <col min="8698" max="8698" width="14.44140625" style="20" customWidth="1"/>
    <col min="8699" max="8699" width="7.21875" style="20" customWidth="1"/>
    <col min="8700" max="8700" width="5.5546875" style="20" customWidth="1"/>
    <col min="8701" max="8701" width="9" style="20" customWidth="1"/>
    <col min="8702" max="8703" width="9.77734375" style="20" customWidth="1"/>
    <col min="8704" max="8704" width="11.21875" style="20" customWidth="1"/>
    <col min="8705" max="8705" width="2.77734375" style="20" customWidth="1"/>
    <col min="8706" max="8706" width="3.5546875" style="20" customWidth="1"/>
    <col min="8707" max="8951" width="9.21875" style="20"/>
    <col min="8952" max="8952" width="8.77734375" style="20" customWidth="1"/>
    <col min="8953" max="8953" width="9.77734375" style="20" customWidth="1"/>
    <col min="8954" max="8954" width="14.44140625" style="20" customWidth="1"/>
    <col min="8955" max="8955" width="7.21875" style="20" customWidth="1"/>
    <col min="8956" max="8956" width="5.5546875" style="20" customWidth="1"/>
    <col min="8957" max="8957" width="9" style="20" customWidth="1"/>
    <col min="8958" max="8959" width="9.77734375" style="20" customWidth="1"/>
    <col min="8960" max="8960" width="11.21875" style="20" customWidth="1"/>
    <col min="8961" max="8961" width="2.77734375" style="20" customWidth="1"/>
    <col min="8962" max="8962" width="3.5546875" style="20" customWidth="1"/>
    <col min="8963" max="9207" width="9.21875" style="20"/>
    <col min="9208" max="9208" width="8.77734375" style="20" customWidth="1"/>
    <col min="9209" max="9209" width="9.77734375" style="20" customWidth="1"/>
    <col min="9210" max="9210" width="14.44140625" style="20" customWidth="1"/>
    <col min="9211" max="9211" width="7.21875" style="20" customWidth="1"/>
    <col min="9212" max="9212" width="5.5546875" style="20" customWidth="1"/>
    <col min="9213" max="9213" width="9" style="20" customWidth="1"/>
    <col min="9214" max="9215" width="9.77734375" style="20" customWidth="1"/>
    <col min="9216" max="9216" width="11.21875" style="20" customWidth="1"/>
    <col min="9217" max="9217" width="2.77734375" style="20" customWidth="1"/>
    <col min="9218" max="9218" width="3.5546875" style="20" customWidth="1"/>
    <col min="9219" max="9463" width="9.21875" style="20"/>
    <col min="9464" max="9464" width="8.77734375" style="20" customWidth="1"/>
    <col min="9465" max="9465" width="9.77734375" style="20" customWidth="1"/>
    <col min="9466" max="9466" width="14.44140625" style="20" customWidth="1"/>
    <col min="9467" max="9467" width="7.21875" style="20" customWidth="1"/>
    <col min="9468" max="9468" width="5.5546875" style="20" customWidth="1"/>
    <col min="9469" max="9469" width="9" style="20" customWidth="1"/>
    <col min="9470" max="9471" width="9.77734375" style="20" customWidth="1"/>
    <col min="9472" max="9472" width="11.21875" style="20" customWidth="1"/>
    <col min="9473" max="9473" width="2.77734375" style="20" customWidth="1"/>
    <col min="9474" max="9474" width="3.5546875" style="20" customWidth="1"/>
    <col min="9475" max="9719" width="9.21875" style="20"/>
    <col min="9720" max="9720" width="8.77734375" style="20" customWidth="1"/>
    <col min="9721" max="9721" width="9.77734375" style="20" customWidth="1"/>
    <col min="9722" max="9722" width="14.44140625" style="20" customWidth="1"/>
    <col min="9723" max="9723" width="7.21875" style="20" customWidth="1"/>
    <col min="9724" max="9724" width="5.5546875" style="20" customWidth="1"/>
    <col min="9725" max="9725" width="9" style="20" customWidth="1"/>
    <col min="9726" max="9727" width="9.77734375" style="20" customWidth="1"/>
    <col min="9728" max="9728" width="11.21875" style="20" customWidth="1"/>
    <col min="9729" max="9729" width="2.77734375" style="20" customWidth="1"/>
    <col min="9730" max="9730" width="3.5546875" style="20" customWidth="1"/>
    <col min="9731" max="9975" width="9.21875" style="20"/>
    <col min="9976" max="9976" width="8.77734375" style="20" customWidth="1"/>
    <col min="9977" max="9977" width="9.77734375" style="20" customWidth="1"/>
    <col min="9978" max="9978" width="14.44140625" style="20" customWidth="1"/>
    <col min="9979" max="9979" width="7.21875" style="20" customWidth="1"/>
    <col min="9980" max="9980" width="5.5546875" style="20" customWidth="1"/>
    <col min="9981" max="9981" width="9" style="20" customWidth="1"/>
    <col min="9982" max="9983" width="9.77734375" style="20" customWidth="1"/>
    <col min="9984" max="9984" width="11.21875" style="20" customWidth="1"/>
    <col min="9985" max="9985" width="2.77734375" style="20" customWidth="1"/>
    <col min="9986" max="9986" width="3.5546875" style="20" customWidth="1"/>
    <col min="9987" max="10231" width="9.21875" style="20"/>
    <col min="10232" max="10232" width="8.77734375" style="20" customWidth="1"/>
    <col min="10233" max="10233" width="9.77734375" style="20" customWidth="1"/>
    <col min="10234" max="10234" width="14.44140625" style="20" customWidth="1"/>
    <col min="10235" max="10235" width="7.21875" style="20" customWidth="1"/>
    <col min="10236" max="10236" width="5.5546875" style="20" customWidth="1"/>
    <col min="10237" max="10237" width="9" style="20" customWidth="1"/>
    <col min="10238" max="10239" width="9.77734375" style="20" customWidth="1"/>
    <col min="10240" max="10240" width="11.21875" style="20" customWidth="1"/>
    <col min="10241" max="10241" width="2.77734375" style="20" customWidth="1"/>
    <col min="10242" max="10242" width="3.5546875" style="20" customWidth="1"/>
    <col min="10243" max="10487" width="9.21875" style="20"/>
    <col min="10488" max="10488" width="8.77734375" style="20" customWidth="1"/>
    <col min="10489" max="10489" width="9.77734375" style="20" customWidth="1"/>
    <col min="10490" max="10490" width="14.44140625" style="20" customWidth="1"/>
    <col min="10491" max="10491" width="7.21875" style="20" customWidth="1"/>
    <col min="10492" max="10492" width="5.5546875" style="20" customWidth="1"/>
    <col min="10493" max="10493" width="9" style="20" customWidth="1"/>
    <col min="10494" max="10495" width="9.77734375" style="20" customWidth="1"/>
    <col min="10496" max="10496" width="11.21875" style="20" customWidth="1"/>
    <col min="10497" max="10497" width="2.77734375" style="20" customWidth="1"/>
    <col min="10498" max="10498" width="3.5546875" style="20" customWidth="1"/>
    <col min="10499" max="10743" width="9.21875" style="20"/>
    <col min="10744" max="10744" width="8.77734375" style="20" customWidth="1"/>
    <col min="10745" max="10745" width="9.77734375" style="20" customWidth="1"/>
    <col min="10746" max="10746" width="14.44140625" style="20" customWidth="1"/>
    <col min="10747" max="10747" width="7.21875" style="20" customWidth="1"/>
    <col min="10748" max="10748" width="5.5546875" style="20" customWidth="1"/>
    <col min="10749" max="10749" width="9" style="20" customWidth="1"/>
    <col min="10750" max="10751" width="9.77734375" style="20" customWidth="1"/>
    <col min="10752" max="10752" width="11.21875" style="20" customWidth="1"/>
    <col min="10753" max="10753" width="2.77734375" style="20" customWidth="1"/>
    <col min="10754" max="10754" width="3.5546875" style="20" customWidth="1"/>
    <col min="10755" max="10999" width="9.21875" style="20"/>
    <col min="11000" max="11000" width="8.77734375" style="20" customWidth="1"/>
    <col min="11001" max="11001" width="9.77734375" style="20" customWidth="1"/>
    <col min="11002" max="11002" width="14.44140625" style="20" customWidth="1"/>
    <col min="11003" max="11003" width="7.21875" style="20" customWidth="1"/>
    <col min="11004" max="11004" width="5.5546875" style="20" customWidth="1"/>
    <col min="11005" max="11005" width="9" style="20" customWidth="1"/>
    <col min="11006" max="11007" width="9.77734375" style="20" customWidth="1"/>
    <col min="11008" max="11008" width="11.21875" style="20" customWidth="1"/>
    <col min="11009" max="11009" width="2.77734375" style="20" customWidth="1"/>
    <col min="11010" max="11010" width="3.5546875" style="20" customWidth="1"/>
    <col min="11011" max="11255" width="9.21875" style="20"/>
    <col min="11256" max="11256" width="8.77734375" style="20" customWidth="1"/>
    <col min="11257" max="11257" width="9.77734375" style="20" customWidth="1"/>
    <col min="11258" max="11258" width="14.44140625" style="20" customWidth="1"/>
    <col min="11259" max="11259" width="7.21875" style="20" customWidth="1"/>
    <col min="11260" max="11260" width="5.5546875" style="20" customWidth="1"/>
    <col min="11261" max="11261" width="9" style="20" customWidth="1"/>
    <col min="11262" max="11263" width="9.77734375" style="20" customWidth="1"/>
    <col min="11264" max="11264" width="11.21875" style="20" customWidth="1"/>
    <col min="11265" max="11265" width="2.77734375" style="20" customWidth="1"/>
    <col min="11266" max="11266" width="3.5546875" style="20" customWidth="1"/>
    <col min="11267" max="11511" width="9.21875" style="20"/>
    <col min="11512" max="11512" width="8.77734375" style="20" customWidth="1"/>
    <col min="11513" max="11513" width="9.77734375" style="20" customWidth="1"/>
    <col min="11514" max="11514" width="14.44140625" style="20" customWidth="1"/>
    <col min="11515" max="11515" width="7.21875" style="20" customWidth="1"/>
    <col min="11516" max="11516" width="5.5546875" style="20" customWidth="1"/>
    <col min="11517" max="11517" width="9" style="20" customWidth="1"/>
    <col min="11518" max="11519" width="9.77734375" style="20" customWidth="1"/>
    <col min="11520" max="11520" width="11.21875" style="20" customWidth="1"/>
    <col min="11521" max="11521" width="2.77734375" style="20" customWidth="1"/>
    <col min="11522" max="11522" width="3.5546875" style="20" customWidth="1"/>
    <col min="11523" max="11767" width="9.21875" style="20"/>
    <col min="11768" max="11768" width="8.77734375" style="20" customWidth="1"/>
    <col min="11769" max="11769" width="9.77734375" style="20" customWidth="1"/>
    <col min="11770" max="11770" width="14.44140625" style="20" customWidth="1"/>
    <col min="11771" max="11771" width="7.21875" style="20" customWidth="1"/>
    <col min="11772" max="11772" width="5.5546875" style="20" customWidth="1"/>
    <col min="11773" max="11773" width="9" style="20" customWidth="1"/>
    <col min="11774" max="11775" width="9.77734375" style="20" customWidth="1"/>
    <col min="11776" max="11776" width="11.21875" style="20" customWidth="1"/>
    <col min="11777" max="11777" width="2.77734375" style="20" customWidth="1"/>
    <col min="11778" max="11778" width="3.5546875" style="20" customWidth="1"/>
    <col min="11779" max="12023" width="9.21875" style="20"/>
    <col min="12024" max="12024" width="8.77734375" style="20" customWidth="1"/>
    <col min="12025" max="12025" width="9.77734375" style="20" customWidth="1"/>
    <col min="12026" max="12026" width="14.44140625" style="20" customWidth="1"/>
    <col min="12027" max="12027" width="7.21875" style="20" customWidth="1"/>
    <col min="12028" max="12028" width="5.5546875" style="20" customWidth="1"/>
    <col min="12029" max="12029" width="9" style="20" customWidth="1"/>
    <col min="12030" max="12031" width="9.77734375" style="20" customWidth="1"/>
    <col min="12032" max="12032" width="11.21875" style="20" customWidth="1"/>
    <col min="12033" max="12033" width="2.77734375" style="20" customWidth="1"/>
    <col min="12034" max="12034" width="3.5546875" style="20" customWidth="1"/>
    <col min="12035" max="12279" width="9.21875" style="20"/>
    <col min="12280" max="12280" width="8.77734375" style="20" customWidth="1"/>
    <col min="12281" max="12281" width="9.77734375" style="20" customWidth="1"/>
    <col min="12282" max="12282" width="14.44140625" style="20" customWidth="1"/>
    <col min="12283" max="12283" width="7.21875" style="20" customWidth="1"/>
    <col min="12284" max="12284" width="5.5546875" style="20" customWidth="1"/>
    <col min="12285" max="12285" width="9" style="20" customWidth="1"/>
    <col min="12286" max="12287" width="9.77734375" style="20" customWidth="1"/>
    <col min="12288" max="12288" width="11.21875" style="20" customWidth="1"/>
    <col min="12289" max="12289" width="2.77734375" style="20" customWidth="1"/>
    <col min="12290" max="12290" width="3.5546875" style="20" customWidth="1"/>
    <col min="12291" max="12535" width="9.21875" style="20"/>
    <col min="12536" max="12536" width="8.77734375" style="20" customWidth="1"/>
    <col min="12537" max="12537" width="9.77734375" style="20" customWidth="1"/>
    <col min="12538" max="12538" width="14.44140625" style="20" customWidth="1"/>
    <col min="12539" max="12539" width="7.21875" style="20" customWidth="1"/>
    <col min="12540" max="12540" width="5.5546875" style="20" customWidth="1"/>
    <col min="12541" max="12541" width="9" style="20" customWidth="1"/>
    <col min="12542" max="12543" width="9.77734375" style="20" customWidth="1"/>
    <col min="12544" max="12544" width="11.21875" style="20" customWidth="1"/>
    <col min="12545" max="12545" width="2.77734375" style="20" customWidth="1"/>
    <col min="12546" max="12546" width="3.5546875" style="20" customWidth="1"/>
    <col min="12547" max="12791" width="9.21875" style="20"/>
    <col min="12792" max="12792" width="8.77734375" style="20" customWidth="1"/>
    <col min="12793" max="12793" width="9.77734375" style="20" customWidth="1"/>
    <col min="12794" max="12794" width="14.44140625" style="20" customWidth="1"/>
    <col min="12795" max="12795" width="7.21875" style="20" customWidth="1"/>
    <col min="12796" max="12796" width="5.5546875" style="20" customWidth="1"/>
    <col min="12797" max="12797" width="9" style="20" customWidth="1"/>
    <col min="12798" max="12799" width="9.77734375" style="20" customWidth="1"/>
    <col min="12800" max="12800" width="11.21875" style="20" customWidth="1"/>
    <col min="12801" max="12801" width="2.77734375" style="20" customWidth="1"/>
    <col min="12802" max="12802" width="3.5546875" style="20" customWidth="1"/>
    <col min="12803" max="13047" width="9.21875" style="20"/>
    <col min="13048" max="13048" width="8.77734375" style="20" customWidth="1"/>
    <col min="13049" max="13049" width="9.77734375" style="20" customWidth="1"/>
    <col min="13050" max="13050" width="14.44140625" style="20" customWidth="1"/>
    <col min="13051" max="13051" width="7.21875" style="20" customWidth="1"/>
    <col min="13052" max="13052" width="5.5546875" style="20" customWidth="1"/>
    <col min="13053" max="13053" width="9" style="20" customWidth="1"/>
    <col min="13054" max="13055" width="9.77734375" style="20" customWidth="1"/>
    <col min="13056" max="13056" width="11.21875" style="20" customWidth="1"/>
    <col min="13057" max="13057" width="2.77734375" style="20" customWidth="1"/>
    <col min="13058" max="13058" width="3.5546875" style="20" customWidth="1"/>
    <col min="13059" max="13303" width="9.21875" style="20"/>
    <col min="13304" max="13304" width="8.77734375" style="20" customWidth="1"/>
    <col min="13305" max="13305" width="9.77734375" style="20" customWidth="1"/>
    <col min="13306" max="13306" width="14.44140625" style="20" customWidth="1"/>
    <col min="13307" max="13307" width="7.21875" style="20" customWidth="1"/>
    <col min="13308" max="13308" width="5.5546875" style="20" customWidth="1"/>
    <col min="13309" max="13309" width="9" style="20" customWidth="1"/>
    <col min="13310" max="13311" width="9.77734375" style="20" customWidth="1"/>
    <col min="13312" max="13312" width="11.21875" style="20" customWidth="1"/>
    <col min="13313" max="13313" width="2.77734375" style="20" customWidth="1"/>
    <col min="13314" max="13314" width="3.5546875" style="20" customWidth="1"/>
    <col min="13315" max="13559" width="9.21875" style="20"/>
    <col min="13560" max="13560" width="8.77734375" style="20" customWidth="1"/>
    <col min="13561" max="13561" width="9.77734375" style="20" customWidth="1"/>
    <col min="13562" max="13562" width="14.44140625" style="20" customWidth="1"/>
    <col min="13563" max="13563" width="7.21875" style="20" customWidth="1"/>
    <col min="13564" max="13564" width="5.5546875" style="20" customWidth="1"/>
    <col min="13565" max="13565" width="9" style="20" customWidth="1"/>
    <col min="13566" max="13567" width="9.77734375" style="20" customWidth="1"/>
    <col min="13568" max="13568" width="11.21875" style="20" customWidth="1"/>
    <col min="13569" max="13569" width="2.77734375" style="20" customWidth="1"/>
    <col min="13570" max="13570" width="3.5546875" style="20" customWidth="1"/>
    <col min="13571" max="13815" width="9.21875" style="20"/>
    <col min="13816" max="13816" width="8.77734375" style="20" customWidth="1"/>
    <col min="13817" max="13817" width="9.77734375" style="20" customWidth="1"/>
    <col min="13818" max="13818" width="14.44140625" style="20" customWidth="1"/>
    <col min="13819" max="13819" width="7.21875" style="20" customWidth="1"/>
    <col min="13820" max="13820" width="5.5546875" style="20" customWidth="1"/>
    <col min="13821" max="13821" width="9" style="20" customWidth="1"/>
    <col min="13822" max="13823" width="9.77734375" style="20" customWidth="1"/>
    <col min="13824" max="13824" width="11.21875" style="20" customWidth="1"/>
    <col min="13825" max="13825" width="2.77734375" style="20" customWidth="1"/>
    <col min="13826" max="13826" width="3.5546875" style="20" customWidth="1"/>
    <col min="13827" max="14071" width="9.21875" style="20"/>
    <col min="14072" max="14072" width="8.77734375" style="20" customWidth="1"/>
    <col min="14073" max="14073" width="9.77734375" style="20" customWidth="1"/>
    <col min="14074" max="14074" width="14.44140625" style="20" customWidth="1"/>
    <col min="14075" max="14075" width="7.21875" style="20" customWidth="1"/>
    <col min="14076" max="14076" width="5.5546875" style="20" customWidth="1"/>
    <col min="14077" max="14077" width="9" style="20" customWidth="1"/>
    <col min="14078" max="14079" width="9.77734375" style="20" customWidth="1"/>
    <col min="14080" max="14080" width="11.21875" style="20" customWidth="1"/>
    <col min="14081" max="14081" width="2.77734375" style="20" customWidth="1"/>
    <col min="14082" max="14082" width="3.5546875" style="20" customWidth="1"/>
    <col min="14083" max="14327" width="9.21875" style="20"/>
    <col min="14328" max="14328" width="8.77734375" style="20" customWidth="1"/>
    <col min="14329" max="14329" width="9.77734375" style="20" customWidth="1"/>
    <col min="14330" max="14330" width="14.44140625" style="20" customWidth="1"/>
    <col min="14331" max="14331" width="7.21875" style="20" customWidth="1"/>
    <col min="14332" max="14332" width="5.5546875" style="20" customWidth="1"/>
    <col min="14333" max="14333" width="9" style="20" customWidth="1"/>
    <col min="14334" max="14335" width="9.77734375" style="20" customWidth="1"/>
    <col min="14336" max="14336" width="11.21875" style="20" customWidth="1"/>
    <col min="14337" max="14337" width="2.77734375" style="20" customWidth="1"/>
    <col min="14338" max="14338" width="3.5546875" style="20" customWidth="1"/>
    <col min="14339" max="14583" width="9.21875" style="20"/>
    <col min="14584" max="14584" width="8.77734375" style="20" customWidth="1"/>
    <col min="14585" max="14585" width="9.77734375" style="20" customWidth="1"/>
    <col min="14586" max="14586" width="14.44140625" style="20" customWidth="1"/>
    <col min="14587" max="14587" width="7.21875" style="20" customWidth="1"/>
    <col min="14588" max="14588" width="5.5546875" style="20" customWidth="1"/>
    <col min="14589" max="14589" width="9" style="20" customWidth="1"/>
    <col min="14590" max="14591" width="9.77734375" style="20" customWidth="1"/>
    <col min="14592" max="14592" width="11.21875" style="20" customWidth="1"/>
    <col min="14593" max="14593" width="2.77734375" style="20" customWidth="1"/>
    <col min="14594" max="14594" width="3.5546875" style="20" customWidth="1"/>
    <col min="14595" max="14839" width="9.21875" style="20"/>
    <col min="14840" max="14840" width="8.77734375" style="20" customWidth="1"/>
    <col min="14841" max="14841" width="9.77734375" style="20" customWidth="1"/>
    <col min="14842" max="14842" width="14.44140625" style="20" customWidth="1"/>
    <col min="14843" max="14843" width="7.21875" style="20" customWidth="1"/>
    <col min="14844" max="14844" width="5.5546875" style="20" customWidth="1"/>
    <col min="14845" max="14845" width="9" style="20" customWidth="1"/>
    <col min="14846" max="14847" width="9.77734375" style="20" customWidth="1"/>
    <col min="14848" max="14848" width="11.21875" style="20" customWidth="1"/>
    <col min="14849" max="14849" width="2.77734375" style="20" customWidth="1"/>
    <col min="14850" max="14850" width="3.5546875" style="20" customWidth="1"/>
    <col min="14851" max="15095" width="9.21875" style="20"/>
    <col min="15096" max="15096" width="8.77734375" style="20" customWidth="1"/>
    <col min="15097" max="15097" width="9.77734375" style="20" customWidth="1"/>
    <col min="15098" max="15098" width="14.44140625" style="20" customWidth="1"/>
    <col min="15099" max="15099" width="7.21875" style="20" customWidth="1"/>
    <col min="15100" max="15100" width="5.5546875" style="20" customWidth="1"/>
    <col min="15101" max="15101" width="9" style="20" customWidth="1"/>
    <col min="15102" max="15103" width="9.77734375" style="20" customWidth="1"/>
    <col min="15104" max="15104" width="11.21875" style="20" customWidth="1"/>
    <col min="15105" max="15105" width="2.77734375" style="20" customWidth="1"/>
    <col min="15106" max="15106" width="3.5546875" style="20" customWidth="1"/>
    <col min="15107" max="15351" width="9.21875" style="20"/>
    <col min="15352" max="15352" width="8.77734375" style="20" customWidth="1"/>
    <col min="15353" max="15353" width="9.77734375" style="20" customWidth="1"/>
    <col min="15354" max="15354" width="14.44140625" style="20" customWidth="1"/>
    <col min="15355" max="15355" width="7.21875" style="20" customWidth="1"/>
    <col min="15356" max="15356" width="5.5546875" style="20" customWidth="1"/>
    <col min="15357" max="15357" width="9" style="20" customWidth="1"/>
    <col min="15358" max="15359" width="9.77734375" style="20" customWidth="1"/>
    <col min="15360" max="15360" width="11.21875" style="20" customWidth="1"/>
    <col min="15361" max="15361" width="2.77734375" style="20" customWidth="1"/>
    <col min="15362" max="15362" width="3.5546875" style="20" customWidth="1"/>
    <col min="15363" max="15607" width="9.21875" style="20"/>
    <col min="15608" max="15608" width="8.77734375" style="20" customWidth="1"/>
    <col min="15609" max="15609" width="9.77734375" style="20" customWidth="1"/>
    <col min="15610" max="15610" width="14.44140625" style="20" customWidth="1"/>
    <col min="15611" max="15611" width="7.21875" style="20" customWidth="1"/>
    <col min="15612" max="15612" width="5.5546875" style="20" customWidth="1"/>
    <col min="15613" max="15613" width="9" style="20" customWidth="1"/>
    <col min="15614" max="15615" width="9.77734375" style="20" customWidth="1"/>
    <col min="15616" max="15616" width="11.21875" style="20" customWidth="1"/>
    <col min="15617" max="15617" width="2.77734375" style="20" customWidth="1"/>
    <col min="15618" max="15618" width="3.5546875" style="20" customWidth="1"/>
    <col min="15619" max="15863" width="9.21875" style="20"/>
    <col min="15864" max="15864" width="8.77734375" style="20" customWidth="1"/>
    <col min="15865" max="15865" width="9.77734375" style="20" customWidth="1"/>
    <col min="15866" max="15866" width="14.44140625" style="20" customWidth="1"/>
    <col min="15867" max="15867" width="7.21875" style="20" customWidth="1"/>
    <col min="15868" max="15868" width="5.5546875" style="20" customWidth="1"/>
    <col min="15869" max="15869" width="9" style="20" customWidth="1"/>
    <col min="15870" max="15871" width="9.77734375" style="20" customWidth="1"/>
    <col min="15872" max="15872" width="11.21875" style="20" customWidth="1"/>
    <col min="15873" max="15873" width="2.77734375" style="20" customWidth="1"/>
    <col min="15874" max="15874" width="3.5546875" style="20" customWidth="1"/>
    <col min="15875" max="16119" width="9.21875" style="20"/>
    <col min="16120" max="16120" width="8.77734375" style="20" customWidth="1"/>
    <col min="16121" max="16121" width="9.77734375" style="20" customWidth="1"/>
    <col min="16122" max="16122" width="14.44140625" style="20" customWidth="1"/>
    <col min="16123" max="16123" width="7.21875" style="20" customWidth="1"/>
    <col min="16124" max="16124" width="5.5546875" style="20" customWidth="1"/>
    <col min="16125" max="16125" width="9" style="20" customWidth="1"/>
    <col min="16126" max="16127" width="9.77734375" style="20" customWidth="1"/>
    <col min="16128" max="16128" width="11.21875" style="20" customWidth="1"/>
    <col min="16129" max="16129" width="2.77734375" style="20" customWidth="1"/>
    <col min="16130" max="16130" width="3.5546875" style="20" customWidth="1"/>
    <col min="16131" max="16384" width="9.21875" style="20"/>
  </cols>
  <sheetData>
    <row r="1" spans="1:13" ht="46.5" customHeight="1" x14ac:dyDescent="0.3">
      <c r="A1" s="137" t="s">
        <v>160</v>
      </c>
      <c r="B1" s="137"/>
      <c r="C1" s="137"/>
      <c r="D1" s="137"/>
      <c r="E1" s="137"/>
      <c r="F1" s="137"/>
      <c r="G1" s="137"/>
      <c r="H1" s="137"/>
    </row>
    <row r="2" spans="1:13" ht="16.5" customHeight="1" x14ac:dyDescent="0.3">
      <c r="A2" s="80" t="s">
        <v>0</v>
      </c>
      <c r="B2" s="80"/>
      <c r="C2" s="80"/>
      <c r="D2" s="80"/>
      <c r="E2" s="80"/>
      <c r="F2" s="80"/>
      <c r="G2" s="80"/>
      <c r="H2" s="80"/>
    </row>
    <row r="3" spans="1:13" x14ac:dyDescent="0.3">
      <c r="A3" s="76" t="s">
        <v>1</v>
      </c>
      <c r="B3" s="76"/>
      <c r="C3" s="76"/>
      <c r="D3" s="76"/>
      <c r="E3" s="76" t="str">
        <f ca="1">TEXT(TODAY(),"DD/MM/YYYY")</f>
        <v>22/08/2025</v>
      </c>
      <c r="F3" s="76"/>
      <c r="G3" s="76"/>
      <c r="H3" s="76"/>
    </row>
    <row r="4" spans="1:13" x14ac:dyDescent="0.3">
      <c r="A4" s="76" t="s">
        <v>2</v>
      </c>
      <c r="B4" s="76"/>
      <c r="C4" s="76"/>
      <c r="D4" s="76"/>
      <c r="E4" s="76" t="s">
        <v>164</v>
      </c>
      <c r="F4" s="76"/>
      <c r="G4" s="76"/>
      <c r="H4" s="76"/>
    </row>
    <row r="5" spans="1:13" x14ac:dyDescent="0.3">
      <c r="A5" s="76" t="s">
        <v>3</v>
      </c>
      <c r="B5" s="76"/>
      <c r="C5" s="76"/>
      <c r="D5" s="76"/>
      <c r="E5" s="141">
        <v>45882</v>
      </c>
      <c r="F5" s="76"/>
      <c r="G5" s="76"/>
      <c r="H5" s="76"/>
    </row>
    <row r="6" spans="1:13" ht="16.5" customHeight="1" x14ac:dyDescent="0.3">
      <c r="A6" s="76" t="s">
        <v>232</v>
      </c>
      <c r="B6" s="76"/>
      <c r="C6" s="76"/>
      <c r="D6" s="76"/>
      <c r="E6" s="76" t="s">
        <v>166</v>
      </c>
      <c r="F6" s="76"/>
      <c r="G6" s="76"/>
      <c r="H6" s="76"/>
    </row>
    <row r="7" spans="1:13" ht="15" customHeight="1" x14ac:dyDescent="0.3">
      <c r="A7" s="76" t="s">
        <v>233</v>
      </c>
      <c r="B7" s="76"/>
      <c r="C7" s="76"/>
      <c r="D7" s="76"/>
      <c r="E7" s="76" t="s">
        <v>234</v>
      </c>
      <c r="F7" s="76"/>
      <c r="G7" s="76"/>
      <c r="H7" s="76"/>
    </row>
    <row r="8" spans="1:13" x14ac:dyDescent="0.3">
      <c r="A8" s="76" t="s">
        <v>4</v>
      </c>
      <c r="B8" s="76"/>
      <c r="C8" s="76"/>
      <c r="D8" s="76"/>
      <c r="E8" s="138" t="s">
        <v>165</v>
      </c>
      <c r="F8" s="139"/>
      <c r="G8" s="139"/>
      <c r="H8" s="140"/>
    </row>
    <row r="9" spans="1:13" x14ac:dyDescent="0.3">
      <c r="A9" s="76" t="s">
        <v>162</v>
      </c>
      <c r="B9" s="76"/>
      <c r="C9" s="76"/>
      <c r="D9" s="76"/>
      <c r="E9" s="76" t="s">
        <v>220</v>
      </c>
      <c r="F9" s="76"/>
      <c r="G9" s="76"/>
      <c r="H9" s="76"/>
      <c r="J9" s="20" t="s">
        <v>247</v>
      </c>
    </row>
    <row r="10" spans="1:13" ht="15.75" customHeight="1" x14ac:dyDescent="0.3">
      <c r="A10" s="76" t="s">
        <v>163</v>
      </c>
      <c r="B10" s="76"/>
      <c r="C10" s="76"/>
      <c r="D10" s="76"/>
      <c r="E10" s="104">
        <v>9821555414</v>
      </c>
      <c r="F10" s="104"/>
      <c r="G10" s="104"/>
      <c r="H10" s="104"/>
      <c r="J10" s="61" t="s">
        <v>239</v>
      </c>
      <c r="K10" s="61"/>
      <c r="L10" s="61"/>
      <c r="M10" s="61"/>
    </row>
    <row r="11" spans="1:13" x14ac:dyDescent="0.3">
      <c r="A11" s="76" t="s">
        <v>5</v>
      </c>
      <c r="B11" s="76"/>
      <c r="C11" s="76"/>
      <c r="D11" s="76"/>
      <c r="E11" s="76" t="s">
        <v>203</v>
      </c>
      <c r="F11" s="76"/>
      <c r="G11" s="76"/>
      <c r="H11" s="76"/>
      <c r="J11" s="61"/>
      <c r="K11" s="61"/>
      <c r="L11" s="61"/>
      <c r="M11" s="61"/>
    </row>
    <row r="12" spans="1:13" x14ac:dyDescent="0.3">
      <c r="A12" s="90" t="s">
        <v>6</v>
      </c>
      <c r="B12" s="90"/>
      <c r="C12" s="90"/>
      <c r="D12" s="90"/>
      <c r="E12" s="104" t="s">
        <v>212</v>
      </c>
      <c r="F12" s="104"/>
      <c r="G12" s="104"/>
      <c r="H12" s="104"/>
    </row>
    <row r="13" spans="1:13" x14ac:dyDescent="0.3">
      <c r="A13" s="90" t="s">
        <v>7</v>
      </c>
      <c r="B13" s="90"/>
      <c r="C13" s="90"/>
      <c r="D13" s="90"/>
      <c r="E13" s="104" t="s">
        <v>167</v>
      </c>
      <c r="F13" s="76"/>
      <c r="G13" s="76"/>
      <c r="H13" s="76"/>
    </row>
    <row r="14" spans="1:13" ht="36.75" customHeight="1" x14ac:dyDescent="0.3">
      <c r="A14" s="103" t="s">
        <v>8</v>
      </c>
      <c r="B14" s="103"/>
      <c r="C14" s="103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Plan M Business Park, Plot No.9 &amp; 9A, near Destination India Shopping Mall, Thane - Belapur Road, Turbhe, Turbhe, Turbhe, Thane, Thane - 400706.</v>
      </c>
      <c r="D14" s="103"/>
      <c r="E14" s="103"/>
      <c r="F14" s="103"/>
      <c r="G14" s="103"/>
      <c r="H14" s="103"/>
    </row>
    <row r="15" spans="1:13" x14ac:dyDescent="0.3">
      <c r="A15" s="104" t="s">
        <v>176</v>
      </c>
      <c r="B15" s="104"/>
      <c r="C15" s="104" t="s">
        <v>178</v>
      </c>
      <c r="D15" s="104"/>
      <c r="E15" s="104"/>
      <c r="F15" s="104"/>
      <c r="G15" s="104"/>
      <c r="H15" s="104"/>
    </row>
    <row r="16" spans="1:13" ht="15.75" customHeight="1" x14ac:dyDescent="0.3">
      <c r="A16" s="104" t="s">
        <v>158</v>
      </c>
      <c r="B16" s="104"/>
      <c r="C16" s="104" t="s">
        <v>169</v>
      </c>
      <c r="D16" s="104"/>
      <c r="E16" s="104"/>
      <c r="F16" s="104"/>
      <c r="G16" s="104"/>
      <c r="H16" s="104"/>
    </row>
    <row r="17" spans="1:8" ht="15.75" customHeight="1" x14ac:dyDescent="0.3">
      <c r="A17" s="103" t="s">
        <v>9</v>
      </c>
      <c r="B17" s="103"/>
      <c r="C17" s="76" t="s">
        <v>170</v>
      </c>
      <c r="D17" s="76"/>
      <c r="E17" s="103" t="s">
        <v>70</v>
      </c>
      <c r="F17" s="103"/>
      <c r="G17" s="104" t="s">
        <v>169</v>
      </c>
      <c r="H17" s="104"/>
    </row>
    <row r="18" spans="1:8" x14ac:dyDescent="0.3">
      <c r="A18" s="90" t="s">
        <v>11</v>
      </c>
      <c r="B18" s="90"/>
      <c r="C18" s="104" t="s">
        <v>169</v>
      </c>
      <c r="D18" s="104"/>
      <c r="E18" s="103" t="s">
        <v>10</v>
      </c>
      <c r="F18" s="103"/>
      <c r="G18" s="142" t="s">
        <v>168</v>
      </c>
      <c r="H18" s="142"/>
    </row>
    <row r="19" spans="1:8" x14ac:dyDescent="0.3">
      <c r="A19" s="90" t="s">
        <v>71</v>
      </c>
      <c r="B19" s="90"/>
      <c r="C19" s="104" t="s">
        <v>168</v>
      </c>
      <c r="D19" s="104"/>
      <c r="E19" s="103" t="s">
        <v>12</v>
      </c>
      <c r="F19" s="103"/>
      <c r="G19" s="104">
        <v>400706</v>
      </c>
      <c r="H19" s="104"/>
    </row>
    <row r="20" spans="1:8" ht="32.25" customHeight="1" x14ac:dyDescent="0.3">
      <c r="A20" s="90" t="s">
        <v>120</v>
      </c>
      <c r="B20" s="90"/>
      <c r="C20" s="104" t="s">
        <v>172</v>
      </c>
      <c r="D20" s="104"/>
      <c r="E20" s="103" t="s">
        <v>13</v>
      </c>
      <c r="F20" s="103"/>
      <c r="G20" s="104" t="s">
        <v>219</v>
      </c>
      <c r="H20" s="104"/>
    </row>
    <row r="21" spans="1:8" ht="15" customHeight="1" x14ac:dyDescent="0.3">
      <c r="A21" s="103" t="s">
        <v>74</v>
      </c>
      <c r="B21" s="103"/>
      <c r="C21" s="103"/>
      <c r="D21" s="103"/>
      <c r="E21" s="76" t="s">
        <v>14</v>
      </c>
      <c r="F21" s="76"/>
      <c r="G21" s="76"/>
      <c r="H21" s="76"/>
    </row>
    <row r="22" spans="1:8" ht="18.75" customHeight="1" x14ac:dyDescent="0.3">
      <c r="A22" s="103"/>
      <c r="B22" s="103"/>
      <c r="C22" s="103"/>
      <c r="D22" s="103"/>
      <c r="E22" s="76"/>
      <c r="F22" s="76"/>
      <c r="G22" s="76"/>
      <c r="H22" s="76"/>
    </row>
    <row r="23" spans="1:8" ht="15" customHeight="1" x14ac:dyDescent="0.3">
      <c r="A23" s="103" t="s">
        <v>15</v>
      </c>
      <c r="B23" s="103"/>
      <c r="C23" s="103"/>
      <c r="D23" s="103"/>
      <c r="E23" s="104" t="s">
        <v>16</v>
      </c>
      <c r="F23" s="104"/>
      <c r="G23" s="104"/>
      <c r="H23" s="104"/>
    </row>
    <row r="24" spans="1:8" ht="15" customHeight="1" x14ac:dyDescent="0.3">
      <c r="A24" s="90" t="s">
        <v>17</v>
      </c>
      <c r="B24" s="90"/>
      <c r="C24" s="90"/>
      <c r="D24" s="90"/>
      <c r="E24" s="104" t="str">
        <f>IF(AND(G18="Mumbai"),"Upper Class","Middle Class")</f>
        <v>Middle Class</v>
      </c>
      <c r="F24" s="104"/>
      <c r="G24" s="104"/>
      <c r="H24" s="104"/>
    </row>
    <row r="25" spans="1:8" x14ac:dyDescent="0.3">
      <c r="A25" s="90" t="s">
        <v>18</v>
      </c>
      <c r="B25" s="90"/>
      <c r="C25" s="90"/>
      <c r="D25" s="90"/>
      <c r="E25" s="104" t="s">
        <v>19</v>
      </c>
      <c r="F25" s="104"/>
      <c r="G25" s="104"/>
      <c r="H25" s="104"/>
    </row>
    <row r="26" spans="1:8" ht="15.75" customHeight="1" x14ac:dyDescent="0.3">
      <c r="A26" s="90" t="s">
        <v>20</v>
      </c>
      <c r="B26" s="90"/>
      <c r="C26" s="90"/>
      <c r="D26" s="90"/>
      <c r="E26" s="104" t="str">
        <f>IF(AND(G18="Mumbai"),"Developed","Developing")</f>
        <v>Developing</v>
      </c>
      <c r="F26" s="104"/>
      <c r="G26" s="104"/>
      <c r="H26" s="104"/>
    </row>
    <row r="27" spans="1:8" x14ac:dyDescent="0.3">
      <c r="A27" s="90" t="s">
        <v>21</v>
      </c>
      <c r="B27" s="90"/>
      <c r="C27" s="90"/>
      <c r="D27" s="90"/>
      <c r="E27" s="104" t="s">
        <v>22</v>
      </c>
      <c r="F27" s="104"/>
      <c r="G27" s="104"/>
      <c r="H27" s="104"/>
    </row>
    <row r="28" spans="1:8" ht="15.75" customHeight="1" x14ac:dyDescent="0.3">
      <c r="A28" s="90" t="s">
        <v>79</v>
      </c>
      <c r="B28" s="90"/>
      <c r="C28" s="90"/>
      <c r="D28" s="90"/>
      <c r="E28" s="104" t="s">
        <v>80</v>
      </c>
      <c r="F28" s="104"/>
      <c r="G28" s="104"/>
      <c r="H28" s="104"/>
    </row>
    <row r="29" spans="1:8" ht="15" customHeight="1" x14ac:dyDescent="0.3">
      <c r="A29" s="90" t="s">
        <v>31</v>
      </c>
      <c r="B29" s="90"/>
      <c r="C29" s="90"/>
      <c r="D29" s="90"/>
      <c r="E29" s="104" t="str">
        <f>IF(AND(ISNUMBER(SEARCH("Flat",D59)),ISNUMBER(SEARCH("Shop",D59)),ISNUMBER(SEARCH("Office",D59))),"Residential + Commercial",IF(AND(ISNUMBER(SEARCH("Flat",D59)),ISNUMBER(SEARCH("Shop",D59))),"Residential + Commercial",IF(AND(ISNUMBER(SEARCH("Flat",D59)),ISNUMBER(SEARCH("Office",D59))),"Residential + Commercial",IF(AND(ISNUMBER(SEARCH("Shop",D59)),ISNUMBER(SEARCH("Office",D59))),"Commercial",IF(ISNUMBER(SEARCH("Shop",D59)),"Commercial",IF(ISNUMBER(SEARCH("Office",D59)),"Commercial",IF(ISNUMBER(SEARCH("Flat",D59)),"Residential")))))))</f>
        <v>Commercial</v>
      </c>
      <c r="F29" s="104"/>
      <c r="G29" s="104"/>
      <c r="H29" s="104"/>
    </row>
    <row r="30" spans="1:8" ht="15.75" customHeight="1" x14ac:dyDescent="0.3">
      <c r="A30" s="90" t="s">
        <v>91</v>
      </c>
      <c r="B30" s="90"/>
      <c r="C30" s="90"/>
      <c r="D30" s="90"/>
      <c r="E30" s="104" t="s">
        <v>32</v>
      </c>
      <c r="F30" s="104"/>
      <c r="G30" s="104"/>
      <c r="H30" s="104"/>
    </row>
    <row r="31" spans="1:8" s="21" customFormat="1" x14ac:dyDescent="0.3">
      <c r="A31" s="146" t="s">
        <v>92</v>
      </c>
      <c r="B31" s="146"/>
      <c r="C31" s="145" t="s">
        <v>27</v>
      </c>
      <c r="D31" s="145"/>
      <c r="E31" s="145"/>
      <c r="F31" s="145" t="s">
        <v>29</v>
      </c>
      <c r="G31" s="145"/>
      <c r="H31" s="145"/>
    </row>
    <row r="32" spans="1:8" s="21" customFormat="1" x14ac:dyDescent="0.3">
      <c r="A32" s="143" t="s">
        <v>23</v>
      </c>
      <c r="B32" s="143" t="s">
        <v>28</v>
      </c>
      <c r="C32" s="144" t="s">
        <v>28</v>
      </c>
      <c r="D32" s="144"/>
      <c r="E32" s="144"/>
      <c r="F32" s="144" t="s">
        <v>171</v>
      </c>
      <c r="G32" s="144"/>
      <c r="H32" s="144"/>
    </row>
    <row r="33" spans="1:8" x14ac:dyDescent="0.3">
      <c r="A33" s="143" t="s">
        <v>24</v>
      </c>
      <c r="B33" s="143" t="s">
        <v>28</v>
      </c>
      <c r="C33" s="144" t="s">
        <v>28</v>
      </c>
      <c r="D33" s="144"/>
      <c r="E33" s="144"/>
      <c r="F33" s="144" t="s">
        <v>170</v>
      </c>
      <c r="G33" s="144"/>
      <c r="H33" s="144"/>
    </row>
    <row r="34" spans="1:8" s="21" customFormat="1" x14ac:dyDescent="0.3">
      <c r="A34" s="143" t="s">
        <v>26</v>
      </c>
      <c r="B34" s="143" t="s">
        <v>28</v>
      </c>
      <c r="C34" s="144" t="s">
        <v>28</v>
      </c>
      <c r="D34" s="144"/>
      <c r="E34" s="144"/>
      <c r="F34" s="144" t="s">
        <v>172</v>
      </c>
      <c r="G34" s="144"/>
      <c r="H34" s="144"/>
    </row>
    <row r="35" spans="1:8" x14ac:dyDescent="0.3">
      <c r="A35" s="143" t="s">
        <v>25</v>
      </c>
      <c r="B35" s="143" t="s">
        <v>28</v>
      </c>
      <c r="C35" s="144" t="s">
        <v>28</v>
      </c>
      <c r="D35" s="144"/>
      <c r="E35" s="144"/>
      <c r="F35" s="144" t="s">
        <v>173</v>
      </c>
      <c r="G35" s="144"/>
      <c r="H35" s="144"/>
    </row>
    <row r="36" spans="1:8" x14ac:dyDescent="0.3">
      <c r="A36" s="90" t="s">
        <v>30</v>
      </c>
      <c r="B36" s="90"/>
      <c r="C36" s="90"/>
      <c r="D36" s="90"/>
      <c r="E36" s="90"/>
      <c r="F36" s="90"/>
      <c r="G36" s="90"/>
      <c r="H36" s="90"/>
    </row>
    <row r="37" spans="1:8" ht="15.75" customHeight="1" x14ac:dyDescent="0.3">
      <c r="A37" s="90" t="s">
        <v>161</v>
      </c>
      <c r="B37" s="90"/>
      <c r="C37" s="131" t="s">
        <v>240</v>
      </c>
      <c r="D37" s="131"/>
      <c r="E37" s="131"/>
      <c r="F37" s="131"/>
      <c r="G37" s="131"/>
      <c r="H37" s="131"/>
    </row>
    <row r="38" spans="1:8" x14ac:dyDescent="0.3">
      <c r="A38" s="90" t="s">
        <v>157</v>
      </c>
      <c r="B38" s="90"/>
      <c r="C38" s="166" t="s">
        <v>174</v>
      </c>
      <c r="D38" s="104"/>
      <c r="E38" s="104"/>
      <c r="F38" s="104"/>
      <c r="G38" s="104"/>
      <c r="H38" s="104"/>
    </row>
    <row r="39" spans="1:8" x14ac:dyDescent="0.3">
      <c r="A39" s="131" t="s">
        <v>33</v>
      </c>
      <c r="B39" s="131"/>
      <c r="C39" s="131"/>
      <c r="D39" s="131"/>
      <c r="E39" s="131"/>
      <c r="F39" s="131"/>
      <c r="G39" s="131"/>
      <c r="H39" s="131"/>
    </row>
    <row r="40" spans="1:8" x14ac:dyDescent="0.3">
      <c r="A40" s="90" t="s">
        <v>34</v>
      </c>
      <c r="B40" s="90"/>
      <c r="C40" s="90"/>
      <c r="D40" s="90"/>
      <c r="E40" s="153">
        <v>10010</v>
      </c>
      <c r="F40" s="153"/>
      <c r="G40" s="153"/>
      <c r="H40" s="153"/>
    </row>
    <row r="41" spans="1:8" x14ac:dyDescent="0.3">
      <c r="A41" s="90" t="s">
        <v>35</v>
      </c>
      <c r="B41" s="90"/>
      <c r="C41" s="90"/>
      <c r="D41" s="90"/>
      <c r="E41" s="89">
        <v>3</v>
      </c>
      <c r="F41" s="89"/>
      <c r="G41" s="89"/>
      <c r="H41" s="89"/>
    </row>
    <row r="42" spans="1:8" x14ac:dyDescent="0.3">
      <c r="A42" s="90" t="s">
        <v>36</v>
      </c>
      <c r="B42" s="90"/>
      <c r="C42" s="90"/>
      <c r="D42" s="90"/>
      <c r="E42" s="89">
        <f>E44/E40-E41</f>
        <v>0</v>
      </c>
      <c r="F42" s="89"/>
      <c r="G42" s="89"/>
      <c r="H42" s="89"/>
    </row>
    <row r="43" spans="1:8" x14ac:dyDescent="0.3">
      <c r="A43" s="90" t="s">
        <v>37</v>
      </c>
      <c r="B43" s="90"/>
      <c r="C43" s="90"/>
      <c r="D43" s="90"/>
      <c r="E43" s="89">
        <f>E41+E42</f>
        <v>3</v>
      </c>
      <c r="F43" s="89"/>
      <c r="G43" s="89"/>
      <c r="H43" s="89"/>
    </row>
    <row r="44" spans="1:8" x14ac:dyDescent="0.3">
      <c r="A44" s="90" t="s">
        <v>90</v>
      </c>
      <c r="B44" s="90"/>
      <c r="C44" s="90"/>
      <c r="D44" s="90"/>
      <c r="E44" s="168">
        <v>30030</v>
      </c>
      <c r="F44" s="168"/>
      <c r="G44" s="168"/>
      <c r="H44" s="168"/>
    </row>
    <row r="45" spans="1:8" x14ac:dyDescent="0.3">
      <c r="A45" s="76" t="s">
        <v>38</v>
      </c>
      <c r="B45" s="76"/>
      <c r="C45" s="76"/>
      <c r="D45" s="76"/>
      <c r="E45" s="76" t="s">
        <v>204</v>
      </c>
      <c r="F45" s="76"/>
      <c r="G45" s="76"/>
      <c r="H45" s="76"/>
    </row>
    <row r="46" spans="1:8" x14ac:dyDescent="0.3">
      <c r="A46" s="131" t="s">
        <v>39</v>
      </c>
      <c r="B46" s="131"/>
      <c r="C46" s="131"/>
      <c r="D46" s="131"/>
      <c r="E46" s="131"/>
      <c r="F46" s="131"/>
      <c r="G46" s="131"/>
      <c r="H46" s="131"/>
    </row>
    <row r="47" spans="1:8" ht="33.75" customHeight="1" x14ac:dyDescent="0.3">
      <c r="A47" s="64" t="s">
        <v>148</v>
      </c>
      <c r="B47" s="63"/>
      <c r="C47" s="138" t="s">
        <v>177</v>
      </c>
      <c r="D47" s="139"/>
      <c r="E47" s="139"/>
      <c r="F47" s="139"/>
      <c r="G47" s="139"/>
      <c r="H47" s="140"/>
    </row>
    <row r="48" spans="1:8" ht="15.75" customHeight="1" x14ac:dyDescent="0.3">
      <c r="A48" s="64" t="s">
        <v>40</v>
      </c>
      <c r="B48" s="63"/>
      <c r="C48" s="96" t="s">
        <v>213</v>
      </c>
      <c r="D48" s="97"/>
      <c r="E48" s="98"/>
      <c r="F48" s="17" t="s">
        <v>41</v>
      </c>
      <c r="G48" s="62">
        <v>45063</v>
      </c>
      <c r="H48" s="63"/>
    </row>
    <row r="49" spans="1:9" x14ac:dyDescent="0.3">
      <c r="A49" s="64" t="s">
        <v>42</v>
      </c>
      <c r="B49" s="63"/>
      <c r="C49" s="96" t="str">
        <f>C48</f>
        <v>EE/Dn.II/MHP/SPA/B24865/2023</v>
      </c>
      <c r="D49" s="97"/>
      <c r="E49" s="98"/>
      <c r="F49" s="17" t="s">
        <v>41</v>
      </c>
      <c r="G49" s="62">
        <v>45063</v>
      </c>
      <c r="H49" s="63"/>
    </row>
    <row r="50" spans="1:9" s="22" customFormat="1" ht="15.75" customHeight="1" x14ac:dyDescent="0.3">
      <c r="A50" s="105" t="s">
        <v>152</v>
      </c>
      <c r="B50" s="106"/>
      <c r="C50" s="64" t="s">
        <v>192</v>
      </c>
      <c r="D50" s="65"/>
      <c r="E50" s="63"/>
      <c r="F50" s="17" t="s">
        <v>41</v>
      </c>
      <c r="G50" s="62">
        <v>43503</v>
      </c>
      <c r="H50" s="63"/>
    </row>
    <row r="51" spans="1:9" s="22" customFormat="1" ht="50.25" customHeight="1" x14ac:dyDescent="0.3">
      <c r="A51" s="107"/>
      <c r="B51" s="108"/>
      <c r="C51" s="64" t="s">
        <v>210</v>
      </c>
      <c r="D51" s="65"/>
      <c r="E51" s="65"/>
      <c r="F51" s="65"/>
      <c r="G51" s="65"/>
      <c r="H51" s="63"/>
    </row>
    <row r="52" spans="1:9" s="22" customFormat="1" ht="15.75" customHeight="1" x14ac:dyDescent="0.3">
      <c r="A52" s="105" t="s">
        <v>242</v>
      </c>
      <c r="B52" s="106"/>
      <c r="C52" s="64" t="s">
        <v>243</v>
      </c>
      <c r="D52" s="65"/>
      <c r="E52" s="63"/>
      <c r="F52" s="17" t="s">
        <v>41</v>
      </c>
      <c r="G52" s="62">
        <v>45063</v>
      </c>
      <c r="H52" s="63"/>
    </row>
    <row r="53" spans="1:9" s="22" customFormat="1" ht="51.75" customHeight="1" x14ac:dyDescent="0.3">
      <c r="A53" s="107"/>
      <c r="B53" s="108"/>
      <c r="C53" s="64" t="s">
        <v>245</v>
      </c>
      <c r="D53" s="65"/>
      <c r="E53" s="65"/>
      <c r="F53" s="65"/>
      <c r="G53" s="65"/>
      <c r="H53" s="63"/>
    </row>
    <row r="54" spans="1:9" s="22" customFormat="1" ht="15.75" customHeight="1" x14ac:dyDescent="0.3">
      <c r="A54" s="105" t="s">
        <v>205</v>
      </c>
      <c r="B54" s="106"/>
      <c r="C54" s="64" t="s">
        <v>206</v>
      </c>
      <c r="D54" s="65"/>
      <c r="E54" s="63"/>
      <c r="F54" s="17" t="s">
        <v>41</v>
      </c>
      <c r="G54" s="62">
        <v>43354</v>
      </c>
      <c r="H54" s="63"/>
    </row>
    <row r="55" spans="1:9" s="22" customFormat="1" ht="33.75" customHeight="1" x14ac:dyDescent="0.3">
      <c r="A55" s="107"/>
      <c r="B55" s="108"/>
      <c r="C55" s="64" t="s">
        <v>207</v>
      </c>
      <c r="D55" s="65"/>
      <c r="E55" s="63"/>
      <c r="F55" s="17" t="s">
        <v>119</v>
      </c>
      <c r="G55" s="62">
        <v>46275</v>
      </c>
      <c r="H55" s="63"/>
    </row>
    <row r="56" spans="1:9" ht="50.1" customHeight="1" x14ac:dyDescent="0.3">
      <c r="A56" s="99" t="s">
        <v>209</v>
      </c>
      <c r="B56" s="100"/>
      <c r="C56" s="99" t="s">
        <v>211</v>
      </c>
      <c r="D56" s="101"/>
      <c r="E56" s="100"/>
      <c r="F56" s="43" t="s">
        <v>41</v>
      </c>
      <c r="G56" s="74">
        <v>44925</v>
      </c>
      <c r="H56" s="75"/>
    </row>
    <row r="57" spans="1:9" x14ac:dyDescent="0.3">
      <c r="A57" s="102" t="s">
        <v>44</v>
      </c>
      <c r="B57" s="102"/>
      <c r="C57" s="102"/>
      <c r="D57" s="102"/>
      <c r="E57" s="102"/>
      <c r="F57" s="102"/>
      <c r="G57" s="102"/>
      <c r="H57" s="102"/>
    </row>
    <row r="58" spans="1:9" x14ac:dyDescent="0.3">
      <c r="A58" s="103" t="s">
        <v>89</v>
      </c>
      <c r="B58" s="103"/>
      <c r="C58" s="103"/>
      <c r="D58" s="90">
        <f>E44</f>
        <v>30030</v>
      </c>
      <c r="E58" s="90"/>
      <c r="F58" s="90"/>
      <c r="G58" s="90"/>
      <c r="H58" s="90"/>
    </row>
    <row r="59" spans="1:9" x14ac:dyDescent="0.3">
      <c r="A59" s="104" t="s">
        <v>45</v>
      </c>
      <c r="B59" s="76"/>
      <c r="C59" s="76"/>
      <c r="D59" s="76" t="s">
        <v>221</v>
      </c>
      <c r="E59" s="76"/>
      <c r="F59" s="76"/>
      <c r="G59" s="76"/>
      <c r="H59" s="76"/>
      <c r="I59" s="23"/>
    </row>
    <row r="60" spans="1:9" ht="48.75" customHeight="1" x14ac:dyDescent="0.3">
      <c r="A60" s="159" t="s">
        <v>46</v>
      </c>
      <c r="B60" s="160"/>
      <c r="C60" s="161"/>
      <c r="D60" s="134" t="s">
        <v>218</v>
      </c>
      <c r="E60" s="158"/>
      <c r="F60" s="158"/>
      <c r="G60" s="158"/>
      <c r="H60" s="158"/>
    </row>
    <row r="61" spans="1:9" ht="15.75" customHeight="1" x14ac:dyDescent="0.3">
      <c r="A61" s="104" t="s">
        <v>87</v>
      </c>
      <c r="B61" s="104"/>
      <c r="C61" s="104"/>
      <c r="D61" s="76" t="s">
        <v>208</v>
      </c>
      <c r="E61" s="76"/>
      <c r="F61" s="76"/>
      <c r="G61" s="76"/>
      <c r="H61" s="76"/>
    </row>
    <row r="62" spans="1:9" ht="15.75" customHeight="1" x14ac:dyDescent="0.3">
      <c r="A62" s="104"/>
      <c r="B62" s="104"/>
      <c r="C62" s="104"/>
      <c r="D62" s="76" t="s">
        <v>237</v>
      </c>
      <c r="E62" s="76"/>
      <c r="F62" s="76"/>
      <c r="G62" s="76"/>
      <c r="H62" s="76"/>
    </row>
    <row r="63" spans="1:9" ht="15.75" customHeight="1" x14ac:dyDescent="0.3">
      <c r="A63" s="104"/>
      <c r="B63" s="104"/>
      <c r="C63" s="104"/>
      <c r="D63" s="76" t="s">
        <v>241</v>
      </c>
      <c r="E63" s="76"/>
      <c r="F63" s="76"/>
      <c r="G63" s="76"/>
      <c r="H63" s="76"/>
    </row>
    <row r="64" spans="1:9" ht="15.75" hidden="1" customHeight="1" x14ac:dyDescent="0.3">
      <c r="A64" s="104"/>
      <c r="B64" s="104"/>
      <c r="C64" s="104"/>
      <c r="D64" s="76" t="s">
        <v>227</v>
      </c>
      <c r="E64" s="76"/>
      <c r="F64" s="76"/>
      <c r="G64" s="76"/>
      <c r="H64" s="76"/>
    </row>
    <row r="65" spans="1:14" ht="15.75" customHeight="1" x14ac:dyDescent="0.3">
      <c r="A65" s="90" t="s">
        <v>43</v>
      </c>
      <c r="B65" s="90"/>
      <c r="C65" s="90"/>
      <c r="D65" s="103" t="s">
        <v>175</v>
      </c>
      <c r="E65" s="103"/>
      <c r="F65" s="103"/>
      <c r="G65" s="103"/>
      <c r="H65" s="103"/>
      <c r="J65" s="24"/>
      <c r="K65" s="23"/>
      <c r="N65" s="23"/>
    </row>
    <row r="66" spans="1:14" ht="15.75" customHeight="1" x14ac:dyDescent="0.3">
      <c r="A66" s="90" t="s">
        <v>85</v>
      </c>
      <c r="B66" s="90"/>
      <c r="C66" s="90"/>
      <c r="D66" s="167" t="s">
        <v>248</v>
      </c>
      <c r="E66" s="167"/>
      <c r="F66" s="167"/>
      <c r="G66" s="167"/>
      <c r="H66" s="167"/>
      <c r="I66" s="20" t="str">
        <f ca="1">(IF(G56="NA","60 Years After Completion",IF(G56&lt;&gt;"NA",""&amp;60-ROUNDDOWN((E3-G56)/360,0)&amp;" Years"," ")))</f>
        <v>58 Years</v>
      </c>
      <c r="N66" s="23"/>
    </row>
    <row r="67" spans="1:14" ht="15.75" customHeight="1" x14ac:dyDescent="0.3">
      <c r="A67" s="90" t="s">
        <v>86</v>
      </c>
      <c r="B67" s="90"/>
      <c r="C67" s="90"/>
      <c r="D67" s="103" t="s">
        <v>22</v>
      </c>
      <c r="E67" s="103"/>
      <c r="F67" s="103"/>
      <c r="G67" s="103"/>
      <c r="H67" s="103"/>
      <c r="J67" s="25"/>
      <c r="K67" s="25"/>
    </row>
    <row r="68" spans="1:14" ht="63.75" customHeight="1" x14ac:dyDescent="0.3">
      <c r="A68" s="90" t="s">
        <v>72</v>
      </c>
      <c r="B68" s="90"/>
      <c r="C68" s="90"/>
      <c r="D68" s="104" t="s">
        <v>182</v>
      </c>
      <c r="E68" s="103"/>
      <c r="F68" s="103"/>
      <c r="G68" s="103"/>
      <c r="H68" s="103"/>
    </row>
    <row r="69" spans="1:14" x14ac:dyDescent="0.3">
      <c r="A69" s="103" t="s">
        <v>145</v>
      </c>
      <c r="B69" s="103"/>
      <c r="C69" s="103"/>
      <c r="D69" s="103" t="s">
        <v>28</v>
      </c>
      <c r="E69" s="103"/>
      <c r="F69" s="103"/>
      <c r="G69" s="103"/>
      <c r="H69" s="103"/>
      <c r="I69" s="26"/>
      <c r="J69" s="26"/>
      <c r="K69" s="26"/>
      <c r="L69" s="26"/>
      <c r="M69" s="26"/>
      <c r="N69" s="26"/>
    </row>
    <row r="70" spans="1:14" ht="15.75" customHeight="1" x14ac:dyDescent="0.3">
      <c r="A70" s="135" t="s">
        <v>84</v>
      </c>
      <c r="B70" s="135"/>
      <c r="C70" s="135"/>
      <c r="D70" s="134" t="str">
        <f ca="1">(IF(G76&gt;95%,"Nothing",IF(G76&gt;0%,"Cement, Aggregate, Steel, etc",IF(G76=0%,"Work not yet Started"))))</f>
        <v>Cement, Aggregate, Steel, etc</v>
      </c>
      <c r="E70" s="134"/>
      <c r="F70" s="134"/>
      <c r="G70" s="134"/>
      <c r="H70" s="134"/>
      <c r="J70" s="25"/>
    </row>
    <row r="71" spans="1:14" ht="33.75" customHeight="1" thickBot="1" x14ac:dyDescent="0.35">
      <c r="A71" s="133" t="s">
        <v>116</v>
      </c>
      <c r="B71" s="133"/>
      <c r="C71" s="133"/>
      <c r="D71" s="134" t="str">
        <f ca="1">(IF(D70="Nothing","Yes",IF(D70="Cement, Aggregate, Steel, etc","Under Construction",IF(D70="Work not yet Started","Work not yet Started"))))</f>
        <v>Under Construction</v>
      </c>
      <c r="E71" s="134"/>
      <c r="F71" s="134" t="str">
        <f ca="1">(IF(D70="Nothing","Yes",IF(D70="Cement, Aggregate, Steel, etc","Under Construction",IF(D70="Work not yet Started","Work not yet Started"))))</f>
        <v>Under Construction</v>
      </c>
      <c r="G71" s="134"/>
      <c r="H71" s="134"/>
    </row>
    <row r="72" spans="1:14" ht="15.75" customHeight="1" x14ac:dyDescent="0.3">
      <c r="A72" s="91" t="s">
        <v>137</v>
      </c>
      <c r="B72" s="92"/>
      <c r="C72" s="93" t="str">
        <f>D61</f>
        <v>A Wing = G + 1st to 6th Floor</v>
      </c>
      <c r="D72" s="94"/>
      <c r="E72" s="94"/>
      <c r="F72" s="94"/>
      <c r="G72" s="94"/>
      <c r="H72" s="95"/>
      <c r="I72" s="47" t="str">
        <f ca="1">IF(D85=100%,"All work Completed. Possession granted to the Building.",IF(D84=100%,"All work Completed, Waiting for OC",I73&amp;""&amp;I74&amp;""&amp;J73&amp;""&amp;J72&amp;" "&amp;J74))</f>
        <v>Excavation, Plinth, RCC Slab, Brickwork, Internal Plaster, External Plaster, Flooring, Painting Completed, Finishing upto 2 Floor Completed</v>
      </c>
      <c r="J72" s="48" t="str">
        <f ca="1">(IF(C78=(D73+F73+H73),"",IF(C78&gt;0,", RCC upto "&amp;C78&amp;" Slab","")))&amp;(IF(C79=H73,"",IF(C79&gt;0,", Brickwork upto "&amp;C79&amp;" Floor","")))&amp;(IF(C80=H73,"",IF(C80&gt;0,", Internal Plaster upto "&amp;C80&amp;" Floor","")))&amp;(IF(C81=H73,"",IF(C81&gt;0,", External Plaster upto "&amp;C81&amp;" Floor","")))&amp;(IF(C82=H73,"",IF(C82&gt;0,", Flooring upto "&amp;C82&amp;" Floor","")))&amp;(IF(C83=H73,"",IF(C83&gt;0,", Painting upto "&amp;C83&amp;" Floor","")))&amp;(IF(C84=H73,"",IF(C84&gt;0,", Finishing upto "&amp;C84&amp;" Floor","")))&amp;(IF(C85=H73,"",IF(C85&gt;0,", Possession upto "&amp;C85&amp;" Floor","")))</f>
        <v>, Finishing upto 2 Floor</v>
      </c>
    </row>
    <row r="73" spans="1:14" x14ac:dyDescent="0.3">
      <c r="A73" s="15" t="s">
        <v>139</v>
      </c>
      <c r="B73" s="45">
        <f>IF(AND(ISNUMBER(SEARCH("1B",C72))),1,IF(AND(ISNUMBER(SEARCH("2B",C72))),2,IF(AND(ISNUMBER(SEARCH("3B",C72))),3,IF(AND(ISNUMBER(SEARCH("4B",C72))),4,IF(ISNUMBER(SEARCH("5B",C72)),5,0)))))</f>
        <v>0</v>
      </c>
      <c r="C73" s="45" t="s">
        <v>69</v>
      </c>
      <c r="D73" s="45">
        <v>1</v>
      </c>
      <c r="E73" s="45" t="s">
        <v>68</v>
      </c>
      <c r="F73" s="45">
        <v>0</v>
      </c>
      <c r="G73" s="46" t="s">
        <v>78</v>
      </c>
      <c r="H73" s="16">
        <f ca="1">--TRIM(RIGHT(SUBSTITUTE(LEFT(C72,_xlfn.AGGREGATE(16,6,FIND({0,1,2,3,4,5,6,7,8,9},C72,ROW(INDIRECT("1:"&amp;LEN(C72)))),1))," ",REPT(" ",LEN(C72))),LEN(C72)))</f>
        <v>6</v>
      </c>
      <c r="I73" s="49" t="str">
        <f ca="1">IF(D76=100%,"Excavation","")&amp;IF(D77=100%,", Plinth","")&amp;IF(D78=100%,", RCC Slab","")&amp;IF(D79=100%,", Brickwork","")&amp;IF(D80=100%,", Internal Plaster","")&amp;IF(D81=100%,", External Plaster","")&amp;IF(D82=100%,", Flooring","")&amp;IF(D83=100%,", Painting","")&amp;IF(D84=100%,", Building common Amenities","")</f>
        <v>Excavation, Plinth, RCC Slab, Brickwork, Internal Plaster, External Plaster, Flooring, Painting</v>
      </c>
      <c r="J73" s="50" t="str">
        <f ca="1">(IF(C76=0,"Work not yet Started.",IF(D76=25%,"Piling work in process",IF(D76=50%,"Excavation work in process",IF(D76=100%,"","0")))))&amp;(IF(C77=0%,"",IF(C77=J78,", Footing work is process",IF(C77=J79,", Footing work Completed",IF(C77=J80,", 1st Basement Completed",IF(C77=J81,", 1st &amp; 2nd Basement Completed",IF(C77=J82,", 1st to 3rd Basement Completed",IF(C77=J83,", 1st to 4th Basement Completed",IF(C77=J84,", Plinth work is process",IF(C77=J85,"","0"))))))))))</f>
        <v/>
      </c>
    </row>
    <row r="74" spans="1:14" ht="34.950000000000003" customHeight="1" x14ac:dyDescent="0.3">
      <c r="A74" s="120" t="s">
        <v>88</v>
      </c>
      <c r="B74" s="121"/>
      <c r="C74" s="122" t="str">
        <f ca="1">I72</f>
        <v>Excavation, Plinth, RCC Slab, Brickwork, Internal Plaster, External Plaster, Flooring, Painting Completed, Finishing upto 2 Floor Completed</v>
      </c>
      <c r="D74" s="122"/>
      <c r="E74" s="122"/>
      <c r="F74" s="122"/>
      <c r="G74" s="122"/>
      <c r="H74" s="123"/>
      <c r="I74" s="49" t="str">
        <f ca="1">IF(I73&lt;&gt;""," Completed","")</f>
        <v xml:space="preserve"> Completed</v>
      </c>
      <c r="J74" s="50" t="str">
        <f ca="1">IF(J72&lt;&gt;"","Completed","")</f>
        <v>Completed</v>
      </c>
    </row>
    <row r="75" spans="1:14" ht="15.75" customHeight="1" x14ac:dyDescent="0.3">
      <c r="A75" s="82" t="s">
        <v>47</v>
      </c>
      <c r="B75" s="81"/>
      <c r="C75" s="41" t="s">
        <v>136</v>
      </c>
      <c r="D75" s="41" t="s">
        <v>81</v>
      </c>
      <c r="E75" s="81" t="s">
        <v>83</v>
      </c>
      <c r="F75" s="81"/>
      <c r="G75" s="81" t="s">
        <v>82</v>
      </c>
      <c r="H75" s="136"/>
      <c r="I75" s="13" t="s">
        <v>138</v>
      </c>
      <c r="J75" s="27">
        <f ca="1">H73*25%</f>
        <v>1.5</v>
      </c>
    </row>
    <row r="76" spans="1:14" x14ac:dyDescent="0.3">
      <c r="A76" s="82" t="s">
        <v>126</v>
      </c>
      <c r="B76" s="81"/>
      <c r="C76" s="41">
        <f ca="1">J77</f>
        <v>6</v>
      </c>
      <c r="D76" s="18">
        <f ca="1">((100/H73)*C76)/100</f>
        <v>1</v>
      </c>
      <c r="E76" s="147">
        <f ca="1">(((C77/H73*10)+(40/(D73+F73+H73)*C78)+(7.5/(H73)*C79)+(7.5/(H73)*C80)+(10/H73*C81)+(10/H73*C82)+(5/H73*C83)+(5/H73*C84)+(5/H73*C85))/100)</f>
        <v>0.91666666666666674</v>
      </c>
      <c r="F76" s="154"/>
      <c r="G76" s="147">
        <f ca="1">((((C76/H73)*20)+((C77/H73)*25)+(30/(H73+F73+D73)*C78)+(5/H73*C79)+(5/H73*C80)+(5/H73*C81)+(5/H73*C82)+(0/H73*C83)+(0/H73*C84)+(5/H73*C85))/100)</f>
        <v>0.95</v>
      </c>
      <c r="H76" s="148"/>
      <c r="I76" s="13" t="s">
        <v>99</v>
      </c>
      <c r="J76" s="28">
        <f ca="1">H73*50%</f>
        <v>3</v>
      </c>
    </row>
    <row r="77" spans="1:14" x14ac:dyDescent="0.3">
      <c r="A77" s="82" t="s">
        <v>48</v>
      </c>
      <c r="B77" s="81"/>
      <c r="C77" s="41">
        <f ca="1">J85</f>
        <v>6</v>
      </c>
      <c r="D77" s="18">
        <f ca="1">((100/H73)*C77)/100</f>
        <v>1</v>
      </c>
      <c r="E77" s="149"/>
      <c r="F77" s="155"/>
      <c r="G77" s="149"/>
      <c r="H77" s="150"/>
      <c r="I77" s="13" t="s">
        <v>100</v>
      </c>
      <c r="J77" s="28">
        <f ca="1">H73</f>
        <v>6</v>
      </c>
    </row>
    <row r="78" spans="1:14" ht="15.75" customHeight="1" x14ac:dyDescent="0.3">
      <c r="A78" s="82" t="s">
        <v>127</v>
      </c>
      <c r="B78" s="81"/>
      <c r="C78" s="41">
        <v>7</v>
      </c>
      <c r="D78" s="18">
        <f ca="1">((100/(D73+F73+H73))*C78)/100</f>
        <v>1</v>
      </c>
      <c r="E78" s="149"/>
      <c r="F78" s="155"/>
      <c r="G78" s="149"/>
      <c r="H78" s="150"/>
      <c r="I78" s="13" t="s">
        <v>101</v>
      </c>
      <c r="J78" s="29">
        <f ca="1">(IF(B73&gt;1,(H73/(B73+2)),H73/4))</f>
        <v>1.5</v>
      </c>
    </row>
    <row r="79" spans="1:14" ht="15.75" customHeight="1" x14ac:dyDescent="0.3">
      <c r="A79" s="82" t="s">
        <v>133</v>
      </c>
      <c r="B79" s="81" t="s">
        <v>128</v>
      </c>
      <c r="C79" s="41">
        <v>6</v>
      </c>
      <c r="D79" s="18">
        <f ca="1">((100/H73)*C79)/100</f>
        <v>1</v>
      </c>
      <c r="E79" s="149"/>
      <c r="F79" s="155"/>
      <c r="G79" s="149"/>
      <c r="H79" s="150"/>
      <c r="I79" s="13" t="s">
        <v>102</v>
      </c>
      <c r="J79" s="29">
        <f ca="1">(IF(B73&gt;1,(H73/(B73+2)+J78),H73/4+J78))</f>
        <v>3</v>
      </c>
    </row>
    <row r="80" spans="1:14" ht="15.75" customHeight="1" x14ac:dyDescent="0.3">
      <c r="A80" s="82" t="s">
        <v>134</v>
      </c>
      <c r="B80" s="81" t="s">
        <v>128</v>
      </c>
      <c r="C80" s="41">
        <v>6</v>
      </c>
      <c r="D80" s="18">
        <f ca="1">((100/H73)*C80)/100</f>
        <v>1</v>
      </c>
      <c r="E80" s="149"/>
      <c r="F80" s="155"/>
      <c r="G80" s="149"/>
      <c r="H80" s="150"/>
      <c r="I80" s="13" t="s">
        <v>143</v>
      </c>
      <c r="J80" s="29">
        <f>(IF(B73&gt;1,(H73/(B73+2)+J79),0))</f>
        <v>0</v>
      </c>
    </row>
    <row r="81" spans="1:10" ht="15" customHeight="1" x14ac:dyDescent="0.3">
      <c r="A81" s="82" t="s">
        <v>238</v>
      </c>
      <c r="B81" s="81" t="s">
        <v>130</v>
      </c>
      <c r="C81" s="41">
        <v>6</v>
      </c>
      <c r="D81" s="18">
        <f ca="1">((100/(H73))*C81)/100</f>
        <v>1</v>
      </c>
      <c r="E81" s="149"/>
      <c r="F81" s="155"/>
      <c r="G81" s="149"/>
      <c r="H81" s="150"/>
      <c r="I81" s="13" t="s">
        <v>140</v>
      </c>
      <c r="J81" s="29">
        <f>(IF(B73&gt;2,(H73/(B73+2)+J80),0))</f>
        <v>0</v>
      </c>
    </row>
    <row r="82" spans="1:10" ht="15.75" customHeight="1" x14ac:dyDescent="0.3">
      <c r="A82" s="82" t="s">
        <v>129</v>
      </c>
      <c r="B82" s="81" t="s">
        <v>129</v>
      </c>
      <c r="C82" s="41">
        <v>6</v>
      </c>
      <c r="D82" s="18">
        <f ca="1">((100/H73)*C82)/100</f>
        <v>1</v>
      </c>
      <c r="E82" s="149"/>
      <c r="F82" s="155"/>
      <c r="G82" s="149"/>
      <c r="H82" s="150"/>
      <c r="I82" s="13" t="s">
        <v>141</v>
      </c>
      <c r="J82" s="30">
        <f>(IF(B73&gt;3,(H73/(B73+2)+J81),0))</f>
        <v>0</v>
      </c>
    </row>
    <row r="83" spans="1:10" ht="15.75" customHeight="1" x14ac:dyDescent="0.3">
      <c r="A83" s="82" t="s">
        <v>135</v>
      </c>
      <c r="B83" s="81"/>
      <c r="C83" s="41">
        <v>6</v>
      </c>
      <c r="D83" s="18">
        <f ca="1">((100/H73)*C83)/100</f>
        <v>1</v>
      </c>
      <c r="E83" s="149"/>
      <c r="F83" s="155"/>
      <c r="G83" s="149"/>
      <c r="H83" s="150"/>
      <c r="I83" s="13" t="s">
        <v>142</v>
      </c>
      <c r="J83" s="29">
        <f>(IF(B73&gt;4,(H73/(B73+2)+J82),0))</f>
        <v>0</v>
      </c>
    </row>
    <row r="84" spans="1:10" ht="15.75" customHeight="1" x14ac:dyDescent="0.3">
      <c r="A84" s="82" t="s">
        <v>131</v>
      </c>
      <c r="B84" s="81" t="s">
        <v>131</v>
      </c>
      <c r="C84" s="41">
        <v>2</v>
      </c>
      <c r="D84" s="18">
        <f ca="1">((100/(H73))*C84)/100</f>
        <v>0.33333333333333337</v>
      </c>
      <c r="E84" s="149"/>
      <c r="F84" s="155"/>
      <c r="G84" s="149"/>
      <c r="H84" s="150"/>
      <c r="I84" s="13" t="s">
        <v>144</v>
      </c>
      <c r="J84" s="29">
        <f ca="1">(IF(B73=1,(H73/(B73+3)+J79),IF(B73=0,(H73/4+J79),IF(B73&gt;1,0))))</f>
        <v>4.5</v>
      </c>
    </row>
    <row r="85" spans="1:10" ht="16.2" thickBot="1" x14ac:dyDescent="0.35">
      <c r="A85" s="164" t="s">
        <v>132</v>
      </c>
      <c r="B85" s="165"/>
      <c r="C85" s="42">
        <v>0</v>
      </c>
      <c r="D85" s="19">
        <f ca="1">((100/(H73))*C85)/100</f>
        <v>0</v>
      </c>
      <c r="E85" s="151"/>
      <c r="F85" s="156"/>
      <c r="G85" s="151"/>
      <c r="H85" s="152"/>
      <c r="I85" s="14" t="s">
        <v>103</v>
      </c>
      <c r="J85" s="31">
        <f ca="1">(IF(B73&gt;1.5,(H73/(B73+2)+J79+MAX(0,J80-J79)+MAX(0,J81-J80)+MAX(0,J82-J81)+MAX(0,J83-J82)+MAX(0,J84-J83)),IF(B73=1,(H73/(B73+3)+J84),IF(B73=0,H73/4+J84))))</f>
        <v>6</v>
      </c>
    </row>
    <row r="86" spans="1:10" ht="15.75" customHeight="1" x14ac:dyDescent="0.3">
      <c r="A86" s="91" t="s">
        <v>137</v>
      </c>
      <c r="B86" s="92"/>
      <c r="C86" s="93" t="str">
        <f>D62</f>
        <v>B Wing = G + 1st to 29th Floor</v>
      </c>
      <c r="D86" s="94"/>
      <c r="E86" s="94"/>
      <c r="F86" s="94"/>
      <c r="G86" s="94"/>
      <c r="H86" s="95"/>
      <c r="I86" s="47" t="str">
        <f ca="1">IF(D99=100%,"All work Completed. Possession granted to the Building.",IF(D98=100%,"All work Completed, Waiting for OC",I87&amp;""&amp;I88&amp;""&amp;J87&amp;""&amp;J86&amp;" "&amp;J88))</f>
        <v>Excavation, Plinth Completed, RCC upto 23 Slab, Brickwork upto 18 Floor Completed</v>
      </c>
      <c r="J86" s="48" t="str">
        <f ca="1">(IF(C92=(D87+F87+H87),"",IF(C92&gt;0,", RCC upto "&amp;C92&amp;" Slab","")))&amp;(IF(C93=H87,"",IF(C93&gt;0,", Brickwork upto "&amp;C93&amp;" Floor","")))&amp;(IF(C94=H87,"",IF(C94&gt;0,", Internal Plaster upto "&amp;C94&amp;" Floor","")))&amp;(IF(C95=H87,"",IF(C95&gt;0,", External Plaster upto "&amp;C95&amp;" Floor","")))&amp;(IF(C96=H87,"",IF(C96&gt;0,", Flooring upto "&amp;C96&amp;" Floor","")))&amp;(IF(C97=H87,"",IF(C97&gt;0,", Painting upto "&amp;C97&amp;" Floor","")))&amp;(IF(C98=H87,"",IF(C98&gt;0,", Finishing upto "&amp;C98&amp;" Floor","")))&amp;(IF(C99=H87,"",IF(C99&gt;0,", Possession upto "&amp;C99&amp;" Floor","")))</f>
        <v>, RCC upto 23 Slab, Brickwork upto 18 Floor</v>
      </c>
    </row>
    <row r="87" spans="1:10" x14ac:dyDescent="0.3">
      <c r="A87" s="15" t="s">
        <v>139</v>
      </c>
      <c r="B87" s="45">
        <f>IF(AND(ISNUMBER(SEARCH("1B",C86))),1,IF(AND(ISNUMBER(SEARCH("2B",C86))),2,IF(AND(ISNUMBER(SEARCH("3B",C86))),3,IF(AND(ISNUMBER(SEARCH("4B",C86))),4,IF(ISNUMBER(SEARCH("5B",C86)),5,0)))))</f>
        <v>0</v>
      </c>
      <c r="C87" s="45" t="s">
        <v>69</v>
      </c>
      <c r="D87" s="45">
        <v>1</v>
      </c>
      <c r="E87" s="45" t="s">
        <v>68</v>
      </c>
      <c r="F87" s="45">
        <v>0</v>
      </c>
      <c r="G87" s="46" t="s">
        <v>78</v>
      </c>
      <c r="H87" s="16">
        <f ca="1">--TRIM(RIGHT(SUBSTITUTE(LEFT(C86,_xlfn.AGGREGATE(16,6,FIND({0,1,2,3,4,5,6,7,8,9},C86,ROW(INDIRECT("1:"&amp;LEN(C86)))),1))," ",REPT(" ",LEN(C86))),LEN(C86)))</f>
        <v>29</v>
      </c>
      <c r="I87" s="49" t="str">
        <f ca="1">IF(D90=100%,"Excavation","")&amp;IF(D91=100%,", Plinth","")&amp;IF(D92=100%,", RCC Slab","")&amp;IF(D93=100%,", Brickwork","")&amp;IF(D94=100%,", Internal Plaster","")&amp;IF(D95=100%,", External Plaster","")&amp;IF(D96=100%,", Flooring","")&amp;IF(D97=100%,", Painting","")&amp;IF(D98=100%,", Building common Amenities","")</f>
        <v>Excavation, Plinth</v>
      </c>
      <c r="J87" s="50" t="str">
        <f ca="1">(IF(C90=0,"Work not yet Started.",IF(D90=25%,"Piling work in process",IF(D90=50%,"Excavation work in process",IF(D90=100%,"","0")))))&amp;(IF(C91=0%,"",IF(C91=J92,", Footing work is process",IF(C91=J93,", Footing work Completed",IF(C91=J94,", 1st Basement Completed",IF(C91=J95,", 1st &amp; 2nd Basement Completed",IF(C91=J96,", 1st to 3rd Basement Completed",IF(C91=J97,", 1st to 4th Basement Completed",IF(C91=J98,", Plinth work is process",IF(C91=J99,"","0"))))))))))</f>
        <v/>
      </c>
    </row>
    <row r="88" spans="1:10" ht="30" customHeight="1" x14ac:dyDescent="0.3">
      <c r="A88" s="120" t="s">
        <v>88</v>
      </c>
      <c r="B88" s="121"/>
      <c r="C88" s="122" t="str">
        <f ca="1">I86</f>
        <v>Excavation, Plinth Completed, RCC upto 23 Slab, Brickwork upto 18 Floor Completed</v>
      </c>
      <c r="D88" s="122"/>
      <c r="E88" s="122"/>
      <c r="F88" s="122"/>
      <c r="G88" s="122"/>
      <c r="H88" s="123"/>
      <c r="I88" s="49" t="str">
        <f ca="1">IF(I87&lt;&gt;""," Completed","")</f>
        <v xml:space="preserve"> Completed</v>
      </c>
      <c r="J88" s="50" t="str">
        <f ca="1">IF(J86&lt;&gt;"","Completed","")</f>
        <v>Completed</v>
      </c>
    </row>
    <row r="89" spans="1:10" ht="15.75" customHeight="1" x14ac:dyDescent="0.3">
      <c r="A89" s="82" t="s">
        <v>47</v>
      </c>
      <c r="B89" s="81"/>
      <c r="C89" s="41" t="s">
        <v>136</v>
      </c>
      <c r="D89" s="41" t="s">
        <v>81</v>
      </c>
      <c r="E89" s="81" t="s">
        <v>83</v>
      </c>
      <c r="F89" s="81"/>
      <c r="G89" s="81" t="s">
        <v>82</v>
      </c>
      <c r="H89" s="136"/>
      <c r="I89" s="13" t="s">
        <v>138</v>
      </c>
      <c r="J89" s="27">
        <f ca="1">H87*25%</f>
        <v>7.25</v>
      </c>
    </row>
    <row r="90" spans="1:10" x14ac:dyDescent="0.3">
      <c r="A90" s="81" t="s">
        <v>126</v>
      </c>
      <c r="B90" s="81"/>
      <c r="C90" s="41">
        <f ca="1">J91</f>
        <v>29</v>
      </c>
      <c r="D90" s="18">
        <f ca="1">((100/H87)*C90)/100</f>
        <v>1</v>
      </c>
      <c r="E90" s="163">
        <f ca="1">(((C91/H87*10)+(40/(D87+F87+H87)*C92)+(7.5/(H87)*C93)+(7.5/(H87)*C94)+(10/H87*C95)+(10/H87*C96)+(5/H87*C97)+(5/H87*C98)+(5/H87*C99))/100)</f>
        <v>0.45321839080459769</v>
      </c>
      <c r="F90" s="163"/>
      <c r="G90" s="163">
        <f ca="1">((((C90/H87)*20)+((C91/H87)*25)+(30/(H87+F87+D87)*C92)+(5/H87*C93)+(5/H87*C94)+(5/H87*C95)+(5/H87*C96)+(0/H87*C97)+(0/H87*C98)+(5/H87*C99))/100)</f>
        <v>0.71103448275862069</v>
      </c>
      <c r="H90" s="163"/>
      <c r="I90" s="13" t="s">
        <v>99</v>
      </c>
      <c r="J90" s="28">
        <f ca="1">H87*50%</f>
        <v>14.5</v>
      </c>
    </row>
    <row r="91" spans="1:10" x14ac:dyDescent="0.3">
      <c r="A91" s="81" t="s">
        <v>48</v>
      </c>
      <c r="B91" s="81"/>
      <c r="C91" s="51">
        <f ca="1">J99</f>
        <v>29</v>
      </c>
      <c r="D91" s="18">
        <f ca="1">((100/H87)*C91)/100</f>
        <v>1</v>
      </c>
      <c r="E91" s="163"/>
      <c r="F91" s="163"/>
      <c r="G91" s="163"/>
      <c r="H91" s="163"/>
      <c r="I91" s="13" t="s">
        <v>100</v>
      </c>
      <c r="J91" s="28">
        <f ca="1">H87</f>
        <v>29</v>
      </c>
    </row>
    <row r="92" spans="1:10" ht="15.75" customHeight="1" x14ac:dyDescent="0.3">
      <c r="A92" s="81" t="s">
        <v>127</v>
      </c>
      <c r="B92" s="81"/>
      <c r="C92" s="41">
        <v>23</v>
      </c>
      <c r="D92" s="18">
        <f ca="1">((100/(D87+F87+H87))*C92)/100</f>
        <v>0.76666666666666672</v>
      </c>
      <c r="E92" s="163"/>
      <c r="F92" s="163"/>
      <c r="G92" s="163"/>
      <c r="H92" s="163"/>
      <c r="I92" s="13" t="s">
        <v>101</v>
      </c>
      <c r="J92" s="29">
        <f ca="1">(IF(B87&gt;1,(H87/(B87+2)),H87/4))</f>
        <v>7.25</v>
      </c>
    </row>
    <row r="93" spans="1:10" ht="15.75" customHeight="1" x14ac:dyDescent="0.3">
      <c r="A93" s="81" t="s">
        <v>133</v>
      </c>
      <c r="B93" s="81" t="s">
        <v>128</v>
      </c>
      <c r="C93" s="41">
        <v>18</v>
      </c>
      <c r="D93" s="18">
        <f ca="1">((100/H87)*C93)/100</f>
        <v>0.6206896551724137</v>
      </c>
      <c r="E93" s="163"/>
      <c r="F93" s="163"/>
      <c r="G93" s="163"/>
      <c r="H93" s="163"/>
      <c r="I93" s="13" t="s">
        <v>102</v>
      </c>
      <c r="J93" s="29">
        <f ca="1">(IF(B87&gt;1,(H87/(B87+2)+J92),H87/4+J92))</f>
        <v>14.5</v>
      </c>
    </row>
    <row r="94" spans="1:10" ht="15.75" customHeight="1" x14ac:dyDescent="0.3">
      <c r="A94" s="81" t="s">
        <v>134</v>
      </c>
      <c r="B94" s="81" t="s">
        <v>128</v>
      </c>
      <c r="C94" s="41">
        <v>0</v>
      </c>
      <c r="D94" s="18">
        <f ca="1">((100/H87)*C94)/100</f>
        <v>0</v>
      </c>
      <c r="E94" s="163"/>
      <c r="F94" s="163"/>
      <c r="G94" s="163"/>
      <c r="H94" s="163"/>
      <c r="I94" s="13" t="s">
        <v>143</v>
      </c>
      <c r="J94" s="29">
        <f>(IF(B87&gt;1,(H87/(B87+2)+J93),0))</f>
        <v>0</v>
      </c>
    </row>
    <row r="95" spans="1:10" ht="15" customHeight="1" x14ac:dyDescent="0.3">
      <c r="A95" s="81" t="s">
        <v>238</v>
      </c>
      <c r="B95" s="81" t="s">
        <v>130</v>
      </c>
      <c r="C95" s="41">
        <v>0</v>
      </c>
      <c r="D95" s="18">
        <f ca="1">((100/(H87))*C95)/100</f>
        <v>0</v>
      </c>
      <c r="E95" s="163"/>
      <c r="F95" s="163"/>
      <c r="G95" s="163"/>
      <c r="H95" s="163"/>
      <c r="I95" s="13" t="s">
        <v>140</v>
      </c>
      <c r="J95" s="29">
        <f>(IF(B87&gt;2,(H87/(B87+2)+J94),0))</f>
        <v>0</v>
      </c>
    </row>
    <row r="96" spans="1:10" ht="15.75" customHeight="1" x14ac:dyDescent="0.3">
      <c r="A96" s="81" t="s">
        <v>129</v>
      </c>
      <c r="B96" s="81" t="s">
        <v>129</v>
      </c>
      <c r="C96" s="41">
        <v>0</v>
      </c>
      <c r="D96" s="18">
        <f ca="1">((100/H87)*C96)/100</f>
        <v>0</v>
      </c>
      <c r="E96" s="163"/>
      <c r="F96" s="163"/>
      <c r="G96" s="163"/>
      <c r="H96" s="163"/>
      <c r="I96" s="13" t="s">
        <v>141</v>
      </c>
      <c r="J96" s="30">
        <f>(IF(B87&gt;3,(H87/(B87+2)+J95),0))</f>
        <v>0</v>
      </c>
    </row>
    <row r="97" spans="1:10" ht="15.75" customHeight="1" x14ac:dyDescent="0.3">
      <c r="A97" s="81" t="s">
        <v>135</v>
      </c>
      <c r="B97" s="81"/>
      <c r="C97" s="41">
        <v>0</v>
      </c>
      <c r="D97" s="18">
        <f ca="1">((100/H87)*C97)/100</f>
        <v>0</v>
      </c>
      <c r="E97" s="163"/>
      <c r="F97" s="163"/>
      <c r="G97" s="163"/>
      <c r="H97" s="163"/>
      <c r="I97" s="13" t="s">
        <v>142</v>
      </c>
      <c r="J97" s="29">
        <f>(IF(B87&gt;4,(H87/(B87+2)+J96),0))</f>
        <v>0</v>
      </c>
    </row>
    <row r="98" spans="1:10" ht="15.75" customHeight="1" x14ac:dyDescent="0.3">
      <c r="A98" s="81" t="s">
        <v>131</v>
      </c>
      <c r="B98" s="81" t="s">
        <v>131</v>
      </c>
      <c r="C98" s="41">
        <v>0</v>
      </c>
      <c r="D98" s="18">
        <f ca="1">((100/(H87))*C98)/100</f>
        <v>0</v>
      </c>
      <c r="E98" s="163"/>
      <c r="F98" s="163"/>
      <c r="G98" s="163"/>
      <c r="H98" s="163"/>
      <c r="I98" s="13" t="s">
        <v>144</v>
      </c>
      <c r="J98" s="29">
        <f ca="1">(IF(B87=1,(H87/(B87+3)+J93),IF(B87=0,(H87/4+J93),IF(B87&gt;1,0))))</f>
        <v>21.75</v>
      </c>
    </row>
    <row r="99" spans="1:10" ht="16.2" thickBot="1" x14ac:dyDescent="0.35">
      <c r="A99" s="81" t="s">
        <v>132</v>
      </c>
      <c r="B99" s="81"/>
      <c r="C99" s="41">
        <v>0</v>
      </c>
      <c r="D99" s="18">
        <f ca="1">((100/(H87))*C99)/100</f>
        <v>0</v>
      </c>
      <c r="E99" s="163"/>
      <c r="F99" s="163"/>
      <c r="G99" s="163"/>
      <c r="H99" s="163"/>
      <c r="I99" s="14" t="s">
        <v>103</v>
      </c>
      <c r="J99" s="31">
        <f ca="1">(IF(B87&gt;1.5,(H87/(B87+2)+J93+MAX(0,J94-J93)+MAX(0,J95-J94)+MAX(0,J96-J95)+MAX(0,J97-J96)+MAX(0,J98-J97)),IF(B87=1,(H87/(B87+3)+J98),IF(B87=0,H87/4+J98))))</f>
        <v>29</v>
      </c>
    </row>
    <row r="100" spans="1:10" ht="15.75" customHeight="1" x14ac:dyDescent="0.3">
      <c r="A100" s="169" t="s">
        <v>137</v>
      </c>
      <c r="B100" s="169"/>
      <c r="C100" s="169" t="str">
        <f>D63</f>
        <v>C Wing = G + 1st to 29th Floor</v>
      </c>
      <c r="D100" s="169"/>
      <c r="E100" s="169"/>
      <c r="F100" s="169"/>
      <c r="G100" s="169"/>
      <c r="H100" s="169"/>
      <c r="I100" s="57" t="str">
        <f ca="1">IF(D113=100%,"All work Completed. Possession granted to the Building.",IF(D112=100%,"All work Completed, Waiting for OC",I101&amp;""&amp;I102&amp;""&amp;J101&amp;""&amp;J100&amp;" "&amp;J102))</f>
        <v>Excavation, Plinth Completed, RCC upto 20 Slab, Brickwork upto 17 Floor Completed</v>
      </c>
      <c r="J100" s="48" t="str">
        <f ca="1">(IF(C106=(D101+F101+H101),"",IF(C106&gt;0,", RCC upto "&amp;C106&amp;" Slab","")))&amp;(IF(C107=H101,"",IF(C107&gt;0,", Brickwork upto "&amp;C107&amp;" Floor","")))&amp;(IF(C108=H101,"",IF(C108&gt;0,", Internal Plaster upto "&amp;C108&amp;" Floor","")))&amp;(IF(C109=H101,"",IF(C109&gt;0,", External Plaster upto "&amp;C109&amp;" Floor","")))&amp;(IF(C110=H101,"",IF(C110&gt;0,", Flooring upto "&amp;C110&amp;" Floor","")))&amp;(IF(C111=H101,"",IF(C111&gt;0,", Painting upto "&amp;C111&amp;" Floor","")))&amp;(IF(C112=H101,"",IF(C112&gt;0,", Finishing upto "&amp;C112&amp;" Floor","")))&amp;(IF(C113=H101,"",IF(C113&gt;0,", Possession upto "&amp;C113&amp;" Floor","")))</f>
        <v>, RCC upto 20 Slab, Brickwork upto 17 Floor</v>
      </c>
    </row>
    <row r="101" spans="1:10" x14ac:dyDescent="0.3">
      <c r="A101" s="15" t="s">
        <v>139</v>
      </c>
      <c r="B101" s="45">
        <f>IF(AND(ISNUMBER(SEARCH("1B",C100))),1,IF(AND(ISNUMBER(SEARCH("2B",C100))),2,IF(AND(ISNUMBER(SEARCH("3B",C100))),3,IF(AND(ISNUMBER(SEARCH("4B",C100))),4,IF(ISNUMBER(SEARCH("5B",C100)),5,0)))))</f>
        <v>0</v>
      </c>
      <c r="C101" s="45" t="s">
        <v>69</v>
      </c>
      <c r="D101" s="45">
        <v>1</v>
      </c>
      <c r="E101" s="45" t="s">
        <v>68</v>
      </c>
      <c r="F101" s="45">
        <v>0</v>
      </c>
      <c r="G101" s="46" t="s">
        <v>78</v>
      </c>
      <c r="H101" s="16">
        <f ca="1">--TRIM(RIGHT(SUBSTITUTE(LEFT(C100,_xlfn.AGGREGATE(16,6,FIND({0,1,2,3,4,5,6,7,8,9},C100,ROW(INDIRECT("1:"&amp;LEN(C100)))),1))," ",REPT(" ",LEN(C100))),LEN(C100)))</f>
        <v>29</v>
      </c>
      <c r="I101" s="49" t="str">
        <f ca="1">IF(D104=100%,"Excavation","")&amp;IF(D105=100%,", Plinth","")&amp;IF(D106=100%,", RCC Slab","")&amp;IF(D107=100%,", Brickwork","")&amp;IF(D108=100%,", Internal Plaster","")&amp;IF(D109=100%,", External Plaster","")&amp;IF(D110=100%,", Flooring","")&amp;IF(D111=100%,", Painting","")&amp;IF(D112=100%,", Building common Amenities","")</f>
        <v>Excavation, Plinth</v>
      </c>
      <c r="J101" s="50" t="str">
        <f ca="1">(IF(C104=0,"Work not yet Started.",IF(D104=25%,"Piling work in process",IF(D104=50%,"Excavation work in process",IF(D104=100%,"","0")))))&amp;(IF(C105=0%,"",IF(C105=J106,", Footing work is process",IF(C105=J107,", Footing work Completed",IF(C105=J108,", 1st Basement Completed",IF(C105=J109,", 1st &amp; 2nd Basement Completed",IF(C105=J110,", 1st to 3rd Basement Completed",IF(C105=J111,", 1st to 4th Basement Completed",IF(C105=J112,", Plinth work is process",IF(C105=J113,"","0"))))))))))</f>
        <v/>
      </c>
    </row>
    <row r="102" spans="1:10" ht="31.5" customHeight="1" x14ac:dyDescent="0.3">
      <c r="A102" s="120" t="s">
        <v>88</v>
      </c>
      <c r="B102" s="121"/>
      <c r="C102" s="122" t="str">
        <f ca="1">I100</f>
        <v>Excavation, Plinth Completed, RCC upto 20 Slab, Brickwork upto 17 Floor Completed</v>
      </c>
      <c r="D102" s="122"/>
      <c r="E102" s="122"/>
      <c r="F102" s="122"/>
      <c r="G102" s="122"/>
      <c r="H102" s="123"/>
      <c r="I102" s="49" t="str">
        <f ca="1">IF(I101&lt;&gt;""," Completed","")</f>
        <v xml:space="preserve"> Completed</v>
      </c>
      <c r="J102" s="50" t="str">
        <f ca="1">IF(J100&lt;&gt;"","Completed","")</f>
        <v>Completed</v>
      </c>
    </row>
    <row r="103" spans="1:10" ht="15.75" customHeight="1" x14ac:dyDescent="0.3">
      <c r="A103" s="82" t="s">
        <v>47</v>
      </c>
      <c r="B103" s="81"/>
      <c r="C103" s="41" t="s">
        <v>136</v>
      </c>
      <c r="D103" s="41" t="s">
        <v>81</v>
      </c>
      <c r="E103" s="81" t="s">
        <v>83</v>
      </c>
      <c r="F103" s="81"/>
      <c r="G103" s="81" t="s">
        <v>82</v>
      </c>
      <c r="H103" s="136"/>
      <c r="I103" s="13" t="s">
        <v>138</v>
      </c>
      <c r="J103" s="27">
        <f ca="1">H101*25%</f>
        <v>7.25</v>
      </c>
    </row>
    <row r="104" spans="1:10" x14ac:dyDescent="0.3">
      <c r="A104" s="82" t="s">
        <v>126</v>
      </c>
      <c r="B104" s="81"/>
      <c r="C104" s="41">
        <f ca="1">J105</f>
        <v>29</v>
      </c>
      <c r="D104" s="18">
        <f ca="1">((100/H101)*C104)/100</f>
        <v>1</v>
      </c>
      <c r="E104" s="147">
        <f ca="1">(((C105/H101*10)+(40/(D101+F101+H101)*C106)+(7.5/(H101)*C107)+(7.5/(H101)*C108)+(10/H101*C109)+(10/H101*C110)+(5/H101*C111)+(5/H101*C112)+(5/H101*C113))/100)</f>
        <v>0.41063218390804596</v>
      </c>
      <c r="F104" s="154"/>
      <c r="G104" s="147">
        <f ca="1">((((C104/H101)*20)+((C105/H101)*25)+(30/(H101+F101+D101)*C106)+(5/H101*C107)+(5/H101*C108)+(5/H101*C109)+(5/H101*C110)+(0/H101*C111)+(0/H101*C112)+(5/H101*C113))/100)</f>
        <v>0.67931034482758623</v>
      </c>
      <c r="H104" s="148"/>
      <c r="I104" s="13" t="s">
        <v>99</v>
      </c>
      <c r="J104" s="28">
        <f ca="1">H101*50%</f>
        <v>14.5</v>
      </c>
    </row>
    <row r="105" spans="1:10" x14ac:dyDescent="0.3">
      <c r="A105" s="82" t="s">
        <v>48</v>
      </c>
      <c r="B105" s="81"/>
      <c r="C105" s="41">
        <f ca="1">J113</f>
        <v>29</v>
      </c>
      <c r="D105" s="18">
        <f ca="1">((100/H101)*C105)/100</f>
        <v>1</v>
      </c>
      <c r="E105" s="149"/>
      <c r="F105" s="155"/>
      <c r="G105" s="149"/>
      <c r="H105" s="150"/>
      <c r="I105" s="13" t="s">
        <v>100</v>
      </c>
      <c r="J105" s="28">
        <f ca="1">H101</f>
        <v>29</v>
      </c>
    </row>
    <row r="106" spans="1:10" ht="15.75" customHeight="1" x14ac:dyDescent="0.3">
      <c r="A106" s="82" t="s">
        <v>127</v>
      </c>
      <c r="B106" s="81"/>
      <c r="C106" s="41">
        <v>20</v>
      </c>
      <c r="D106" s="18">
        <f ca="1">((100/(D101+F101+H101))*C106)/100</f>
        <v>0.66666666666666674</v>
      </c>
      <c r="E106" s="149"/>
      <c r="F106" s="155"/>
      <c r="G106" s="149"/>
      <c r="H106" s="150"/>
      <c r="I106" s="13" t="s">
        <v>101</v>
      </c>
      <c r="J106" s="29">
        <f ca="1">(IF(B101&gt;1,(H101/(B101+2)),H101/4))</f>
        <v>7.25</v>
      </c>
    </row>
    <row r="107" spans="1:10" ht="15.75" customHeight="1" x14ac:dyDescent="0.3">
      <c r="A107" s="82" t="s">
        <v>133</v>
      </c>
      <c r="B107" s="81" t="s">
        <v>128</v>
      </c>
      <c r="C107" s="41">
        <v>17</v>
      </c>
      <c r="D107" s="18">
        <f ca="1">((100/H101)*C107)/100</f>
        <v>0.58620689655172409</v>
      </c>
      <c r="E107" s="149"/>
      <c r="F107" s="155"/>
      <c r="G107" s="149"/>
      <c r="H107" s="150"/>
      <c r="I107" s="13" t="s">
        <v>102</v>
      </c>
      <c r="J107" s="29">
        <f ca="1">(IF(B101&gt;1,(H101/(B101+2)+J106),H101/4+J106))</f>
        <v>14.5</v>
      </c>
    </row>
    <row r="108" spans="1:10" ht="15.75" customHeight="1" x14ac:dyDescent="0.3">
      <c r="A108" s="82" t="s">
        <v>134</v>
      </c>
      <c r="B108" s="81" t="s">
        <v>128</v>
      </c>
      <c r="C108" s="41">
        <v>0</v>
      </c>
      <c r="D108" s="18">
        <f ca="1">((100/H101)*C108)/100</f>
        <v>0</v>
      </c>
      <c r="E108" s="149"/>
      <c r="F108" s="155"/>
      <c r="G108" s="149"/>
      <c r="H108" s="150"/>
      <c r="I108" s="13" t="s">
        <v>143</v>
      </c>
      <c r="J108" s="29">
        <f>(IF(B101&gt;1,(H101/(B101+2)+J107),0))</f>
        <v>0</v>
      </c>
    </row>
    <row r="109" spans="1:10" ht="15" customHeight="1" x14ac:dyDescent="0.3">
      <c r="A109" s="82" t="s">
        <v>238</v>
      </c>
      <c r="B109" s="81" t="s">
        <v>130</v>
      </c>
      <c r="C109" s="41">
        <v>0</v>
      </c>
      <c r="D109" s="18">
        <f ca="1">((100/(H101))*C109)/100</f>
        <v>0</v>
      </c>
      <c r="E109" s="149"/>
      <c r="F109" s="155"/>
      <c r="G109" s="149"/>
      <c r="H109" s="150"/>
      <c r="I109" s="13" t="s">
        <v>140</v>
      </c>
      <c r="J109" s="29">
        <f>(IF(B101&gt;2,(H101/(B101+2)+J108),0))</f>
        <v>0</v>
      </c>
    </row>
    <row r="110" spans="1:10" ht="15.75" customHeight="1" x14ac:dyDescent="0.3">
      <c r="A110" s="82" t="s">
        <v>129</v>
      </c>
      <c r="B110" s="81" t="s">
        <v>129</v>
      </c>
      <c r="C110" s="41">
        <v>0</v>
      </c>
      <c r="D110" s="18">
        <f ca="1">((100/H101)*C110)/100</f>
        <v>0</v>
      </c>
      <c r="E110" s="149"/>
      <c r="F110" s="155"/>
      <c r="G110" s="149"/>
      <c r="H110" s="150"/>
      <c r="I110" s="13" t="s">
        <v>141</v>
      </c>
      <c r="J110" s="30">
        <f>(IF(B101&gt;3,(H101/(B101+2)+J109),0))</f>
        <v>0</v>
      </c>
    </row>
    <row r="111" spans="1:10" ht="15.75" customHeight="1" x14ac:dyDescent="0.3">
      <c r="A111" s="82" t="s">
        <v>135</v>
      </c>
      <c r="B111" s="81"/>
      <c r="C111" s="41">
        <v>0</v>
      </c>
      <c r="D111" s="18">
        <f ca="1">((100/H101)*C111)/100</f>
        <v>0</v>
      </c>
      <c r="E111" s="149"/>
      <c r="F111" s="155"/>
      <c r="G111" s="149"/>
      <c r="H111" s="150"/>
      <c r="I111" s="13" t="s">
        <v>142</v>
      </c>
      <c r="J111" s="29">
        <f>(IF(B101&gt;4,(H101/(B101+2)+J110),0))</f>
        <v>0</v>
      </c>
    </row>
    <row r="112" spans="1:10" ht="15.75" customHeight="1" x14ac:dyDescent="0.3">
      <c r="A112" s="82" t="s">
        <v>131</v>
      </c>
      <c r="B112" s="81" t="s">
        <v>131</v>
      </c>
      <c r="C112" s="41">
        <v>0</v>
      </c>
      <c r="D112" s="18">
        <f ca="1">((100/(H101))*C112)/100</f>
        <v>0</v>
      </c>
      <c r="E112" s="149"/>
      <c r="F112" s="155"/>
      <c r="G112" s="149"/>
      <c r="H112" s="150"/>
      <c r="I112" s="13" t="s">
        <v>144</v>
      </c>
      <c r="J112" s="29">
        <f ca="1">(IF(B101=1,(H101/(B101+3)+J107),IF(B101=0,(H101/4+J107),IF(B101&gt;1,0))))</f>
        <v>21.75</v>
      </c>
    </row>
    <row r="113" spans="1:12" ht="16.2" thickBot="1" x14ac:dyDescent="0.35">
      <c r="A113" s="164" t="s">
        <v>132</v>
      </c>
      <c r="B113" s="165"/>
      <c r="C113" s="42">
        <v>0</v>
      </c>
      <c r="D113" s="19">
        <f ca="1">((100/(H101))*C113)/100</f>
        <v>0</v>
      </c>
      <c r="E113" s="151"/>
      <c r="F113" s="156"/>
      <c r="G113" s="151"/>
      <c r="H113" s="152"/>
      <c r="I113" s="14" t="s">
        <v>103</v>
      </c>
      <c r="J113" s="31">
        <f ca="1">(IF(B101&gt;1.5,(H101/(B101+2)+J107+MAX(0,J108-J107)+MAX(0,J109-J108)+MAX(0,J110-J109)+MAX(0,J111-J110)+MAX(0,J112-J111)),IF(B101=1,(H101/(B101+3)+J112),IF(B101=0,H101/4+J112))))</f>
        <v>29</v>
      </c>
    </row>
    <row r="114" spans="1:12" ht="15.75" hidden="1" customHeight="1" x14ac:dyDescent="0.3">
      <c r="A114" s="91" t="s">
        <v>137</v>
      </c>
      <c r="B114" s="92"/>
      <c r="C114" s="93" t="str">
        <f>D64</f>
        <v>C Wing (Part II) = G + 1st to 29th Floor</v>
      </c>
      <c r="D114" s="94"/>
      <c r="E114" s="94"/>
      <c r="F114" s="94"/>
      <c r="G114" s="94"/>
      <c r="H114" s="95"/>
      <c r="I114" s="47" t="str">
        <f ca="1">IF(D127=100%,"All work Completed. Possession granted to the Building.",IF(D126=100%,"All work Completed, Waiting for OC",I115&amp;""&amp;I116&amp;""&amp;J115&amp;""&amp;J114&amp;" "&amp;J116))</f>
        <v>Excavation, Plinth Completed, RCC upto 9 Slab, Brickwork upto 4 Floor Completed</v>
      </c>
      <c r="J114" s="48" t="str">
        <f ca="1">(IF(C120=(D115+F115+H115),"",IF(C120&gt;0,", RCC upto "&amp;C120&amp;" Slab","")))&amp;(IF(C121=H115,"",IF(C121&gt;0,", Brickwork upto "&amp;C121&amp;" Floor","")))&amp;(IF(C122=H115,"",IF(C122&gt;0,", Internal Plaster upto "&amp;C122&amp;" Floor","")))&amp;(IF(C123=H115,"",IF(C123&gt;0,", External Plaster upto "&amp;C123&amp;" Floor","")))&amp;(IF(C124=H115,"",IF(C124&gt;0,", Flooring upto "&amp;C124&amp;" Floor","")))&amp;(IF(C125=H115,"",IF(C125&gt;0,", Painting upto "&amp;C125&amp;" Floor","")))&amp;(IF(C126=H115,"",IF(C126&gt;0,", Finishing upto "&amp;C126&amp;" Floor","")))&amp;(IF(C127=H115,"",IF(C127&gt;0,", Possession upto "&amp;C127&amp;" Floor","")))</f>
        <v>, RCC upto 9 Slab, Brickwork upto 4 Floor</v>
      </c>
    </row>
    <row r="115" spans="1:12" hidden="1" x14ac:dyDescent="0.3">
      <c r="A115" s="15" t="s">
        <v>139</v>
      </c>
      <c r="B115" s="45">
        <f>IF(AND(ISNUMBER(SEARCH("1B",C114))),1,IF(AND(ISNUMBER(SEARCH("2B",C114))),2,IF(AND(ISNUMBER(SEARCH("3B",C114))),3,IF(AND(ISNUMBER(SEARCH("4B",C114))),4,IF(ISNUMBER(SEARCH("5B",C114)),5,0)))))</f>
        <v>0</v>
      </c>
      <c r="C115" s="45" t="s">
        <v>69</v>
      </c>
      <c r="D115" s="45">
        <v>1</v>
      </c>
      <c r="E115" s="45" t="s">
        <v>68</v>
      </c>
      <c r="F115" s="45">
        <v>0</v>
      </c>
      <c r="G115" s="46" t="s">
        <v>78</v>
      </c>
      <c r="H115" s="16">
        <f ca="1">--TRIM(RIGHT(SUBSTITUTE(LEFT(C114,_xlfn.AGGREGATE(16,6,FIND({0,1,2,3,4,5,6,7,8,9},C114,ROW(INDIRECT("1:"&amp;LEN(C114)))),1))," ",REPT(" ",LEN(C114))),LEN(C114)))</f>
        <v>29</v>
      </c>
      <c r="I115" s="49" t="str">
        <f ca="1">IF(D118=100%,"Excavation","")&amp;IF(D119=100%,", Plinth","")&amp;IF(D120=100%,", RCC Slab","")&amp;IF(D121=100%,", Brickwork","")&amp;IF(D122=100%,", Internal Plaster","")&amp;IF(D123=100%,", External Plaster","")&amp;IF(D124=100%,", Flooring","")&amp;IF(D125=100%,", Painting","")&amp;IF(D126=100%,", Building common Amenities","")</f>
        <v>Excavation, Plinth</v>
      </c>
      <c r="J115" s="50" t="str">
        <f ca="1">(IF(C118=0,"Work not yet Started.",IF(D118=25%,"Piling work in process",IF(D118=50%,"Excavation work in process",IF(D118=100%,"","0")))))&amp;(IF(C119=0%,"",IF(C119=J120,", Footing work is process",IF(C119=J121,", Footing work Completed",IF(C119=J122,", 1st Basement Completed",IF(C119=J123,", 1st &amp; 2nd Basement Completed",IF(C119=J124,", 1st to 3rd Basement Completed",IF(C119=J125,", 1st to 4th Basement Completed",IF(C119=J126,", Plinth work is process",IF(C119=J127,"","0"))))))))))</f>
        <v/>
      </c>
    </row>
    <row r="116" spans="1:12" ht="33.75" hidden="1" customHeight="1" x14ac:dyDescent="0.3">
      <c r="A116" s="120" t="s">
        <v>88</v>
      </c>
      <c r="B116" s="121"/>
      <c r="C116" s="122" t="str">
        <f ca="1">I114</f>
        <v>Excavation, Plinth Completed, RCC upto 9 Slab, Brickwork upto 4 Floor Completed</v>
      </c>
      <c r="D116" s="122"/>
      <c r="E116" s="122"/>
      <c r="F116" s="122"/>
      <c r="G116" s="122"/>
      <c r="H116" s="123"/>
      <c r="I116" s="49" t="str">
        <f ca="1">IF(I115&lt;&gt;""," Completed","")</f>
        <v xml:space="preserve"> Completed</v>
      </c>
      <c r="J116" s="50" t="str">
        <f ca="1">IF(J114&lt;&gt;"","Completed","")</f>
        <v>Completed</v>
      </c>
    </row>
    <row r="117" spans="1:12" ht="15.75" hidden="1" customHeight="1" x14ac:dyDescent="0.3">
      <c r="A117" s="82" t="s">
        <v>47</v>
      </c>
      <c r="B117" s="81"/>
      <c r="C117" s="41" t="s">
        <v>136</v>
      </c>
      <c r="D117" s="41" t="s">
        <v>81</v>
      </c>
      <c r="E117" s="81" t="s">
        <v>83</v>
      </c>
      <c r="F117" s="81"/>
      <c r="G117" s="81" t="s">
        <v>82</v>
      </c>
      <c r="H117" s="136"/>
      <c r="I117" s="13" t="s">
        <v>138</v>
      </c>
      <c r="J117" s="27">
        <f ca="1">H115*25%</f>
        <v>7.25</v>
      </c>
    </row>
    <row r="118" spans="1:12" hidden="1" x14ac:dyDescent="0.3">
      <c r="A118" s="82" t="s">
        <v>126</v>
      </c>
      <c r="B118" s="81"/>
      <c r="C118" s="41">
        <f ca="1">J119</f>
        <v>29</v>
      </c>
      <c r="D118" s="18">
        <f ca="1">((100/H115)*C118)/100</f>
        <v>1</v>
      </c>
      <c r="E118" s="147">
        <f ca="1">(((C119/H115*10)+(40/(D115+F115+H115)*C120)+(7.5/(H115)*C121)+(7.5/(H115)*C122)+(10/H115*C123)+(10/H115*C124)+(5/H115*C125)+(5/H115*C126)+(5/H115*C127))/100)</f>
        <v>0.23034482758620689</v>
      </c>
      <c r="F118" s="154"/>
      <c r="G118" s="147">
        <f ca="1">((((C118/H115)*20)+((C119/H115)*25)+(30/(H115+F115+D115)*C120)+(5/H115*C121)+(5/H115*C122)+(5/H115*C123)+(5/H115*C124)+(0/H115*C125)+(0/H115*C126)+(5/H115*C127))/100)</f>
        <v>0.54689655172413798</v>
      </c>
      <c r="H118" s="148"/>
      <c r="I118" s="13" t="s">
        <v>99</v>
      </c>
      <c r="J118" s="28">
        <f ca="1">H115*50%</f>
        <v>14.5</v>
      </c>
      <c r="L118" s="20" t="s">
        <v>228</v>
      </c>
    </row>
    <row r="119" spans="1:12" hidden="1" x14ac:dyDescent="0.3">
      <c r="A119" s="82" t="s">
        <v>48</v>
      </c>
      <c r="B119" s="81"/>
      <c r="C119" s="41">
        <f ca="1">J127</f>
        <v>29</v>
      </c>
      <c r="D119" s="18">
        <f ca="1">((100/H115)*C119)/100</f>
        <v>1</v>
      </c>
      <c r="E119" s="149"/>
      <c r="F119" s="155"/>
      <c r="G119" s="149"/>
      <c r="H119" s="150"/>
      <c r="I119" s="13" t="s">
        <v>100</v>
      </c>
      <c r="J119" s="28">
        <f ca="1">H115</f>
        <v>29</v>
      </c>
    </row>
    <row r="120" spans="1:12" ht="15.75" hidden="1" customHeight="1" x14ac:dyDescent="0.3">
      <c r="A120" s="82" t="s">
        <v>127</v>
      </c>
      <c r="B120" s="81"/>
      <c r="C120" s="41">
        <v>9</v>
      </c>
      <c r="D120" s="18">
        <f ca="1">((100/(D115+F115+H115))*C120)/100</f>
        <v>0.3</v>
      </c>
      <c r="E120" s="149"/>
      <c r="F120" s="155"/>
      <c r="G120" s="149"/>
      <c r="H120" s="150"/>
      <c r="I120" s="13" t="s">
        <v>101</v>
      </c>
      <c r="J120" s="29">
        <f ca="1">(IF(B115&gt;1,(H115/(B115+2)),H115/4))</f>
        <v>7.25</v>
      </c>
    </row>
    <row r="121" spans="1:12" ht="15.75" hidden="1" customHeight="1" x14ac:dyDescent="0.3">
      <c r="A121" s="82" t="s">
        <v>133</v>
      </c>
      <c r="B121" s="81" t="s">
        <v>128</v>
      </c>
      <c r="C121" s="41">
        <v>4</v>
      </c>
      <c r="D121" s="18">
        <f ca="1">((100/H115)*C121)/100</f>
        <v>0.13793103448275862</v>
      </c>
      <c r="E121" s="149"/>
      <c r="F121" s="155"/>
      <c r="G121" s="149"/>
      <c r="H121" s="150"/>
      <c r="I121" s="13" t="s">
        <v>102</v>
      </c>
      <c r="J121" s="29">
        <f ca="1">(IF(B115&gt;1,(H115/(B115+2)+J120),H115/4+J120))</f>
        <v>14.5</v>
      </c>
    </row>
    <row r="122" spans="1:12" ht="15.75" hidden="1" customHeight="1" x14ac:dyDescent="0.3">
      <c r="A122" s="82" t="s">
        <v>134</v>
      </c>
      <c r="B122" s="81" t="s">
        <v>128</v>
      </c>
      <c r="C122" s="41">
        <v>0</v>
      </c>
      <c r="D122" s="18">
        <f ca="1">((100/H115)*C122)/100</f>
        <v>0</v>
      </c>
      <c r="E122" s="149"/>
      <c r="F122" s="155"/>
      <c r="G122" s="149"/>
      <c r="H122" s="150"/>
      <c r="I122" s="13" t="s">
        <v>143</v>
      </c>
      <c r="J122" s="29">
        <f>(IF(B115&gt;1,(H115/(B115+2)+J121),0))</f>
        <v>0</v>
      </c>
    </row>
    <row r="123" spans="1:12" ht="15" hidden="1" customHeight="1" x14ac:dyDescent="0.3">
      <c r="A123" s="82" t="s">
        <v>238</v>
      </c>
      <c r="B123" s="81" t="s">
        <v>130</v>
      </c>
      <c r="C123" s="41">
        <v>0</v>
      </c>
      <c r="D123" s="18">
        <f ca="1">((100/(H115))*C123)/100</f>
        <v>0</v>
      </c>
      <c r="E123" s="149"/>
      <c r="F123" s="155"/>
      <c r="G123" s="149"/>
      <c r="H123" s="150"/>
      <c r="I123" s="13" t="s">
        <v>140</v>
      </c>
      <c r="J123" s="29">
        <f>(IF(B115&gt;2,(H115/(B115+2)+J122),0))</f>
        <v>0</v>
      </c>
    </row>
    <row r="124" spans="1:12" ht="15.75" hidden="1" customHeight="1" x14ac:dyDescent="0.3">
      <c r="A124" s="82" t="s">
        <v>129</v>
      </c>
      <c r="B124" s="81" t="s">
        <v>129</v>
      </c>
      <c r="C124" s="41">
        <v>0</v>
      </c>
      <c r="D124" s="18">
        <f ca="1">((100/H115)*C124)/100</f>
        <v>0</v>
      </c>
      <c r="E124" s="149"/>
      <c r="F124" s="155"/>
      <c r="G124" s="149"/>
      <c r="H124" s="150"/>
      <c r="I124" s="13" t="s">
        <v>141</v>
      </c>
      <c r="J124" s="30">
        <f>(IF(B115&gt;3,(H115/(B115+2)+J123),0))</f>
        <v>0</v>
      </c>
    </row>
    <row r="125" spans="1:12" ht="15.75" hidden="1" customHeight="1" x14ac:dyDescent="0.3">
      <c r="A125" s="82" t="s">
        <v>135</v>
      </c>
      <c r="B125" s="81"/>
      <c r="C125" s="41">
        <v>0</v>
      </c>
      <c r="D125" s="18">
        <f ca="1">((100/H115)*C125)/100</f>
        <v>0</v>
      </c>
      <c r="E125" s="149"/>
      <c r="F125" s="155"/>
      <c r="G125" s="149"/>
      <c r="H125" s="150"/>
      <c r="I125" s="13" t="s">
        <v>142</v>
      </c>
      <c r="J125" s="29">
        <f>(IF(B115&gt;4,(H115/(B115+2)+J124),0))</f>
        <v>0</v>
      </c>
    </row>
    <row r="126" spans="1:12" ht="15.75" hidden="1" customHeight="1" x14ac:dyDescent="0.3">
      <c r="A126" s="82" t="s">
        <v>131</v>
      </c>
      <c r="B126" s="81" t="s">
        <v>131</v>
      </c>
      <c r="C126" s="41">
        <v>0</v>
      </c>
      <c r="D126" s="18">
        <f ca="1">((100/(H115))*C126)/100</f>
        <v>0</v>
      </c>
      <c r="E126" s="149"/>
      <c r="F126" s="155"/>
      <c r="G126" s="149"/>
      <c r="H126" s="150"/>
      <c r="I126" s="13" t="s">
        <v>144</v>
      </c>
      <c r="J126" s="29">
        <f ca="1">(IF(B115=1,(H115/(B115+3)+J121),IF(B115=0,(H115/4+J121),IF(B115&gt;1,0))))</f>
        <v>21.75</v>
      </c>
    </row>
    <row r="127" spans="1:12" ht="16.2" hidden="1" thickBot="1" x14ac:dyDescent="0.35">
      <c r="A127" s="164" t="s">
        <v>132</v>
      </c>
      <c r="B127" s="165"/>
      <c r="C127" s="42">
        <v>0</v>
      </c>
      <c r="D127" s="19">
        <f ca="1">((100/(H115))*C127)/100</f>
        <v>0</v>
      </c>
      <c r="E127" s="151"/>
      <c r="F127" s="156"/>
      <c r="G127" s="151"/>
      <c r="H127" s="152"/>
      <c r="I127" s="14" t="s">
        <v>103</v>
      </c>
      <c r="J127" s="31">
        <f ca="1">(IF(B115&gt;1.5,(H115/(B115+2)+J121+MAX(0,J122-J121)+MAX(0,J123-J122)+MAX(0,J124-J123)+MAX(0,J125-J124)+MAX(0,J126-J125)),IF(B115=1,(H115/(B115+3)+J126),IF(B115=0,H115/4+J126))))</f>
        <v>29</v>
      </c>
    </row>
    <row r="128" spans="1:12" hidden="1" x14ac:dyDescent="0.3">
      <c r="A128" s="170" t="s">
        <v>231</v>
      </c>
      <c r="B128" s="171"/>
      <c r="C128" s="174" t="s">
        <v>83</v>
      </c>
      <c r="D128" s="175"/>
      <c r="E128" s="178">
        <f ca="1">AVERAGE(E104,E118)</f>
        <v>0.3204885057471264</v>
      </c>
      <c r="F128" s="174" t="s">
        <v>82</v>
      </c>
      <c r="G128" s="175"/>
      <c r="H128" s="178">
        <f ca="1">AVERAGE(G104,G118)</f>
        <v>0.61310344827586216</v>
      </c>
    </row>
    <row r="129" spans="1:8" ht="16.2" hidden="1" thickBot="1" x14ac:dyDescent="0.35">
      <c r="A129" s="172"/>
      <c r="B129" s="173"/>
      <c r="C129" s="176"/>
      <c r="D129" s="177"/>
      <c r="E129" s="179"/>
      <c r="F129" s="176"/>
      <c r="G129" s="177"/>
      <c r="H129" s="179"/>
    </row>
    <row r="130" spans="1:8" x14ac:dyDescent="0.3">
      <c r="A130" s="157" t="s">
        <v>153</v>
      </c>
      <c r="B130" s="157"/>
      <c r="C130" s="157"/>
      <c r="D130" s="157"/>
      <c r="E130" s="157"/>
      <c r="F130" s="162" t="s">
        <v>155</v>
      </c>
      <c r="G130" s="162"/>
      <c r="H130" s="162"/>
    </row>
    <row r="131" spans="1:8" x14ac:dyDescent="0.3">
      <c r="A131" s="90" t="s">
        <v>225</v>
      </c>
      <c r="B131" s="90"/>
      <c r="C131" s="90"/>
      <c r="D131" s="90"/>
      <c r="E131" s="90"/>
      <c r="F131" s="77">
        <v>23000</v>
      </c>
      <c r="G131" s="77"/>
      <c r="H131" s="77"/>
    </row>
    <row r="132" spans="1:8" ht="35.25" customHeight="1" x14ac:dyDescent="0.3">
      <c r="A132" s="103" t="s">
        <v>229</v>
      </c>
      <c r="B132" s="90"/>
      <c r="C132" s="90"/>
      <c r="D132" s="90"/>
      <c r="E132" s="90"/>
      <c r="F132" s="77">
        <v>12000</v>
      </c>
      <c r="G132" s="77"/>
      <c r="H132" s="77"/>
    </row>
    <row r="133" spans="1:8" ht="35.25" customHeight="1" x14ac:dyDescent="0.3">
      <c r="A133" s="103" t="s">
        <v>230</v>
      </c>
      <c r="B133" s="90"/>
      <c r="C133" s="90"/>
      <c r="D133" s="90"/>
      <c r="E133" s="90"/>
      <c r="F133" s="77">
        <v>12000</v>
      </c>
      <c r="G133" s="77"/>
      <c r="H133" s="77"/>
    </row>
    <row r="134" spans="1:8" x14ac:dyDescent="0.3">
      <c r="A134" s="90" t="s">
        <v>226</v>
      </c>
      <c r="B134" s="90"/>
      <c r="C134" s="90"/>
      <c r="D134" s="90"/>
      <c r="E134" s="90"/>
      <c r="F134" s="77">
        <v>11500</v>
      </c>
      <c r="G134" s="77"/>
      <c r="H134" s="77"/>
    </row>
    <row r="135" spans="1:8" s="32" customFormat="1" hidden="1" x14ac:dyDescent="0.25">
      <c r="A135" s="90" t="s">
        <v>154</v>
      </c>
      <c r="B135" s="90"/>
      <c r="C135" s="90"/>
      <c r="D135" s="90"/>
      <c r="E135" s="90"/>
      <c r="F135" s="77"/>
      <c r="G135" s="77"/>
      <c r="H135" s="77"/>
    </row>
    <row r="136" spans="1:8" s="32" customFormat="1" x14ac:dyDescent="0.25">
      <c r="A136" s="90" t="s">
        <v>93</v>
      </c>
      <c r="B136" s="90"/>
      <c r="C136" s="90"/>
      <c r="D136" s="90"/>
      <c r="E136" s="90"/>
      <c r="F136" s="77">
        <v>300000</v>
      </c>
      <c r="G136" s="77"/>
      <c r="H136" s="77"/>
    </row>
    <row r="137" spans="1:8" s="32" customFormat="1" x14ac:dyDescent="0.25">
      <c r="A137" s="90" t="s">
        <v>94</v>
      </c>
      <c r="B137" s="90"/>
      <c r="C137" s="90"/>
      <c r="D137" s="90"/>
      <c r="E137" s="90"/>
      <c r="F137" s="77">
        <v>200000</v>
      </c>
      <c r="G137" s="77"/>
      <c r="H137" s="77"/>
    </row>
    <row r="138" spans="1:8" s="32" customFormat="1" hidden="1" x14ac:dyDescent="0.25">
      <c r="A138" s="90" t="s">
        <v>156</v>
      </c>
      <c r="B138" s="90"/>
      <c r="C138" s="90"/>
      <c r="D138" s="90"/>
      <c r="E138" s="90"/>
      <c r="F138" s="77"/>
      <c r="G138" s="77"/>
      <c r="H138" s="77"/>
    </row>
    <row r="139" spans="1:8" s="32" customFormat="1" hidden="1" x14ac:dyDescent="0.25">
      <c r="A139" s="90" t="s">
        <v>95</v>
      </c>
      <c r="B139" s="90"/>
      <c r="C139" s="90"/>
      <c r="D139" s="90"/>
      <c r="E139" s="90"/>
      <c r="F139" s="77"/>
      <c r="G139" s="77"/>
      <c r="H139" s="77"/>
    </row>
    <row r="140" spans="1:8" s="32" customFormat="1" hidden="1" x14ac:dyDescent="0.25">
      <c r="A140" s="90" t="s">
        <v>96</v>
      </c>
      <c r="B140" s="90"/>
      <c r="C140" s="90"/>
      <c r="D140" s="90"/>
      <c r="E140" s="90"/>
      <c r="F140" s="77"/>
      <c r="G140" s="77"/>
      <c r="H140" s="77"/>
    </row>
    <row r="141" spans="1:8" s="32" customFormat="1" hidden="1" x14ac:dyDescent="0.25">
      <c r="A141" s="90" t="s">
        <v>97</v>
      </c>
      <c r="B141" s="90"/>
      <c r="C141" s="90"/>
      <c r="D141" s="90"/>
      <c r="E141" s="90"/>
      <c r="F141" s="77"/>
      <c r="G141" s="77"/>
      <c r="H141" s="77"/>
    </row>
    <row r="142" spans="1:8" s="32" customFormat="1" hidden="1" x14ac:dyDescent="0.25">
      <c r="A142" s="90" t="s">
        <v>98</v>
      </c>
      <c r="B142" s="90"/>
      <c r="C142" s="90"/>
      <c r="D142" s="90"/>
      <c r="E142" s="90"/>
      <c r="F142" s="77"/>
      <c r="G142" s="77"/>
      <c r="H142" s="77"/>
    </row>
    <row r="143" spans="1:8" x14ac:dyDescent="0.3">
      <c r="A143" s="90" t="s">
        <v>49</v>
      </c>
      <c r="B143" s="90"/>
      <c r="C143" s="90"/>
      <c r="D143" s="90"/>
      <c r="E143" s="90"/>
      <c r="F143" s="77">
        <v>600000</v>
      </c>
      <c r="G143" s="77"/>
      <c r="H143" s="77"/>
    </row>
    <row r="144" spans="1:8" s="33" customFormat="1" x14ac:dyDescent="0.3">
      <c r="A144" s="131" t="s">
        <v>50</v>
      </c>
      <c r="B144" s="131"/>
      <c r="C144" s="131"/>
      <c r="D144" s="131"/>
      <c r="E144" s="131"/>
      <c r="F144" s="77">
        <f>F132*0.8</f>
        <v>9600</v>
      </c>
      <c r="G144" s="77"/>
      <c r="H144" s="77"/>
    </row>
    <row r="145" spans="1:14" s="34" customFormat="1" ht="15.75" customHeight="1" x14ac:dyDescent="0.3">
      <c r="A145" s="130" t="s">
        <v>73</v>
      </c>
      <c r="B145" s="130"/>
      <c r="C145" s="130"/>
      <c r="D145" s="130"/>
      <c r="E145" s="130"/>
      <c r="F145" s="130"/>
      <c r="G145" s="130"/>
      <c r="H145" s="130"/>
    </row>
    <row r="146" spans="1:14" s="34" customFormat="1" ht="15.75" customHeight="1" x14ac:dyDescent="0.3">
      <c r="A146" s="79" t="s">
        <v>51</v>
      </c>
      <c r="B146" s="79"/>
      <c r="C146" s="112" t="s">
        <v>76</v>
      </c>
      <c r="D146" s="112"/>
      <c r="E146" s="78" t="s">
        <v>52</v>
      </c>
      <c r="F146" s="78"/>
      <c r="G146" s="79" t="s">
        <v>53</v>
      </c>
      <c r="H146" s="79"/>
    </row>
    <row r="147" spans="1:14" s="34" customFormat="1" ht="31.2" x14ac:dyDescent="0.3">
      <c r="A147" s="126" t="s">
        <v>179</v>
      </c>
      <c r="B147" s="44" t="s">
        <v>181</v>
      </c>
      <c r="C147" s="113">
        <f>COUNT(D158:D163)</f>
        <v>6</v>
      </c>
      <c r="D147" s="114"/>
      <c r="E147" s="115">
        <f>SUM(D158:D163)</f>
        <v>15691.766228892</v>
      </c>
      <c r="F147" s="116"/>
      <c r="G147" s="115">
        <f>SUM(F158:F163)</f>
        <v>25106.825966227199</v>
      </c>
      <c r="H147" s="116"/>
    </row>
    <row r="148" spans="1:14" s="34" customFormat="1" ht="31.2" x14ac:dyDescent="0.3">
      <c r="A148" s="127"/>
      <c r="B148" s="44" t="s">
        <v>184</v>
      </c>
      <c r="C148" s="113">
        <f>COUNT(D165:D167)+COUNT(D169:D174)*3+COUNT(D176:D181)</f>
        <v>27</v>
      </c>
      <c r="D148" s="113"/>
      <c r="E148" s="115">
        <f>SUM(D165:D167)+SUM(D169:D174)*3+SUM(D176:D181)</f>
        <v>68453.477293967997</v>
      </c>
      <c r="F148" s="115"/>
      <c r="G148" s="115">
        <f>SUM(F165:F167)+SUM(F169:F174)*3+SUM(F176:F181)</f>
        <v>109525.5636703488</v>
      </c>
      <c r="H148" s="115"/>
    </row>
    <row r="149" spans="1:14" s="34" customFormat="1" x14ac:dyDescent="0.3">
      <c r="A149" s="44" t="s">
        <v>185</v>
      </c>
      <c r="B149" s="44" t="s">
        <v>194</v>
      </c>
      <c r="C149" s="113">
        <f>COUNT(D190:D201)*8+COUNT(D203:D212)*3</f>
        <v>126</v>
      </c>
      <c r="D149" s="114"/>
      <c r="E149" s="115">
        <f t="shared" ref="E149" si="0">SUM(D190:D201)*8+SUM(D203:D212)*3</f>
        <v>59191.289820000005</v>
      </c>
      <c r="F149" s="116"/>
      <c r="G149" s="115">
        <f>SUM(F190:F201)*8+SUM(F203:F212)*3</f>
        <v>94706.063712000003</v>
      </c>
      <c r="H149" s="116"/>
    </row>
    <row r="150" spans="1:14" s="34" customFormat="1" x14ac:dyDescent="0.3">
      <c r="A150" s="44" t="s">
        <v>195</v>
      </c>
      <c r="B150" s="44" t="s">
        <v>194</v>
      </c>
      <c r="C150" s="113">
        <f>COUNT(D220:D236)+COUNT(D238:D254)*8+COUNT(D256:D272)*3</f>
        <v>204</v>
      </c>
      <c r="D150" s="114"/>
      <c r="E150" s="115">
        <f t="shared" ref="E150" si="1">SUM(D220:D236)+SUM(D238:D254)*8+SUM(D256:D272)*3</f>
        <v>77817.234690000012</v>
      </c>
      <c r="F150" s="116"/>
      <c r="G150" s="115">
        <f>SUM(F220:F236)+SUM(F238:F254)*8+SUM(F256:F272)*3</f>
        <v>124507.57550400004</v>
      </c>
      <c r="H150" s="116"/>
    </row>
    <row r="151" spans="1:14" s="34" customFormat="1" x14ac:dyDescent="0.3">
      <c r="A151" s="130" t="s">
        <v>147</v>
      </c>
      <c r="B151" s="130"/>
      <c r="C151" s="125">
        <f>SUM(C147:C150)</f>
        <v>363</v>
      </c>
      <c r="D151" s="112"/>
      <c r="E151" s="125">
        <f>SUM(E147:E150)</f>
        <v>221153.76803286001</v>
      </c>
      <c r="F151" s="112"/>
      <c r="G151" s="125">
        <f>SUM(G147:G150)</f>
        <v>353846.02885257604</v>
      </c>
      <c r="H151" s="112"/>
    </row>
    <row r="152" spans="1:14" s="33" customFormat="1" x14ac:dyDescent="0.3">
      <c r="A152" s="80" t="s">
        <v>54</v>
      </c>
      <c r="B152" s="80"/>
      <c r="C152" s="80"/>
      <c r="D152" s="80"/>
      <c r="E152" s="80"/>
      <c r="F152" s="80"/>
      <c r="G152" s="80"/>
      <c r="H152" s="80"/>
    </row>
    <row r="153" spans="1:14" x14ac:dyDescent="0.3">
      <c r="A153" s="80" t="s">
        <v>55</v>
      </c>
      <c r="B153" s="80"/>
      <c r="C153" s="80"/>
      <c r="D153" s="80"/>
      <c r="E153" s="80"/>
      <c r="F153" s="80"/>
      <c r="G153" s="80"/>
      <c r="H153" s="80"/>
    </row>
    <row r="154" spans="1:14" ht="47.25" customHeight="1" x14ac:dyDescent="0.3">
      <c r="A154" s="117" t="s">
        <v>118</v>
      </c>
      <c r="B154" s="117" t="s">
        <v>117</v>
      </c>
      <c r="C154" s="117" t="s">
        <v>56</v>
      </c>
      <c r="D154" s="117" t="s">
        <v>57</v>
      </c>
      <c r="E154" s="180" t="s">
        <v>189</v>
      </c>
      <c r="F154" s="55" t="s">
        <v>146</v>
      </c>
      <c r="G154" s="117" t="s">
        <v>58</v>
      </c>
      <c r="H154" s="117"/>
    </row>
    <row r="155" spans="1:14" s="36" customFormat="1" x14ac:dyDescent="0.3">
      <c r="A155" s="117"/>
      <c r="B155" s="117"/>
      <c r="C155" s="117"/>
      <c r="D155" s="117"/>
      <c r="E155" s="180"/>
      <c r="F155" s="56">
        <v>0.6</v>
      </c>
      <c r="G155" s="117"/>
      <c r="H155" s="117"/>
    </row>
    <row r="156" spans="1:14" s="36" customFormat="1" x14ac:dyDescent="0.3">
      <c r="A156" s="124" t="s">
        <v>179</v>
      </c>
      <c r="B156" s="124"/>
      <c r="C156" s="124"/>
      <c r="D156" s="124"/>
      <c r="E156" s="124"/>
      <c r="F156" s="124"/>
      <c r="G156" s="124"/>
      <c r="H156" s="124"/>
      <c r="J156" s="35"/>
    </row>
    <row r="157" spans="1:14" s="36" customFormat="1" x14ac:dyDescent="0.3">
      <c r="A157" s="124" t="s">
        <v>180</v>
      </c>
      <c r="B157" s="124"/>
      <c r="C157" s="124"/>
      <c r="D157" s="124"/>
      <c r="E157" s="124"/>
      <c r="F157" s="124"/>
      <c r="G157" s="124"/>
      <c r="H157" s="124"/>
      <c r="J157" s="35"/>
    </row>
    <row r="158" spans="1:14" s="36" customFormat="1" ht="30.75" customHeight="1" x14ac:dyDescent="0.3">
      <c r="A158" s="119">
        <v>1</v>
      </c>
      <c r="B158" s="119"/>
      <c r="C158" s="53" t="s">
        <v>181</v>
      </c>
      <c r="D158" s="54">
        <f>(29.957*7.703+1.95*1.3+1.8*3.25+1.8*1.2+2.5*1.5)*(10.764)</f>
        <v>2637.7587910440002</v>
      </c>
      <c r="E158" s="54">
        <v>0</v>
      </c>
      <c r="F158" s="53">
        <f>(D158+E158)*(($F$155)+1)</f>
        <v>4220.4140656704003</v>
      </c>
      <c r="G158" s="119" t="str">
        <f>A157</f>
        <v>Ground Floor For Commercial</v>
      </c>
      <c r="H158" s="119"/>
      <c r="I158" s="52">
        <f>31.907*7.703</f>
        <v>245.77962100000002</v>
      </c>
      <c r="J158" s="52">
        <f>29.957*7.703+1.95*1.3+1.8*3.25+1.8*1.2+2.5*1.5</f>
        <v>245.05377100000001</v>
      </c>
      <c r="L158" s="83"/>
      <c r="M158" s="83"/>
      <c r="N158" s="35"/>
    </row>
    <row r="159" spans="1:14" s="36" customFormat="1" ht="30.75" customHeight="1" x14ac:dyDescent="0.3">
      <c r="A159" s="119">
        <v>2</v>
      </c>
      <c r="B159" s="119"/>
      <c r="C159" s="53" t="s">
        <v>181</v>
      </c>
      <c r="D159" s="54">
        <f>(28.807*7.703+3.1*2.553+2.95*2+2.95*1.5+1.8*1.2)*(10.764)</f>
        <v>2608.1131204439998</v>
      </c>
      <c r="E159" s="54">
        <v>0</v>
      </c>
      <c r="F159" s="53">
        <f t="shared" ref="F159:F161" si="2">(D159+E159)*(($F$155)+1)</f>
        <v>4172.9809927103997</v>
      </c>
      <c r="G159" s="119"/>
      <c r="H159" s="119"/>
      <c r="I159" s="52">
        <f>29.957*7.6</f>
        <v>227.67320000000001</v>
      </c>
      <c r="L159" s="83"/>
      <c r="M159" s="83"/>
      <c r="N159" s="35"/>
    </row>
    <row r="160" spans="1:14" s="36" customFormat="1" ht="30.75" customHeight="1" x14ac:dyDescent="0.3">
      <c r="A160" s="119">
        <v>3</v>
      </c>
      <c r="B160" s="119"/>
      <c r="C160" s="53" t="s">
        <v>181</v>
      </c>
      <c r="D160" s="54">
        <f>(28.807*7.703+3.1*2.553+2.95*2+2.95*1.5+1.8*1.2)*(10.764)</f>
        <v>2608.1131204439998</v>
      </c>
      <c r="E160" s="54">
        <v>0</v>
      </c>
      <c r="F160" s="53">
        <f t="shared" si="2"/>
        <v>4172.9809927103997</v>
      </c>
      <c r="G160" s="119"/>
      <c r="H160" s="119"/>
      <c r="I160" s="35"/>
      <c r="L160" s="83"/>
      <c r="M160" s="83"/>
      <c r="N160" s="35"/>
    </row>
    <row r="161" spans="1:14" s="36" customFormat="1" ht="30.75" customHeight="1" x14ac:dyDescent="0.3">
      <c r="A161" s="119">
        <v>4</v>
      </c>
      <c r="B161" s="119"/>
      <c r="C161" s="53" t="s">
        <v>181</v>
      </c>
      <c r="D161" s="54">
        <f>(28.807*7.703+3.1*2.553+2.95*2+2.95*1.5+1.8*1.2)*(10.764)</f>
        <v>2608.1131204439998</v>
      </c>
      <c r="E161" s="54">
        <v>0</v>
      </c>
      <c r="F161" s="53">
        <f t="shared" si="2"/>
        <v>4172.9809927103997</v>
      </c>
      <c r="G161" s="119"/>
      <c r="H161" s="119"/>
      <c r="I161" s="35"/>
      <c r="L161" s="83"/>
      <c r="M161" s="83"/>
      <c r="N161" s="35"/>
    </row>
    <row r="162" spans="1:14" s="36" customFormat="1" ht="31.2" x14ac:dyDescent="0.3">
      <c r="A162" s="119">
        <v>5</v>
      </c>
      <c r="B162" s="119"/>
      <c r="C162" s="53" t="s">
        <v>181</v>
      </c>
      <c r="D162" s="54">
        <f>(26.222*7.709+2.585*7.034+3.1*7.034)*(10.764)</f>
        <v>2606.3270176319998</v>
      </c>
      <c r="E162" s="54">
        <v>0</v>
      </c>
      <c r="F162" s="53">
        <f t="shared" ref="F162" si="3">(D162+E162)*(($F$155)+1)</f>
        <v>4170.1232282111996</v>
      </c>
      <c r="G162" s="119"/>
      <c r="H162" s="119"/>
      <c r="I162" s="35">
        <f>225.876+234.255</f>
        <v>460.13099999999997</v>
      </c>
      <c r="L162" s="83"/>
      <c r="M162" s="83"/>
      <c r="N162" s="35"/>
    </row>
    <row r="163" spans="1:14" s="36" customFormat="1" ht="31.2" x14ac:dyDescent="0.3">
      <c r="A163" s="119">
        <v>6</v>
      </c>
      <c r="B163" s="119"/>
      <c r="C163" s="53" t="s">
        <v>181</v>
      </c>
      <c r="D163" s="54">
        <f>(27.722*7.703+2.235*6.559+1.95*1.2+2.508*1.5+1.8*1.975+1.8*3.253)*10.764</f>
        <v>2623.3410588840002</v>
      </c>
      <c r="E163" s="54">
        <v>0</v>
      </c>
      <c r="F163" s="53">
        <f t="shared" ref="F163" si="4">(D163+E163)*(($F$155)+1)</f>
        <v>4197.3456942144003</v>
      </c>
      <c r="G163" s="119"/>
      <c r="H163" s="119"/>
      <c r="I163" s="35">
        <f>225.876+234.255</f>
        <v>460.13099999999997</v>
      </c>
      <c r="L163" s="83"/>
      <c r="M163" s="83"/>
      <c r="N163" s="35"/>
    </row>
    <row r="164" spans="1:14" s="36" customFormat="1" x14ac:dyDescent="0.3">
      <c r="A164" s="84" t="s">
        <v>183</v>
      </c>
      <c r="B164" s="85"/>
      <c r="C164" s="85"/>
      <c r="D164" s="85"/>
      <c r="E164" s="85"/>
      <c r="F164" s="85"/>
      <c r="G164" s="85"/>
      <c r="H164" s="86"/>
      <c r="I164" s="54">
        <f>10.764</f>
        <v>10.763999999999999</v>
      </c>
      <c r="J164" s="35"/>
    </row>
    <row r="165" spans="1:14" s="36" customFormat="1" ht="32.25" customHeight="1" x14ac:dyDescent="0.3">
      <c r="A165" s="66">
        <v>1</v>
      </c>
      <c r="B165" s="67"/>
      <c r="C165" s="53" t="s">
        <v>184</v>
      </c>
      <c r="D165" s="54">
        <f>(19.4*13.736+3.572*15.556+2.55*12.906+2.4*2.5+19.25*1.99+15.861*1.9)*(10.764)</f>
        <v>4622.0414928479995</v>
      </c>
      <c r="E165" s="53">
        <v>0</v>
      </c>
      <c r="F165" s="53">
        <f>(D165+E165)*(($F$155)+1)</f>
        <v>7395.2663885567999</v>
      </c>
      <c r="G165" s="68" t="str">
        <f>A164</f>
        <v>1st  Floor For Commercial</v>
      </c>
      <c r="H165" s="69"/>
      <c r="I165" s="52"/>
      <c r="J165" s="52"/>
      <c r="L165" s="83"/>
      <c r="M165" s="83"/>
      <c r="N165" s="35"/>
    </row>
    <row r="166" spans="1:14" s="36" customFormat="1" ht="32.25" customHeight="1" x14ac:dyDescent="0.3">
      <c r="A166" s="66">
        <v>2</v>
      </c>
      <c r="B166" s="67"/>
      <c r="C166" s="53" t="s">
        <v>184</v>
      </c>
      <c r="D166" s="54">
        <f>(25.522*12.906+22.972*2.65+2.4*2.5+15.706*1.9)*(10.764)</f>
        <v>4586.584876848</v>
      </c>
      <c r="E166" s="53">
        <v>0</v>
      </c>
      <c r="F166" s="53">
        <f t="shared" ref="F166" si="5">(D166+E166)*(($F$155)+1)</f>
        <v>7338.5358029568006</v>
      </c>
      <c r="G166" s="70"/>
      <c r="H166" s="71"/>
      <c r="I166" s="52"/>
      <c r="L166" s="83"/>
      <c r="M166" s="83"/>
      <c r="N166" s="35"/>
    </row>
    <row r="167" spans="1:14" s="36" customFormat="1" ht="32.25" customHeight="1" x14ac:dyDescent="0.3">
      <c r="A167" s="66">
        <v>3</v>
      </c>
      <c r="B167" s="67"/>
      <c r="C167" s="53" t="s">
        <v>184</v>
      </c>
      <c r="D167" s="54">
        <f>(25.522*15.562+15.86*1.9)*10.764</f>
        <v>4599.5364660959995</v>
      </c>
      <c r="E167" s="53">
        <v>0</v>
      </c>
      <c r="F167" s="53">
        <f t="shared" ref="F167" si="6">(D167+E167)*(($F$155)+1)</f>
        <v>7359.2583457535993</v>
      </c>
      <c r="G167" s="70"/>
      <c r="H167" s="71"/>
      <c r="I167" s="35"/>
      <c r="L167" s="83"/>
      <c r="M167" s="83"/>
      <c r="N167" s="35"/>
    </row>
    <row r="168" spans="1:14" s="36" customFormat="1" ht="18.75" customHeight="1" x14ac:dyDescent="0.3">
      <c r="A168" s="84" t="s">
        <v>188</v>
      </c>
      <c r="B168" s="85"/>
      <c r="C168" s="85"/>
      <c r="D168" s="85"/>
      <c r="E168" s="85"/>
      <c r="F168" s="85"/>
      <c r="G168" s="85"/>
      <c r="H168" s="86"/>
      <c r="J168" s="35"/>
    </row>
    <row r="169" spans="1:14" s="36" customFormat="1" ht="31.5" customHeight="1" x14ac:dyDescent="0.3">
      <c r="A169" s="66">
        <v>1</v>
      </c>
      <c r="B169" s="67"/>
      <c r="C169" s="53" t="s">
        <v>184</v>
      </c>
      <c r="D169" s="54">
        <f>(22.972*7.703+2.55*7.703+7.859*1.9)*(10.764)</f>
        <v>2276.888102424</v>
      </c>
      <c r="E169" s="53">
        <v>0</v>
      </c>
      <c r="F169" s="53">
        <f>(D169+E169)*(($F$155)+1)</f>
        <v>3643.0209638783999</v>
      </c>
      <c r="G169" s="68" t="str">
        <f>A168</f>
        <v>2nd to 4th Floor For Commercial</v>
      </c>
      <c r="H169" s="69"/>
      <c r="I169" s="52"/>
      <c r="J169" s="52"/>
      <c r="L169" s="83"/>
      <c r="M169" s="83"/>
      <c r="N169" s="35"/>
    </row>
    <row r="170" spans="1:14" s="36" customFormat="1" ht="31.5" customHeight="1" x14ac:dyDescent="0.3">
      <c r="A170" s="66">
        <v>2</v>
      </c>
      <c r="B170" s="67"/>
      <c r="C170" s="53" t="s">
        <v>184</v>
      </c>
      <c r="D170" s="54">
        <f t="shared" ref="D170:D174" si="7">(22.972*7.703+2.55*7.703+7.859*1.9)*(10.764)</f>
        <v>2276.888102424</v>
      </c>
      <c r="E170" s="53">
        <v>0</v>
      </c>
      <c r="F170" s="53">
        <f t="shared" ref="F170:F171" si="8">(D170+E170)*(($F$155)+1)</f>
        <v>3643.0209638783999</v>
      </c>
      <c r="G170" s="70"/>
      <c r="H170" s="71"/>
      <c r="I170" s="52"/>
      <c r="L170" s="83"/>
      <c r="M170" s="83"/>
      <c r="N170" s="35"/>
    </row>
    <row r="171" spans="1:14" s="36" customFormat="1" ht="31.5" customHeight="1" x14ac:dyDescent="0.3">
      <c r="A171" s="66">
        <v>3</v>
      </c>
      <c r="B171" s="67"/>
      <c r="C171" s="53" t="s">
        <v>184</v>
      </c>
      <c r="D171" s="54">
        <f t="shared" si="7"/>
        <v>2276.888102424</v>
      </c>
      <c r="E171" s="53">
        <v>0</v>
      </c>
      <c r="F171" s="53">
        <f t="shared" si="8"/>
        <v>3643.0209638783999</v>
      </c>
      <c r="G171" s="70"/>
      <c r="H171" s="71"/>
      <c r="I171" s="35"/>
      <c r="L171" s="83"/>
      <c r="M171" s="83"/>
      <c r="N171" s="35"/>
    </row>
    <row r="172" spans="1:14" s="36" customFormat="1" ht="31.5" customHeight="1" x14ac:dyDescent="0.3">
      <c r="A172" s="66">
        <v>4</v>
      </c>
      <c r="B172" s="67"/>
      <c r="C172" s="53" t="s">
        <v>184</v>
      </c>
      <c r="D172" s="54">
        <f t="shared" si="7"/>
        <v>2276.888102424</v>
      </c>
      <c r="E172" s="53">
        <v>0</v>
      </c>
      <c r="F172" s="53">
        <f>(D172+E172)*(($F$155)+1)</f>
        <v>3643.0209638783999</v>
      </c>
      <c r="G172" s="70"/>
      <c r="H172" s="71"/>
      <c r="I172" s="52"/>
      <c r="J172" s="52"/>
      <c r="L172" s="83"/>
      <c r="M172" s="83"/>
      <c r="N172" s="35"/>
    </row>
    <row r="173" spans="1:14" s="36" customFormat="1" ht="31.5" customHeight="1" x14ac:dyDescent="0.3">
      <c r="A173" s="66">
        <v>5</v>
      </c>
      <c r="B173" s="67"/>
      <c r="C173" s="53" t="s">
        <v>184</v>
      </c>
      <c r="D173" s="54">
        <f t="shared" si="7"/>
        <v>2276.888102424</v>
      </c>
      <c r="E173" s="53">
        <v>0</v>
      </c>
      <c r="F173" s="53">
        <f t="shared" ref="F173:F174" si="9">(D173+E173)*(($F$155)+1)</f>
        <v>3643.0209638783999</v>
      </c>
      <c r="G173" s="70"/>
      <c r="H173" s="71"/>
      <c r="I173" s="52"/>
      <c r="L173" s="83"/>
      <c r="M173" s="83"/>
      <c r="N173" s="35"/>
    </row>
    <row r="174" spans="1:14" s="36" customFormat="1" ht="31.5" customHeight="1" x14ac:dyDescent="0.3">
      <c r="A174" s="66">
        <v>6</v>
      </c>
      <c r="B174" s="67"/>
      <c r="C174" s="53" t="s">
        <v>184</v>
      </c>
      <c r="D174" s="54">
        <f t="shared" si="7"/>
        <v>2276.888102424</v>
      </c>
      <c r="E174" s="53">
        <v>0</v>
      </c>
      <c r="F174" s="53">
        <f t="shared" si="9"/>
        <v>3643.0209638783999</v>
      </c>
      <c r="G174" s="72"/>
      <c r="H174" s="73"/>
      <c r="I174" s="35"/>
      <c r="L174" s="83"/>
      <c r="M174" s="83"/>
      <c r="N174" s="35"/>
    </row>
    <row r="175" spans="1:14" s="36" customFormat="1" x14ac:dyDescent="0.3">
      <c r="A175" s="84" t="s">
        <v>190</v>
      </c>
      <c r="B175" s="85"/>
      <c r="C175" s="85"/>
      <c r="D175" s="85"/>
      <c r="E175" s="85"/>
      <c r="F175" s="85"/>
      <c r="G175" s="85"/>
      <c r="H175" s="86"/>
      <c r="J175" s="35"/>
    </row>
    <row r="176" spans="1:14" s="36" customFormat="1" ht="30.75" customHeight="1" x14ac:dyDescent="0.3">
      <c r="A176" s="66">
        <v>1</v>
      </c>
      <c r="B176" s="67"/>
      <c r="C176" s="53" t="s">
        <v>184</v>
      </c>
      <c r="D176" s="54">
        <f>(22.972*7.703+2.55*7.703+7.859*1.9)*(10.764)</f>
        <v>2276.888102424</v>
      </c>
      <c r="E176" s="53">
        <v>0</v>
      </c>
      <c r="F176" s="53">
        <f>(D176+E176)*(($F$155)+1)</f>
        <v>3643.0209638783999</v>
      </c>
      <c r="G176" s="68" t="str">
        <f>A175</f>
        <v>5th Floor For Commercial (Refuge Balcony Provided)</v>
      </c>
      <c r="H176" s="69"/>
      <c r="I176" s="52"/>
      <c r="J176" s="52"/>
      <c r="L176" s="83"/>
      <c r="M176" s="83"/>
      <c r="N176" s="35"/>
    </row>
    <row r="177" spans="1:14" s="36" customFormat="1" ht="30.75" customHeight="1" x14ac:dyDescent="0.3">
      <c r="A177" s="66">
        <v>2</v>
      </c>
      <c r="B177" s="67"/>
      <c r="C177" s="53" t="s">
        <v>184</v>
      </c>
      <c r="D177" s="54">
        <f t="shared" ref="D177:D181" si="10">(22.972*7.703+2.55*7.703+7.859*1.9)*(10.764)</f>
        <v>2276.888102424</v>
      </c>
      <c r="E177" s="53">
        <v>0</v>
      </c>
      <c r="F177" s="53">
        <f t="shared" ref="F177:F178" si="11">(D177+E177)*(($F$155)+1)</f>
        <v>3643.0209638783999</v>
      </c>
      <c r="G177" s="70"/>
      <c r="H177" s="71"/>
      <c r="I177" s="52"/>
      <c r="L177" s="83"/>
      <c r="M177" s="83"/>
      <c r="N177" s="35"/>
    </row>
    <row r="178" spans="1:14" s="36" customFormat="1" ht="30.75" customHeight="1" x14ac:dyDescent="0.3">
      <c r="A178" s="66">
        <v>3</v>
      </c>
      <c r="B178" s="67"/>
      <c r="C178" s="53" t="s">
        <v>184</v>
      </c>
      <c r="D178" s="54">
        <f t="shared" si="10"/>
        <v>2276.888102424</v>
      </c>
      <c r="E178" s="53">
        <v>0</v>
      </c>
      <c r="F178" s="53">
        <f t="shared" si="11"/>
        <v>3643.0209638783999</v>
      </c>
      <c r="G178" s="70"/>
      <c r="H178" s="71"/>
      <c r="I178" s="35"/>
      <c r="L178" s="83"/>
      <c r="M178" s="83"/>
      <c r="N178" s="35"/>
    </row>
    <row r="179" spans="1:14" s="36" customFormat="1" ht="30.75" customHeight="1" x14ac:dyDescent="0.3">
      <c r="A179" s="66">
        <v>4</v>
      </c>
      <c r="B179" s="67"/>
      <c r="C179" s="53" t="s">
        <v>184</v>
      </c>
      <c r="D179" s="54">
        <f t="shared" si="10"/>
        <v>2276.888102424</v>
      </c>
      <c r="E179" s="53">
        <v>0</v>
      </c>
      <c r="F179" s="53">
        <f>(D179+E179)*(($F$155)+1)</f>
        <v>3643.0209638783999</v>
      </c>
      <c r="G179" s="70"/>
      <c r="H179" s="71"/>
      <c r="I179" s="52"/>
      <c r="J179" s="52"/>
      <c r="L179" s="83"/>
      <c r="M179" s="83"/>
      <c r="N179" s="35"/>
    </row>
    <row r="180" spans="1:14" s="36" customFormat="1" ht="30.75" customHeight="1" x14ac:dyDescent="0.3">
      <c r="A180" s="66">
        <v>5</v>
      </c>
      <c r="B180" s="67"/>
      <c r="C180" s="53" t="s">
        <v>184</v>
      </c>
      <c r="D180" s="54">
        <f t="shared" si="10"/>
        <v>2276.888102424</v>
      </c>
      <c r="E180" s="53">
        <v>0</v>
      </c>
      <c r="F180" s="53">
        <f t="shared" ref="F180:F181" si="12">(D180+E180)*(($F$155)+1)</f>
        <v>3643.0209638783999</v>
      </c>
      <c r="G180" s="70"/>
      <c r="H180" s="71"/>
      <c r="I180" s="52"/>
      <c r="L180" s="83"/>
      <c r="M180" s="83"/>
      <c r="N180" s="35"/>
    </row>
    <row r="181" spans="1:14" s="36" customFormat="1" ht="30.75" customHeight="1" x14ac:dyDescent="0.3">
      <c r="A181" s="66">
        <v>6</v>
      </c>
      <c r="B181" s="67"/>
      <c r="C181" s="53" t="s">
        <v>184</v>
      </c>
      <c r="D181" s="54">
        <f t="shared" si="10"/>
        <v>2276.888102424</v>
      </c>
      <c r="E181" s="53">
        <v>0</v>
      </c>
      <c r="F181" s="53">
        <f t="shared" si="12"/>
        <v>3643.0209638783999</v>
      </c>
      <c r="G181" s="72"/>
      <c r="H181" s="73"/>
      <c r="I181" s="35"/>
      <c r="L181" s="83"/>
      <c r="M181" s="83"/>
      <c r="N181" s="35"/>
    </row>
    <row r="182" spans="1:14" s="36" customFormat="1" x14ac:dyDescent="0.3">
      <c r="A182" s="84" t="s">
        <v>224</v>
      </c>
      <c r="B182" s="85"/>
      <c r="C182" s="85"/>
      <c r="D182" s="85"/>
      <c r="E182" s="85"/>
      <c r="F182" s="85"/>
      <c r="G182" s="85"/>
      <c r="H182" s="86"/>
      <c r="J182" s="35"/>
    </row>
    <row r="183" spans="1:14" s="36" customFormat="1" x14ac:dyDescent="0.3">
      <c r="A183" s="84" t="s">
        <v>185</v>
      </c>
      <c r="B183" s="85"/>
      <c r="C183" s="85"/>
      <c r="D183" s="85"/>
      <c r="E183" s="85"/>
      <c r="F183" s="85"/>
      <c r="G183" s="85"/>
      <c r="H183" s="86"/>
      <c r="J183" s="35"/>
    </row>
    <row r="184" spans="1:14" s="36" customFormat="1" x14ac:dyDescent="0.3">
      <c r="A184" s="84" t="s">
        <v>196</v>
      </c>
      <c r="B184" s="85"/>
      <c r="C184" s="85"/>
      <c r="D184" s="85"/>
      <c r="E184" s="85"/>
      <c r="F184" s="85"/>
      <c r="G184" s="85"/>
      <c r="H184" s="86"/>
      <c r="J184" s="35"/>
    </row>
    <row r="185" spans="1:14" s="36" customFormat="1" x14ac:dyDescent="0.3">
      <c r="A185" s="84" t="s">
        <v>187</v>
      </c>
      <c r="B185" s="85"/>
      <c r="C185" s="85"/>
      <c r="D185" s="85"/>
      <c r="E185" s="85"/>
      <c r="F185" s="85"/>
      <c r="G185" s="85"/>
      <c r="H185" s="86"/>
      <c r="J185" s="35"/>
    </row>
    <row r="186" spans="1:14" s="36" customFormat="1" x14ac:dyDescent="0.3">
      <c r="A186" s="84" t="s">
        <v>193</v>
      </c>
      <c r="B186" s="85"/>
      <c r="C186" s="85"/>
      <c r="D186" s="85"/>
      <c r="E186" s="85"/>
      <c r="F186" s="85"/>
      <c r="G186" s="85"/>
      <c r="H186" s="86"/>
      <c r="J186" s="35"/>
    </row>
    <row r="187" spans="1:14" s="36" customFormat="1" x14ac:dyDescent="0.3">
      <c r="A187" s="84" t="s">
        <v>198</v>
      </c>
      <c r="B187" s="85"/>
      <c r="C187" s="85"/>
      <c r="D187" s="85"/>
      <c r="E187" s="85"/>
      <c r="F187" s="85"/>
      <c r="G187" s="85"/>
      <c r="H187" s="86"/>
      <c r="J187" s="35"/>
    </row>
    <row r="188" spans="1:14" s="36" customFormat="1" x14ac:dyDescent="0.3">
      <c r="A188" s="84" t="s">
        <v>199</v>
      </c>
      <c r="B188" s="85"/>
      <c r="C188" s="85"/>
      <c r="D188" s="85"/>
      <c r="E188" s="85"/>
      <c r="F188" s="85"/>
      <c r="G188" s="85"/>
      <c r="H188" s="86"/>
      <c r="J188" s="35"/>
    </row>
    <row r="189" spans="1:14" s="36" customFormat="1" x14ac:dyDescent="0.3">
      <c r="A189" s="84" t="s">
        <v>215</v>
      </c>
      <c r="B189" s="85"/>
      <c r="C189" s="85"/>
      <c r="D189" s="85"/>
      <c r="E189" s="85"/>
      <c r="F189" s="85"/>
      <c r="G189" s="85"/>
      <c r="H189" s="86"/>
      <c r="J189" s="35"/>
    </row>
    <row r="190" spans="1:14" s="36" customFormat="1" ht="15.75" customHeight="1" x14ac:dyDescent="0.3">
      <c r="A190" s="66">
        <v>1</v>
      </c>
      <c r="B190" s="67"/>
      <c r="C190" s="53" t="s">
        <v>194</v>
      </c>
      <c r="D190" s="54">
        <f t="shared" ref="D190:D197" si="13">(8.8*4+2.7*1.2+1.8*1.25+1.8*1.3+4*1.5)*(10.764)</f>
        <v>527.7589200000001</v>
      </c>
      <c r="E190" s="53">
        <v>0</v>
      </c>
      <c r="F190" s="53">
        <f>(D190+E190)*(($F$155)+1)</f>
        <v>844.41427200000021</v>
      </c>
      <c r="G190" s="68" t="str">
        <f>A189</f>
        <v>8th, 10th, 11th, 12th, 14th, 15th, 16th &amp; 18th Floor For Commercial</v>
      </c>
      <c r="H190" s="69"/>
      <c r="I190" s="52">
        <f>4*4.9+1*2.75+1.25*1.85+1.45*2.658</f>
        <v>28.5166</v>
      </c>
      <c r="J190" s="52"/>
      <c r="K190" s="36">
        <v>1050</v>
      </c>
      <c r="L190" s="83">
        <f>K190/D190</f>
        <v>1.9895447716923473</v>
      </c>
      <c r="M190" s="83"/>
      <c r="N190" s="35"/>
    </row>
    <row r="191" spans="1:14" s="36" customFormat="1" ht="15.75" customHeight="1" x14ac:dyDescent="0.3">
      <c r="A191" s="66">
        <v>2</v>
      </c>
      <c r="B191" s="67"/>
      <c r="C191" s="53" t="s">
        <v>194</v>
      </c>
      <c r="D191" s="54">
        <f t="shared" si="13"/>
        <v>527.7589200000001</v>
      </c>
      <c r="E191" s="53">
        <v>0</v>
      </c>
      <c r="F191" s="53">
        <f t="shared" ref="F191:F192" si="14">(D191+E191)*(($F$155)+1)</f>
        <v>844.41427200000021</v>
      </c>
      <c r="G191" s="70"/>
      <c r="H191" s="71"/>
      <c r="I191" s="52"/>
      <c r="L191" s="83"/>
      <c r="M191" s="83"/>
      <c r="N191" s="35"/>
    </row>
    <row r="192" spans="1:14" s="36" customFormat="1" ht="15.75" customHeight="1" x14ac:dyDescent="0.3">
      <c r="A192" s="66">
        <v>3</v>
      </c>
      <c r="B192" s="67"/>
      <c r="C192" s="53" t="s">
        <v>194</v>
      </c>
      <c r="D192" s="54">
        <f t="shared" si="13"/>
        <v>527.7589200000001</v>
      </c>
      <c r="E192" s="53">
        <v>0</v>
      </c>
      <c r="F192" s="53">
        <f t="shared" si="14"/>
        <v>844.41427200000021</v>
      </c>
      <c r="G192" s="70"/>
      <c r="H192" s="71"/>
      <c r="I192" s="35"/>
      <c r="L192" s="83"/>
      <c r="M192" s="83"/>
      <c r="N192" s="35"/>
    </row>
    <row r="193" spans="1:14" s="36" customFormat="1" ht="15.75" customHeight="1" x14ac:dyDescent="0.3">
      <c r="A193" s="66">
        <v>4</v>
      </c>
      <c r="B193" s="67"/>
      <c r="C193" s="53" t="s">
        <v>194</v>
      </c>
      <c r="D193" s="54">
        <f t="shared" si="13"/>
        <v>527.7589200000001</v>
      </c>
      <c r="E193" s="53">
        <v>0</v>
      </c>
      <c r="F193" s="53">
        <f>(D193+E193)*(($F$155)+1)</f>
        <v>844.41427200000021</v>
      </c>
      <c r="G193" s="70"/>
      <c r="H193" s="71"/>
      <c r="I193" s="52"/>
      <c r="J193" s="52"/>
      <c r="L193" s="83"/>
      <c r="M193" s="83"/>
      <c r="N193" s="35"/>
    </row>
    <row r="194" spans="1:14" s="36" customFormat="1" ht="15.75" customHeight="1" x14ac:dyDescent="0.3">
      <c r="A194" s="66">
        <v>5</v>
      </c>
      <c r="B194" s="67"/>
      <c r="C194" s="53" t="s">
        <v>194</v>
      </c>
      <c r="D194" s="54">
        <f t="shared" si="13"/>
        <v>527.7589200000001</v>
      </c>
      <c r="E194" s="53">
        <v>0</v>
      </c>
      <c r="F194" s="53">
        <f t="shared" ref="F194:F195" si="15">(D194+E194)*(($F$155)+1)</f>
        <v>844.41427200000021</v>
      </c>
      <c r="G194" s="70"/>
      <c r="H194" s="71"/>
      <c r="I194" s="52"/>
      <c r="L194" s="83"/>
      <c r="M194" s="83"/>
      <c r="N194" s="35"/>
    </row>
    <row r="195" spans="1:14" s="36" customFormat="1" ht="15.75" customHeight="1" x14ac:dyDescent="0.3">
      <c r="A195" s="66">
        <v>6</v>
      </c>
      <c r="B195" s="67"/>
      <c r="C195" s="53" t="s">
        <v>194</v>
      </c>
      <c r="D195" s="54">
        <f t="shared" si="13"/>
        <v>527.7589200000001</v>
      </c>
      <c r="E195" s="53">
        <v>0</v>
      </c>
      <c r="F195" s="53">
        <f t="shared" si="15"/>
        <v>844.41427200000021</v>
      </c>
      <c r="G195" s="70"/>
      <c r="H195" s="71"/>
      <c r="I195" s="35"/>
      <c r="L195" s="83"/>
      <c r="M195" s="83"/>
      <c r="N195" s="35"/>
    </row>
    <row r="196" spans="1:14" s="36" customFormat="1" ht="15.75" customHeight="1" x14ac:dyDescent="0.3">
      <c r="A196" s="66">
        <v>7</v>
      </c>
      <c r="B196" s="67"/>
      <c r="C196" s="53" t="s">
        <v>194</v>
      </c>
      <c r="D196" s="54">
        <f t="shared" si="13"/>
        <v>527.7589200000001</v>
      </c>
      <c r="E196" s="53">
        <v>0</v>
      </c>
      <c r="F196" s="53">
        <f>(D196+E196)*(($F$155)+1)</f>
        <v>844.41427200000021</v>
      </c>
      <c r="G196" s="70"/>
      <c r="H196" s="71"/>
      <c r="I196" s="52"/>
      <c r="J196" s="52"/>
      <c r="L196" s="83"/>
      <c r="M196" s="83"/>
      <c r="N196" s="35"/>
    </row>
    <row r="197" spans="1:14" s="36" customFormat="1" ht="15.75" customHeight="1" x14ac:dyDescent="0.3">
      <c r="A197" s="66">
        <v>8</v>
      </c>
      <c r="B197" s="67"/>
      <c r="C197" s="53" t="s">
        <v>194</v>
      </c>
      <c r="D197" s="54">
        <f t="shared" si="13"/>
        <v>527.7589200000001</v>
      </c>
      <c r="E197" s="53">
        <v>0</v>
      </c>
      <c r="F197" s="53">
        <f t="shared" ref="F197:F198" si="16">(D197+E197)*(($F$155)+1)</f>
        <v>844.41427200000021</v>
      </c>
      <c r="G197" s="70"/>
      <c r="H197" s="71"/>
      <c r="I197" s="52"/>
      <c r="L197" s="83"/>
      <c r="M197" s="83"/>
      <c r="N197" s="35"/>
    </row>
    <row r="198" spans="1:14" s="36" customFormat="1" ht="15.75" customHeight="1" x14ac:dyDescent="0.3">
      <c r="A198" s="66">
        <v>9</v>
      </c>
      <c r="B198" s="67"/>
      <c r="C198" s="53" t="s">
        <v>194</v>
      </c>
      <c r="D198" s="54">
        <f>(4.25*4+2.7*1.2+1.8*1.25+1.8*1.3+4*1.5)*(10.764)</f>
        <v>331.85412000000002</v>
      </c>
      <c r="E198" s="53">
        <v>0</v>
      </c>
      <c r="F198" s="53">
        <f t="shared" si="16"/>
        <v>530.96659200000011</v>
      </c>
      <c r="G198" s="70"/>
      <c r="H198" s="71"/>
      <c r="I198" s="35"/>
      <c r="L198" s="83"/>
      <c r="M198" s="83"/>
      <c r="N198" s="35"/>
    </row>
    <row r="199" spans="1:14" s="36" customFormat="1" ht="15.75" customHeight="1" x14ac:dyDescent="0.3">
      <c r="A199" s="66">
        <v>10</v>
      </c>
      <c r="B199" s="67"/>
      <c r="C199" s="53" t="s">
        <v>194</v>
      </c>
      <c r="D199" s="54">
        <f>(4.25*4+2.7*1.45+1.8*1.25+1.8*1.3+4*1.5)*(10.764)</f>
        <v>339.11981999999995</v>
      </c>
      <c r="E199" s="53">
        <v>0</v>
      </c>
      <c r="F199" s="53">
        <f>(D199+E199)*(($F$155)+1)</f>
        <v>542.59171199999992</v>
      </c>
      <c r="G199" s="70"/>
      <c r="H199" s="71"/>
      <c r="I199" s="52"/>
      <c r="J199" s="52"/>
      <c r="K199" s="36">
        <v>1.5</v>
      </c>
      <c r="L199" s="83"/>
      <c r="M199" s="83"/>
      <c r="N199" s="35"/>
    </row>
    <row r="200" spans="1:14" s="36" customFormat="1" ht="15.75" customHeight="1" x14ac:dyDescent="0.3">
      <c r="A200" s="66">
        <v>11</v>
      </c>
      <c r="B200" s="67"/>
      <c r="C200" s="53" t="s">
        <v>194</v>
      </c>
      <c r="D200" s="54">
        <f>(5.75*4+2.7*1.45+1.8*1.25+1.8*1.3)*(10.764)</f>
        <v>339.11981999999995</v>
      </c>
      <c r="E200" s="53">
        <v>0</v>
      </c>
      <c r="F200" s="53">
        <f>(D200+E200)*(($F$155)+1)</f>
        <v>542.59171199999992</v>
      </c>
      <c r="G200" s="70"/>
      <c r="H200" s="71"/>
      <c r="I200" s="52"/>
      <c r="L200" s="83"/>
      <c r="M200" s="83"/>
      <c r="N200" s="35"/>
    </row>
    <row r="201" spans="1:14" s="36" customFormat="1" ht="15.75" customHeight="1" x14ac:dyDescent="0.3">
      <c r="A201" s="66">
        <v>12</v>
      </c>
      <c r="B201" s="67"/>
      <c r="C201" s="53" t="s">
        <v>194</v>
      </c>
      <c r="D201" s="54">
        <f>(5.75*4+2.7*1.2+1.8*1.25+1.8*1.3)*(10.764)</f>
        <v>331.85412000000002</v>
      </c>
      <c r="E201" s="53">
        <v>0</v>
      </c>
      <c r="F201" s="53">
        <f>(D201+E201)*(($F$155)+1)</f>
        <v>530.96659200000011</v>
      </c>
      <c r="G201" s="70"/>
      <c r="H201" s="71"/>
      <c r="I201" s="35"/>
      <c r="L201" s="83"/>
      <c r="M201" s="83"/>
      <c r="N201" s="35"/>
    </row>
    <row r="202" spans="1:14" s="36" customFormat="1" x14ac:dyDescent="0.3">
      <c r="A202" s="84" t="s">
        <v>214</v>
      </c>
      <c r="B202" s="85"/>
      <c r="C202" s="85"/>
      <c r="D202" s="85"/>
      <c r="E202" s="85"/>
      <c r="F202" s="85"/>
      <c r="G202" s="85"/>
      <c r="H202" s="86"/>
      <c r="J202" s="35"/>
    </row>
    <row r="203" spans="1:14" s="36" customFormat="1" ht="15.75" customHeight="1" x14ac:dyDescent="0.3">
      <c r="A203" s="66">
        <v>1</v>
      </c>
      <c r="B203" s="67"/>
      <c r="C203" s="53" t="s">
        <v>194</v>
      </c>
      <c r="D203" s="54">
        <f t="shared" ref="D203:D210" si="17">(8.8*4+2.7*1.2+1.8*1.25+1.8*1.3+4*1.5)*(10.764)</f>
        <v>527.7589200000001</v>
      </c>
      <c r="E203" s="53">
        <v>0</v>
      </c>
      <c r="F203" s="53">
        <f>(D203+E203)*(($F$155)+1)</f>
        <v>844.41427200000021</v>
      </c>
      <c r="G203" s="68" t="str">
        <f>A202</f>
        <v>9th, 13th &amp; 17th Floor (Part Refuge Area)</v>
      </c>
      <c r="H203" s="69"/>
      <c r="I203" s="52">
        <f>4*4.9+1*2.75+1.25*1.85+1.45*2.658</f>
        <v>28.5166</v>
      </c>
      <c r="J203" s="52"/>
      <c r="L203" s="83"/>
      <c r="M203" s="83"/>
      <c r="N203" s="35"/>
    </row>
    <row r="204" spans="1:14" s="36" customFormat="1" ht="15.75" customHeight="1" x14ac:dyDescent="0.3">
      <c r="A204" s="66">
        <v>2</v>
      </c>
      <c r="B204" s="67"/>
      <c r="C204" s="53" t="s">
        <v>194</v>
      </c>
      <c r="D204" s="54">
        <f t="shared" si="17"/>
        <v>527.7589200000001</v>
      </c>
      <c r="E204" s="53">
        <v>0</v>
      </c>
      <c r="F204" s="53">
        <f t="shared" ref="F204:F205" si="18">(D204+E204)*(($F$155)+1)</f>
        <v>844.41427200000021</v>
      </c>
      <c r="G204" s="70"/>
      <c r="H204" s="71"/>
      <c r="I204" s="52"/>
      <c r="L204" s="83"/>
      <c r="M204" s="83"/>
      <c r="N204" s="35"/>
    </row>
    <row r="205" spans="1:14" s="36" customFormat="1" ht="15.75" customHeight="1" x14ac:dyDescent="0.3">
      <c r="A205" s="66">
        <v>3</v>
      </c>
      <c r="B205" s="67"/>
      <c r="C205" s="53" t="s">
        <v>194</v>
      </c>
      <c r="D205" s="54">
        <f t="shared" si="17"/>
        <v>527.7589200000001</v>
      </c>
      <c r="E205" s="53">
        <v>0</v>
      </c>
      <c r="F205" s="53">
        <f t="shared" si="18"/>
        <v>844.41427200000021</v>
      </c>
      <c r="G205" s="70"/>
      <c r="H205" s="71"/>
      <c r="I205" s="35"/>
      <c r="L205" s="83"/>
      <c r="M205" s="83"/>
      <c r="N205" s="35"/>
    </row>
    <row r="206" spans="1:14" s="36" customFormat="1" ht="15.75" customHeight="1" x14ac:dyDescent="0.3">
      <c r="A206" s="66">
        <v>4</v>
      </c>
      <c r="B206" s="67"/>
      <c r="C206" s="53" t="s">
        <v>194</v>
      </c>
      <c r="D206" s="54">
        <f t="shared" si="17"/>
        <v>527.7589200000001</v>
      </c>
      <c r="E206" s="53">
        <v>0</v>
      </c>
      <c r="F206" s="53">
        <f>(D206+E206)*(($F$155)+1)</f>
        <v>844.41427200000021</v>
      </c>
      <c r="G206" s="70"/>
      <c r="H206" s="71"/>
      <c r="I206" s="52"/>
      <c r="J206" s="52"/>
      <c r="L206" s="83"/>
      <c r="M206" s="83"/>
      <c r="N206" s="35"/>
    </row>
    <row r="207" spans="1:14" s="36" customFormat="1" ht="15.75" customHeight="1" x14ac:dyDescent="0.3">
      <c r="A207" s="66">
        <v>5</v>
      </c>
      <c r="B207" s="67"/>
      <c r="C207" s="53" t="s">
        <v>194</v>
      </c>
      <c r="D207" s="54">
        <f t="shared" si="17"/>
        <v>527.7589200000001</v>
      </c>
      <c r="E207" s="53">
        <v>0</v>
      </c>
      <c r="F207" s="53">
        <f t="shared" ref="F207:F208" si="19">(D207+E207)*(($F$155)+1)</f>
        <v>844.41427200000021</v>
      </c>
      <c r="G207" s="70"/>
      <c r="H207" s="71"/>
      <c r="I207" s="52"/>
      <c r="L207" s="83"/>
      <c r="M207" s="83"/>
      <c r="N207" s="35"/>
    </row>
    <row r="208" spans="1:14" s="36" customFormat="1" ht="15.75" customHeight="1" x14ac:dyDescent="0.3">
      <c r="A208" s="66">
        <v>6</v>
      </c>
      <c r="B208" s="67"/>
      <c r="C208" s="53" t="s">
        <v>194</v>
      </c>
      <c r="D208" s="54">
        <f t="shared" si="17"/>
        <v>527.7589200000001</v>
      </c>
      <c r="E208" s="53">
        <v>0</v>
      </c>
      <c r="F208" s="53">
        <f t="shared" si="19"/>
        <v>844.41427200000021</v>
      </c>
      <c r="G208" s="70"/>
      <c r="H208" s="71"/>
      <c r="I208" s="35"/>
      <c r="L208" s="83"/>
      <c r="M208" s="83"/>
      <c r="N208" s="35"/>
    </row>
    <row r="209" spans="1:14" s="36" customFormat="1" ht="15.75" customHeight="1" x14ac:dyDescent="0.3">
      <c r="A209" s="66">
        <v>7</v>
      </c>
      <c r="B209" s="67"/>
      <c r="C209" s="53" t="s">
        <v>194</v>
      </c>
      <c r="D209" s="54">
        <f t="shared" si="17"/>
        <v>527.7589200000001</v>
      </c>
      <c r="E209" s="53">
        <v>0</v>
      </c>
      <c r="F209" s="53">
        <f>(D209+E209)*(($F$155)+1)</f>
        <v>844.41427200000021</v>
      </c>
      <c r="G209" s="70"/>
      <c r="H209" s="71"/>
      <c r="I209" s="52"/>
      <c r="J209" s="52"/>
      <c r="L209" s="83"/>
      <c r="M209" s="83"/>
      <c r="N209" s="35"/>
    </row>
    <row r="210" spans="1:14" s="36" customFormat="1" ht="15.75" customHeight="1" x14ac:dyDescent="0.3">
      <c r="A210" s="66">
        <v>8</v>
      </c>
      <c r="B210" s="67"/>
      <c r="C210" s="53" t="s">
        <v>194</v>
      </c>
      <c r="D210" s="54">
        <f t="shared" si="17"/>
        <v>527.7589200000001</v>
      </c>
      <c r="E210" s="53">
        <v>0</v>
      </c>
      <c r="F210" s="53">
        <f t="shared" ref="F210:F211" si="20">(D210+E210)*(($F$155)+1)</f>
        <v>844.41427200000021</v>
      </c>
      <c r="G210" s="70"/>
      <c r="H210" s="71"/>
      <c r="I210" s="52"/>
      <c r="L210" s="83"/>
      <c r="M210" s="83"/>
      <c r="N210" s="35"/>
    </row>
    <row r="211" spans="1:14" s="36" customFormat="1" ht="15.75" customHeight="1" x14ac:dyDescent="0.3">
      <c r="A211" s="66">
        <v>9</v>
      </c>
      <c r="B211" s="67"/>
      <c r="C211" s="53" t="s">
        <v>194</v>
      </c>
      <c r="D211" s="54">
        <f>(4.25*4+2.7*1.2+1.8*1.25+1.8*1.3+4*1.5)*(10.764)</f>
        <v>331.85412000000002</v>
      </c>
      <c r="E211" s="53">
        <v>0</v>
      </c>
      <c r="F211" s="53">
        <f t="shared" si="20"/>
        <v>530.96659200000011</v>
      </c>
      <c r="G211" s="70"/>
      <c r="H211" s="71"/>
      <c r="I211" s="35"/>
      <c r="L211" s="83"/>
      <c r="M211" s="83"/>
      <c r="N211" s="35"/>
    </row>
    <row r="212" spans="1:14" s="36" customFormat="1" ht="15.75" customHeight="1" x14ac:dyDescent="0.3">
      <c r="A212" s="66">
        <v>10</v>
      </c>
      <c r="B212" s="67"/>
      <c r="C212" s="53" t="s">
        <v>194</v>
      </c>
      <c r="D212" s="54">
        <f>(5.75*4+2.7*1.45+1.8*1.25+1.8*1.3)*(10.764)</f>
        <v>339.11981999999995</v>
      </c>
      <c r="E212" s="53">
        <v>0</v>
      </c>
      <c r="F212" s="53">
        <f>(D212+E212)*(($F$155)+1)</f>
        <v>542.59171199999992</v>
      </c>
      <c r="G212" s="70"/>
      <c r="H212" s="71"/>
      <c r="I212" s="52"/>
      <c r="J212" s="52"/>
      <c r="K212" s="36">
        <v>1.5</v>
      </c>
      <c r="L212" s="83"/>
      <c r="M212" s="83"/>
      <c r="N212" s="35"/>
    </row>
    <row r="213" spans="1:14" s="36" customFormat="1" ht="15.75" customHeight="1" x14ac:dyDescent="0.3">
      <c r="A213" s="66">
        <v>11</v>
      </c>
      <c r="B213" s="67"/>
      <c r="C213" s="68" t="s">
        <v>201</v>
      </c>
      <c r="D213" s="87"/>
      <c r="E213" s="87"/>
      <c r="F213" s="69"/>
      <c r="G213" s="70"/>
      <c r="H213" s="71"/>
      <c r="I213" s="52"/>
      <c r="L213" s="83"/>
      <c r="M213" s="83"/>
      <c r="N213" s="35"/>
    </row>
    <row r="214" spans="1:14" s="36" customFormat="1" ht="15.75" customHeight="1" x14ac:dyDescent="0.3">
      <c r="A214" s="66">
        <v>12</v>
      </c>
      <c r="B214" s="67"/>
      <c r="C214" s="72"/>
      <c r="D214" s="88"/>
      <c r="E214" s="88"/>
      <c r="F214" s="73"/>
      <c r="G214" s="70"/>
      <c r="H214" s="71"/>
      <c r="I214" s="35"/>
      <c r="L214" s="83"/>
      <c r="M214" s="83"/>
      <c r="N214" s="35"/>
    </row>
    <row r="215" spans="1:14" s="36" customFormat="1" x14ac:dyDescent="0.3">
      <c r="A215" s="84" t="s">
        <v>195</v>
      </c>
      <c r="B215" s="85"/>
      <c r="C215" s="85"/>
      <c r="D215" s="85"/>
      <c r="E215" s="85"/>
      <c r="F215" s="85"/>
      <c r="G215" s="85"/>
      <c r="H215" s="86"/>
      <c r="J215" s="35"/>
    </row>
    <row r="216" spans="1:14" s="36" customFormat="1" x14ac:dyDescent="0.3">
      <c r="A216" s="84" t="s">
        <v>186</v>
      </c>
      <c r="B216" s="85"/>
      <c r="C216" s="85"/>
      <c r="D216" s="85"/>
      <c r="E216" s="85"/>
      <c r="F216" s="85"/>
      <c r="G216" s="85"/>
      <c r="H216" s="86"/>
      <c r="J216" s="35"/>
    </row>
    <row r="217" spans="1:14" s="36" customFormat="1" x14ac:dyDescent="0.3">
      <c r="A217" s="84" t="s">
        <v>197</v>
      </c>
      <c r="B217" s="85"/>
      <c r="C217" s="85"/>
      <c r="D217" s="85"/>
      <c r="E217" s="85"/>
      <c r="F217" s="85"/>
      <c r="G217" s="85"/>
      <c r="H217" s="86"/>
      <c r="J217" s="35"/>
    </row>
    <row r="218" spans="1:14" s="36" customFormat="1" x14ac:dyDescent="0.3">
      <c r="A218" s="84" t="s">
        <v>191</v>
      </c>
      <c r="B218" s="85"/>
      <c r="C218" s="85"/>
      <c r="D218" s="85"/>
      <c r="E218" s="85"/>
      <c r="F218" s="85"/>
      <c r="G218" s="85"/>
      <c r="H218" s="86"/>
      <c r="J218" s="35"/>
    </row>
    <row r="219" spans="1:14" s="36" customFormat="1" x14ac:dyDescent="0.3">
      <c r="A219" s="84" t="s">
        <v>200</v>
      </c>
      <c r="B219" s="85"/>
      <c r="C219" s="85"/>
      <c r="D219" s="85"/>
      <c r="E219" s="85"/>
      <c r="F219" s="85"/>
      <c r="G219" s="85"/>
      <c r="H219" s="86"/>
      <c r="J219" s="35"/>
    </row>
    <row r="220" spans="1:14" s="36" customFormat="1" ht="15.75" customHeight="1" x14ac:dyDescent="0.3">
      <c r="A220" s="66">
        <v>1</v>
      </c>
      <c r="B220" s="67"/>
      <c r="C220" s="53" t="s">
        <v>194</v>
      </c>
      <c r="D220" s="54">
        <f t="shared" ref="D220:D227" si="21">(4*4.9+1*2.75+1.25*1.85+1.45*2.65+4*1.5)*(10.764)</f>
        <v>371.41181999999998</v>
      </c>
      <c r="E220" s="53">
        <v>0</v>
      </c>
      <c r="F220" s="53">
        <f>(D220+E220)*(($F$155)+1)</f>
        <v>594.25891200000001</v>
      </c>
      <c r="G220" s="68" t="str">
        <f>A219</f>
        <v>7th Floor For Commercial</v>
      </c>
      <c r="H220" s="69"/>
      <c r="I220" s="52">
        <f>4*4.9+1*2.75+1.25*1.85+1.45*2.658</f>
        <v>28.5166</v>
      </c>
      <c r="J220" s="52"/>
      <c r="L220" s="83"/>
      <c r="M220" s="83"/>
      <c r="N220" s="35"/>
    </row>
    <row r="221" spans="1:14" s="36" customFormat="1" ht="15.75" customHeight="1" x14ac:dyDescent="0.3">
      <c r="A221" s="66">
        <v>2</v>
      </c>
      <c r="B221" s="67"/>
      <c r="C221" s="53" t="s">
        <v>194</v>
      </c>
      <c r="D221" s="54">
        <f t="shared" si="21"/>
        <v>371.41181999999998</v>
      </c>
      <c r="E221" s="53">
        <v>0</v>
      </c>
      <c r="F221" s="53">
        <f t="shared" ref="F221:F222" si="22">(D221+E221)*(($F$155)+1)</f>
        <v>594.25891200000001</v>
      </c>
      <c r="G221" s="70"/>
      <c r="H221" s="71"/>
      <c r="I221" s="52"/>
      <c r="L221" s="83"/>
      <c r="M221" s="83"/>
      <c r="N221" s="35"/>
    </row>
    <row r="222" spans="1:14" s="36" customFormat="1" ht="15.75" customHeight="1" x14ac:dyDescent="0.3">
      <c r="A222" s="66">
        <v>3</v>
      </c>
      <c r="B222" s="67"/>
      <c r="C222" s="53" t="s">
        <v>194</v>
      </c>
      <c r="D222" s="54">
        <f t="shared" si="21"/>
        <v>371.41181999999998</v>
      </c>
      <c r="E222" s="53">
        <v>0</v>
      </c>
      <c r="F222" s="53">
        <f t="shared" si="22"/>
        <v>594.25891200000001</v>
      </c>
      <c r="G222" s="70"/>
      <c r="H222" s="71"/>
      <c r="I222" s="35"/>
      <c r="L222" s="83"/>
      <c r="M222" s="83"/>
      <c r="N222" s="35"/>
    </row>
    <row r="223" spans="1:14" s="36" customFormat="1" ht="15.75" customHeight="1" x14ac:dyDescent="0.3">
      <c r="A223" s="66">
        <v>4</v>
      </c>
      <c r="B223" s="67"/>
      <c r="C223" s="53" t="s">
        <v>194</v>
      </c>
      <c r="D223" s="54">
        <f t="shared" si="21"/>
        <v>371.41181999999998</v>
      </c>
      <c r="E223" s="53">
        <v>0</v>
      </c>
      <c r="F223" s="53">
        <f>(D223+E223)*(($F$155)+1)</f>
        <v>594.25891200000001</v>
      </c>
      <c r="G223" s="70"/>
      <c r="H223" s="71"/>
      <c r="I223" s="52"/>
      <c r="J223" s="52"/>
      <c r="L223" s="83"/>
      <c r="M223" s="83"/>
      <c r="N223" s="35"/>
    </row>
    <row r="224" spans="1:14" s="36" customFormat="1" ht="15.75" customHeight="1" x14ac:dyDescent="0.3">
      <c r="A224" s="66">
        <v>5</v>
      </c>
      <c r="B224" s="67"/>
      <c r="C224" s="53" t="s">
        <v>194</v>
      </c>
      <c r="D224" s="54">
        <f t="shared" si="21"/>
        <v>371.41181999999998</v>
      </c>
      <c r="E224" s="53">
        <v>0</v>
      </c>
      <c r="F224" s="53">
        <f t="shared" ref="F224:F225" si="23">(D224+E224)*(($F$155)+1)</f>
        <v>594.25891200000001</v>
      </c>
      <c r="G224" s="70"/>
      <c r="H224" s="71"/>
      <c r="I224" s="52"/>
      <c r="L224" s="83"/>
      <c r="M224" s="83"/>
      <c r="N224" s="35"/>
    </row>
    <row r="225" spans="1:14" s="36" customFormat="1" ht="15.75" customHeight="1" x14ac:dyDescent="0.3">
      <c r="A225" s="66">
        <v>6</v>
      </c>
      <c r="B225" s="67"/>
      <c r="C225" s="53" t="s">
        <v>194</v>
      </c>
      <c r="D225" s="54">
        <f t="shared" si="21"/>
        <v>371.41181999999998</v>
      </c>
      <c r="E225" s="53">
        <v>0</v>
      </c>
      <c r="F225" s="53">
        <f t="shared" si="23"/>
        <v>594.25891200000001</v>
      </c>
      <c r="G225" s="70"/>
      <c r="H225" s="71"/>
      <c r="I225" s="35"/>
      <c r="L225" s="83"/>
      <c r="M225" s="83"/>
      <c r="N225" s="35"/>
    </row>
    <row r="226" spans="1:14" s="36" customFormat="1" ht="15.75" customHeight="1" x14ac:dyDescent="0.3">
      <c r="A226" s="66">
        <v>7</v>
      </c>
      <c r="B226" s="67"/>
      <c r="C226" s="53" t="s">
        <v>194</v>
      </c>
      <c r="D226" s="54">
        <f t="shared" si="21"/>
        <v>371.41181999999998</v>
      </c>
      <c r="E226" s="53">
        <v>0</v>
      </c>
      <c r="F226" s="53">
        <f>(D226+E226)*(($F$155)+1)</f>
        <v>594.25891200000001</v>
      </c>
      <c r="G226" s="70"/>
      <c r="H226" s="71"/>
      <c r="I226" s="52"/>
      <c r="J226" s="52"/>
      <c r="L226" s="83"/>
      <c r="M226" s="83"/>
      <c r="N226" s="35"/>
    </row>
    <row r="227" spans="1:14" s="36" customFormat="1" ht="15.75" customHeight="1" x14ac:dyDescent="0.3">
      <c r="A227" s="66">
        <v>8</v>
      </c>
      <c r="B227" s="67"/>
      <c r="C227" s="53" t="s">
        <v>194</v>
      </c>
      <c r="D227" s="54">
        <f t="shared" si="21"/>
        <v>371.41181999999998</v>
      </c>
      <c r="E227" s="53">
        <v>0</v>
      </c>
      <c r="F227" s="53">
        <f t="shared" ref="F227:F228" si="24">(D227+E227)*(($F$155)+1)</f>
        <v>594.25891200000001</v>
      </c>
      <c r="G227" s="70"/>
      <c r="H227" s="71"/>
      <c r="I227" s="52"/>
      <c r="L227" s="83"/>
      <c r="M227" s="83"/>
      <c r="N227" s="35"/>
    </row>
    <row r="228" spans="1:14" s="36" customFormat="1" ht="15.75" customHeight="1" x14ac:dyDescent="0.3">
      <c r="A228" s="66">
        <v>9</v>
      </c>
      <c r="B228" s="67"/>
      <c r="C228" s="53" t="s">
        <v>194</v>
      </c>
      <c r="D228" s="54">
        <f>(4*4.9+1*2.75+4.6*1.5+1.25*1.85+1.45*2.65+8.6*1.5)*(10.764)</f>
        <v>519.95501999999999</v>
      </c>
      <c r="E228" s="53">
        <v>0</v>
      </c>
      <c r="F228" s="53">
        <f t="shared" si="24"/>
        <v>831.92803200000003</v>
      </c>
      <c r="G228" s="70"/>
      <c r="H228" s="71"/>
      <c r="I228" s="35"/>
      <c r="L228" s="83"/>
      <c r="M228" s="83"/>
      <c r="N228" s="35"/>
    </row>
    <row r="229" spans="1:14" s="36" customFormat="1" ht="15.75" customHeight="1" x14ac:dyDescent="0.3">
      <c r="A229" s="66">
        <v>10</v>
      </c>
      <c r="B229" s="67"/>
      <c r="C229" s="53" t="s">
        <v>194</v>
      </c>
      <c r="D229" s="54">
        <f t="shared" ref="D229:D236" si="25">(4*4.9+1*2.75+1.25*1.85+1.45*2.65+4*1.5)*(10.764)</f>
        <v>371.41181999999998</v>
      </c>
      <c r="E229" s="53">
        <v>0</v>
      </c>
      <c r="F229" s="53">
        <f>(D229+E229)*(($F$155)+1)</f>
        <v>594.25891200000001</v>
      </c>
      <c r="G229" s="70"/>
      <c r="H229" s="71"/>
      <c r="I229" s="52"/>
      <c r="J229" s="52"/>
      <c r="K229" s="36">
        <v>1.5</v>
      </c>
      <c r="L229" s="83"/>
      <c r="M229" s="83"/>
      <c r="N229" s="35"/>
    </row>
    <row r="230" spans="1:14" s="36" customFormat="1" ht="15.75" customHeight="1" x14ac:dyDescent="0.3">
      <c r="A230" s="66">
        <v>11</v>
      </c>
      <c r="B230" s="67"/>
      <c r="C230" s="53" t="s">
        <v>194</v>
      </c>
      <c r="D230" s="54">
        <f t="shared" si="25"/>
        <v>371.41181999999998</v>
      </c>
      <c r="E230" s="53">
        <v>0</v>
      </c>
      <c r="F230" s="53">
        <f t="shared" ref="F230:F233" si="26">(D230+E230)*(($F$155)+1)</f>
        <v>594.25891200000001</v>
      </c>
      <c r="G230" s="70"/>
      <c r="H230" s="71"/>
      <c r="I230" s="52"/>
      <c r="L230" s="83"/>
      <c r="M230" s="83"/>
      <c r="N230" s="35"/>
    </row>
    <row r="231" spans="1:14" s="36" customFormat="1" ht="15.75" customHeight="1" x14ac:dyDescent="0.3">
      <c r="A231" s="66">
        <v>12</v>
      </c>
      <c r="B231" s="67"/>
      <c r="C231" s="53" t="s">
        <v>194</v>
      </c>
      <c r="D231" s="54">
        <f t="shared" si="25"/>
        <v>371.41181999999998</v>
      </c>
      <c r="E231" s="53">
        <v>0</v>
      </c>
      <c r="F231" s="53">
        <f t="shared" si="26"/>
        <v>594.25891200000001</v>
      </c>
      <c r="G231" s="70"/>
      <c r="H231" s="71"/>
      <c r="I231" s="35"/>
      <c r="L231" s="83"/>
      <c r="M231" s="83"/>
      <c r="N231" s="35"/>
    </row>
    <row r="232" spans="1:14" s="36" customFormat="1" ht="15.75" customHeight="1" x14ac:dyDescent="0.3">
      <c r="A232" s="66">
        <v>13</v>
      </c>
      <c r="B232" s="67"/>
      <c r="C232" s="53" t="s">
        <v>194</v>
      </c>
      <c r="D232" s="54">
        <f t="shared" si="25"/>
        <v>371.41181999999998</v>
      </c>
      <c r="E232" s="53">
        <v>0</v>
      </c>
      <c r="F232" s="53">
        <f t="shared" si="26"/>
        <v>594.25891200000001</v>
      </c>
      <c r="G232" s="70"/>
      <c r="H232" s="71"/>
      <c r="I232" s="52"/>
      <c r="L232" s="83"/>
      <c r="M232" s="83"/>
      <c r="N232" s="35"/>
    </row>
    <row r="233" spans="1:14" s="36" customFormat="1" ht="15.75" customHeight="1" x14ac:dyDescent="0.3">
      <c r="A233" s="66">
        <v>14</v>
      </c>
      <c r="B233" s="67"/>
      <c r="C233" s="53" t="s">
        <v>194</v>
      </c>
      <c r="D233" s="54">
        <f t="shared" si="25"/>
        <v>371.41181999999998</v>
      </c>
      <c r="E233" s="53">
        <v>0</v>
      </c>
      <c r="F233" s="53">
        <f t="shared" si="26"/>
        <v>594.25891200000001</v>
      </c>
      <c r="G233" s="70"/>
      <c r="H233" s="71"/>
      <c r="I233" s="35"/>
      <c r="L233" s="83"/>
      <c r="M233" s="83"/>
      <c r="N233" s="35"/>
    </row>
    <row r="234" spans="1:14" s="36" customFormat="1" ht="15.75" customHeight="1" x14ac:dyDescent="0.3">
      <c r="A234" s="66">
        <v>15</v>
      </c>
      <c r="B234" s="67"/>
      <c r="C234" s="53" t="s">
        <v>194</v>
      </c>
      <c r="D234" s="54">
        <f t="shared" si="25"/>
        <v>371.41181999999998</v>
      </c>
      <c r="E234" s="53">
        <v>0</v>
      </c>
      <c r="F234" s="53">
        <f>(D234+E234)*(($F$155)+1)</f>
        <v>594.25891200000001</v>
      </c>
      <c r="G234" s="70"/>
      <c r="H234" s="71"/>
      <c r="I234" s="52"/>
      <c r="J234" s="52"/>
      <c r="L234" s="83"/>
      <c r="M234" s="83"/>
      <c r="N234" s="35"/>
    </row>
    <row r="235" spans="1:14" s="36" customFormat="1" ht="15.75" customHeight="1" x14ac:dyDescent="0.3">
      <c r="A235" s="66">
        <v>16</v>
      </c>
      <c r="B235" s="67"/>
      <c r="C235" s="53" t="s">
        <v>194</v>
      </c>
      <c r="D235" s="54">
        <f t="shared" si="25"/>
        <v>371.41181999999998</v>
      </c>
      <c r="E235" s="53">
        <v>0</v>
      </c>
      <c r="F235" s="53">
        <f t="shared" ref="F235:F236" si="27">(D235+E235)*(($F$155)+1)</f>
        <v>594.25891200000001</v>
      </c>
      <c r="G235" s="70"/>
      <c r="H235" s="71"/>
      <c r="I235" s="52"/>
      <c r="L235" s="83"/>
      <c r="M235" s="83"/>
      <c r="N235" s="35"/>
    </row>
    <row r="236" spans="1:14" s="36" customFormat="1" ht="15.75" customHeight="1" x14ac:dyDescent="0.3">
      <c r="A236" s="66">
        <v>17</v>
      </c>
      <c r="B236" s="67"/>
      <c r="C236" s="53" t="s">
        <v>194</v>
      </c>
      <c r="D236" s="54">
        <f t="shared" si="25"/>
        <v>371.41181999999998</v>
      </c>
      <c r="E236" s="53">
        <v>0</v>
      </c>
      <c r="F236" s="53">
        <f t="shared" si="27"/>
        <v>594.25891200000001</v>
      </c>
      <c r="G236" s="72"/>
      <c r="H236" s="73"/>
      <c r="I236" s="35"/>
      <c r="L236" s="83"/>
      <c r="M236" s="83"/>
      <c r="N236" s="35"/>
    </row>
    <row r="237" spans="1:14" s="36" customFormat="1" x14ac:dyDescent="0.3">
      <c r="A237" s="84" t="s">
        <v>216</v>
      </c>
      <c r="B237" s="85"/>
      <c r="C237" s="85"/>
      <c r="D237" s="85"/>
      <c r="E237" s="85"/>
      <c r="F237" s="85"/>
      <c r="G237" s="85"/>
      <c r="H237" s="86"/>
      <c r="J237" s="35"/>
    </row>
    <row r="238" spans="1:14" s="36" customFormat="1" ht="15.75" customHeight="1" x14ac:dyDescent="0.3">
      <c r="A238" s="66">
        <v>1</v>
      </c>
      <c r="B238" s="67"/>
      <c r="C238" s="53" t="s">
        <v>194</v>
      </c>
      <c r="D238" s="54">
        <f t="shared" ref="D238:D245" si="28">(4*4.9+1*2.75+1.25*1.85+1.5*2.65+4*1.5)*(10.764)</f>
        <v>372.83805000000001</v>
      </c>
      <c r="E238" s="53">
        <v>0</v>
      </c>
      <c r="F238" s="53">
        <f>(D238+E238)*(($F$155)+1)</f>
        <v>596.54088000000002</v>
      </c>
      <c r="G238" s="68" t="str">
        <f>A237</f>
        <v>8th, 10th, 11th, 12th, 14th to 16th &amp; 18th Floor</v>
      </c>
      <c r="H238" s="69"/>
      <c r="I238" s="52">
        <f>4*4.9+1*2.75+1.25*1.85+1.45*2.658</f>
        <v>28.5166</v>
      </c>
      <c r="J238" s="52"/>
      <c r="L238" s="83"/>
      <c r="M238" s="83"/>
      <c r="N238" s="35"/>
    </row>
    <row r="239" spans="1:14" s="36" customFormat="1" ht="15.75" customHeight="1" x14ac:dyDescent="0.3">
      <c r="A239" s="66">
        <v>2</v>
      </c>
      <c r="B239" s="67"/>
      <c r="C239" s="53" t="s">
        <v>194</v>
      </c>
      <c r="D239" s="54">
        <f t="shared" si="28"/>
        <v>372.83805000000001</v>
      </c>
      <c r="E239" s="53">
        <v>0</v>
      </c>
      <c r="F239" s="53">
        <f t="shared" ref="F239:F240" si="29">(D239+E239)*(($F$155)+1)</f>
        <v>596.54088000000002</v>
      </c>
      <c r="G239" s="70"/>
      <c r="H239" s="71"/>
      <c r="I239" s="52"/>
      <c r="L239" s="83"/>
      <c r="M239" s="83"/>
      <c r="N239" s="35"/>
    </row>
    <row r="240" spans="1:14" s="36" customFormat="1" ht="15.75" customHeight="1" x14ac:dyDescent="0.3">
      <c r="A240" s="66">
        <v>3</v>
      </c>
      <c r="B240" s="67"/>
      <c r="C240" s="53" t="s">
        <v>194</v>
      </c>
      <c r="D240" s="54">
        <f t="shared" si="28"/>
        <v>372.83805000000001</v>
      </c>
      <c r="E240" s="53">
        <v>0</v>
      </c>
      <c r="F240" s="53">
        <f t="shared" si="29"/>
        <v>596.54088000000002</v>
      </c>
      <c r="G240" s="70"/>
      <c r="H240" s="71"/>
      <c r="I240" s="35"/>
      <c r="L240" s="83"/>
      <c r="M240" s="83"/>
      <c r="N240" s="35"/>
    </row>
    <row r="241" spans="1:14" s="36" customFormat="1" ht="15.75" customHeight="1" x14ac:dyDescent="0.3">
      <c r="A241" s="66">
        <v>4</v>
      </c>
      <c r="B241" s="67"/>
      <c r="C241" s="53" t="s">
        <v>194</v>
      </c>
      <c r="D241" s="54">
        <f t="shared" si="28"/>
        <v>372.83805000000001</v>
      </c>
      <c r="E241" s="53">
        <v>0</v>
      </c>
      <c r="F241" s="53">
        <f>(D241+E241)*(($F$155)+1)</f>
        <v>596.54088000000002</v>
      </c>
      <c r="G241" s="70"/>
      <c r="H241" s="71"/>
      <c r="I241" s="52"/>
      <c r="J241" s="52"/>
      <c r="L241" s="83"/>
      <c r="M241" s="83"/>
      <c r="N241" s="35"/>
    </row>
    <row r="242" spans="1:14" s="36" customFormat="1" ht="15.75" customHeight="1" x14ac:dyDescent="0.3">
      <c r="A242" s="66">
        <v>5</v>
      </c>
      <c r="B242" s="67"/>
      <c r="C242" s="53" t="s">
        <v>194</v>
      </c>
      <c r="D242" s="54">
        <f t="shared" si="28"/>
        <v>372.83805000000001</v>
      </c>
      <c r="E242" s="53">
        <v>0</v>
      </c>
      <c r="F242" s="53">
        <f t="shared" ref="F242:F243" si="30">(D242+E242)*(($F$155)+1)</f>
        <v>596.54088000000002</v>
      </c>
      <c r="G242" s="70"/>
      <c r="H242" s="71"/>
      <c r="I242" s="52"/>
      <c r="L242" s="83"/>
      <c r="M242" s="83"/>
      <c r="N242" s="35"/>
    </row>
    <row r="243" spans="1:14" s="36" customFormat="1" ht="15.75" customHeight="1" x14ac:dyDescent="0.3">
      <c r="A243" s="66">
        <v>6</v>
      </c>
      <c r="B243" s="67"/>
      <c r="C243" s="53" t="s">
        <v>194</v>
      </c>
      <c r="D243" s="54">
        <f t="shared" si="28"/>
        <v>372.83805000000001</v>
      </c>
      <c r="E243" s="53">
        <v>0</v>
      </c>
      <c r="F243" s="53">
        <f t="shared" si="30"/>
        <v>596.54088000000002</v>
      </c>
      <c r="G243" s="70"/>
      <c r="H243" s="71"/>
      <c r="I243" s="35"/>
      <c r="L243" s="83"/>
      <c r="M243" s="83"/>
      <c r="N243" s="35"/>
    </row>
    <row r="244" spans="1:14" s="36" customFormat="1" ht="15.75" customHeight="1" x14ac:dyDescent="0.3">
      <c r="A244" s="66">
        <v>7</v>
      </c>
      <c r="B244" s="67"/>
      <c r="C244" s="53" t="s">
        <v>194</v>
      </c>
      <c r="D244" s="54">
        <f t="shared" si="28"/>
        <v>372.83805000000001</v>
      </c>
      <c r="E244" s="53">
        <v>0</v>
      </c>
      <c r="F244" s="53">
        <f>(D244+E244)*(($F$155)+1)</f>
        <v>596.54088000000002</v>
      </c>
      <c r="G244" s="70"/>
      <c r="H244" s="71"/>
      <c r="I244" s="52"/>
      <c r="J244" s="52"/>
      <c r="L244" s="83"/>
      <c r="M244" s="83"/>
      <c r="N244" s="35"/>
    </row>
    <row r="245" spans="1:14" s="36" customFormat="1" ht="15.75" customHeight="1" x14ac:dyDescent="0.3">
      <c r="A245" s="66">
        <v>8</v>
      </c>
      <c r="B245" s="67"/>
      <c r="C245" s="53" t="s">
        <v>194</v>
      </c>
      <c r="D245" s="54">
        <f t="shared" si="28"/>
        <v>372.83805000000001</v>
      </c>
      <c r="E245" s="53">
        <v>0</v>
      </c>
      <c r="F245" s="53">
        <f t="shared" ref="F245:F246" si="31">(D245+E245)*(($F$155)+1)</f>
        <v>596.54088000000002</v>
      </c>
      <c r="G245" s="70"/>
      <c r="H245" s="71"/>
      <c r="I245" s="52"/>
      <c r="L245" s="83"/>
      <c r="M245" s="83"/>
      <c r="N245" s="35"/>
    </row>
    <row r="246" spans="1:14" s="36" customFormat="1" ht="15.75" customHeight="1" x14ac:dyDescent="0.3">
      <c r="A246" s="66">
        <v>9</v>
      </c>
      <c r="B246" s="67"/>
      <c r="C246" s="53" t="s">
        <v>194</v>
      </c>
      <c r="D246" s="54">
        <f>(4*4.9+1*2.75+4.6*1.5+1.25*1.85+1.5*2.65+8.6*1.5)*(10.764)</f>
        <v>521.38125000000002</v>
      </c>
      <c r="E246" s="53">
        <v>0</v>
      </c>
      <c r="F246" s="53">
        <f t="shared" si="31"/>
        <v>834.21</v>
      </c>
      <c r="G246" s="70"/>
      <c r="H246" s="71"/>
      <c r="I246" s="35"/>
      <c r="L246" s="83"/>
      <c r="M246" s="83"/>
      <c r="N246" s="35"/>
    </row>
    <row r="247" spans="1:14" s="36" customFormat="1" ht="15.75" customHeight="1" x14ac:dyDescent="0.3">
      <c r="A247" s="66">
        <v>10</v>
      </c>
      <c r="B247" s="67"/>
      <c r="C247" s="53" t="s">
        <v>194</v>
      </c>
      <c r="D247" s="54">
        <f t="shared" ref="D247:D254" si="32">(4*6.4+1*2.75+1.25*1.85+1.5*2.65)*(10.764)</f>
        <v>372.83805000000001</v>
      </c>
      <c r="E247" s="53">
        <v>0</v>
      </c>
      <c r="F247" s="53">
        <f>(D247+E247)*(($F$155)+1)</f>
        <v>596.54088000000002</v>
      </c>
      <c r="G247" s="70"/>
      <c r="H247" s="71"/>
      <c r="I247" s="52"/>
      <c r="J247" s="52"/>
      <c r="K247" s="36">
        <v>1.5</v>
      </c>
      <c r="L247" s="83"/>
      <c r="M247" s="83"/>
      <c r="N247" s="35"/>
    </row>
    <row r="248" spans="1:14" s="36" customFormat="1" ht="15.75" customHeight="1" x14ac:dyDescent="0.3">
      <c r="A248" s="66">
        <v>11</v>
      </c>
      <c r="B248" s="67"/>
      <c r="C248" s="53" t="s">
        <v>194</v>
      </c>
      <c r="D248" s="54">
        <f t="shared" si="32"/>
        <v>372.83805000000001</v>
      </c>
      <c r="E248" s="53">
        <v>0</v>
      </c>
      <c r="F248" s="53">
        <f t="shared" ref="F248:F251" si="33">(D248+E248)*(($F$155)+1)</f>
        <v>596.54088000000002</v>
      </c>
      <c r="G248" s="70"/>
      <c r="H248" s="71"/>
      <c r="I248" s="52"/>
      <c r="L248" s="83"/>
      <c r="M248" s="83"/>
      <c r="N248" s="35"/>
    </row>
    <row r="249" spans="1:14" s="36" customFormat="1" ht="15.75" customHeight="1" x14ac:dyDescent="0.3">
      <c r="A249" s="66">
        <v>12</v>
      </c>
      <c r="B249" s="67"/>
      <c r="C249" s="53" t="s">
        <v>194</v>
      </c>
      <c r="D249" s="54">
        <f t="shared" si="32"/>
        <v>372.83805000000001</v>
      </c>
      <c r="E249" s="53">
        <v>0</v>
      </c>
      <c r="F249" s="53">
        <f t="shared" si="33"/>
        <v>596.54088000000002</v>
      </c>
      <c r="G249" s="70"/>
      <c r="H249" s="71"/>
      <c r="I249" s="35"/>
      <c r="L249" s="83"/>
      <c r="M249" s="83"/>
      <c r="N249" s="35"/>
    </row>
    <row r="250" spans="1:14" s="36" customFormat="1" ht="15.75" customHeight="1" x14ac:dyDescent="0.3">
      <c r="A250" s="66">
        <v>13</v>
      </c>
      <c r="B250" s="67"/>
      <c r="C250" s="53" t="s">
        <v>194</v>
      </c>
      <c r="D250" s="54">
        <f>(4*6.4+1*2.75+1.25*1.85+1.5*2.65)*(10.764)</f>
        <v>372.83805000000001</v>
      </c>
      <c r="E250" s="53">
        <v>0</v>
      </c>
      <c r="F250" s="53">
        <f t="shared" si="33"/>
        <v>596.54088000000002</v>
      </c>
      <c r="G250" s="70"/>
      <c r="H250" s="71"/>
      <c r="I250" s="52"/>
      <c r="L250" s="83"/>
      <c r="M250" s="83"/>
      <c r="N250" s="35"/>
    </row>
    <row r="251" spans="1:14" s="36" customFormat="1" ht="15.75" customHeight="1" x14ac:dyDescent="0.3">
      <c r="A251" s="66">
        <v>14</v>
      </c>
      <c r="B251" s="67"/>
      <c r="C251" s="53" t="s">
        <v>194</v>
      </c>
      <c r="D251" s="54">
        <f t="shared" si="32"/>
        <v>372.83805000000001</v>
      </c>
      <c r="E251" s="53">
        <v>0</v>
      </c>
      <c r="F251" s="53">
        <f t="shared" si="33"/>
        <v>596.54088000000002</v>
      </c>
      <c r="G251" s="70"/>
      <c r="H251" s="71"/>
      <c r="I251" s="35"/>
      <c r="L251" s="83"/>
      <c r="M251" s="83"/>
      <c r="N251" s="35"/>
    </row>
    <row r="252" spans="1:14" s="36" customFormat="1" ht="15.75" customHeight="1" x14ac:dyDescent="0.3">
      <c r="A252" s="66">
        <v>15</v>
      </c>
      <c r="B252" s="67"/>
      <c r="C252" s="53" t="s">
        <v>194</v>
      </c>
      <c r="D252" s="54">
        <f t="shared" si="32"/>
        <v>372.83805000000001</v>
      </c>
      <c r="E252" s="53">
        <v>0</v>
      </c>
      <c r="F252" s="53">
        <f>(D252+E252)*(($F$155)+1)</f>
        <v>596.54088000000002</v>
      </c>
      <c r="G252" s="70"/>
      <c r="H252" s="71"/>
      <c r="I252" s="52"/>
      <c r="J252" s="52"/>
      <c r="L252" s="83"/>
      <c r="M252" s="83"/>
      <c r="N252" s="35"/>
    </row>
    <row r="253" spans="1:14" s="36" customFormat="1" ht="15.75" customHeight="1" x14ac:dyDescent="0.3">
      <c r="A253" s="66">
        <v>16</v>
      </c>
      <c r="B253" s="67"/>
      <c r="C253" s="53" t="s">
        <v>194</v>
      </c>
      <c r="D253" s="54">
        <f t="shared" si="32"/>
        <v>372.83805000000001</v>
      </c>
      <c r="E253" s="53">
        <v>0</v>
      </c>
      <c r="F253" s="53">
        <f t="shared" ref="F253:F254" si="34">(D253+E253)*(($F$155)+1)</f>
        <v>596.54088000000002</v>
      </c>
      <c r="G253" s="70"/>
      <c r="H253" s="71"/>
      <c r="I253" s="52"/>
      <c r="L253" s="83"/>
      <c r="M253" s="83"/>
      <c r="N253" s="35"/>
    </row>
    <row r="254" spans="1:14" s="36" customFormat="1" ht="15.75" customHeight="1" x14ac:dyDescent="0.3">
      <c r="A254" s="66">
        <v>17</v>
      </c>
      <c r="B254" s="67"/>
      <c r="C254" s="53" t="s">
        <v>194</v>
      </c>
      <c r="D254" s="54">
        <f t="shared" si="32"/>
        <v>372.83805000000001</v>
      </c>
      <c r="E254" s="53">
        <v>0</v>
      </c>
      <c r="F254" s="53">
        <f t="shared" si="34"/>
        <v>596.54088000000002</v>
      </c>
      <c r="G254" s="72"/>
      <c r="H254" s="73"/>
      <c r="I254" s="35"/>
      <c r="L254" s="83"/>
      <c r="M254" s="83"/>
      <c r="N254" s="35"/>
    </row>
    <row r="255" spans="1:14" s="36" customFormat="1" x14ac:dyDescent="0.3">
      <c r="A255" s="84" t="s">
        <v>217</v>
      </c>
      <c r="B255" s="85"/>
      <c r="C255" s="85"/>
      <c r="D255" s="85"/>
      <c r="E255" s="85"/>
      <c r="F255" s="85"/>
      <c r="G255" s="85"/>
      <c r="H255" s="86"/>
      <c r="J255" s="35"/>
    </row>
    <row r="256" spans="1:14" s="36" customFormat="1" ht="15.75" customHeight="1" x14ac:dyDescent="0.3">
      <c r="A256" s="66">
        <v>1</v>
      </c>
      <c r="B256" s="67"/>
      <c r="C256" s="53" t="s">
        <v>194</v>
      </c>
      <c r="D256" s="54">
        <f t="shared" ref="D256:D263" si="35">(4*4.9+1*2.75+1.25*1.85+1.5*2.65+4*1.5)*(10.764)</f>
        <v>372.83805000000001</v>
      </c>
      <c r="E256" s="53">
        <v>0</v>
      </c>
      <c r="F256" s="53">
        <f>(D256+E256)*(($F$155)+1)</f>
        <v>596.54088000000002</v>
      </c>
      <c r="G256" s="68" t="str">
        <f>A255</f>
        <v>9th, 13th &amp; 17th Floor (Balcony Refuge Area)</v>
      </c>
      <c r="H256" s="69"/>
      <c r="I256" s="52">
        <f>4*4.9+1*2.75+1.25*1.85+1.45*2.658</f>
        <v>28.5166</v>
      </c>
      <c r="J256" s="52"/>
      <c r="L256" s="83"/>
      <c r="M256" s="83"/>
      <c r="N256" s="35"/>
    </row>
    <row r="257" spans="1:14" s="36" customFormat="1" ht="15.75" customHeight="1" x14ac:dyDescent="0.3">
      <c r="A257" s="66">
        <v>2</v>
      </c>
      <c r="B257" s="67"/>
      <c r="C257" s="53" t="s">
        <v>194</v>
      </c>
      <c r="D257" s="54">
        <f t="shared" si="35"/>
        <v>372.83805000000001</v>
      </c>
      <c r="E257" s="53">
        <v>0</v>
      </c>
      <c r="F257" s="53">
        <f t="shared" ref="F257:F258" si="36">(D257+E257)*(($F$155)+1)</f>
        <v>596.54088000000002</v>
      </c>
      <c r="G257" s="70"/>
      <c r="H257" s="71"/>
      <c r="I257" s="52"/>
      <c r="L257" s="83"/>
      <c r="M257" s="83"/>
      <c r="N257" s="35"/>
    </row>
    <row r="258" spans="1:14" s="36" customFormat="1" ht="15.75" customHeight="1" x14ac:dyDescent="0.3">
      <c r="A258" s="66">
        <v>3</v>
      </c>
      <c r="B258" s="67"/>
      <c r="C258" s="53" t="s">
        <v>194</v>
      </c>
      <c r="D258" s="54">
        <f t="shared" si="35"/>
        <v>372.83805000000001</v>
      </c>
      <c r="E258" s="53">
        <v>0</v>
      </c>
      <c r="F258" s="53">
        <f t="shared" si="36"/>
        <v>596.54088000000002</v>
      </c>
      <c r="G258" s="70"/>
      <c r="H258" s="71"/>
      <c r="I258" s="35"/>
      <c r="L258" s="83"/>
      <c r="M258" s="83"/>
      <c r="N258" s="35"/>
    </row>
    <row r="259" spans="1:14" s="36" customFormat="1" ht="15.75" customHeight="1" x14ac:dyDescent="0.3">
      <c r="A259" s="66">
        <v>4</v>
      </c>
      <c r="B259" s="67"/>
      <c r="C259" s="53" t="s">
        <v>194</v>
      </c>
      <c r="D259" s="54">
        <f t="shared" si="35"/>
        <v>372.83805000000001</v>
      </c>
      <c r="E259" s="53">
        <v>0</v>
      </c>
      <c r="F259" s="53">
        <f>(D259+E259)*(($F$155)+1)</f>
        <v>596.54088000000002</v>
      </c>
      <c r="G259" s="70"/>
      <c r="H259" s="71"/>
      <c r="I259" s="52"/>
      <c r="J259" s="52"/>
      <c r="L259" s="83"/>
      <c r="M259" s="83"/>
      <c r="N259" s="35"/>
    </row>
    <row r="260" spans="1:14" s="36" customFormat="1" ht="15.75" customHeight="1" x14ac:dyDescent="0.3">
      <c r="A260" s="66">
        <v>5</v>
      </c>
      <c r="B260" s="67"/>
      <c r="C260" s="53" t="s">
        <v>194</v>
      </c>
      <c r="D260" s="54">
        <f t="shared" si="35"/>
        <v>372.83805000000001</v>
      </c>
      <c r="E260" s="53">
        <v>0</v>
      </c>
      <c r="F260" s="53">
        <f t="shared" ref="F260:F261" si="37">(D260+E260)*(($F$155)+1)</f>
        <v>596.54088000000002</v>
      </c>
      <c r="G260" s="70"/>
      <c r="H260" s="71"/>
      <c r="I260" s="52"/>
      <c r="L260" s="83"/>
      <c r="M260" s="83"/>
      <c r="N260" s="35"/>
    </row>
    <row r="261" spans="1:14" s="36" customFormat="1" ht="15.75" customHeight="1" x14ac:dyDescent="0.3">
      <c r="A261" s="66">
        <v>6</v>
      </c>
      <c r="B261" s="67"/>
      <c r="C261" s="53" t="s">
        <v>194</v>
      </c>
      <c r="D261" s="54">
        <f t="shared" si="35"/>
        <v>372.83805000000001</v>
      </c>
      <c r="E261" s="53">
        <v>0</v>
      </c>
      <c r="F261" s="53">
        <f t="shared" si="37"/>
        <v>596.54088000000002</v>
      </c>
      <c r="G261" s="70"/>
      <c r="H261" s="71"/>
      <c r="I261" s="35"/>
      <c r="L261" s="83"/>
      <c r="M261" s="83"/>
      <c r="N261" s="35"/>
    </row>
    <row r="262" spans="1:14" s="36" customFormat="1" ht="15.75" customHeight="1" x14ac:dyDescent="0.3">
      <c r="A262" s="66">
        <v>7</v>
      </c>
      <c r="B262" s="67"/>
      <c r="C262" s="53" t="s">
        <v>194</v>
      </c>
      <c r="D262" s="54">
        <f t="shared" si="35"/>
        <v>372.83805000000001</v>
      </c>
      <c r="E262" s="53">
        <v>0</v>
      </c>
      <c r="F262" s="53">
        <f>(D262+E262)*(($F$155)+1)</f>
        <v>596.54088000000002</v>
      </c>
      <c r="G262" s="70"/>
      <c r="H262" s="71"/>
      <c r="I262" s="52"/>
      <c r="J262" s="52"/>
      <c r="L262" s="83"/>
      <c r="M262" s="83"/>
      <c r="N262" s="35"/>
    </row>
    <row r="263" spans="1:14" s="36" customFormat="1" ht="15.75" customHeight="1" x14ac:dyDescent="0.3">
      <c r="A263" s="66">
        <v>8</v>
      </c>
      <c r="B263" s="67"/>
      <c r="C263" s="53" t="s">
        <v>194</v>
      </c>
      <c r="D263" s="54">
        <f t="shared" si="35"/>
        <v>372.83805000000001</v>
      </c>
      <c r="E263" s="53">
        <v>0</v>
      </c>
      <c r="F263" s="53">
        <f t="shared" ref="F263:F264" si="38">(D263+E263)*(($F$155)+1)</f>
        <v>596.54088000000002</v>
      </c>
      <c r="G263" s="70"/>
      <c r="H263" s="71"/>
      <c r="I263" s="52"/>
      <c r="L263" s="83"/>
      <c r="M263" s="83"/>
      <c r="N263" s="35"/>
    </row>
    <row r="264" spans="1:14" s="36" customFormat="1" ht="15.75" customHeight="1" x14ac:dyDescent="0.3">
      <c r="A264" s="66">
        <v>9</v>
      </c>
      <c r="B264" s="67"/>
      <c r="C264" s="53" t="s">
        <v>194</v>
      </c>
      <c r="D264" s="54">
        <f>(4*4.9+1*2.75+4.6*1.5+1.25*1.85+1.5*2.65+8.6*1.5)*(10.764)</f>
        <v>521.38125000000002</v>
      </c>
      <c r="E264" s="53">
        <v>0</v>
      </c>
      <c r="F264" s="53">
        <f t="shared" si="38"/>
        <v>834.21</v>
      </c>
      <c r="G264" s="70"/>
      <c r="H264" s="71"/>
      <c r="I264" s="35"/>
      <c r="L264" s="83"/>
      <c r="M264" s="83"/>
      <c r="N264" s="35"/>
    </row>
    <row r="265" spans="1:14" s="36" customFormat="1" ht="15.75" customHeight="1" x14ac:dyDescent="0.3">
      <c r="A265" s="66">
        <v>10</v>
      </c>
      <c r="B265" s="67"/>
      <c r="C265" s="53" t="s">
        <v>194</v>
      </c>
      <c r="D265" s="54">
        <f t="shared" ref="D265:D272" si="39">(4*6.4+1*2.75+1.25*1.85+1.5*2.65)*(10.764)</f>
        <v>372.83805000000001</v>
      </c>
      <c r="E265" s="53">
        <v>0</v>
      </c>
      <c r="F265" s="53">
        <f>(D265+E265)*(($F$155)+1)</f>
        <v>596.54088000000002</v>
      </c>
      <c r="G265" s="70"/>
      <c r="H265" s="71"/>
      <c r="I265" s="52"/>
      <c r="J265" s="52"/>
      <c r="K265" s="36">
        <v>1.5</v>
      </c>
      <c r="L265" s="83"/>
      <c r="M265" s="83"/>
      <c r="N265" s="35"/>
    </row>
    <row r="266" spans="1:14" s="36" customFormat="1" ht="15.75" customHeight="1" x14ac:dyDescent="0.3">
      <c r="A266" s="66">
        <v>11</v>
      </c>
      <c r="B266" s="67"/>
      <c r="C266" s="53" t="s">
        <v>194</v>
      </c>
      <c r="D266" s="54">
        <f t="shared" si="39"/>
        <v>372.83805000000001</v>
      </c>
      <c r="E266" s="53">
        <v>0</v>
      </c>
      <c r="F266" s="53">
        <f t="shared" ref="F266:F269" si="40">(D266+E266)*(($F$155)+1)</f>
        <v>596.54088000000002</v>
      </c>
      <c r="G266" s="70"/>
      <c r="H266" s="71"/>
      <c r="I266" s="52"/>
      <c r="L266" s="83"/>
      <c r="M266" s="83"/>
      <c r="N266" s="35"/>
    </row>
    <row r="267" spans="1:14" s="36" customFormat="1" ht="15.75" customHeight="1" x14ac:dyDescent="0.3">
      <c r="A267" s="66">
        <v>12</v>
      </c>
      <c r="B267" s="67"/>
      <c r="C267" s="53" t="s">
        <v>194</v>
      </c>
      <c r="D267" s="54">
        <f t="shared" si="39"/>
        <v>372.83805000000001</v>
      </c>
      <c r="E267" s="53">
        <v>0</v>
      </c>
      <c r="F267" s="53">
        <f t="shared" si="40"/>
        <v>596.54088000000002</v>
      </c>
      <c r="G267" s="70"/>
      <c r="H267" s="71"/>
      <c r="I267" s="35"/>
      <c r="L267" s="83"/>
      <c r="M267" s="83"/>
      <c r="N267" s="35"/>
    </row>
    <row r="268" spans="1:14" s="36" customFormat="1" ht="15.75" customHeight="1" x14ac:dyDescent="0.3">
      <c r="A268" s="66">
        <v>13</v>
      </c>
      <c r="B268" s="67"/>
      <c r="C268" s="53" t="s">
        <v>194</v>
      </c>
      <c r="D268" s="54">
        <f t="shared" si="39"/>
        <v>372.83805000000001</v>
      </c>
      <c r="E268" s="53">
        <v>0</v>
      </c>
      <c r="F268" s="53">
        <f t="shared" si="40"/>
        <v>596.54088000000002</v>
      </c>
      <c r="G268" s="70"/>
      <c r="H268" s="71"/>
      <c r="I268" s="52"/>
      <c r="L268" s="83"/>
      <c r="M268" s="83"/>
      <c r="N268" s="35"/>
    </row>
    <row r="269" spans="1:14" s="36" customFormat="1" ht="15.75" customHeight="1" x14ac:dyDescent="0.3">
      <c r="A269" s="66">
        <v>14</v>
      </c>
      <c r="B269" s="67"/>
      <c r="C269" s="53" t="s">
        <v>194</v>
      </c>
      <c r="D269" s="54">
        <f t="shared" si="39"/>
        <v>372.83805000000001</v>
      </c>
      <c r="E269" s="53">
        <v>0</v>
      </c>
      <c r="F269" s="53">
        <f t="shared" si="40"/>
        <v>596.54088000000002</v>
      </c>
      <c r="G269" s="70"/>
      <c r="H269" s="71"/>
      <c r="I269" s="35"/>
      <c r="L269" s="83"/>
      <c r="M269" s="83"/>
      <c r="N269" s="35"/>
    </row>
    <row r="270" spans="1:14" s="36" customFormat="1" ht="15.75" customHeight="1" x14ac:dyDescent="0.3">
      <c r="A270" s="66">
        <v>15</v>
      </c>
      <c r="B270" s="67"/>
      <c r="C270" s="53" t="s">
        <v>194</v>
      </c>
      <c r="D270" s="54">
        <f t="shared" si="39"/>
        <v>372.83805000000001</v>
      </c>
      <c r="E270" s="53">
        <v>0</v>
      </c>
      <c r="F270" s="53">
        <f>(D270+E270)*(($F$155)+1)</f>
        <v>596.54088000000002</v>
      </c>
      <c r="G270" s="70"/>
      <c r="H270" s="71"/>
      <c r="I270" s="52"/>
      <c r="J270" s="52"/>
      <c r="L270" s="83"/>
      <c r="M270" s="83"/>
      <c r="N270" s="35"/>
    </row>
    <row r="271" spans="1:14" s="36" customFormat="1" ht="15.75" customHeight="1" x14ac:dyDescent="0.3">
      <c r="A271" s="66">
        <v>16</v>
      </c>
      <c r="B271" s="67"/>
      <c r="C271" s="53" t="s">
        <v>194</v>
      </c>
      <c r="D271" s="54">
        <f t="shared" si="39"/>
        <v>372.83805000000001</v>
      </c>
      <c r="E271" s="53">
        <v>0</v>
      </c>
      <c r="F271" s="53">
        <f t="shared" ref="F271:F272" si="41">(D271+E271)*(($F$155)+1)</f>
        <v>596.54088000000002</v>
      </c>
      <c r="G271" s="70"/>
      <c r="H271" s="71"/>
      <c r="I271" s="52"/>
      <c r="L271" s="83"/>
      <c r="M271" s="83"/>
      <c r="N271" s="35"/>
    </row>
    <row r="272" spans="1:14" s="36" customFormat="1" ht="15.75" customHeight="1" x14ac:dyDescent="0.3">
      <c r="A272" s="66">
        <v>17</v>
      </c>
      <c r="B272" s="67"/>
      <c r="C272" s="53" t="s">
        <v>194</v>
      </c>
      <c r="D272" s="54">
        <f t="shared" si="39"/>
        <v>372.83805000000001</v>
      </c>
      <c r="E272" s="53">
        <v>0</v>
      </c>
      <c r="F272" s="53">
        <f t="shared" si="41"/>
        <v>596.54088000000002</v>
      </c>
      <c r="G272" s="72"/>
      <c r="H272" s="73"/>
      <c r="I272" s="35"/>
      <c r="L272" s="83"/>
      <c r="M272" s="83"/>
      <c r="N272" s="35"/>
    </row>
    <row r="273" spans="1:8" s="34" customFormat="1" x14ac:dyDescent="0.3">
      <c r="A273" s="118" t="s">
        <v>66</v>
      </c>
      <c r="B273" s="118"/>
      <c r="C273" s="118"/>
      <c r="D273" s="118"/>
      <c r="E273" s="118"/>
      <c r="F273" s="118"/>
      <c r="G273" s="118"/>
      <c r="H273" s="118"/>
    </row>
    <row r="274" spans="1:8" s="34" customFormat="1" ht="33" customHeight="1" x14ac:dyDescent="0.3">
      <c r="A274" s="44" t="s">
        <v>150</v>
      </c>
      <c r="B274" s="58" t="s">
        <v>249</v>
      </c>
      <c r="C274" s="59"/>
      <c r="D274" s="59"/>
      <c r="E274" s="59"/>
      <c r="F274" s="59"/>
      <c r="G274" s="59"/>
      <c r="H274" s="60"/>
    </row>
    <row r="275" spans="1:8" s="34" customFormat="1" x14ac:dyDescent="0.3">
      <c r="A275" s="44" t="s">
        <v>150</v>
      </c>
      <c r="B275" s="58" t="str">
        <f>(IF(F154="Saleable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75" s="59"/>
      <c r="D275" s="59"/>
      <c r="E275" s="59"/>
      <c r="F275" s="59"/>
      <c r="G275" s="59"/>
      <c r="H275" s="60"/>
    </row>
    <row r="276" spans="1:8" s="34" customFormat="1" x14ac:dyDescent="0.3">
      <c r="A276" s="44" t="s">
        <v>150</v>
      </c>
      <c r="B276" s="109" t="s">
        <v>121</v>
      </c>
      <c r="C276" s="110"/>
      <c r="D276" s="110"/>
      <c r="E276" s="110"/>
      <c r="F276" s="110"/>
      <c r="G276" s="110"/>
      <c r="H276" s="111"/>
    </row>
    <row r="277" spans="1:8" s="34" customFormat="1" x14ac:dyDescent="0.3">
      <c r="A277" s="44" t="s">
        <v>150</v>
      </c>
      <c r="B277" s="109" t="s">
        <v>202</v>
      </c>
      <c r="C277" s="110"/>
      <c r="D277" s="110"/>
      <c r="E277" s="110"/>
      <c r="F277" s="110"/>
      <c r="G277" s="110"/>
      <c r="H277" s="111"/>
    </row>
    <row r="278" spans="1:8" s="34" customFormat="1" x14ac:dyDescent="0.3">
      <c r="A278" s="44" t="s">
        <v>150</v>
      </c>
      <c r="B278" s="109" t="s">
        <v>149</v>
      </c>
      <c r="C278" s="110"/>
      <c r="D278" s="110"/>
      <c r="E278" s="110"/>
      <c r="F278" s="110"/>
      <c r="G278" s="110"/>
      <c r="H278" s="111"/>
    </row>
    <row r="279" spans="1:8" s="34" customFormat="1" x14ac:dyDescent="0.3">
      <c r="A279" s="44" t="s">
        <v>150</v>
      </c>
      <c r="B279" s="109" t="s">
        <v>122</v>
      </c>
      <c r="C279" s="110"/>
      <c r="D279" s="110"/>
      <c r="E279" s="110"/>
      <c r="F279" s="110"/>
      <c r="G279" s="110"/>
      <c r="H279" s="111"/>
    </row>
    <row r="280" spans="1:8" s="34" customFormat="1" ht="34.5" customHeight="1" x14ac:dyDescent="0.3">
      <c r="A280" s="44" t="s">
        <v>150</v>
      </c>
      <c r="B280" s="109" t="s">
        <v>151</v>
      </c>
      <c r="C280" s="110"/>
      <c r="D280" s="110"/>
      <c r="E280" s="110"/>
      <c r="F280" s="110"/>
      <c r="G280" s="110"/>
      <c r="H280" s="111"/>
    </row>
    <row r="281" spans="1:8" s="34" customFormat="1" x14ac:dyDescent="0.3">
      <c r="A281" s="44" t="s">
        <v>150</v>
      </c>
      <c r="B281" s="109" t="s">
        <v>123</v>
      </c>
      <c r="C281" s="110"/>
      <c r="D281" s="110"/>
      <c r="E281" s="110"/>
      <c r="F281" s="110"/>
      <c r="G281" s="110"/>
      <c r="H281" s="111"/>
    </row>
    <row r="282" spans="1:8" s="34" customFormat="1" ht="33.75" customHeight="1" x14ac:dyDescent="0.3">
      <c r="A282" s="44" t="s">
        <v>150</v>
      </c>
      <c r="B282" s="58" t="s">
        <v>222</v>
      </c>
      <c r="C282" s="59"/>
      <c r="D282" s="59"/>
      <c r="E282" s="59"/>
      <c r="F282" s="59"/>
      <c r="G282" s="59"/>
      <c r="H282" s="60"/>
    </row>
    <row r="283" spans="1:8" s="34" customFormat="1" x14ac:dyDescent="0.3">
      <c r="A283" s="44" t="s">
        <v>150</v>
      </c>
      <c r="B283" s="58" t="s">
        <v>223</v>
      </c>
      <c r="C283" s="59"/>
      <c r="D283" s="59"/>
      <c r="E283" s="59"/>
      <c r="F283" s="59"/>
      <c r="G283" s="59"/>
      <c r="H283" s="60"/>
    </row>
    <row r="284" spans="1:8" s="34" customFormat="1" x14ac:dyDescent="0.3">
      <c r="A284" s="44" t="s">
        <v>150</v>
      </c>
      <c r="B284" s="58" t="s">
        <v>236</v>
      </c>
      <c r="C284" s="59"/>
      <c r="D284" s="59"/>
      <c r="E284" s="59"/>
      <c r="F284" s="59"/>
      <c r="G284" s="59"/>
      <c r="H284" s="60"/>
    </row>
    <row r="285" spans="1:8" s="34" customFormat="1" ht="50.25" customHeight="1" x14ac:dyDescent="0.3">
      <c r="A285" s="44" t="s">
        <v>150</v>
      </c>
      <c r="B285" s="58" t="s">
        <v>246</v>
      </c>
      <c r="C285" s="59"/>
      <c r="D285" s="59"/>
      <c r="E285" s="59"/>
      <c r="F285" s="59"/>
      <c r="G285" s="59"/>
      <c r="H285" s="60"/>
    </row>
    <row r="286" spans="1:8" s="34" customFormat="1" x14ac:dyDescent="0.3">
      <c r="A286" s="44" t="s">
        <v>150</v>
      </c>
      <c r="B286" s="58" t="s">
        <v>244</v>
      </c>
      <c r="C286" s="59"/>
      <c r="D286" s="59"/>
      <c r="E286" s="59"/>
      <c r="F286" s="59"/>
      <c r="G286" s="59"/>
      <c r="H286" s="60"/>
    </row>
    <row r="287" spans="1:8" x14ac:dyDescent="0.3">
      <c r="A287" s="102" t="s">
        <v>59</v>
      </c>
      <c r="B287" s="102"/>
      <c r="C287" s="102"/>
      <c r="D287" s="102"/>
      <c r="E287" s="102"/>
      <c r="F287" s="102"/>
      <c r="G287" s="102"/>
      <c r="H287" s="102"/>
    </row>
    <row r="288" spans="1:8" x14ac:dyDescent="0.3">
      <c r="A288" s="90" t="s">
        <v>60</v>
      </c>
      <c r="B288" s="90"/>
      <c r="C288" s="90"/>
      <c r="D288" s="90"/>
      <c r="E288" s="90"/>
      <c r="F288" s="90"/>
      <c r="G288" s="90"/>
      <c r="H288" s="90"/>
    </row>
    <row r="289" spans="1:8" ht="15.75" customHeight="1" x14ac:dyDescent="0.3">
      <c r="A289" s="132" t="s">
        <v>61</v>
      </c>
      <c r="B289" s="132"/>
      <c r="C289" s="132"/>
      <c r="D289" s="132"/>
      <c r="E289" s="132"/>
      <c r="F289" s="132"/>
      <c r="G289" s="132"/>
      <c r="H289" s="132"/>
    </row>
    <row r="290" spans="1:8" x14ac:dyDescent="0.3">
      <c r="A290" s="90" t="s">
        <v>62</v>
      </c>
      <c r="B290" s="90"/>
      <c r="C290" s="90"/>
      <c r="D290" s="90"/>
      <c r="E290" s="90"/>
      <c r="F290" s="90"/>
      <c r="G290" s="90"/>
      <c r="H290" s="90"/>
    </row>
    <row r="291" spans="1:8" x14ac:dyDescent="0.3">
      <c r="A291" s="90" t="s">
        <v>63</v>
      </c>
      <c r="B291" s="90"/>
      <c r="C291" s="90"/>
      <c r="D291" s="90"/>
      <c r="E291" s="90"/>
      <c r="F291" s="90"/>
      <c r="G291" s="90"/>
      <c r="H291" s="90"/>
    </row>
    <row r="292" spans="1:8" x14ac:dyDescent="0.3">
      <c r="A292" s="90" t="s">
        <v>124</v>
      </c>
      <c r="B292" s="90"/>
      <c r="C292" s="90"/>
      <c r="D292" s="90"/>
      <c r="E292" s="90"/>
      <c r="F292" s="90"/>
      <c r="G292" s="90"/>
      <c r="H292" s="90"/>
    </row>
    <row r="293" spans="1:8" x14ac:dyDescent="0.3">
      <c r="A293" s="103" t="s">
        <v>125</v>
      </c>
      <c r="B293" s="103"/>
      <c r="C293" s="103"/>
      <c r="D293" s="103"/>
      <c r="E293" s="103"/>
      <c r="F293" s="103"/>
      <c r="G293" s="103"/>
      <c r="H293" s="103"/>
    </row>
    <row r="294" spans="1:8" x14ac:dyDescent="0.3">
      <c r="A294" s="129" t="s">
        <v>75</v>
      </c>
      <c r="B294" s="129"/>
      <c r="C294" s="129" t="s">
        <v>251</v>
      </c>
      <c r="D294" s="129"/>
      <c r="E294" s="129" t="s">
        <v>104</v>
      </c>
      <c r="F294" s="129"/>
      <c r="G294" s="129" t="s">
        <v>250</v>
      </c>
      <c r="H294" s="129"/>
    </row>
    <row r="295" spans="1:8" x14ac:dyDescent="0.3">
      <c r="A295" s="128" t="s">
        <v>77</v>
      </c>
      <c r="B295" s="128"/>
      <c r="C295" s="128"/>
      <c r="D295" s="128"/>
      <c r="E295" s="128"/>
      <c r="F295" s="128"/>
      <c r="G295" s="128"/>
      <c r="H295" s="128"/>
    </row>
    <row r="296" spans="1:8" x14ac:dyDescent="0.3">
      <c r="A296" s="128"/>
      <c r="B296" s="128"/>
      <c r="C296" s="128"/>
      <c r="D296" s="128"/>
      <c r="E296" s="128"/>
      <c r="F296" s="128"/>
      <c r="G296" s="128"/>
      <c r="H296" s="128"/>
    </row>
    <row r="297" spans="1:8" x14ac:dyDescent="0.3">
      <c r="A297" s="128"/>
      <c r="B297" s="128"/>
      <c r="C297" s="128"/>
      <c r="D297" s="128"/>
      <c r="E297" s="128"/>
      <c r="F297" s="128"/>
      <c r="G297" s="128"/>
      <c r="H297" s="128"/>
    </row>
    <row r="298" spans="1:8" x14ac:dyDescent="0.3">
      <c r="A298" s="128"/>
      <c r="B298" s="128"/>
      <c r="C298" s="128"/>
      <c r="D298" s="128"/>
      <c r="E298" s="128"/>
      <c r="F298" s="128"/>
      <c r="G298" s="128"/>
      <c r="H298" s="128"/>
    </row>
    <row r="299" spans="1:8" x14ac:dyDescent="0.3">
      <c r="A299" s="37" t="s">
        <v>64</v>
      </c>
      <c r="B299" s="38"/>
      <c r="C299" s="38"/>
      <c r="D299" s="37" t="str">
        <f>E8</f>
        <v>Plan M Business Park</v>
      </c>
      <c r="F299" s="38"/>
      <c r="G299" s="38"/>
      <c r="H299" s="38"/>
    </row>
    <row r="300" spans="1:8" x14ac:dyDescent="0.3">
      <c r="A300" s="38"/>
      <c r="B300" s="38"/>
      <c r="C300" s="38"/>
      <c r="D300" s="38"/>
      <c r="E300" s="38"/>
      <c r="F300" s="38"/>
      <c r="G300" s="38"/>
      <c r="H300" s="38"/>
    </row>
    <row r="301" spans="1:8" x14ac:dyDescent="0.3">
      <c r="A301" s="38"/>
      <c r="B301" s="38"/>
      <c r="C301" s="38"/>
      <c r="D301" s="38"/>
      <c r="E301" s="38"/>
      <c r="F301" s="38"/>
      <c r="G301" s="38"/>
      <c r="H301" s="38"/>
    </row>
    <row r="302" spans="1:8" ht="15" customHeight="1" x14ac:dyDescent="0.3"/>
    <row r="341" spans="1:1" x14ac:dyDescent="0.3">
      <c r="A341" s="40" t="s">
        <v>159</v>
      </c>
    </row>
    <row r="381" spans="1:1" x14ac:dyDescent="0.3">
      <c r="A381" s="40" t="s">
        <v>235</v>
      </c>
    </row>
    <row r="423" spans="1:1" x14ac:dyDescent="0.3">
      <c r="A423" s="40" t="s">
        <v>65</v>
      </c>
    </row>
  </sheetData>
  <mergeCells count="539">
    <mergeCell ref="B286:H286"/>
    <mergeCell ref="A128:B129"/>
    <mergeCell ref="C128:D129"/>
    <mergeCell ref="E128:E129"/>
    <mergeCell ref="F128:G129"/>
    <mergeCell ref="H128:H129"/>
    <mergeCell ref="G117:H117"/>
    <mergeCell ref="A118:B118"/>
    <mergeCell ref="E118:F127"/>
    <mergeCell ref="G118:H127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F138:H138"/>
    <mergeCell ref="A131:E131"/>
    <mergeCell ref="A157:H157"/>
    <mergeCell ref="E154:E155"/>
    <mergeCell ref="G154:H155"/>
    <mergeCell ref="A38:B38"/>
    <mergeCell ref="C38:H38"/>
    <mergeCell ref="G103:H103"/>
    <mergeCell ref="A102:B102"/>
    <mergeCell ref="C102:H102"/>
    <mergeCell ref="A103:B103"/>
    <mergeCell ref="A85:B85"/>
    <mergeCell ref="D66:H66"/>
    <mergeCell ref="A42:D42"/>
    <mergeCell ref="E42:H42"/>
    <mergeCell ref="E43:H43"/>
    <mergeCell ref="E44:H44"/>
    <mergeCell ref="E45:H45"/>
    <mergeCell ref="D64:H64"/>
    <mergeCell ref="A61:C64"/>
    <mergeCell ref="A52:B53"/>
    <mergeCell ref="C52:E52"/>
    <mergeCell ref="G52:H52"/>
    <mergeCell ref="C53:H53"/>
    <mergeCell ref="A83:B83"/>
    <mergeCell ref="A100:B100"/>
    <mergeCell ref="C100:H100"/>
    <mergeCell ref="A90:B90"/>
    <mergeCell ref="E90:F99"/>
    <mergeCell ref="L159:M159"/>
    <mergeCell ref="L158:M158"/>
    <mergeCell ref="A137:E137"/>
    <mergeCell ref="F137:H137"/>
    <mergeCell ref="A138:E138"/>
    <mergeCell ref="A139:E139"/>
    <mergeCell ref="A227:B227"/>
    <mergeCell ref="L227:M227"/>
    <mergeCell ref="A228:B228"/>
    <mergeCell ref="L228:M228"/>
    <mergeCell ref="A163:B163"/>
    <mergeCell ref="L163:M163"/>
    <mergeCell ref="L161:M161"/>
    <mergeCell ref="L160:M160"/>
    <mergeCell ref="L162:M162"/>
    <mergeCell ref="L203:M203"/>
    <mergeCell ref="A204:B204"/>
    <mergeCell ref="L204:M204"/>
    <mergeCell ref="A205:B205"/>
    <mergeCell ref="L205:M205"/>
    <mergeCell ref="A206:B206"/>
    <mergeCell ref="L206:M206"/>
    <mergeCell ref="A188:H188"/>
    <mergeCell ref="G220:H236"/>
    <mergeCell ref="A97:B97"/>
    <mergeCell ref="A98:B98"/>
    <mergeCell ref="E104:F113"/>
    <mergeCell ref="F130:H130"/>
    <mergeCell ref="A142:E142"/>
    <mergeCell ref="C148:D148"/>
    <mergeCell ref="E148:F148"/>
    <mergeCell ref="G148:H148"/>
    <mergeCell ref="A151:B151"/>
    <mergeCell ref="C151:D151"/>
    <mergeCell ref="A140:E140"/>
    <mergeCell ref="F134:H134"/>
    <mergeCell ref="A99:B99"/>
    <mergeCell ref="A104:B104"/>
    <mergeCell ref="G90:H99"/>
    <mergeCell ref="A91:B91"/>
    <mergeCell ref="A92:B92"/>
    <mergeCell ref="A93:B93"/>
    <mergeCell ref="A111:B111"/>
    <mergeCell ref="A112:B112"/>
    <mergeCell ref="A114:B114"/>
    <mergeCell ref="C114:H114"/>
    <mergeCell ref="A113:B113"/>
    <mergeCell ref="A37:B37"/>
    <mergeCell ref="C37:H37"/>
    <mergeCell ref="A44:D44"/>
    <mergeCell ref="E103:F103"/>
    <mergeCell ref="A130:E130"/>
    <mergeCell ref="F135:H135"/>
    <mergeCell ref="D60:H60"/>
    <mergeCell ref="A60:C60"/>
    <mergeCell ref="G49:H49"/>
    <mergeCell ref="A50:B51"/>
    <mergeCell ref="A82:B82"/>
    <mergeCell ref="A75:B75"/>
    <mergeCell ref="A78:B78"/>
    <mergeCell ref="A74:B74"/>
    <mergeCell ref="A72:B72"/>
    <mergeCell ref="C72:H72"/>
    <mergeCell ref="A80:B80"/>
    <mergeCell ref="A67:C67"/>
    <mergeCell ref="D67:H67"/>
    <mergeCell ref="C74:H74"/>
    <mergeCell ref="A47:B47"/>
    <mergeCell ref="C47:H47"/>
    <mergeCell ref="A105:B105"/>
    <mergeCell ref="A106:B106"/>
    <mergeCell ref="A36:H36"/>
    <mergeCell ref="A35:B35"/>
    <mergeCell ref="C35:E35"/>
    <mergeCell ref="G104:H113"/>
    <mergeCell ref="A40:D40"/>
    <mergeCell ref="E40:H40"/>
    <mergeCell ref="F32:H32"/>
    <mergeCell ref="F33:H33"/>
    <mergeCell ref="A39:H39"/>
    <mergeCell ref="A65:C65"/>
    <mergeCell ref="A66:C66"/>
    <mergeCell ref="D65:H65"/>
    <mergeCell ref="E76:F85"/>
    <mergeCell ref="G76:H85"/>
    <mergeCell ref="A84:B84"/>
    <mergeCell ref="A88:B88"/>
    <mergeCell ref="C88:H88"/>
    <mergeCell ref="A89:B89"/>
    <mergeCell ref="E89:F89"/>
    <mergeCell ref="G89:H89"/>
    <mergeCell ref="A43:D43"/>
    <mergeCell ref="F35:H35"/>
    <mergeCell ref="A45:D45"/>
    <mergeCell ref="A46:H46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77:B77"/>
    <mergeCell ref="A79:B79"/>
    <mergeCell ref="E75:F75"/>
    <mergeCell ref="A68:C68"/>
    <mergeCell ref="D68:H68"/>
    <mergeCell ref="A71:C71"/>
    <mergeCell ref="D71:H71"/>
    <mergeCell ref="A69:C69"/>
    <mergeCell ref="D69:H69"/>
    <mergeCell ref="A70:C70"/>
    <mergeCell ref="D70:H70"/>
    <mergeCell ref="A76:B76"/>
    <mergeCell ref="G75:H75"/>
    <mergeCell ref="A295:H298"/>
    <mergeCell ref="A294:B294"/>
    <mergeCell ref="E294:F294"/>
    <mergeCell ref="C294:D294"/>
    <mergeCell ref="G294:H294"/>
    <mergeCell ref="A145:H145"/>
    <mergeCell ref="A143:E143"/>
    <mergeCell ref="F143:H143"/>
    <mergeCell ref="A144:E144"/>
    <mergeCell ref="F144:H144"/>
    <mergeCell ref="A290:H290"/>
    <mergeCell ref="A293:H293"/>
    <mergeCell ref="A291:H291"/>
    <mergeCell ref="A287:H287"/>
    <mergeCell ref="A165:B165"/>
    <mergeCell ref="G165:H167"/>
    <mergeCell ref="A215:H215"/>
    <mergeCell ref="A219:H219"/>
    <mergeCell ref="B274:H274"/>
    <mergeCell ref="A233:B233"/>
    <mergeCell ref="A292:H292"/>
    <mergeCell ref="A289:H289"/>
    <mergeCell ref="B282:H282"/>
    <mergeCell ref="B276:H276"/>
    <mergeCell ref="A160:B160"/>
    <mergeCell ref="A156:H156"/>
    <mergeCell ref="C150:D150"/>
    <mergeCell ref="E150:F150"/>
    <mergeCell ref="G150:H150"/>
    <mergeCell ref="E151:F151"/>
    <mergeCell ref="G151:H151"/>
    <mergeCell ref="A132:E132"/>
    <mergeCell ref="D154:D155"/>
    <mergeCell ref="A135:E135"/>
    <mergeCell ref="A158:B158"/>
    <mergeCell ref="A159:B159"/>
    <mergeCell ref="A134:E134"/>
    <mergeCell ref="A136:E136"/>
    <mergeCell ref="F136:H136"/>
    <mergeCell ref="F132:H132"/>
    <mergeCell ref="G147:H147"/>
    <mergeCell ref="C149:D149"/>
    <mergeCell ref="E149:F149"/>
    <mergeCell ref="G149:H149"/>
    <mergeCell ref="A147:A148"/>
    <mergeCell ref="G158:H163"/>
    <mergeCell ref="A273:H273"/>
    <mergeCell ref="B280:H280"/>
    <mergeCell ref="B278:H278"/>
    <mergeCell ref="B283:H283"/>
    <mergeCell ref="A162:B162"/>
    <mergeCell ref="A164:H164"/>
    <mergeCell ref="A107:B107"/>
    <mergeCell ref="A108:B108"/>
    <mergeCell ref="A109:B109"/>
    <mergeCell ref="C154:C155"/>
    <mergeCell ref="A161:B161"/>
    <mergeCell ref="A116:B116"/>
    <mergeCell ref="C116:H116"/>
    <mergeCell ref="A117:B117"/>
    <mergeCell ref="E117:F117"/>
    <mergeCell ref="A234:B234"/>
    <mergeCell ref="A235:B235"/>
    <mergeCell ref="A236:B236"/>
    <mergeCell ref="A229:B229"/>
    <mergeCell ref="A230:B230"/>
    <mergeCell ref="A231:B231"/>
    <mergeCell ref="A232:B232"/>
    <mergeCell ref="A133:E133"/>
    <mergeCell ref="F133:H133"/>
    <mergeCell ref="A58:C58"/>
    <mergeCell ref="A59:C59"/>
    <mergeCell ref="D59:H59"/>
    <mergeCell ref="C51:H51"/>
    <mergeCell ref="A54:B55"/>
    <mergeCell ref="C54:E54"/>
    <mergeCell ref="A288:H288"/>
    <mergeCell ref="B281:H281"/>
    <mergeCell ref="B279:H279"/>
    <mergeCell ref="B275:H275"/>
    <mergeCell ref="F139:H139"/>
    <mergeCell ref="C146:D146"/>
    <mergeCell ref="F142:H142"/>
    <mergeCell ref="F140:H140"/>
    <mergeCell ref="A153:H153"/>
    <mergeCell ref="G146:H146"/>
    <mergeCell ref="A141:E141"/>
    <mergeCell ref="C147:D147"/>
    <mergeCell ref="E147:F147"/>
    <mergeCell ref="B154:B155"/>
    <mergeCell ref="A154:A155"/>
    <mergeCell ref="A176:B176"/>
    <mergeCell ref="G176:H181"/>
    <mergeCell ref="B277:H277"/>
    <mergeCell ref="L177:M177"/>
    <mergeCell ref="A178:B178"/>
    <mergeCell ref="L178:M178"/>
    <mergeCell ref="A183:H183"/>
    <mergeCell ref="A184:H184"/>
    <mergeCell ref="A185:H185"/>
    <mergeCell ref="E41:H41"/>
    <mergeCell ref="A41:D41"/>
    <mergeCell ref="A86:B86"/>
    <mergeCell ref="C86:H86"/>
    <mergeCell ref="A81:B81"/>
    <mergeCell ref="A48:B48"/>
    <mergeCell ref="C48:E48"/>
    <mergeCell ref="G48:H48"/>
    <mergeCell ref="G50:H50"/>
    <mergeCell ref="D58:H58"/>
    <mergeCell ref="C50:E50"/>
    <mergeCell ref="D61:H61"/>
    <mergeCell ref="D62:H62"/>
    <mergeCell ref="C49:E49"/>
    <mergeCell ref="A56:B56"/>
    <mergeCell ref="C56:E56"/>
    <mergeCell ref="A49:B49"/>
    <mergeCell ref="A57:H57"/>
    <mergeCell ref="A200:B200"/>
    <mergeCell ref="L200:M200"/>
    <mergeCell ref="A201:B201"/>
    <mergeCell ref="L201:M201"/>
    <mergeCell ref="A182:H182"/>
    <mergeCell ref="A217:H217"/>
    <mergeCell ref="L165:M165"/>
    <mergeCell ref="A166:B166"/>
    <mergeCell ref="L166:M166"/>
    <mergeCell ref="A167:B167"/>
    <mergeCell ref="L167:M167"/>
    <mergeCell ref="L197:M197"/>
    <mergeCell ref="A168:H168"/>
    <mergeCell ref="A169:B169"/>
    <mergeCell ref="L169:M169"/>
    <mergeCell ref="A170:B170"/>
    <mergeCell ref="L170:M170"/>
    <mergeCell ref="A171:B171"/>
    <mergeCell ref="L171:M171"/>
    <mergeCell ref="A172:B172"/>
    <mergeCell ref="L172:M172"/>
    <mergeCell ref="A175:H175"/>
    <mergeCell ref="L176:M176"/>
    <mergeCell ref="A177:B177"/>
    <mergeCell ref="A179:B179"/>
    <mergeCell ref="L179:M179"/>
    <mergeCell ref="A180:B180"/>
    <mergeCell ref="L180:M180"/>
    <mergeCell ref="A181:B181"/>
    <mergeCell ref="L181:M181"/>
    <mergeCell ref="A198:B198"/>
    <mergeCell ref="L198:M198"/>
    <mergeCell ref="A199:B199"/>
    <mergeCell ref="L199:M199"/>
    <mergeCell ref="A186:H186"/>
    <mergeCell ref="L248:M248"/>
    <mergeCell ref="A173:B173"/>
    <mergeCell ref="L173:M173"/>
    <mergeCell ref="A174:B174"/>
    <mergeCell ref="L174:M174"/>
    <mergeCell ref="G169:H174"/>
    <mergeCell ref="A187:H187"/>
    <mergeCell ref="A189:H189"/>
    <mergeCell ref="A190:B190"/>
    <mergeCell ref="G190:H201"/>
    <mergeCell ref="L190:M190"/>
    <mergeCell ref="A191:B191"/>
    <mergeCell ref="L191:M191"/>
    <mergeCell ref="A192:B192"/>
    <mergeCell ref="L192:M192"/>
    <mergeCell ref="A193:B193"/>
    <mergeCell ref="L193:M193"/>
    <mergeCell ref="A194:B194"/>
    <mergeCell ref="L194:M194"/>
    <mergeCell ref="A195:B195"/>
    <mergeCell ref="L195:M195"/>
    <mergeCell ref="A196:B196"/>
    <mergeCell ref="L196:M196"/>
    <mergeCell ref="A197:B197"/>
    <mergeCell ref="L243:M243"/>
    <mergeCell ref="A244:B244"/>
    <mergeCell ref="L244:M244"/>
    <mergeCell ref="A245:B245"/>
    <mergeCell ref="L245:M245"/>
    <mergeCell ref="A246:B246"/>
    <mergeCell ref="L246:M246"/>
    <mergeCell ref="A247:B247"/>
    <mergeCell ref="L247:M247"/>
    <mergeCell ref="L238:M238"/>
    <mergeCell ref="A239:B239"/>
    <mergeCell ref="L239:M239"/>
    <mergeCell ref="A240:B240"/>
    <mergeCell ref="L240:M240"/>
    <mergeCell ref="A241:B241"/>
    <mergeCell ref="L241:M241"/>
    <mergeCell ref="A242:B242"/>
    <mergeCell ref="L242:M242"/>
    <mergeCell ref="L213:M213"/>
    <mergeCell ref="A214:B214"/>
    <mergeCell ref="L214:M214"/>
    <mergeCell ref="C213:F214"/>
    <mergeCell ref="A237:H237"/>
    <mergeCell ref="A267:B267"/>
    <mergeCell ref="L267:M267"/>
    <mergeCell ref="A268:B268"/>
    <mergeCell ref="L268:M268"/>
    <mergeCell ref="L264:M264"/>
    <mergeCell ref="A265:B265"/>
    <mergeCell ref="L265:M265"/>
    <mergeCell ref="A253:B253"/>
    <mergeCell ref="L253:M253"/>
    <mergeCell ref="A254:B254"/>
    <mergeCell ref="L254:M254"/>
    <mergeCell ref="A255:H255"/>
    <mergeCell ref="A213:B213"/>
    <mergeCell ref="A249:B249"/>
    <mergeCell ref="L249:M249"/>
    <mergeCell ref="A250:B250"/>
    <mergeCell ref="L250:M250"/>
    <mergeCell ref="A251:B251"/>
    <mergeCell ref="L251:M251"/>
    <mergeCell ref="L269:M269"/>
    <mergeCell ref="A270:B270"/>
    <mergeCell ref="L270:M270"/>
    <mergeCell ref="G256:H272"/>
    <mergeCell ref="L256:M256"/>
    <mergeCell ref="A257:B257"/>
    <mergeCell ref="L257:M257"/>
    <mergeCell ref="A258:B258"/>
    <mergeCell ref="L258:M258"/>
    <mergeCell ref="A259:B259"/>
    <mergeCell ref="L259:M259"/>
    <mergeCell ref="A260:B260"/>
    <mergeCell ref="L260:M260"/>
    <mergeCell ref="A261:B261"/>
    <mergeCell ref="L261:M261"/>
    <mergeCell ref="A262:B262"/>
    <mergeCell ref="L262:M262"/>
    <mergeCell ref="A266:B266"/>
    <mergeCell ref="L266:M266"/>
    <mergeCell ref="A256:B256"/>
    <mergeCell ref="A263:B263"/>
    <mergeCell ref="L263:M263"/>
    <mergeCell ref="A264:B264"/>
    <mergeCell ref="A271:B271"/>
    <mergeCell ref="A220:B220"/>
    <mergeCell ref="A218:H218"/>
    <mergeCell ref="L233:M233"/>
    <mergeCell ref="L234:M234"/>
    <mergeCell ref="L235:M235"/>
    <mergeCell ref="L236:M236"/>
    <mergeCell ref="L229:M229"/>
    <mergeCell ref="L230:M230"/>
    <mergeCell ref="L231:M231"/>
    <mergeCell ref="L232:M232"/>
    <mergeCell ref="A223:B223"/>
    <mergeCell ref="L223:M223"/>
    <mergeCell ref="A224:B224"/>
    <mergeCell ref="L224:M224"/>
    <mergeCell ref="A225:B225"/>
    <mergeCell ref="L225:M225"/>
    <mergeCell ref="A226:B226"/>
    <mergeCell ref="L226:M226"/>
    <mergeCell ref="A272:B272"/>
    <mergeCell ref="L272:M272"/>
    <mergeCell ref="A202:H202"/>
    <mergeCell ref="G203:H214"/>
    <mergeCell ref="A207:B207"/>
    <mergeCell ref="L207:M207"/>
    <mergeCell ref="A208:B208"/>
    <mergeCell ref="L208:M208"/>
    <mergeCell ref="A209:B209"/>
    <mergeCell ref="L209:M209"/>
    <mergeCell ref="A210:B210"/>
    <mergeCell ref="L210:M210"/>
    <mergeCell ref="A211:B211"/>
    <mergeCell ref="L211:M211"/>
    <mergeCell ref="A212:B212"/>
    <mergeCell ref="L212:M212"/>
    <mergeCell ref="A252:B252"/>
    <mergeCell ref="L252:M252"/>
    <mergeCell ref="L220:M220"/>
    <mergeCell ref="A221:B221"/>
    <mergeCell ref="L221:M221"/>
    <mergeCell ref="A222:B222"/>
    <mergeCell ref="L222:M222"/>
    <mergeCell ref="A216:H216"/>
    <mergeCell ref="B285:H285"/>
    <mergeCell ref="J10:M11"/>
    <mergeCell ref="B284:H284"/>
    <mergeCell ref="G54:H54"/>
    <mergeCell ref="C55:E55"/>
    <mergeCell ref="G55:H55"/>
    <mergeCell ref="A269:B269"/>
    <mergeCell ref="A238:B238"/>
    <mergeCell ref="G238:H254"/>
    <mergeCell ref="A243:B243"/>
    <mergeCell ref="A248:B248"/>
    <mergeCell ref="A203:B203"/>
    <mergeCell ref="G56:H56"/>
    <mergeCell ref="D63:H63"/>
    <mergeCell ref="F141:H141"/>
    <mergeCell ref="E146:F146"/>
    <mergeCell ref="A146:B146"/>
    <mergeCell ref="A152:H152"/>
    <mergeCell ref="A94:B94"/>
    <mergeCell ref="A95:B95"/>
    <mergeCell ref="A96:B96"/>
    <mergeCell ref="A110:B110"/>
    <mergeCell ref="F131:H131"/>
    <mergeCell ref="L271:M271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38" max="16383" man="1"/>
    <brk id="99" max="16383" man="1"/>
    <brk id="298" max="16383" man="1"/>
    <brk id="340" max="16383" man="1"/>
    <brk id="380" max="16383" man="1"/>
    <brk id="42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81" t="s">
        <v>105</v>
      </c>
      <c r="C3" s="181"/>
      <c r="D3" s="181"/>
      <c r="E3" s="181"/>
      <c r="F3" s="181"/>
      <c r="G3" s="181"/>
      <c r="H3" s="181"/>
    </row>
    <row r="4" spans="1:9" x14ac:dyDescent="0.3">
      <c r="A4" s="2"/>
      <c r="B4" s="3" t="s">
        <v>106</v>
      </c>
      <c r="C4" s="3" t="s">
        <v>107</v>
      </c>
      <c r="D4" s="3" t="s">
        <v>67</v>
      </c>
      <c r="E4" s="3" t="s">
        <v>108</v>
      </c>
      <c r="F4" s="3" t="s">
        <v>114</v>
      </c>
      <c r="G4" s="3" t="s">
        <v>115</v>
      </c>
      <c r="H4" s="3" t="s">
        <v>109</v>
      </c>
    </row>
    <row r="5" spans="1:9" ht="15" customHeight="1" x14ac:dyDescent="0.3">
      <c r="A5" s="2"/>
      <c r="B5" s="5" t="s">
        <v>110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110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110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110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110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111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111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112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113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2025-08-22T06:22:24Z</cp:lastPrinted>
  <dcterms:created xsi:type="dcterms:W3CDTF">2019-07-16T09:29:46Z</dcterms:created>
  <dcterms:modified xsi:type="dcterms:W3CDTF">2025-08-22T06:23:44Z</dcterms:modified>
</cp:coreProperties>
</file>