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K:\VSJ Work\Aug 25\Axis Dump\"/>
    </mc:Choice>
  </mc:AlternateContent>
  <xr:revisionPtr revIDLastSave="0" documentId="13_ncr:1_{BE2C4CF0-E07E-47E4-B3AB-DC2F25EE87E3}" xr6:coauthVersionLast="47" xr6:coauthVersionMax="47" xr10:uidLastSave="{00000000-0000-0000-0000-000000000000}"/>
  <bookViews>
    <workbookView xWindow="-108" yWindow="-108" windowWidth="23256" windowHeight="12456" xr2:uid="{00000000-000D-0000-FFFF-FFFF00000000}"/>
  </bookViews>
  <sheets>
    <sheet name="Report (2)" sheetId="1" r:id="rId1"/>
    <sheet name="Sheet1" sheetId="4" r:id="rId2"/>
    <sheet name="C%" sheetId="2" r:id="rId3"/>
    <sheet name="VALUATION" sheetId="5" r:id="rId4"/>
    <sheet name="Flat detail" sheetId="3" r:id="rId5"/>
  </sheets>
  <definedNames>
    <definedName name="_xlnm.Print_Area" localSheetId="0">'Report (2)'!$A$1:$J$250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61" i="1" l="1"/>
  <c r="L46" i="1"/>
  <c r="C54" i="1"/>
  <c r="G102" i="1"/>
  <c r="D115" i="1"/>
  <c r="G115" i="1" s="1"/>
  <c r="D113" i="1"/>
  <c r="G113" i="1" s="1"/>
  <c r="D112" i="1"/>
  <c r="G112" i="1" s="1"/>
  <c r="D110" i="1"/>
  <c r="G110" i="1" s="1"/>
  <c r="D109" i="1"/>
  <c r="G109" i="1" s="1"/>
  <c r="D107" i="1"/>
  <c r="G107" i="1" s="1"/>
  <c r="D106" i="1"/>
  <c r="D104" i="1"/>
  <c r="G104" i="1" s="1"/>
  <c r="D103" i="1"/>
  <c r="G103" i="1" s="1"/>
  <c r="D102" i="1"/>
  <c r="D100" i="1"/>
  <c r="G100" i="1" s="1"/>
  <c r="D99" i="1"/>
  <c r="G99" i="1" s="1"/>
  <c r="D98" i="1"/>
  <c r="G98" i="1" s="1"/>
  <c r="S93" i="1"/>
  <c r="D131" i="1"/>
  <c r="G131" i="1" s="1"/>
  <c r="H130" i="1"/>
  <c r="D130" i="1"/>
  <c r="G130" i="1" s="1"/>
  <c r="H106" i="1"/>
  <c r="H109" i="1"/>
  <c r="H112" i="1"/>
  <c r="H115" i="1"/>
  <c r="H118" i="1"/>
  <c r="H121" i="1"/>
  <c r="H124" i="1"/>
  <c r="H127" i="1"/>
  <c r="H133" i="1"/>
  <c r="H136" i="1"/>
  <c r="H139" i="1"/>
  <c r="H144" i="1"/>
  <c r="H147" i="1"/>
  <c r="D147" i="1"/>
  <c r="G147" i="1" s="1"/>
  <c r="D144" i="1"/>
  <c r="G144" i="1" s="1"/>
  <c r="H150" i="1"/>
  <c r="D150" i="1"/>
  <c r="G150" i="1" s="1"/>
  <c r="D142" i="1"/>
  <c r="G142" i="1" s="1"/>
  <c r="D140" i="1"/>
  <c r="G140" i="1" s="1"/>
  <c r="D139" i="1"/>
  <c r="G139" i="1" s="1"/>
  <c r="D134" i="1"/>
  <c r="G134" i="1" s="1"/>
  <c r="D133" i="1"/>
  <c r="G133" i="1" s="1"/>
  <c r="D128" i="1"/>
  <c r="G128" i="1" s="1"/>
  <c r="D127" i="1"/>
  <c r="G127" i="1" s="1"/>
  <c r="D125" i="1"/>
  <c r="G125" i="1" s="1"/>
  <c r="D124" i="1"/>
  <c r="G124" i="1" s="1"/>
  <c r="D121" i="1"/>
  <c r="G121" i="1" s="1"/>
  <c r="D119" i="1"/>
  <c r="D118" i="1"/>
  <c r="D96" i="1"/>
  <c r="G96" i="1" s="1"/>
  <c r="C13" i="1"/>
  <c r="L127" i="1" l="1"/>
  <c r="L130" i="1"/>
  <c r="F3" i="1"/>
  <c r="L65" i="1"/>
  <c r="L64" i="1"/>
  <c r="L63" i="1"/>
  <c r="L62" i="1"/>
  <c r="I55" i="1"/>
  <c r="L58" i="1" l="1"/>
  <c r="D67" i="1"/>
  <c r="D65" i="1"/>
  <c r="D63" i="1"/>
  <c r="D61" i="1"/>
  <c r="L59" i="1"/>
  <c r="C58" i="1" s="1"/>
  <c r="D58" i="1" s="1"/>
  <c r="L57" i="1"/>
  <c r="L60" i="1"/>
  <c r="L61" i="1" s="1"/>
  <c r="L66" i="1" s="1"/>
  <c r="L67" i="1" s="1"/>
  <c r="C59" i="1" s="1"/>
  <c r="D66" i="1"/>
  <c r="D64" i="1"/>
  <c r="D62" i="1"/>
  <c r="D60" i="1"/>
  <c r="L72" i="1"/>
  <c r="F8" i="5"/>
  <c r="F7" i="5"/>
  <c r="F58" i="1" l="1"/>
  <c r="K54" i="1" s="1"/>
  <c r="C56" i="1" s="1"/>
  <c r="D59" i="1"/>
  <c r="H58" i="1"/>
  <c r="C8" i="2"/>
  <c r="C10" i="2" s="1"/>
  <c r="G8" i="5" l="1"/>
  <c r="G7" i="5"/>
  <c r="G6" i="5"/>
  <c r="G5" i="5"/>
  <c r="G9" i="5" l="1"/>
  <c r="L81" i="1"/>
  <c r="H102" i="1"/>
  <c r="H98" i="1"/>
  <c r="H94" i="1"/>
  <c r="C2" i="4"/>
  <c r="C3" i="4"/>
  <c r="C1" i="4"/>
  <c r="H142" i="1"/>
  <c r="D136" i="1"/>
  <c r="G136" i="1" s="1"/>
  <c r="L133" i="1"/>
  <c r="D122" i="1"/>
  <c r="L121" i="1"/>
  <c r="F119" i="1"/>
  <c r="G119" i="1" s="1"/>
  <c r="F118" i="1"/>
  <c r="G118" i="1" s="1"/>
  <c r="L112" i="1"/>
  <c r="F106" i="1"/>
  <c r="G106" i="1" s="1"/>
  <c r="D94" i="1"/>
  <c r="G122" i="1" l="1"/>
  <c r="H78" i="1" s="1"/>
  <c r="E78" i="1"/>
  <c r="C78" i="1"/>
  <c r="G94" i="1"/>
  <c r="H79" i="1" s="1"/>
  <c r="C79" i="1"/>
  <c r="E79" i="1"/>
  <c r="L33" i="3"/>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B16" i="2"/>
  <c r="E10" i="2" s="1"/>
  <c r="B14" i="2"/>
  <c r="E9" i="2" s="1"/>
  <c r="B12" i="2"/>
  <c r="M7" i="2" s="1"/>
  <c r="H17" i="2" s="1"/>
  <c r="B10" i="2"/>
  <c r="L7" i="2" s="1"/>
  <c r="H16" i="2" s="1"/>
  <c r="B8" i="2"/>
  <c r="K6" i="2" s="1"/>
  <c r="G15" i="2" s="1"/>
  <c r="I6" i="2"/>
  <c r="G13" i="2" s="1"/>
  <c r="B6" i="2"/>
  <c r="J7" i="2" s="1"/>
  <c r="H14" i="2" s="1"/>
  <c r="E4" i="2"/>
  <c r="H80" i="1" l="1"/>
  <c r="M6" i="2"/>
  <c r="G17" i="2" s="1"/>
  <c r="E80" i="1"/>
  <c r="C80" i="1"/>
  <c r="E6" i="2"/>
  <c r="O6" i="2"/>
  <c r="G19" i="2" s="1"/>
  <c r="K7" i="2"/>
  <c r="H15" i="2" s="1"/>
  <c r="E8" i="2"/>
  <c r="L34" i="3"/>
  <c r="K34" i="3" s="1"/>
  <c r="O7" i="2"/>
  <c r="H19" i="2" s="1"/>
  <c r="E34" i="3"/>
  <c r="I34" i="3"/>
  <c r="H34" i="3" s="1"/>
  <c r="L6" i="2"/>
  <c r="G16" i="2" s="1"/>
  <c r="E7" i="2"/>
  <c r="I7" i="2"/>
  <c r="H13" i="2" s="1"/>
  <c r="E5" i="2"/>
  <c r="J6" i="2"/>
  <c r="G14" i="2" s="1"/>
  <c r="N6" i="2"/>
  <c r="G18" i="2" s="1"/>
  <c r="N7" i="2"/>
  <c r="H18" i="2" s="1"/>
  <c r="D164" i="1"/>
  <c r="G75" i="1"/>
  <c r="H44" i="1"/>
  <c r="C44" i="1"/>
  <c r="F39" i="1"/>
  <c r="F40" i="1" s="1"/>
  <c r="F7" i="1"/>
  <c r="G20" i="2" l="1"/>
  <c r="H20" i="2"/>
  <c r="D34" i="3"/>
  <c r="D36" i="3" s="1"/>
  <c r="E36" i="3"/>
</calcChain>
</file>

<file path=xl/sharedStrings.xml><?xml version="1.0" encoding="utf-8"?>
<sst xmlns="http://schemas.openxmlformats.org/spreadsheetml/2006/main" count="407" uniqueCount="271">
  <si>
    <t xml:space="preserve">Valuation Report </t>
  </si>
  <si>
    <t>Date:</t>
  </si>
  <si>
    <t>CPC Name:</t>
  </si>
  <si>
    <t>Date Of Property Visit</t>
  </si>
  <si>
    <t>Name of the builder group</t>
  </si>
  <si>
    <t>Name of the builder company</t>
  </si>
  <si>
    <t>Name of the Project</t>
  </si>
  <si>
    <t>Contect Details ( Name &amp; Contect No.)</t>
  </si>
  <si>
    <t>Name / No of the Building</t>
  </si>
  <si>
    <t>Docouments Provided</t>
  </si>
  <si>
    <t>RERA No.</t>
  </si>
  <si>
    <t xml:space="preserve">Project location details       </t>
  </si>
  <si>
    <t>Locality</t>
  </si>
  <si>
    <t>Road</t>
  </si>
  <si>
    <t>District</t>
  </si>
  <si>
    <t>City</t>
  </si>
  <si>
    <t>Pin Code</t>
  </si>
  <si>
    <t>Near by Landmark</t>
  </si>
  <si>
    <t xml:space="preserve">Distance from city centre: </t>
  </si>
  <si>
    <t>Accessibility to the Project from the City:
(Proximity to civic amenities like school, hospital, market)</t>
  </si>
  <si>
    <t>all available at  1 to 2 km.</t>
  </si>
  <si>
    <t>Does property have Electricity / Water / Drainage Connection</t>
  </si>
  <si>
    <t>Yes</t>
  </si>
  <si>
    <t>Class of locality</t>
  </si>
  <si>
    <t>Middle Class</t>
  </si>
  <si>
    <t>Nature of land with topographical condtion</t>
  </si>
  <si>
    <t>Plane</t>
  </si>
  <si>
    <t xml:space="preserve">Nature of the locality </t>
  </si>
  <si>
    <t>Developing</t>
  </si>
  <si>
    <t>Quality of infrastructure in vicinity</t>
  </si>
  <si>
    <t>Good</t>
  </si>
  <si>
    <t>Boundaries</t>
  </si>
  <si>
    <t>East</t>
  </si>
  <si>
    <t>West</t>
  </si>
  <si>
    <t>South</t>
  </si>
  <si>
    <t>North</t>
  </si>
  <si>
    <t>As per deed</t>
  </si>
  <si>
    <t>NA</t>
  </si>
  <si>
    <t>At site</t>
  </si>
  <si>
    <t>Does the boundaries at site match, as mentioned in the Docoumentation: NA</t>
  </si>
  <si>
    <t>Type of Structure : RCC Frame Structure</t>
  </si>
  <si>
    <t xml:space="preserve">Latitude &amp; Longitude </t>
  </si>
  <si>
    <t>Approval details:</t>
  </si>
  <si>
    <t xml:space="preserve">Approved usage of the Property:                                                                                                                                             </t>
  </si>
  <si>
    <t>Residential</t>
  </si>
  <si>
    <t xml:space="preserve">(Restrictive Covenants in regard to Land Use, if any)    </t>
  </si>
  <si>
    <t>No</t>
  </si>
  <si>
    <t>Area Statement Details :</t>
  </si>
  <si>
    <t>Total land area of the project in Sq. Mt.</t>
  </si>
  <si>
    <t>Permissible FSI</t>
  </si>
  <si>
    <t>Permissible TDR/Paid FSI</t>
  </si>
  <si>
    <t>Total FSI availaible for the project</t>
  </si>
  <si>
    <t>Total Approved Builtup area of the project in Sq. Mt.</t>
  </si>
  <si>
    <t>Total number of Buildings</t>
  </si>
  <si>
    <t xml:space="preserve">Approval Detail : Plan approval </t>
  </si>
  <si>
    <t xml:space="preserve">Layout Approval No     </t>
  </si>
  <si>
    <t>Dated</t>
  </si>
  <si>
    <t xml:space="preserve">Approved Floor plan No.  </t>
  </si>
  <si>
    <t xml:space="preserve">O. Certificate No.: </t>
  </si>
  <si>
    <t xml:space="preserve">Date of approval: </t>
  </si>
  <si>
    <t xml:space="preserve">Commencement date of construction </t>
  </si>
  <si>
    <t>Expected Completion</t>
  </si>
  <si>
    <t>Building wise Construction details</t>
  </si>
  <si>
    <t>Approved area of the building in Sq.Mt</t>
  </si>
  <si>
    <t>Approved no of units</t>
  </si>
  <si>
    <t>Approved no of Floors</t>
  </si>
  <si>
    <t>Type of Work</t>
  </si>
  <si>
    <t>Plinth</t>
  </si>
  <si>
    <t>RCC</t>
  </si>
  <si>
    <t>Plaster</t>
  </si>
  <si>
    <t>Flooring</t>
  </si>
  <si>
    <t>Finishing</t>
  </si>
  <si>
    <t>Wheather the construction is as per approved Building plan : Under Construction</t>
  </si>
  <si>
    <t>Violations Observed if any : NA</t>
  </si>
  <si>
    <t>Recommended Rates of the Property :</t>
  </si>
  <si>
    <t>Recommended rate of the flat Per Sq. Ft. ( on Saleable area)</t>
  </si>
  <si>
    <t xml:space="preserve">Recommended rate of Parking </t>
  </si>
  <si>
    <t>Development charges Per Sq. Ft.</t>
  </si>
  <si>
    <t>Distressed valuation of the Property</t>
  </si>
  <si>
    <t>Building &amp; Wing</t>
  </si>
  <si>
    <t>Total Carpet Area</t>
  </si>
  <si>
    <t>Total Saleable Area</t>
  </si>
  <si>
    <t>A</t>
  </si>
  <si>
    <t>Total</t>
  </si>
  <si>
    <t>Building details Floor Wise</t>
  </si>
  <si>
    <t xml:space="preserve">Details of Flats in Building   </t>
  </si>
  <si>
    <t>Flat No.</t>
  </si>
  <si>
    <t>Description</t>
  </si>
  <si>
    <t>Gross Carpet area</t>
  </si>
  <si>
    <t>Attached Terrace area</t>
  </si>
  <si>
    <t>Saleable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</si>
  <si>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</si>
  <si>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</si>
  <si>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</si>
  <si>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</si>
  <si>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</si>
  <si>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</si>
  <si>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</si>
  <si>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</si>
  <si>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Authorized Signatory
                                                                                                                                                                                                                                                                                     Name &amp; Seal of the agency</t>
  </si>
  <si>
    <t xml:space="preserve">PHOTOGRAPHS OF PROPERTY : 
</t>
  </si>
  <si>
    <t>Google Map :</t>
  </si>
  <si>
    <t xml:space="preserve">Remarks:  </t>
  </si>
  <si>
    <t>Particulars</t>
  </si>
  <si>
    <t xml:space="preserve">totaL floor </t>
  </si>
  <si>
    <t xml:space="preserve">total </t>
  </si>
  <si>
    <t xml:space="preserve">completed  </t>
  </si>
  <si>
    <t>plinth</t>
  </si>
  <si>
    <t>slab</t>
  </si>
  <si>
    <t>total slab</t>
  </si>
  <si>
    <t>completed slab</t>
  </si>
  <si>
    <t>p</t>
  </si>
  <si>
    <t>rcc</t>
  </si>
  <si>
    <t>Bricks</t>
  </si>
  <si>
    <t>Wood &amp; painting</t>
  </si>
  <si>
    <t>Progress</t>
  </si>
  <si>
    <t xml:space="preserve">Bricks </t>
  </si>
  <si>
    <t>Total Floor</t>
  </si>
  <si>
    <t>completed Floor</t>
  </si>
  <si>
    <t xml:space="preserve">Recommended </t>
  </si>
  <si>
    <t>plaster</t>
  </si>
  <si>
    <t>Recommended</t>
  </si>
  <si>
    <t xml:space="preserve"> </t>
  </si>
  <si>
    <t>total</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</si>
  <si>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</si>
  <si>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</si>
  <si>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</si>
  <si>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</si>
  <si>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</si>
  <si>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</si>
  <si>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</si>
  <si>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</si>
  <si>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</si>
  <si>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</si>
  <si>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</si>
  <si>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</si>
  <si>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</si>
  <si>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</si>
  <si>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</si>
  <si>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</si>
  <si>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</si>
  <si>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</si>
  <si>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</si>
  <si>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</si>
  <si>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</si>
  <si>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</si>
  <si>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No. of Flats</t>
  </si>
  <si>
    <t>Proposed Amenities :</t>
  </si>
  <si>
    <r>
      <rPr>
        <sz val="11"/>
        <rFont val="Times New Roman"/>
        <family val="1"/>
      </rPr>
      <t>1.Vitrified tiles flooring 2. Granite Kitchen Platform  3. Decorative Enternace  etc.</t>
    </r>
    <r>
      <rPr>
        <b/>
        <sz val="11"/>
        <rFont val="Times New Roman"/>
        <family val="1"/>
      </rPr>
      <t xml:space="preserve">                                                                                                                                                                                                                                 </t>
    </r>
    <r>
      <rPr>
        <sz val="11"/>
        <rFont val="Times New Roman"/>
        <family val="1"/>
      </rPr>
      <t xml:space="preserve">   </t>
    </r>
    <r>
      <rPr>
        <b/>
        <sz val="11"/>
        <rFont val="Times New Roman"/>
        <family val="1"/>
      </rPr>
      <t xml:space="preserve">                                               </t>
    </r>
  </si>
  <si>
    <t>Axis Goregaon</t>
  </si>
  <si>
    <t xml:space="preserve">M/s.Suraj Estate Developers Pvt Ltd  </t>
  </si>
  <si>
    <t>Ocean Star I</t>
  </si>
  <si>
    <t>01 Building</t>
  </si>
  <si>
    <t>P51900007257</t>
  </si>
  <si>
    <t>F.P. Nos</t>
  </si>
  <si>
    <t>Mahim</t>
  </si>
  <si>
    <t>Mumbai</t>
  </si>
  <si>
    <t>Dadar</t>
  </si>
  <si>
    <t>Kashinath Dhuru Marg</t>
  </si>
  <si>
    <t>Rameshwaram Apartment</t>
  </si>
  <si>
    <t>Building</t>
  </si>
  <si>
    <t>CHE/CTY/1445/G/N/337(NEW)</t>
  </si>
  <si>
    <t>Refuge Area</t>
  </si>
  <si>
    <t>1BHK</t>
  </si>
  <si>
    <t>Rehab</t>
  </si>
  <si>
    <t xml:space="preserve">10th Floor </t>
  </si>
  <si>
    <t xml:space="preserve">11th Floor </t>
  </si>
  <si>
    <t>2BHK</t>
  </si>
  <si>
    <t>Sale</t>
  </si>
  <si>
    <t xml:space="preserve">12th Floor </t>
  </si>
  <si>
    <t>3BHK</t>
  </si>
  <si>
    <t xml:space="preserve">13th Floor </t>
  </si>
  <si>
    <t>4BHK</t>
  </si>
  <si>
    <t>Proposed no of Floors</t>
  </si>
  <si>
    <t>Approved Layout, Approved Building Plan, CC, Cost Sheet.</t>
  </si>
  <si>
    <t>Basement Floor For Parking</t>
  </si>
  <si>
    <t>9th Floor (Part Refuge Area)</t>
  </si>
  <si>
    <t>1.5BHK</t>
  </si>
  <si>
    <t>2.5BHK</t>
  </si>
  <si>
    <t xml:space="preserve">14th &amp; 15th Floor </t>
  </si>
  <si>
    <t>16th Floor (Part Refuge Area)</t>
  </si>
  <si>
    <t xml:space="preserve">17th Floor </t>
  </si>
  <si>
    <t xml:space="preserve">18th Floor </t>
  </si>
  <si>
    <t>23rd Floor (Part Refuge Area)</t>
  </si>
  <si>
    <t>2201,….,2601</t>
  </si>
  <si>
    <t>2202,….,2602</t>
  </si>
  <si>
    <t>2203,….,2603</t>
  </si>
  <si>
    <t>Market Research Data</t>
  </si>
  <si>
    <t>Source</t>
  </si>
  <si>
    <t>Distance from proposed property</t>
  </si>
  <si>
    <t>Net Carpet</t>
  </si>
  <si>
    <t>Saleable Area</t>
  </si>
  <si>
    <t>Rate on Saleable</t>
  </si>
  <si>
    <t>Market Value</t>
  </si>
  <si>
    <t>Average</t>
  </si>
  <si>
    <t xml:space="preserve">Valuation Adopted </t>
  </si>
  <si>
    <t>Mhada/ Rehab/ Sale</t>
  </si>
  <si>
    <t>-</t>
  </si>
  <si>
    <t xml:space="preserve">22nd Floor </t>
  </si>
  <si>
    <t>99 Acres</t>
  </si>
  <si>
    <t>Building No. 1 ( Sale Building)</t>
  </si>
  <si>
    <t>Construction details:</t>
  </si>
  <si>
    <t>Basement</t>
  </si>
  <si>
    <t>Ground</t>
  </si>
  <si>
    <t>Podium</t>
  </si>
  <si>
    <t>Floors</t>
  </si>
  <si>
    <t xml:space="preserve">Stage of construction: </t>
  </si>
  <si>
    <t>All work Completed. OC Received.</t>
  </si>
  <si>
    <t>Slab/Floor</t>
  </si>
  <si>
    <t>Complition %</t>
  </si>
  <si>
    <t>Progress %</t>
  </si>
  <si>
    <t>Disbursement %</t>
  </si>
  <si>
    <t>Piling Work in process</t>
  </si>
  <si>
    <t>Excavation</t>
  </si>
  <si>
    <t>Excavation in process</t>
  </si>
  <si>
    <t>Excavation Completed</t>
  </si>
  <si>
    <t>RCC (Including podiums)</t>
  </si>
  <si>
    <t>Footing in Process</t>
  </si>
  <si>
    <t>Brickwork</t>
  </si>
  <si>
    <t>Brickwork &amp; Internal Plaster</t>
  </si>
  <si>
    <t>Footing Completed</t>
  </si>
  <si>
    <t>Internal Plaster</t>
  </si>
  <si>
    <t>Basement 1</t>
  </si>
  <si>
    <t>Ext. Plaster &amp; Plumbing</t>
  </si>
  <si>
    <t>External Plaster &amp; Plumbing</t>
  </si>
  <si>
    <t>Basement 2</t>
  </si>
  <si>
    <t>Flooring &amp; Fitting</t>
  </si>
  <si>
    <t>Basement 3</t>
  </si>
  <si>
    <t>Painting &amp; Wooden</t>
  </si>
  <si>
    <t>Basement 4</t>
  </si>
  <si>
    <t>Building Common Amenities</t>
  </si>
  <si>
    <t>Plinth in process</t>
  </si>
  <si>
    <t>Possession</t>
  </si>
  <si>
    <t>Plinth completed</t>
  </si>
  <si>
    <t>Location Link</t>
  </si>
  <si>
    <t>https://goo.gl/maps/sgF5YiM17ESyzjSN6</t>
  </si>
  <si>
    <t>1198 &amp; 1199, T.P.S IV</t>
  </si>
  <si>
    <t>Commencement Certificate No.
Valid Up to:</t>
  </si>
  <si>
    <t xml:space="preserve">Valid upto date: </t>
  </si>
  <si>
    <t>Building No.1 (Sale)</t>
  </si>
  <si>
    <t>Ground Floor For Parking &amp; Entrance Lobby</t>
  </si>
  <si>
    <t>4th &amp; 5th Podium Floor For Parking</t>
  </si>
  <si>
    <t>6th Podium Floor For Parking</t>
  </si>
  <si>
    <t>7th Podium Floor For Amenties</t>
  </si>
  <si>
    <t>Girder Bottom Floor between 7th &amp; 8th Floor</t>
  </si>
  <si>
    <t>8th Floor used as Service Floor</t>
  </si>
  <si>
    <t xml:space="preserve">19th &amp; 20th Floor </t>
  </si>
  <si>
    <t xml:space="preserve">26th Floor </t>
  </si>
  <si>
    <t>27th(Lower) + 28th Floor (Upper) Duplex Flat</t>
  </si>
  <si>
    <t>41st(Lower) + 42nd Floor (Upper) Duplex Flat</t>
  </si>
  <si>
    <t>30th Floor (Part Refuge Area)</t>
  </si>
  <si>
    <t>37th Floor (Part Refuge Area)</t>
  </si>
  <si>
    <t xml:space="preserve">21st Floor </t>
  </si>
  <si>
    <t xml:space="preserve">24th, 25th, 29th, 31st to 36th &amp; 38th to 40th Floor </t>
  </si>
  <si>
    <t>Residential Area Details : Building No. 1 Sale</t>
  </si>
  <si>
    <t>Bldg No.1 (Sale) = B  + Gr. + P1 to P7 + 8th Service + 9th to 42nd Floor</t>
  </si>
  <si>
    <t>Material laying at Site: :</t>
  </si>
  <si>
    <t>Bricks, Cement &amp; Steel etc.</t>
  </si>
  <si>
    <t xml:space="preserve">Sale Flats = 51 
Rehab Flats = 9
</t>
  </si>
  <si>
    <t>1600000/-</t>
  </si>
  <si>
    <t xml:space="preserve">Office No. 1031, Wing J, Akshar Business Park, Plot No. 03 Sector 25, Near APMC Market, Vashi, 
Navi Mumbai, Maharashtra 400703 TEL: 022-46090378/79/80                                                                                                     Email : vsjcapf@gmail.com. Web site : www.vsjadon.com
</t>
  </si>
  <si>
    <t>1.9Km from Dadar Railway Station</t>
  </si>
  <si>
    <t>1st to 6th Podium Floor For Parking</t>
  </si>
  <si>
    <t>19.0198012,72.829678</t>
  </si>
  <si>
    <t xml:space="preserve">CHE/CTY/1445/G/N/337(NEW)/
FCC/3/Amend
</t>
  </si>
  <si>
    <t>This C.C. is Further. granted upto 40 floor top as per Last Amended Approval dt. 23.01.2024.</t>
  </si>
  <si>
    <t xml:space="preserve">Inspected By : </t>
  </si>
  <si>
    <t xml:space="preserve">Report By : </t>
  </si>
  <si>
    <t>Karan Misal</t>
  </si>
  <si>
    <t>1. Construction work is in process at the time of visit.(Internal Visit Was Not Allowed.)
2. We considered Saleable area as per our calculation.
3. We considered Carpet area as per Approved Plan.
4. We have considered rate by verifying it from market inquire.
5. Car parking is subjected to authentic documentation.
6. We have updated revised approved floor plan (on 16/02/2024).
7. We have considered construction percent as per proposed no of floor
8. We have updated revised approved CC from MCGM site. (on 07/05/2024).
9. The validity of CC is expired on 31/08/2024. Please provide revised, approved CC.
9. On site, we meet Mr.Vaibhav(Sales person) - 9819739261
7. On site, we meet Mr. Yash(Site Person) - 9130000938 &amp; Mr.Vaibhav(Sales person) - 9819739261</t>
  </si>
  <si>
    <t>Kunal Kadam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</si>
</sst>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_(* #,##0_);_(* \(#,##0\);_(* &quot;-&quot;??_);_(@_)"/>
  </numFmts>
  <fonts count="26"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theme="1"/>
      <name val="Times New Roman"/>
      <family val="1"/>
    </font>
    <font>
      <sz val="11"/>
      <color indexed="8"/>
      <name val="Times New Roman"/>
      <family val="1"/>
    </font>
    <font>
      <sz val="11"/>
      <color rgb="FFFF0000"/>
      <name val="Times New Roman"/>
      <family val="1"/>
    </font>
    <font>
      <sz val="11"/>
      <name val="Times New Roman"/>
      <family val="1"/>
    </font>
    <font>
      <b/>
      <sz val="11"/>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4"/>
      <color indexed="8"/>
      <name val="Times New Roman"/>
      <family val="1"/>
    </font>
    <font>
      <b/>
      <sz val="10"/>
      <color indexed="8"/>
      <name val="Times New Roman"/>
      <family val="1"/>
    </font>
    <font>
      <b/>
      <sz val="11"/>
      <color theme="1"/>
      <name val="Times New Roman"/>
      <family val="1"/>
    </font>
    <font>
      <sz val="11"/>
      <color rgb="FFFF0000"/>
      <name val="Calibri"/>
      <family val="2"/>
      <scheme val="minor"/>
    </font>
    <font>
      <b/>
      <sz val="11"/>
      <color theme="1"/>
      <name val="Calibri"/>
      <family val="2"/>
      <scheme val="minor"/>
    </font>
    <font>
      <b/>
      <sz val="12"/>
      <color theme="1"/>
      <name val="Times New Roman"/>
      <family val="1"/>
    </font>
    <font>
      <sz val="11"/>
      <color rgb="FFFF0000"/>
      <name val="Calibri"/>
      <family val="2"/>
    </font>
    <font>
      <b/>
      <sz val="12"/>
      <name val="Times New Roman"/>
      <family val="1"/>
    </font>
    <font>
      <sz val="12"/>
      <name val="Times New Roman"/>
      <family val="1"/>
    </font>
    <font>
      <sz val="11"/>
      <color rgb="FF000000"/>
      <name val="Times New Roman"/>
      <family val="1"/>
    </font>
    <font>
      <u/>
      <sz val="11"/>
      <color theme="10"/>
      <name val="Calibri"/>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8">
    <xf numFmtId="0" fontId="0" fillId="0" borderId="0"/>
    <xf numFmtId="0" fontId="4" fillId="0" borderId="0"/>
    <xf numFmtId="0" fontId="11" fillId="0" borderId="0"/>
    <xf numFmtId="0" fontId="3" fillId="0" borderId="0"/>
    <xf numFmtId="0" fontId="11" fillId="0" borderId="0"/>
    <xf numFmtId="0" fontId="2" fillId="0" borderId="0"/>
    <xf numFmtId="164" fontId="11" fillId="0" borderId="0" applyFont="0" applyFill="0" applyBorder="0" applyAlignment="0" applyProtection="0"/>
    <xf numFmtId="0" fontId="25" fillId="0" borderId="0" applyNumberFormat="0" applyFill="0" applyBorder="0" applyAlignment="0" applyProtection="0"/>
  </cellStyleXfs>
  <cellXfs count="266">
    <xf numFmtId="0" fontId="0" fillId="0" borderId="0" xfId="0"/>
    <xf numFmtId="0" fontId="6" fillId="0" borderId="0" xfId="1" applyFont="1"/>
    <xf numFmtId="0" fontId="8" fillId="0" borderId="3" xfId="1" applyFont="1" applyBorder="1" applyAlignment="1">
      <alignment vertical="top" wrapText="1"/>
    </xf>
    <xf numFmtId="0" fontId="7" fillId="0" borderId="3" xfId="1" applyFont="1" applyBorder="1" applyAlignment="1">
      <alignment vertical="top" wrapText="1"/>
    </xf>
    <xf numFmtId="0" fontId="7" fillId="2" borderId="4" xfId="1" applyFont="1" applyFill="1" applyBorder="1" applyAlignment="1">
      <alignment vertical="top"/>
    </xf>
    <xf numFmtId="0" fontId="7" fillId="0" borderId="0" xfId="2" applyFont="1"/>
    <xf numFmtId="0" fontId="13" fillId="0" borderId="0" xfId="0" applyFont="1" applyAlignment="1">
      <alignment horizontal="center" vertical="center"/>
    </xf>
    <xf numFmtId="1" fontId="14" fillId="0" borderId="4" xfId="1" applyNumberFormat="1" applyFont="1" applyBorder="1" applyAlignment="1">
      <alignment horizontal="center" vertical="top" wrapText="1"/>
    </xf>
    <xf numFmtId="1" fontId="16" fillId="0" borderId="4" xfId="1" applyNumberFormat="1" applyFont="1" applyBorder="1" applyAlignment="1">
      <alignment horizontal="center" vertical="top" wrapText="1"/>
    </xf>
    <xf numFmtId="0" fontId="13" fillId="0" borderId="0" xfId="1" applyFont="1" applyAlignment="1">
      <alignment horizontal="center" vertical="center"/>
    </xf>
    <xf numFmtId="1" fontId="12" fillId="0" borderId="4" xfId="1" applyNumberFormat="1" applyFont="1" applyBorder="1" applyAlignment="1">
      <alignment horizontal="center" vertical="center" wrapText="1"/>
    </xf>
    <xf numFmtId="0" fontId="16" fillId="0" borderId="0" xfId="1" applyFont="1" applyAlignment="1">
      <alignment vertical="top"/>
    </xf>
    <xf numFmtId="0" fontId="5" fillId="0" borderId="0" xfId="1" applyFont="1" applyAlignment="1">
      <alignment vertical="top" wrapText="1"/>
    </xf>
    <xf numFmtId="0" fontId="5" fillId="0" borderId="0" xfId="1" applyFont="1" applyAlignment="1">
      <alignment vertical="top"/>
    </xf>
    <xf numFmtId="0" fontId="17" fillId="0" borderId="0" xfId="1" applyFont="1"/>
    <xf numFmtId="0" fontId="3" fillId="0" borderId="0" xfId="3"/>
    <xf numFmtId="0" fontId="19" fillId="3" borderId="4" xfId="3" applyFont="1" applyFill="1" applyBorder="1"/>
    <xf numFmtId="0" fontId="3" fillId="0" borderId="4" xfId="3" applyBorder="1"/>
    <xf numFmtId="0" fontId="3" fillId="0" borderId="13" xfId="3" applyBorder="1"/>
    <xf numFmtId="0" fontId="3" fillId="0" borderId="0" xfId="3" applyAlignment="1">
      <alignment wrapText="1"/>
    </xf>
    <xf numFmtId="0" fontId="3" fillId="0" borderId="4" xfId="3" applyBorder="1" applyAlignment="1">
      <alignment wrapText="1"/>
    </xf>
    <xf numFmtId="0" fontId="18" fillId="0" borderId="0" xfId="3" applyFont="1"/>
    <xf numFmtId="0" fontId="0" fillId="3" borderId="4" xfId="0" applyFill="1" applyBorder="1"/>
    <xf numFmtId="0" fontId="0" fillId="0" borderId="9" xfId="0" applyBorder="1"/>
    <xf numFmtId="0" fontId="19" fillId="0" borderId="4" xfId="0" applyFont="1" applyBorder="1"/>
    <xf numFmtId="0" fontId="19" fillId="0" borderId="4" xfId="0" applyFont="1" applyBorder="1" applyAlignment="1">
      <alignment horizontal="center"/>
    </xf>
    <xf numFmtId="0" fontId="0" fillId="0" borderId="4" xfId="0" applyBorder="1"/>
    <xf numFmtId="0" fontId="11" fillId="0" borderId="0" xfId="4"/>
    <xf numFmtId="0" fontId="2" fillId="0" borderId="0" xfId="5"/>
    <xf numFmtId="0" fontId="19" fillId="0" borderId="4" xfId="5" applyFont="1" applyBorder="1" applyAlignment="1">
      <alignment horizontal="center" vertical="top" wrapText="1"/>
    </xf>
    <xf numFmtId="0" fontId="2" fillId="0" borderId="4" xfId="5" applyBorder="1" applyAlignment="1">
      <alignment horizontal="center" vertical="center"/>
    </xf>
    <xf numFmtId="0" fontId="2" fillId="0" borderId="4" xfId="5" applyBorder="1" applyAlignment="1">
      <alignment horizontal="left" vertical="center"/>
    </xf>
    <xf numFmtId="1" fontId="2" fillId="0" borderId="4" xfId="5" applyNumberFormat="1" applyBorder="1" applyAlignment="1">
      <alignment horizontal="center" vertical="center"/>
    </xf>
    <xf numFmtId="166" fontId="2" fillId="0" borderId="4" xfId="6" applyNumberFormat="1" applyFont="1" applyBorder="1" applyAlignment="1">
      <alignment horizontal="right" vertical="center"/>
    </xf>
    <xf numFmtId="0" fontId="19" fillId="0" borderId="4" xfId="5" applyFont="1" applyBorder="1" applyAlignment="1">
      <alignment horizontal="center" vertical="center"/>
    </xf>
    <xf numFmtId="1" fontId="18" fillId="0" borderId="4" xfId="5" applyNumberFormat="1" applyFont="1" applyBorder="1" applyAlignment="1">
      <alignment horizontal="center" vertical="center"/>
    </xf>
    <xf numFmtId="0" fontId="11" fillId="0" borderId="4" xfId="4" applyBorder="1" applyAlignment="1">
      <alignment horizontal="center" vertical="center"/>
    </xf>
    <xf numFmtId="0" fontId="21" fillId="0" borderId="0" xfId="4" applyFont="1"/>
    <xf numFmtId="14" fontId="6" fillId="0" borderId="0" xfId="1" applyNumberFormat="1" applyFont="1"/>
    <xf numFmtId="1" fontId="22" fillId="0" borderId="4" xfId="1" applyNumberFormat="1" applyFont="1" applyBorder="1" applyAlignment="1">
      <alignment horizontal="center" vertical="top" wrapText="1"/>
    </xf>
    <xf numFmtId="1" fontId="23" fillId="0" borderId="4" xfId="1" applyNumberFormat="1" applyFont="1" applyBorder="1" applyAlignment="1">
      <alignment horizontal="center" vertical="top" wrapText="1"/>
    </xf>
    <xf numFmtId="1" fontId="23" fillId="0" borderId="4" xfId="1" applyNumberFormat="1" applyFont="1" applyBorder="1" applyAlignment="1">
      <alignment horizontal="center" vertical="center" wrapText="1"/>
    </xf>
    <xf numFmtId="0" fontId="10" fillId="0" borderId="0" xfId="1" applyFont="1" applyAlignment="1">
      <alignment vertical="top" wrapText="1"/>
    </xf>
    <xf numFmtId="0" fontId="9" fillId="0" borderId="0" xfId="1" applyFont="1"/>
    <xf numFmtId="0" fontId="1" fillId="0" borderId="4" xfId="5" applyFont="1" applyBorder="1" applyAlignment="1">
      <alignment horizontal="center" vertical="center"/>
    </xf>
    <xf numFmtId="0" fontId="13" fillId="0" borderId="14" xfId="1" applyFont="1" applyBorder="1" applyProtection="1">
      <protection hidden="1"/>
    </xf>
    <xf numFmtId="0" fontId="13" fillId="0" borderId="15" xfId="1" applyFont="1" applyBorder="1" applyProtection="1">
      <protection hidden="1"/>
    </xf>
    <xf numFmtId="0" fontId="23" fillId="0" borderId="16" xfId="1" applyFont="1" applyBorder="1" applyAlignment="1" applyProtection="1">
      <alignment horizontal="center" vertical="top"/>
      <protection locked="0"/>
    </xf>
    <xf numFmtId="0" fontId="23" fillId="0" borderId="4" xfId="1" applyFont="1" applyBorder="1" applyAlignment="1" applyProtection="1">
      <alignment horizontal="center" vertical="top"/>
      <protection locked="0"/>
    </xf>
    <xf numFmtId="0" fontId="13" fillId="0" borderId="0" xfId="1" applyFont="1" applyProtection="1">
      <protection hidden="1"/>
    </xf>
    <xf numFmtId="0" fontId="13" fillId="0" borderId="18" xfId="1" applyFont="1" applyBorder="1" applyProtection="1">
      <protection hidden="1"/>
    </xf>
    <xf numFmtId="0" fontId="24" fillId="0" borderId="0" xfId="0" applyFont="1" applyProtection="1">
      <protection hidden="1"/>
    </xf>
    <xf numFmtId="0" fontId="13" fillId="0" borderId="18" xfId="1" applyFont="1" applyBorder="1"/>
    <xf numFmtId="0" fontId="24" fillId="0" borderId="18" xfId="0" applyFont="1" applyBorder="1" applyProtection="1">
      <protection hidden="1"/>
    </xf>
    <xf numFmtId="1" fontId="0" fillId="0" borderId="18" xfId="0" applyNumberFormat="1" applyBorder="1"/>
    <xf numFmtId="1" fontId="0" fillId="0" borderId="18" xfId="0" applyNumberFormat="1" applyBorder="1" applyAlignment="1">
      <alignment horizontal="right"/>
    </xf>
    <xf numFmtId="0" fontId="24" fillId="0" borderId="27" xfId="0" applyFont="1" applyBorder="1" applyProtection="1">
      <protection hidden="1"/>
    </xf>
    <xf numFmtId="1" fontId="0" fillId="0" borderId="28" xfId="0" applyNumberFormat="1" applyBorder="1"/>
    <xf numFmtId="0" fontId="23" fillId="0" borderId="4" xfId="1" applyFont="1" applyBorder="1" applyAlignment="1" applyProtection="1">
      <alignment horizontal="center" vertical="top" wrapText="1"/>
      <protection locked="0"/>
    </xf>
    <xf numFmtId="0" fontId="23" fillId="0" borderId="4" xfId="1" applyFont="1" applyBorder="1" applyAlignment="1" applyProtection="1">
      <alignment horizontal="center" wrapText="1"/>
      <protection locked="0"/>
    </xf>
    <xf numFmtId="1" fontId="23" fillId="0" borderId="4" xfId="1" applyNumberFormat="1" applyFont="1" applyBorder="1" applyAlignment="1" applyProtection="1">
      <alignment horizontal="center" wrapText="1"/>
      <protection locked="0"/>
    </xf>
    <xf numFmtId="0" fontId="23" fillId="0" borderId="23" xfId="1" applyFont="1" applyBorder="1" applyAlignment="1" applyProtection="1">
      <alignment horizontal="center" wrapText="1"/>
      <protection locked="0"/>
    </xf>
    <xf numFmtId="0" fontId="7" fillId="2" borderId="4" xfId="1" applyFont="1" applyFill="1" applyBorder="1" applyAlignment="1">
      <alignment vertical="top" wrapText="1"/>
    </xf>
    <xf numFmtId="0" fontId="5" fillId="2" borderId="4" xfId="1" applyFont="1" applyFill="1" applyBorder="1" applyAlignment="1">
      <alignment horizontal="left" vertical="top"/>
    </xf>
    <xf numFmtId="14" fontId="17" fillId="0" borderId="0" xfId="1" applyNumberFormat="1" applyFont="1"/>
    <xf numFmtId="0" fontId="20" fillId="0" borderId="0" xfId="0" applyFont="1" applyAlignment="1">
      <alignment horizontal="center" vertical="center"/>
    </xf>
    <xf numFmtId="0" fontId="7" fillId="2" borderId="4" xfId="1" applyFont="1" applyFill="1" applyBorder="1" applyAlignment="1">
      <alignment horizontal="left" vertical="top"/>
    </xf>
    <xf numFmtId="0" fontId="23" fillId="0" borderId="1" xfId="1" applyFont="1" applyBorder="1" applyAlignment="1" applyProtection="1">
      <alignment horizontal="center" vertical="top"/>
      <protection locked="0"/>
    </xf>
    <xf numFmtId="0" fontId="23" fillId="0" borderId="3" xfId="1" applyFont="1" applyBorder="1" applyAlignment="1" applyProtection="1">
      <alignment horizontal="center" vertical="top"/>
      <protection locked="0"/>
    </xf>
    <xf numFmtId="0" fontId="23" fillId="0" borderId="17" xfId="1" applyFont="1" applyBorder="1" applyAlignment="1" applyProtection="1">
      <alignment horizontal="center" vertical="top"/>
      <protection locked="0"/>
    </xf>
    <xf numFmtId="0" fontId="22" fillId="0" borderId="16" xfId="1" applyFont="1" applyBorder="1" applyAlignment="1" applyProtection="1">
      <alignment horizontal="left" vertical="top"/>
      <protection locked="0"/>
    </xf>
    <xf numFmtId="0" fontId="22" fillId="0" borderId="4" xfId="1" applyFont="1" applyBorder="1" applyAlignment="1" applyProtection="1">
      <alignment horizontal="left" vertical="top"/>
      <protection locked="0"/>
    </xf>
    <xf numFmtId="0" fontId="22" fillId="0" borderId="1" xfId="1" applyFont="1" applyBorder="1" applyAlignment="1" applyProtection="1">
      <alignment horizontal="left" vertical="top" wrapText="1"/>
      <protection locked="0"/>
    </xf>
    <xf numFmtId="0" fontId="22" fillId="0" borderId="2" xfId="1" applyFont="1" applyBorder="1" applyAlignment="1" applyProtection="1">
      <alignment horizontal="left" vertical="top" wrapText="1"/>
      <protection locked="0"/>
    </xf>
    <xf numFmtId="0" fontId="22" fillId="0" borderId="17" xfId="1" applyFont="1" applyBorder="1" applyAlignment="1" applyProtection="1">
      <alignment horizontal="left" vertical="top" wrapText="1"/>
      <protection locked="0"/>
    </xf>
    <xf numFmtId="0" fontId="23" fillId="0" borderId="4" xfId="1" applyFont="1" applyBorder="1" applyAlignment="1" applyProtection="1">
      <alignment horizontal="center" vertical="top" wrapText="1"/>
      <protection locked="0"/>
    </xf>
    <xf numFmtId="0" fontId="23" fillId="0" borderId="20" xfId="1" applyFont="1" applyBorder="1" applyAlignment="1" applyProtection="1">
      <alignment horizontal="center" vertical="top" wrapText="1"/>
      <protection locked="0"/>
    </xf>
    <xf numFmtId="0" fontId="23" fillId="0" borderId="16" xfId="1" applyFont="1" applyBorder="1" applyAlignment="1" applyProtection="1">
      <alignment horizontal="center" vertical="top" wrapText="1"/>
      <protection locked="0"/>
    </xf>
    <xf numFmtId="9" fontId="23" fillId="2" borderId="1" xfId="1" applyNumberFormat="1" applyFont="1" applyFill="1" applyBorder="1" applyAlignment="1" applyProtection="1">
      <alignment horizontal="center" vertical="center" wrapText="1"/>
      <protection hidden="1"/>
    </xf>
    <xf numFmtId="9" fontId="23" fillId="2" borderId="3" xfId="1" applyNumberFormat="1" applyFont="1" applyFill="1" applyBorder="1" applyAlignment="1" applyProtection="1">
      <alignment horizontal="center" vertical="center" wrapText="1"/>
      <protection hidden="1"/>
    </xf>
    <xf numFmtId="9" fontId="23" fillId="2" borderId="4" xfId="1" applyNumberFormat="1" applyFont="1" applyFill="1" applyBorder="1" applyAlignment="1" applyProtection="1">
      <alignment horizontal="center" vertical="center" wrapText="1"/>
      <protection hidden="1"/>
    </xf>
    <xf numFmtId="9" fontId="23" fillId="2" borderId="23" xfId="1" applyNumberFormat="1" applyFont="1" applyFill="1" applyBorder="1" applyAlignment="1" applyProtection="1">
      <alignment horizontal="center" vertical="center" wrapText="1"/>
      <protection hidden="1"/>
    </xf>
    <xf numFmtId="9" fontId="23" fillId="2" borderId="5" xfId="1" applyNumberFormat="1" applyFont="1" applyFill="1" applyBorder="1" applyAlignment="1" applyProtection="1">
      <alignment horizontal="center" vertical="center" wrapText="1"/>
      <protection hidden="1"/>
    </xf>
    <xf numFmtId="9" fontId="23" fillId="2" borderId="6" xfId="1" applyNumberFormat="1" applyFont="1" applyFill="1" applyBorder="1" applyAlignment="1" applyProtection="1">
      <alignment horizontal="center" vertical="center" wrapText="1"/>
      <protection hidden="1"/>
    </xf>
    <xf numFmtId="9" fontId="23" fillId="2" borderId="21" xfId="1" applyNumberFormat="1" applyFont="1" applyFill="1" applyBorder="1" applyAlignment="1" applyProtection="1">
      <alignment horizontal="center" vertical="center" wrapText="1"/>
      <protection hidden="1"/>
    </xf>
    <xf numFmtId="9" fontId="23" fillId="2" borderId="11" xfId="1" applyNumberFormat="1" applyFont="1" applyFill="1" applyBorder="1" applyAlignment="1" applyProtection="1">
      <alignment horizontal="center" vertical="center" wrapText="1"/>
      <protection hidden="1"/>
    </xf>
    <xf numFmtId="9" fontId="23" fillId="2" borderId="0" xfId="1" applyNumberFormat="1" applyFont="1" applyFill="1" applyAlignment="1" applyProtection="1">
      <alignment horizontal="center" vertical="center" wrapText="1"/>
      <protection hidden="1"/>
    </xf>
    <xf numFmtId="9" fontId="23" fillId="2" borderId="18" xfId="1" applyNumberFormat="1" applyFont="1" applyFill="1" applyBorder="1" applyAlignment="1" applyProtection="1">
      <alignment horizontal="center" vertical="center" wrapText="1"/>
      <protection hidden="1"/>
    </xf>
    <xf numFmtId="9" fontId="23" fillId="2" borderId="26" xfId="1" applyNumberFormat="1" applyFont="1" applyFill="1" applyBorder="1" applyAlignment="1" applyProtection="1">
      <alignment horizontal="center" vertical="center" wrapText="1"/>
      <protection hidden="1"/>
    </xf>
    <xf numFmtId="9" fontId="23" fillId="2" borderId="27" xfId="1" applyNumberFormat="1" applyFont="1" applyFill="1" applyBorder="1" applyAlignment="1" applyProtection="1">
      <alignment horizontal="center" vertical="center" wrapText="1"/>
      <protection hidden="1"/>
    </xf>
    <xf numFmtId="9" fontId="23" fillId="2" borderId="28" xfId="1" applyNumberFormat="1" applyFont="1" applyFill="1" applyBorder="1" applyAlignment="1" applyProtection="1">
      <alignment horizontal="center" vertical="center" wrapText="1"/>
      <protection hidden="1"/>
    </xf>
    <xf numFmtId="0" fontId="23" fillId="0" borderId="16" xfId="1" applyFont="1" applyBorder="1" applyAlignment="1" applyProtection="1">
      <alignment horizontal="center" vertical="top"/>
      <protection locked="0"/>
    </xf>
    <xf numFmtId="0" fontId="23" fillId="0" borderId="4" xfId="1" applyFont="1" applyBorder="1" applyAlignment="1" applyProtection="1">
      <alignment horizontal="center" vertical="top"/>
      <protection locked="0"/>
    </xf>
    <xf numFmtId="1" fontId="14" fillId="0" borderId="1" xfId="1" applyNumberFormat="1" applyFont="1" applyBorder="1" applyAlignment="1">
      <alignment horizontal="center" vertical="center" wrapText="1"/>
    </xf>
    <xf numFmtId="1" fontId="14" fillId="0" borderId="2" xfId="1" applyNumberFormat="1" applyFont="1" applyBorder="1" applyAlignment="1">
      <alignment horizontal="center" vertical="center" wrapText="1"/>
    </xf>
    <xf numFmtId="1" fontId="14" fillId="0" borderId="3" xfId="1" applyNumberFormat="1" applyFont="1" applyBorder="1" applyAlignment="1">
      <alignment horizontal="center" vertical="center" wrapText="1"/>
    </xf>
    <xf numFmtId="1" fontId="12" fillId="0" borderId="1" xfId="1" applyNumberFormat="1" applyFont="1" applyBorder="1" applyAlignment="1">
      <alignment horizontal="center" vertical="center" wrapText="1"/>
    </xf>
    <xf numFmtId="1" fontId="12" fillId="0" borderId="3" xfId="1" applyNumberFormat="1" applyFont="1" applyBorder="1" applyAlignment="1">
      <alignment horizontal="center" vertical="center" wrapText="1"/>
    </xf>
    <xf numFmtId="1" fontId="12" fillId="0" borderId="4" xfId="1" applyNumberFormat="1" applyFont="1" applyBorder="1" applyAlignment="1">
      <alignment horizontal="center" vertical="center" wrapText="1"/>
    </xf>
    <xf numFmtId="0" fontId="7" fillId="0" borderId="1" xfId="1" applyFont="1" applyBorder="1" applyAlignment="1">
      <alignment horizontal="left" vertical="top"/>
    </xf>
    <xf numFmtId="0" fontId="7" fillId="0" borderId="2" xfId="1" applyFont="1" applyBorder="1" applyAlignment="1">
      <alignment horizontal="left" vertical="top"/>
    </xf>
    <xf numFmtId="0" fontId="7" fillId="0" borderId="3" xfId="1" applyFont="1" applyBorder="1" applyAlignment="1">
      <alignment horizontal="left" vertical="top"/>
    </xf>
    <xf numFmtId="1" fontId="14" fillId="0" borderId="4" xfId="1" applyNumberFormat="1" applyFont="1" applyBorder="1" applyAlignment="1">
      <alignment horizontal="center" vertical="center" wrapText="1"/>
    </xf>
    <xf numFmtId="0" fontId="13" fillId="0" borderId="2" xfId="1" applyFont="1" applyBorder="1" applyAlignment="1">
      <alignment horizontal="center" vertical="center"/>
    </xf>
    <xf numFmtId="0" fontId="13" fillId="0" borderId="3" xfId="1" applyFont="1" applyBorder="1" applyAlignment="1">
      <alignment horizontal="center" vertical="center"/>
    </xf>
    <xf numFmtId="1" fontId="7" fillId="0" borderId="5" xfId="1" applyNumberFormat="1" applyFont="1" applyBorder="1" applyAlignment="1">
      <alignment horizontal="center" vertical="center" wrapText="1"/>
    </xf>
    <xf numFmtId="1" fontId="7" fillId="0" borderId="6" xfId="1" applyNumberFormat="1" applyFont="1" applyBorder="1" applyAlignment="1">
      <alignment horizontal="center" vertical="center" wrapText="1"/>
    </xf>
    <xf numFmtId="1" fontId="7" fillId="0" borderId="7" xfId="1" applyNumberFormat="1" applyFont="1" applyBorder="1" applyAlignment="1">
      <alignment horizontal="center" vertical="center" wrapText="1"/>
    </xf>
    <xf numFmtId="1" fontId="7" fillId="0" borderId="8" xfId="1" applyNumberFormat="1" applyFont="1" applyBorder="1" applyAlignment="1">
      <alignment horizontal="center" vertical="center" wrapText="1"/>
    </xf>
    <xf numFmtId="1" fontId="7" fillId="0" borderId="9" xfId="1" applyNumberFormat="1" applyFont="1" applyBorder="1" applyAlignment="1">
      <alignment horizontal="center" vertical="center" wrapText="1"/>
    </xf>
    <xf numFmtId="1" fontId="7" fillId="0" borderId="10" xfId="1" applyNumberFormat="1" applyFont="1" applyBorder="1" applyAlignment="1">
      <alignment horizontal="center" vertical="center" wrapText="1"/>
    </xf>
    <xf numFmtId="1" fontId="7" fillId="0" borderId="4" xfId="1" applyNumberFormat="1" applyFont="1" applyBorder="1" applyAlignment="1">
      <alignment horizontal="center" vertical="center" wrapText="1"/>
    </xf>
    <xf numFmtId="1" fontId="7" fillId="0" borderId="1" xfId="1" applyNumberFormat="1" applyFont="1" applyBorder="1" applyAlignment="1">
      <alignment horizontal="center" vertical="center" wrapText="1"/>
    </xf>
    <xf numFmtId="1" fontId="7" fillId="0" borderId="2" xfId="1" applyNumberFormat="1" applyFont="1" applyBorder="1" applyAlignment="1">
      <alignment horizontal="center" vertical="center" wrapText="1"/>
    </xf>
    <xf numFmtId="1" fontId="7" fillId="0" borderId="3" xfId="1" applyNumberFormat="1" applyFont="1" applyBorder="1" applyAlignment="1">
      <alignment horizontal="center" vertical="center" wrapText="1"/>
    </xf>
    <xf numFmtId="0" fontId="7" fillId="0" borderId="1" xfId="1" applyFont="1" applyBorder="1" applyAlignment="1">
      <alignment horizontal="left" vertical="top" wrapText="1"/>
    </xf>
    <xf numFmtId="0" fontId="7" fillId="0" borderId="2" xfId="1" applyFont="1" applyBorder="1" applyAlignment="1">
      <alignment horizontal="left" vertical="top" wrapText="1"/>
    </xf>
    <xf numFmtId="0" fontId="7" fillId="0" borderId="3" xfId="1" applyFont="1" applyBorder="1" applyAlignment="1">
      <alignment horizontal="left" vertical="top" wrapText="1"/>
    </xf>
    <xf numFmtId="0" fontId="5" fillId="0" borderId="4" xfId="1" applyFont="1" applyBorder="1" applyAlignment="1">
      <alignment horizontal="center" vertical="top" wrapText="1"/>
    </xf>
    <xf numFmtId="1" fontId="14" fillId="0" borderId="4" xfId="0" applyNumberFormat="1" applyFont="1" applyBorder="1" applyAlignment="1">
      <alignment horizontal="left" vertical="top" wrapText="1"/>
    </xf>
    <xf numFmtId="0" fontId="10" fillId="0" borderId="4" xfId="2" applyFont="1" applyBorder="1" applyAlignment="1">
      <alignment horizontal="left" vertical="top" wrapText="1"/>
    </xf>
    <xf numFmtId="0" fontId="7" fillId="0" borderId="1" xfId="1" applyFont="1" applyBorder="1" applyAlignment="1">
      <alignment vertical="top"/>
    </xf>
    <xf numFmtId="0" fontId="7" fillId="0" borderId="2" xfId="1" applyFont="1" applyBorder="1" applyAlignment="1">
      <alignment vertical="top"/>
    </xf>
    <xf numFmtId="0" fontId="7" fillId="0" borderId="3" xfId="1" applyFont="1" applyBorder="1" applyAlignment="1">
      <alignment vertical="top"/>
    </xf>
    <xf numFmtId="0" fontId="7" fillId="0" borderId="4" xfId="1" applyFont="1" applyBorder="1" applyAlignment="1">
      <alignment horizontal="center" vertical="center"/>
    </xf>
    <xf numFmtId="0" fontId="9" fillId="0" borderId="4" xfId="1" applyFont="1" applyBorder="1" applyAlignment="1">
      <alignment horizontal="center" vertical="center"/>
    </xf>
    <xf numFmtId="1" fontId="13" fillId="0" borderId="4" xfId="1" applyNumberFormat="1" applyFont="1" applyBorder="1" applyAlignment="1">
      <alignment horizontal="center" vertical="center"/>
    </xf>
    <xf numFmtId="1" fontId="12" fillId="0" borderId="2" xfId="1" applyNumberFormat="1" applyFont="1" applyBorder="1" applyAlignment="1">
      <alignment horizontal="center" vertical="center"/>
    </xf>
    <xf numFmtId="1" fontId="7" fillId="0" borderId="11" xfId="1" applyNumberFormat="1" applyFont="1" applyBorder="1" applyAlignment="1">
      <alignment horizontal="center" vertical="center" wrapText="1"/>
    </xf>
    <xf numFmtId="1" fontId="7" fillId="0" borderId="0" xfId="1" applyNumberFormat="1" applyFont="1" applyAlignment="1">
      <alignment horizontal="center" vertical="center" wrapText="1"/>
    </xf>
    <xf numFmtId="1" fontId="7" fillId="0" borderId="12" xfId="1" applyNumberFormat="1" applyFont="1" applyBorder="1" applyAlignment="1">
      <alignment horizontal="center" vertical="center" wrapText="1"/>
    </xf>
    <xf numFmtId="1" fontId="5" fillId="0" borderId="1" xfId="0" applyNumberFormat="1" applyFont="1" applyBorder="1" applyAlignment="1">
      <alignment horizontal="center" vertical="top" wrapText="1"/>
    </xf>
    <xf numFmtId="1" fontId="5" fillId="0" borderId="3" xfId="0" applyNumberFormat="1" applyFont="1" applyBorder="1" applyAlignment="1">
      <alignment horizontal="center" vertical="top" wrapText="1"/>
    </xf>
    <xf numFmtId="1" fontId="7" fillId="0" borderId="1" xfId="0" applyNumberFormat="1" applyFont="1" applyBorder="1" applyAlignment="1">
      <alignment horizontal="center" vertical="center" wrapText="1"/>
    </xf>
    <xf numFmtId="1" fontId="7" fillId="0" borderId="3" xfId="0" applyNumberFormat="1" applyFont="1" applyBorder="1" applyAlignment="1">
      <alignment horizontal="center" vertical="center" wrapText="1"/>
    </xf>
    <xf numFmtId="0" fontId="5" fillId="0" borderId="1" xfId="1" applyFont="1" applyBorder="1" applyAlignment="1">
      <alignment horizontal="left" vertical="top"/>
    </xf>
    <xf numFmtId="0" fontId="5" fillId="0" borderId="2" xfId="1" applyFont="1" applyBorder="1" applyAlignment="1">
      <alignment horizontal="left" vertical="top"/>
    </xf>
    <xf numFmtId="0" fontId="5" fillId="0" borderId="3" xfId="1" applyFont="1" applyBorder="1" applyAlignment="1">
      <alignment horizontal="left" vertical="top"/>
    </xf>
    <xf numFmtId="0" fontId="7" fillId="2" borderId="1" xfId="1" applyFont="1" applyFill="1" applyBorder="1" applyAlignment="1">
      <alignment horizontal="left" vertical="top"/>
    </xf>
    <xf numFmtId="0" fontId="7" fillId="2" borderId="2" xfId="1" applyFont="1" applyFill="1" applyBorder="1" applyAlignment="1">
      <alignment horizontal="left" vertical="top"/>
    </xf>
    <xf numFmtId="0" fontId="7" fillId="2" borderId="3" xfId="1" applyFont="1" applyFill="1" applyBorder="1" applyAlignment="1">
      <alignment horizontal="left" vertical="top"/>
    </xf>
    <xf numFmtId="0" fontId="7" fillId="2" borderId="1" xfId="1" applyFont="1" applyFill="1" applyBorder="1" applyAlignment="1">
      <alignment horizontal="left" vertical="top" wrapText="1"/>
    </xf>
    <xf numFmtId="0" fontId="7" fillId="2" borderId="2" xfId="1" applyFont="1" applyFill="1" applyBorder="1" applyAlignment="1">
      <alignment horizontal="left" vertical="top" wrapText="1"/>
    </xf>
    <xf numFmtId="0" fontId="7" fillId="2" borderId="3" xfId="1" applyFont="1" applyFill="1" applyBorder="1" applyAlignment="1">
      <alignment horizontal="left" vertical="top" wrapText="1"/>
    </xf>
    <xf numFmtId="1" fontId="14" fillId="0" borderId="1" xfId="0" applyNumberFormat="1" applyFont="1" applyBorder="1" applyAlignment="1">
      <alignment horizontal="center" vertical="center" wrapText="1"/>
    </xf>
    <xf numFmtId="1" fontId="14" fillId="0" borderId="2" xfId="0" applyNumberFormat="1" applyFont="1" applyBorder="1" applyAlignment="1">
      <alignment horizontal="center" vertical="center" wrapText="1"/>
    </xf>
    <xf numFmtId="1" fontId="14" fillId="0" borderId="3" xfId="0" applyNumberFormat="1" applyFont="1" applyBorder="1" applyAlignment="1">
      <alignment horizontal="center" vertical="center" wrapText="1"/>
    </xf>
    <xf numFmtId="0" fontId="5" fillId="2" borderId="1" xfId="1" applyFont="1" applyFill="1" applyBorder="1" applyAlignment="1">
      <alignment horizontal="left" vertical="top"/>
    </xf>
    <xf numFmtId="0" fontId="5" fillId="2" borderId="2" xfId="1" applyFont="1" applyFill="1" applyBorder="1" applyAlignment="1">
      <alignment horizontal="left" vertical="top"/>
    </xf>
    <xf numFmtId="0" fontId="5" fillId="2" borderId="3" xfId="1" applyFont="1" applyFill="1" applyBorder="1" applyAlignment="1">
      <alignment horizontal="left" vertical="top"/>
    </xf>
    <xf numFmtId="0" fontId="10" fillId="0" borderId="1" xfId="1" applyFont="1" applyBorder="1" applyAlignment="1">
      <alignment horizontal="left" vertical="top"/>
    </xf>
    <xf numFmtId="0" fontId="10" fillId="0" borderId="3" xfId="1" applyFont="1" applyBorder="1" applyAlignment="1">
      <alignment horizontal="left" vertical="top"/>
    </xf>
    <xf numFmtId="0" fontId="10" fillId="0" borderId="1" xfId="1" applyFont="1" applyBorder="1" applyAlignment="1">
      <alignment horizontal="left" vertical="top" wrapText="1"/>
    </xf>
    <xf numFmtId="0" fontId="10" fillId="0" borderId="2" xfId="1" applyFont="1" applyBorder="1" applyAlignment="1">
      <alignment horizontal="left" vertical="top" wrapText="1"/>
    </xf>
    <xf numFmtId="0" fontId="10" fillId="0" borderId="3" xfId="1" applyFont="1" applyBorder="1" applyAlignment="1">
      <alignment horizontal="left" vertical="top" wrapText="1"/>
    </xf>
    <xf numFmtId="9" fontId="23" fillId="2" borderId="24" xfId="1" applyNumberFormat="1" applyFont="1" applyFill="1" applyBorder="1" applyAlignment="1" applyProtection="1">
      <alignment horizontal="center" vertical="center" wrapText="1"/>
      <protection hidden="1"/>
    </xf>
    <xf numFmtId="9" fontId="23" fillId="2" borderId="25" xfId="1" applyNumberFormat="1" applyFont="1" applyFill="1" applyBorder="1" applyAlignment="1" applyProtection="1">
      <alignment horizontal="center" vertical="center" wrapText="1"/>
      <protection hidden="1"/>
    </xf>
    <xf numFmtId="0" fontId="23" fillId="0" borderId="22" xfId="1" applyFont="1" applyBorder="1" applyAlignment="1" applyProtection="1">
      <alignment horizontal="center" vertical="top" wrapText="1"/>
      <protection locked="0"/>
    </xf>
    <xf numFmtId="0" fontId="23" fillId="0" borderId="23" xfId="1" applyFont="1" applyBorder="1" applyAlignment="1" applyProtection="1">
      <alignment horizontal="center" vertical="top" wrapText="1"/>
      <protection locked="0"/>
    </xf>
    <xf numFmtId="0" fontId="22" fillId="0" borderId="29" xfId="1" applyFont="1" applyBorder="1" applyAlignment="1" applyProtection="1">
      <alignment horizontal="center" vertical="top" wrapText="1"/>
      <protection locked="0"/>
    </xf>
    <xf numFmtId="0" fontId="22" fillId="0" borderId="10" xfId="1" applyFont="1" applyBorder="1" applyAlignment="1" applyProtection="1">
      <alignment horizontal="center" vertical="top" wrapText="1"/>
      <protection locked="0"/>
    </xf>
    <xf numFmtId="0" fontId="22" fillId="0" borderId="8" xfId="1" applyFont="1" applyBorder="1" applyAlignment="1" applyProtection="1">
      <alignment horizontal="left" vertical="top" wrapText="1"/>
      <protection locked="0"/>
    </xf>
    <xf numFmtId="0" fontId="22" fillId="0" borderId="9" xfId="1" applyFont="1" applyBorder="1" applyAlignment="1" applyProtection="1">
      <alignment horizontal="left" vertical="top" wrapText="1"/>
      <protection locked="0"/>
    </xf>
    <xf numFmtId="0" fontId="22" fillId="0" borderId="30" xfId="1" applyFont="1" applyBorder="1" applyAlignment="1" applyProtection="1">
      <alignment horizontal="left" vertical="top" wrapText="1"/>
      <protection locked="0"/>
    </xf>
    <xf numFmtId="0" fontId="9" fillId="0" borderId="4" xfId="1" applyFont="1" applyBorder="1" applyAlignment="1">
      <alignment horizontal="left" vertical="top"/>
    </xf>
    <xf numFmtId="0" fontId="7" fillId="0" borderId="4" xfId="1" applyFont="1" applyBorder="1" applyAlignment="1">
      <alignment horizontal="left" vertical="top"/>
    </xf>
    <xf numFmtId="14" fontId="7" fillId="0" borderId="4" xfId="1" applyNumberFormat="1" applyFont="1" applyBorder="1" applyAlignment="1">
      <alignment horizontal="center" vertical="top"/>
    </xf>
    <xf numFmtId="0" fontId="6" fillId="0" borderId="3" xfId="1" applyFont="1" applyBorder="1" applyAlignment="1">
      <alignment horizontal="left"/>
    </xf>
    <xf numFmtId="14" fontId="9" fillId="0" borderId="1" xfId="1" applyNumberFormat="1" applyFont="1" applyBorder="1" applyAlignment="1">
      <alignment horizontal="left" vertical="top"/>
    </xf>
    <xf numFmtId="0" fontId="9" fillId="0" borderId="2" xfId="1" applyFont="1" applyBorder="1" applyAlignment="1">
      <alignment horizontal="left" vertical="top"/>
    </xf>
    <xf numFmtId="0" fontId="9" fillId="0" borderId="3" xfId="1" applyFont="1" applyBorder="1" applyAlignment="1">
      <alignment horizontal="left" vertical="top"/>
    </xf>
    <xf numFmtId="0" fontId="5" fillId="0" borderId="1" xfId="1" applyFont="1" applyBorder="1" applyAlignment="1">
      <alignment vertical="top"/>
    </xf>
    <xf numFmtId="0" fontId="5" fillId="0" borderId="2" xfId="1" applyFont="1" applyBorder="1" applyAlignment="1">
      <alignment vertical="top"/>
    </xf>
    <xf numFmtId="0" fontId="5" fillId="0" borderId="3" xfId="1" applyFont="1" applyBorder="1" applyAlignment="1">
      <alignment vertical="top"/>
    </xf>
    <xf numFmtId="0" fontId="9" fillId="0" borderId="8" xfId="1" applyFont="1" applyBorder="1" applyAlignment="1">
      <alignment horizontal="left" vertical="top"/>
    </xf>
    <xf numFmtId="0" fontId="9" fillId="0" borderId="9" xfId="1" applyFont="1" applyBorder="1" applyAlignment="1">
      <alignment horizontal="left" vertical="top"/>
    </xf>
    <xf numFmtId="0" fontId="7" fillId="0" borderId="4" xfId="1" applyFont="1" applyBorder="1" applyAlignment="1">
      <alignment horizontal="left" vertical="top" wrapText="1"/>
    </xf>
    <xf numFmtId="0" fontId="9" fillId="0" borderId="1" xfId="1" applyFont="1" applyBorder="1" applyAlignment="1">
      <alignment horizontal="left" vertical="top" wrapText="1"/>
    </xf>
    <xf numFmtId="0" fontId="9" fillId="0" borderId="2" xfId="1" applyFont="1" applyBorder="1" applyAlignment="1">
      <alignment horizontal="left" vertical="top" wrapText="1"/>
    </xf>
    <xf numFmtId="0" fontId="9" fillId="0" borderId="3" xfId="1" applyFont="1" applyBorder="1" applyAlignment="1">
      <alignment horizontal="left" vertical="top" wrapText="1"/>
    </xf>
    <xf numFmtId="14" fontId="7" fillId="0" borderId="4" xfId="1" applyNumberFormat="1" applyFont="1" applyBorder="1" applyAlignment="1">
      <alignment horizontal="left" vertical="top" wrapText="1"/>
    </xf>
    <xf numFmtId="0" fontId="7" fillId="2" borderId="4" xfId="1" applyFont="1" applyFill="1" applyBorder="1" applyAlignment="1">
      <alignment horizontal="left" vertical="top" wrapText="1"/>
    </xf>
    <xf numFmtId="165" fontId="7" fillId="0" borderId="1" xfId="1" applyNumberFormat="1" applyFont="1" applyBorder="1" applyAlignment="1">
      <alignment horizontal="left" vertical="top"/>
    </xf>
    <xf numFmtId="165" fontId="7" fillId="0" borderId="2" xfId="1" applyNumberFormat="1" applyFont="1" applyBorder="1" applyAlignment="1">
      <alignment horizontal="left" vertical="top"/>
    </xf>
    <xf numFmtId="165" fontId="7" fillId="0" borderId="3" xfId="1" applyNumberFormat="1" applyFont="1" applyBorder="1" applyAlignment="1">
      <alignment horizontal="left" vertical="top"/>
    </xf>
    <xf numFmtId="2" fontId="7" fillId="0" borderId="1" xfId="1" applyNumberFormat="1" applyFont="1" applyBorder="1" applyAlignment="1">
      <alignment horizontal="left" vertical="top"/>
    </xf>
    <xf numFmtId="2" fontId="7" fillId="0" borderId="2" xfId="1" applyNumberFormat="1" applyFont="1" applyBorder="1" applyAlignment="1">
      <alignment horizontal="left" vertical="top"/>
    </xf>
    <xf numFmtId="2" fontId="7" fillId="0" borderId="3" xfId="1" applyNumberFormat="1" applyFont="1" applyBorder="1" applyAlignment="1">
      <alignment horizontal="left" vertical="top"/>
    </xf>
    <xf numFmtId="0" fontId="9" fillId="0" borderId="1" xfId="1" applyFont="1" applyBorder="1" applyAlignment="1">
      <alignment horizontal="left" vertical="top"/>
    </xf>
    <xf numFmtId="0" fontId="7" fillId="0" borderId="1" xfId="1" applyFont="1" applyBorder="1" applyAlignment="1">
      <alignment horizontal="center" vertical="top"/>
    </xf>
    <xf numFmtId="0" fontId="7" fillId="0" borderId="3" xfId="1" applyFont="1" applyBorder="1" applyAlignment="1">
      <alignment horizontal="center" vertical="top"/>
    </xf>
    <xf numFmtId="0" fontId="6" fillId="0" borderId="1" xfId="1" applyFont="1" applyBorder="1" applyAlignment="1" applyProtection="1">
      <alignment horizontal="left" vertical="center" wrapText="1"/>
      <protection locked="0"/>
    </xf>
    <xf numFmtId="0" fontId="6" fillId="0" borderId="2" xfId="1" applyFont="1" applyBorder="1" applyAlignment="1" applyProtection="1">
      <alignment horizontal="left" vertical="center" wrapText="1"/>
      <protection locked="0"/>
    </xf>
    <xf numFmtId="0" fontId="6" fillId="0" borderId="1" xfId="1" applyFont="1" applyBorder="1" applyAlignment="1">
      <alignment horizontal="center" vertical="top"/>
    </xf>
    <xf numFmtId="0" fontId="6" fillId="0" borderId="3" xfId="1" applyFont="1" applyBorder="1" applyAlignment="1">
      <alignment horizontal="center" vertical="top"/>
    </xf>
    <xf numFmtId="0" fontId="5" fillId="0" borderId="1" xfId="1" applyFont="1" applyBorder="1" applyAlignment="1">
      <alignment horizontal="center" vertical="top" wrapText="1"/>
    </xf>
    <xf numFmtId="0" fontId="5" fillId="0" borderId="2" xfId="1" applyFont="1" applyBorder="1" applyAlignment="1">
      <alignment horizontal="center" vertical="top" wrapText="1"/>
    </xf>
    <xf numFmtId="0" fontId="5" fillId="0" borderId="3" xfId="1" applyFont="1" applyBorder="1" applyAlignment="1">
      <alignment horizontal="center" vertical="top" wrapText="1"/>
    </xf>
    <xf numFmtId="0" fontId="5" fillId="0" borderId="1" xfId="1" applyFont="1" applyBorder="1" applyAlignment="1">
      <alignment horizontal="center" vertical="top"/>
    </xf>
    <xf numFmtId="0" fontId="5" fillId="0" borderId="2" xfId="1" applyFont="1" applyBorder="1" applyAlignment="1">
      <alignment horizontal="center" vertical="top"/>
    </xf>
    <xf numFmtId="0" fontId="5" fillId="0" borderId="3" xfId="1" applyFont="1" applyBorder="1" applyAlignment="1">
      <alignment horizontal="center" vertical="top"/>
    </xf>
    <xf numFmtId="14" fontId="7" fillId="0" borderId="1" xfId="1" applyNumberFormat="1" applyFont="1" applyBorder="1" applyAlignment="1">
      <alignment horizontal="left" vertical="top"/>
    </xf>
    <xf numFmtId="14" fontId="7" fillId="0" borderId="2" xfId="1" applyNumberFormat="1" applyFont="1" applyBorder="1" applyAlignment="1">
      <alignment horizontal="left" vertical="top"/>
    </xf>
    <xf numFmtId="14" fontId="7" fillId="0" borderId="3" xfId="1" applyNumberFormat="1" applyFont="1" applyBorder="1" applyAlignment="1">
      <alignment horizontal="left" vertical="top"/>
    </xf>
    <xf numFmtId="0" fontId="6" fillId="0" borderId="3" xfId="1" applyFont="1" applyBorder="1" applyAlignment="1" applyProtection="1">
      <alignment horizontal="left" vertical="center" wrapText="1"/>
      <protection locked="0"/>
    </xf>
    <xf numFmtId="14" fontId="9" fillId="0" borderId="2" xfId="1" applyNumberFormat="1" applyFont="1" applyBorder="1" applyAlignment="1">
      <alignment horizontal="left" vertical="top"/>
    </xf>
    <xf numFmtId="14" fontId="9" fillId="0" borderId="3" xfId="1" applyNumberFormat="1" applyFont="1" applyBorder="1" applyAlignment="1">
      <alignment horizontal="left" vertical="top"/>
    </xf>
    <xf numFmtId="0" fontId="7" fillId="2" borderId="4" xfId="1" applyFont="1" applyFill="1" applyBorder="1" applyAlignment="1">
      <alignment horizontal="left" vertical="top"/>
    </xf>
    <xf numFmtId="0" fontId="7" fillId="0" borderId="5" xfId="1" applyFont="1" applyBorder="1" applyAlignment="1">
      <alignment horizontal="left" vertical="top" wrapText="1"/>
    </xf>
    <xf numFmtId="0" fontId="7" fillId="0" borderId="6" xfId="1" applyFont="1" applyBorder="1" applyAlignment="1">
      <alignment horizontal="left" vertical="top" wrapText="1"/>
    </xf>
    <xf numFmtId="0" fontId="7" fillId="0" borderId="7" xfId="1" applyFont="1" applyBorder="1" applyAlignment="1">
      <alignment horizontal="left" vertical="top" wrapText="1"/>
    </xf>
    <xf numFmtId="0" fontId="7" fillId="0" borderId="8" xfId="1" applyFont="1" applyBorder="1" applyAlignment="1">
      <alignment horizontal="left" vertical="top" wrapText="1"/>
    </xf>
    <xf numFmtId="0" fontId="7" fillId="0" borderId="9" xfId="1" applyFont="1" applyBorder="1" applyAlignment="1">
      <alignment horizontal="left" vertical="top" wrapText="1"/>
    </xf>
    <xf numFmtId="0" fontId="7" fillId="0" borderId="10" xfId="1" applyFont="1" applyBorder="1" applyAlignment="1">
      <alignment horizontal="left" vertical="top" wrapText="1"/>
    </xf>
    <xf numFmtId="0" fontId="7" fillId="0" borderId="5" xfId="1" applyFont="1" applyBorder="1" applyAlignment="1">
      <alignment horizontal="left" vertical="top"/>
    </xf>
    <xf numFmtId="0" fontId="7" fillId="0" borderId="6" xfId="1" applyFont="1" applyBorder="1" applyAlignment="1">
      <alignment horizontal="left" vertical="top"/>
    </xf>
    <xf numFmtId="0" fontId="7" fillId="0" borderId="7" xfId="1" applyFont="1" applyBorder="1" applyAlignment="1">
      <alignment horizontal="left" vertical="top"/>
    </xf>
    <xf numFmtId="0" fontId="7" fillId="0" borderId="8" xfId="1" applyFont="1" applyBorder="1" applyAlignment="1">
      <alignment horizontal="left" vertical="top"/>
    </xf>
    <xf numFmtId="0" fontId="7" fillId="0" borderId="9" xfId="1" applyFont="1" applyBorder="1" applyAlignment="1">
      <alignment horizontal="left" vertical="top"/>
    </xf>
    <xf numFmtId="0" fontId="7" fillId="0" borderId="10" xfId="1" applyFont="1" applyBorder="1" applyAlignment="1">
      <alignment horizontal="left" vertical="top"/>
    </xf>
    <xf numFmtId="0" fontId="25" fillId="0" borderId="1" xfId="7" applyBorder="1" applyAlignment="1">
      <alignment horizontal="left" vertical="top"/>
    </xf>
    <xf numFmtId="1" fontId="22" fillId="0" borderId="1" xfId="1" applyNumberFormat="1" applyFont="1" applyBorder="1" applyAlignment="1">
      <alignment horizontal="center" vertical="center" wrapText="1"/>
    </xf>
    <xf numFmtId="1" fontId="22" fillId="0" borderId="2" xfId="1" applyNumberFormat="1" applyFont="1" applyBorder="1" applyAlignment="1">
      <alignment horizontal="center" vertical="center" wrapText="1"/>
    </xf>
    <xf numFmtId="1" fontId="22" fillId="0" borderId="3" xfId="1" applyNumberFormat="1" applyFont="1" applyBorder="1" applyAlignment="1">
      <alignment horizontal="center" vertical="center" wrapText="1"/>
    </xf>
    <xf numFmtId="2" fontId="7" fillId="0" borderId="1" xfId="1" applyNumberFormat="1" applyFont="1" applyBorder="1" applyAlignment="1">
      <alignment horizontal="left" vertical="top" wrapText="1"/>
    </xf>
    <xf numFmtId="2" fontId="7" fillId="0" borderId="2" xfId="1" applyNumberFormat="1" applyFont="1" applyBorder="1" applyAlignment="1">
      <alignment horizontal="left" vertical="top" wrapText="1"/>
    </xf>
    <xf numFmtId="2" fontId="7" fillId="0" borderId="3" xfId="1" applyNumberFormat="1" applyFont="1" applyBorder="1" applyAlignment="1">
      <alignment horizontal="left" vertical="top" wrapText="1"/>
    </xf>
    <xf numFmtId="0" fontId="9" fillId="0" borderId="1" xfId="1" applyFont="1" applyBorder="1" applyAlignment="1" applyProtection="1">
      <alignment horizontal="left" vertical="center" wrapText="1"/>
      <protection locked="0"/>
    </xf>
    <xf numFmtId="0" fontId="9" fillId="0" borderId="2" xfId="1" applyFont="1" applyBorder="1" applyAlignment="1" applyProtection="1">
      <alignment horizontal="left" vertical="center" wrapText="1"/>
      <protection locked="0"/>
    </xf>
    <xf numFmtId="0" fontId="5" fillId="0" borderId="4" xfId="1" applyFont="1" applyBorder="1" applyAlignment="1">
      <alignment horizontal="left" vertical="top"/>
    </xf>
    <xf numFmtId="14" fontId="7" fillId="2" borderId="4" xfId="1" applyNumberFormat="1" applyFont="1" applyFill="1" applyBorder="1" applyAlignment="1">
      <alignment horizontal="left" vertical="top"/>
    </xf>
    <xf numFmtId="14" fontId="7" fillId="2" borderId="4" xfId="1" applyNumberFormat="1" applyFont="1" applyFill="1" applyBorder="1" applyAlignment="1">
      <alignment horizontal="left" vertical="top" wrapText="1"/>
    </xf>
    <xf numFmtId="1" fontId="5" fillId="0" borderId="2" xfId="0" applyNumberFormat="1" applyFont="1" applyBorder="1" applyAlignment="1">
      <alignment horizontal="center" vertical="top" wrapText="1"/>
    </xf>
    <xf numFmtId="0" fontId="17" fillId="0" borderId="1" xfId="0" applyFont="1" applyBorder="1" applyAlignment="1">
      <alignment horizontal="center" vertical="top" wrapText="1"/>
    </xf>
    <xf numFmtId="0" fontId="17" fillId="0" borderId="2" xfId="0" applyFont="1" applyBorder="1" applyAlignment="1">
      <alignment horizontal="center" vertical="top" wrapText="1"/>
    </xf>
    <xf numFmtId="0" fontId="17" fillId="0" borderId="3" xfId="0" applyFont="1" applyBorder="1" applyAlignment="1">
      <alignment horizontal="center" vertical="top" wrapText="1"/>
    </xf>
    <xf numFmtId="0" fontId="20" fillId="0" borderId="1" xfId="0" applyFont="1" applyBorder="1" applyAlignment="1">
      <alignment horizontal="center" vertical="center"/>
    </xf>
    <xf numFmtId="0" fontId="20" fillId="0" borderId="3" xfId="0" applyFont="1" applyBorder="1" applyAlignment="1">
      <alignment horizontal="center" vertical="center"/>
    </xf>
    <xf numFmtId="0" fontId="13" fillId="0" borderId="1" xfId="0" applyFont="1" applyBorder="1" applyAlignment="1">
      <alignment horizontal="center" vertical="center"/>
    </xf>
    <xf numFmtId="0" fontId="13" fillId="0" borderId="3" xfId="0" applyFont="1" applyBorder="1" applyAlignment="1">
      <alignment horizontal="center" vertical="center"/>
    </xf>
    <xf numFmtId="1" fontId="6" fillId="0" borderId="1" xfId="0" applyNumberFormat="1" applyFont="1" applyBorder="1" applyAlignment="1">
      <alignment horizontal="center" vertical="top" wrapText="1"/>
    </xf>
    <xf numFmtId="1" fontId="6" fillId="0" borderId="2" xfId="0" applyNumberFormat="1" applyFont="1" applyBorder="1" applyAlignment="1">
      <alignment horizontal="center" vertical="top" wrapText="1"/>
    </xf>
    <xf numFmtId="1" fontId="6" fillId="0" borderId="3" xfId="0" applyNumberFormat="1" applyFont="1" applyBorder="1" applyAlignment="1">
      <alignment horizontal="center" vertical="top" wrapText="1"/>
    </xf>
    <xf numFmtId="0" fontId="9" fillId="2" borderId="1" xfId="1" applyFont="1" applyFill="1" applyBorder="1" applyAlignment="1">
      <alignment horizontal="left" vertical="top" wrapText="1"/>
    </xf>
    <xf numFmtId="0" fontId="9" fillId="2" borderId="2" xfId="1" applyFont="1" applyFill="1" applyBorder="1" applyAlignment="1">
      <alignment horizontal="left" vertical="top" wrapText="1"/>
    </xf>
    <xf numFmtId="0" fontId="9" fillId="2" borderId="3" xfId="1" applyFont="1" applyFill="1" applyBorder="1" applyAlignment="1">
      <alignment horizontal="left" vertical="top" wrapText="1"/>
    </xf>
    <xf numFmtId="0" fontId="9" fillId="0" borderId="1" xfId="1" applyFont="1" applyBorder="1" applyAlignment="1">
      <alignment horizontal="center" vertical="top" wrapText="1"/>
    </xf>
    <xf numFmtId="0" fontId="9" fillId="0" borderId="3" xfId="1" applyFont="1" applyBorder="1" applyAlignment="1">
      <alignment horizontal="center" vertical="top" wrapText="1"/>
    </xf>
    <xf numFmtId="0" fontId="23" fillId="0" borderId="19" xfId="1" applyFont="1" applyBorder="1" applyAlignment="1" applyProtection="1">
      <alignment horizontal="center" vertical="top" wrapText="1"/>
      <protection locked="0"/>
    </xf>
    <xf numFmtId="0" fontId="23" fillId="0" borderId="3" xfId="1" applyFont="1" applyBorder="1" applyAlignment="1" applyProtection="1">
      <alignment horizontal="center" vertical="top" wrapText="1"/>
      <protection locked="0"/>
    </xf>
    <xf numFmtId="0" fontId="5" fillId="0" borderId="1" xfId="1" applyFont="1" applyBorder="1" applyAlignment="1">
      <alignment horizontal="left" vertical="top" wrapText="1"/>
    </xf>
    <xf numFmtId="0" fontId="5" fillId="0" borderId="3" xfId="1" applyFont="1" applyBorder="1" applyAlignment="1">
      <alignment horizontal="left" vertical="top" wrapText="1"/>
    </xf>
    <xf numFmtId="0" fontId="5" fillId="0" borderId="2" xfId="1" applyFont="1" applyBorder="1" applyAlignment="1">
      <alignment horizontal="left" vertical="top" wrapText="1"/>
    </xf>
    <xf numFmtId="1" fontId="5" fillId="0" borderId="1" xfId="0" applyNumberFormat="1" applyFont="1" applyBorder="1" applyAlignment="1">
      <alignment horizontal="center" vertical="center" wrapText="1"/>
    </xf>
    <xf numFmtId="1" fontId="5" fillId="0" borderId="3" xfId="0" applyNumberFormat="1" applyFont="1" applyBorder="1" applyAlignment="1">
      <alignment horizontal="center" vertical="center" wrapText="1"/>
    </xf>
    <xf numFmtId="1" fontId="13" fillId="0" borderId="1" xfId="0" applyNumberFormat="1" applyFont="1" applyBorder="1" applyAlignment="1">
      <alignment horizontal="center" vertical="center"/>
    </xf>
    <xf numFmtId="0" fontId="6" fillId="0" borderId="2" xfId="0" applyFont="1" applyBorder="1" applyAlignment="1">
      <alignment horizontal="center" vertical="top" wrapText="1"/>
    </xf>
    <xf numFmtId="0" fontId="6" fillId="0" borderId="3" xfId="0" applyFont="1" applyBorder="1" applyAlignment="1">
      <alignment horizontal="center" vertical="top" wrapText="1"/>
    </xf>
    <xf numFmtId="1" fontId="17" fillId="0" borderId="1" xfId="0" applyNumberFormat="1" applyFont="1" applyBorder="1" applyAlignment="1">
      <alignment horizontal="center" vertical="top" wrapText="1"/>
    </xf>
    <xf numFmtId="0" fontId="15" fillId="0" borderId="4" xfId="1" applyFont="1" applyBorder="1" applyAlignment="1">
      <alignment horizontal="center" vertical="top"/>
    </xf>
    <xf numFmtId="0" fontId="5" fillId="0" borderId="4" xfId="1" applyFont="1" applyBorder="1" applyAlignment="1">
      <alignment horizontal="center" vertical="top"/>
    </xf>
    <xf numFmtId="1" fontId="5" fillId="0" borderId="4" xfId="1" applyNumberFormat="1" applyFont="1" applyBorder="1" applyAlignment="1">
      <alignment horizontal="center" vertical="top" wrapText="1"/>
    </xf>
    <xf numFmtId="1" fontId="14" fillId="0" borderId="4" xfId="1" applyNumberFormat="1" applyFont="1" applyBorder="1" applyAlignment="1">
      <alignment horizontal="center" vertical="top" wrapText="1"/>
    </xf>
    <xf numFmtId="0" fontId="19" fillId="0" borderId="4" xfId="5" applyFont="1" applyBorder="1" applyAlignment="1">
      <alignment horizontal="left"/>
    </xf>
    <xf numFmtId="0" fontId="0" fillId="3" borderId="4" xfId="0" applyFill="1" applyBorder="1" applyAlignment="1">
      <alignment horizontal="center" wrapText="1"/>
    </xf>
    <xf numFmtId="0" fontId="19" fillId="0" borderId="4" xfId="0" applyFont="1" applyBorder="1" applyAlignment="1">
      <alignment horizontal="center"/>
    </xf>
  </cellXfs>
  <cellStyles count="8">
    <cellStyle name="Comma 2" xfId="6" xr:uid="{00000000-0005-0000-0000-000000000000}"/>
    <cellStyle name="Excel Built-in Normal" xfId="2" xr:uid="{00000000-0005-0000-0000-000001000000}"/>
    <cellStyle name="Excel Built-in Normal 2" xfId="4" xr:uid="{00000000-0005-0000-0000-000002000000}"/>
    <cellStyle name="Hyperlink" xfId="7" builtinId="8"/>
    <cellStyle name="Normal" xfId="0" builtinId="0"/>
    <cellStyle name="Normal 2" xfId="3" xr:uid="{00000000-0005-0000-0000-000005000000}"/>
    <cellStyle name="Normal 3" xfId="1" xr:uid="{00000000-0005-0000-0000-000006000000}"/>
    <cellStyle name="Normal 4" xfId="5"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jpg"/><Relationship Id="rId2" Type="http://schemas.openxmlformats.org/officeDocument/2006/relationships/image" Target="../media/image2.png"/><Relationship Id="rId16" Type="http://schemas.openxmlformats.org/officeDocument/2006/relationships/image" Target="../media/image16.jpg"/><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1.jpg"/><Relationship Id="rId5" Type="http://schemas.openxmlformats.org/officeDocument/2006/relationships/image" Target="../media/image5.png"/><Relationship Id="rId15" Type="http://schemas.openxmlformats.org/officeDocument/2006/relationships/image" Target="../media/image15.jp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g"/></Relationships>
</file>

<file path=xl/drawings/_rels/drawing2.xml.rels><?xml version="1.0" encoding="UTF-8" standalone="yes"?>
<Relationships xmlns="http://schemas.openxmlformats.org/package/2006/relationships"><Relationship Id="rId1" Type="http://schemas.openxmlformats.org/officeDocument/2006/relationships/image" Target="../media/image19.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png"/><Relationship Id="rId1" Type="http://schemas.openxmlformats.org/officeDocument/2006/relationships/image" Target="../media/image20.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editAs="oneCell">
    <xdr:from>
      <xdr:col>1</xdr:col>
      <xdr:colOff>52437</xdr:colOff>
      <xdr:row>229</xdr:row>
      <xdr:rowOff>15123</xdr:rowOff>
    </xdr:from>
    <xdr:to>
      <xdr:col>8</xdr:col>
      <xdr:colOff>285243</xdr:colOff>
      <xdr:row>247</xdr:row>
      <xdr:rowOff>85896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633462" y="48068748"/>
          <a:ext cx="5147706" cy="3499773"/>
        </a:xfrm>
        <a:prstGeom prst="rect">
          <a:avLst/>
        </a:prstGeom>
        <a:ln>
          <a:solidFill>
            <a:schemeClr val="tx1"/>
          </a:solidFill>
        </a:ln>
      </xdr:spPr>
    </xdr:pic>
    <xdr:clientData/>
  </xdr:twoCellAnchor>
  <xdr:twoCellAnchor editAs="oneCell">
    <xdr:from>
      <xdr:col>1</xdr:col>
      <xdr:colOff>55702</xdr:colOff>
      <xdr:row>210</xdr:row>
      <xdr:rowOff>18856</xdr:rowOff>
    </xdr:from>
    <xdr:to>
      <xdr:col>8</xdr:col>
      <xdr:colOff>269554</xdr:colOff>
      <xdr:row>228</xdr:row>
      <xdr:rowOff>106275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636727" y="44452981"/>
          <a:ext cx="5128752" cy="3516419"/>
        </a:xfrm>
        <a:prstGeom prst="rect">
          <a:avLst/>
        </a:prstGeom>
        <a:ln>
          <a:solidFill>
            <a:schemeClr val="tx1"/>
          </a:solidFill>
        </a:ln>
      </xdr:spPr>
    </xdr:pic>
    <xdr:clientData/>
  </xdr:twoCellAnchor>
  <xdr:twoCellAnchor editAs="oneCell">
    <xdr:from>
      <xdr:col>11</xdr:col>
      <xdr:colOff>134469</xdr:colOff>
      <xdr:row>82</xdr:row>
      <xdr:rowOff>313765</xdr:rowOff>
    </xdr:from>
    <xdr:to>
      <xdr:col>17</xdr:col>
      <xdr:colOff>78440</xdr:colOff>
      <xdr:row>127</xdr:row>
      <xdr:rowOff>78441</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rotWithShape="1">
        <a:blip xmlns:r="http://schemas.openxmlformats.org/officeDocument/2006/relationships" r:embed="rId3"/>
        <a:srcRect l="46586" t="19812" r="41480" b="12500"/>
        <a:stretch/>
      </xdr:blipFill>
      <xdr:spPr>
        <a:xfrm>
          <a:off x="7351057" y="18355236"/>
          <a:ext cx="3933265" cy="8718176"/>
        </a:xfrm>
        <a:prstGeom prst="rect">
          <a:avLst/>
        </a:prstGeom>
        <a:ln>
          <a:solidFill>
            <a:schemeClr val="tx1"/>
          </a:solidFill>
        </a:ln>
      </xdr:spPr>
    </xdr:pic>
    <xdr:clientData/>
  </xdr:twoCellAnchor>
  <xdr:twoCellAnchor editAs="oneCell">
    <xdr:from>
      <xdr:col>10</xdr:col>
      <xdr:colOff>523875</xdr:colOff>
      <xdr:row>39</xdr:row>
      <xdr:rowOff>152400</xdr:rowOff>
    </xdr:from>
    <xdr:to>
      <xdr:col>17</xdr:col>
      <xdr:colOff>285132</xdr:colOff>
      <xdr:row>49</xdr:row>
      <xdr:rowOff>190182</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4"/>
        <a:stretch>
          <a:fillRect/>
        </a:stretch>
      </xdr:blipFill>
      <xdr:spPr>
        <a:xfrm>
          <a:off x="7191375" y="8362950"/>
          <a:ext cx="4942857" cy="2542857"/>
        </a:xfrm>
        <a:prstGeom prst="rect">
          <a:avLst/>
        </a:prstGeom>
      </xdr:spPr>
    </xdr:pic>
    <xdr:clientData/>
  </xdr:twoCellAnchor>
  <xdr:twoCellAnchor>
    <xdr:from>
      <xdr:col>10</xdr:col>
      <xdr:colOff>895350</xdr:colOff>
      <xdr:row>162</xdr:row>
      <xdr:rowOff>118110</xdr:rowOff>
    </xdr:from>
    <xdr:to>
      <xdr:col>20</xdr:col>
      <xdr:colOff>19258</xdr:colOff>
      <xdr:row>196</xdr:row>
      <xdr:rowOff>160320</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7768590" y="34461450"/>
          <a:ext cx="6370528" cy="6001050"/>
          <a:chOff x="285750" y="34848800"/>
          <a:chExt cx="6479748" cy="6089950"/>
        </a:xfrm>
      </xdr:grpSpPr>
      <xdr:pic>
        <xdr:nvPicPr>
          <xdr:cNvPr id="20" name="Picture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5255073" y="38922750"/>
            <a:ext cx="1510425" cy="2016000"/>
          </a:xfrm>
          <a:prstGeom prst="rect">
            <a:avLst/>
          </a:prstGeom>
          <a:ln>
            <a:solidFill>
              <a:schemeClr val="tx1"/>
            </a:solidFill>
          </a:ln>
        </xdr:spPr>
      </xdr:pic>
      <xdr:pic>
        <xdr:nvPicPr>
          <xdr:cNvPr id="23" name="Picture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1942191" y="38922750"/>
            <a:ext cx="1510425" cy="2016000"/>
          </a:xfrm>
          <a:prstGeom prst="rect">
            <a:avLst/>
          </a:prstGeom>
          <a:ln>
            <a:solidFill>
              <a:schemeClr val="tx1"/>
            </a:solidFill>
          </a:ln>
        </xdr:spPr>
      </xdr:pic>
      <xdr:pic>
        <xdr:nvPicPr>
          <xdr:cNvPr id="24" name="Picture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3598427" y="34848800"/>
            <a:ext cx="2966907" cy="3960000"/>
          </a:xfrm>
          <a:prstGeom prst="rect">
            <a:avLst/>
          </a:prstGeom>
          <a:ln>
            <a:solidFill>
              <a:schemeClr val="tx1"/>
            </a:solidFill>
          </a:ln>
        </xdr:spPr>
      </xdr:pic>
      <xdr:pic>
        <xdr:nvPicPr>
          <xdr:cNvPr id="25" name="Picture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285750" y="38922750"/>
            <a:ext cx="1510425" cy="2016000"/>
          </a:xfrm>
          <a:prstGeom prst="rect">
            <a:avLst/>
          </a:prstGeom>
          <a:ln>
            <a:solidFill>
              <a:schemeClr val="tx1"/>
            </a:solidFill>
          </a:ln>
        </xdr:spPr>
      </xdr:pic>
      <xdr:pic>
        <xdr:nvPicPr>
          <xdr:cNvPr id="26" name="Picture 25">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3598632" y="38922750"/>
            <a:ext cx="1510425" cy="2016000"/>
          </a:xfrm>
          <a:prstGeom prst="rect">
            <a:avLst/>
          </a:prstGeom>
          <a:ln>
            <a:solidFill>
              <a:schemeClr val="tx1"/>
            </a:solidFill>
          </a:ln>
        </xdr:spPr>
      </xdr:pic>
      <xdr:pic>
        <xdr:nvPicPr>
          <xdr:cNvPr id="27" name="Picture 26">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473183" y="34848800"/>
            <a:ext cx="2966907" cy="3960000"/>
          </a:xfrm>
          <a:prstGeom prst="rect">
            <a:avLst/>
          </a:prstGeom>
          <a:ln>
            <a:solidFill>
              <a:schemeClr val="tx1"/>
            </a:solidFill>
          </a:ln>
        </xdr:spPr>
      </xdr:pic>
    </xdr:grpSp>
    <xdr:clientData/>
  </xdr:twoCellAnchor>
  <xdr:twoCellAnchor>
    <xdr:from>
      <xdr:col>0</xdr:col>
      <xdr:colOff>426720</xdr:colOff>
      <xdr:row>164</xdr:row>
      <xdr:rowOff>129540</xdr:rowOff>
    </xdr:from>
    <xdr:to>
      <xdr:col>9</xdr:col>
      <xdr:colOff>95472</xdr:colOff>
      <xdr:row>205</xdr:row>
      <xdr:rowOff>165788</xdr:rowOff>
    </xdr:to>
    <xdr:grpSp>
      <xdr:nvGrpSpPr>
        <xdr:cNvPr id="13" name="Group 12">
          <a:extLst>
            <a:ext uri="{FF2B5EF4-FFF2-40B4-BE49-F238E27FC236}">
              <a16:creationId xmlns:a16="http://schemas.microsoft.com/office/drawing/2014/main" id="{BA4E4476-0204-3DA4-3549-6F940778E3FD}"/>
            </a:ext>
          </a:extLst>
        </xdr:cNvPr>
        <xdr:cNvGrpSpPr/>
      </xdr:nvGrpSpPr>
      <xdr:grpSpPr>
        <a:xfrm>
          <a:off x="426720" y="34823400"/>
          <a:ext cx="6023832" cy="7221908"/>
          <a:chOff x="240204" y="172697"/>
          <a:chExt cx="6023832" cy="7221908"/>
        </a:xfrm>
      </xdr:grpSpPr>
      <xdr:grpSp>
        <xdr:nvGrpSpPr>
          <xdr:cNvPr id="14" name="Group 13">
            <a:extLst>
              <a:ext uri="{FF2B5EF4-FFF2-40B4-BE49-F238E27FC236}">
                <a16:creationId xmlns:a16="http://schemas.microsoft.com/office/drawing/2014/main" id="{7239B940-3C68-4771-7A0F-F31B7A41CDE4}"/>
              </a:ext>
            </a:extLst>
          </xdr:cNvPr>
          <xdr:cNvGrpSpPr/>
        </xdr:nvGrpSpPr>
        <xdr:grpSpPr>
          <a:xfrm>
            <a:off x="240204" y="172697"/>
            <a:ext cx="6023832" cy="5220000"/>
            <a:chOff x="240204" y="172697"/>
            <a:chExt cx="6023832" cy="5220000"/>
          </a:xfrm>
        </xdr:grpSpPr>
        <xdr:pic>
          <xdr:nvPicPr>
            <xdr:cNvPr id="19" name="Picture 18">
              <a:extLst>
                <a:ext uri="{FF2B5EF4-FFF2-40B4-BE49-F238E27FC236}">
                  <a16:creationId xmlns:a16="http://schemas.microsoft.com/office/drawing/2014/main" id="{EC30ECD9-D0DF-CB18-38EA-C27BD719EC22}"/>
                </a:ext>
              </a:extLst>
            </xdr:cNvPr>
            <xdr:cNvPicPr>
              <a:picLocks noChangeAspect="1"/>
            </xdr:cNvPicPr>
          </xdr:nvPicPr>
          <xdr:blipFill>
            <a:blip xmlns:r="http://schemas.openxmlformats.org/officeDocument/2006/relationships" r:embed="rId11" cstate="hqprint">
              <a:extLst>
                <a:ext uri="{28A0092B-C50C-407E-A947-70E740481C1C}">
                  <a14:useLocalDpi xmlns:a14="http://schemas.microsoft.com/office/drawing/2010/main"/>
                </a:ext>
              </a:extLst>
            </a:blip>
            <a:stretch>
              <a:fillRect/>
            </a:stretch>
          </xdr:blipFill>
          <xdr:spPr>
            <a:xfrm>
              <a:off x="4376005" y="2872697"/>
              <a:ext cx="1888031" cy="2520000"/>
            </a:xfrm>
            <a:prstGeom prst="rect">
              <a:avLst/>
            </a:prstGeom>
            <a:ln>
              <a:solidFill>
                <a:schemeClr val="tx1"/>
              </a:solidFill>
            </a:ln>
          </xdr:spPr>
        </xdr:pic>
        <xdr:pic>
          <xdr:nvPicPr>
            <xdr:cNvPr id="21" name="Picture 20">
              <a:extLst>
                <a:ext uri="{FF2B5EF4-FFF2-40B4-BE49-F238E27FC236}">
                  <a16:creationId xmlns:a16="http://schemas.microsoft.com/office/drawing/2014/main" id="{DCD78AC0-C701-F4CE-712F-9251A35B9B63}"/>
                </a:ext>
              </a:extLst>
            </xdr:cNvPr>
            <xdr:cNvPicPr>
              <a:picLocks noChangeAspect="1"/>
            </xdr:cNvPicPr>
          </xdr:nvPicPr>
          <xdr:blipFill>
            <a:blip xmlns:r="http://schemas.openxmlformats.org/officeDocument/2006/relationships" r:embed="rId12" cstate="hqprint">
              <a:extLst>
                <a:ext uri="{28A0092B-C50C-407E-A947-70E740481C1C}">
                  <a14:useLocalDpi xmlns:a14="http://schemas.microsoft.com/office/drawing/2010/main"/>
                </a:ext>
              </a:extLst>
            </a:blip>
            <a:stretch>
              <a:fillRect/>
            </a:stretch>
          </xdr:blipFill>
          <xdr:spPr>
            <a:xfrm>
              <a:off x="240204" y="172697"/>
              <a:ext cx="3910921" cy="5220000"/>
            </a:xfrm>
            <a:prstGeom prst="rect">
              <a:avLst/>
            </a:prstGeom>
            <a:ln>
              <a:solidFill>
                <a:schemeClr val="tx1"/>
              </a:solidFill>
            </a:ln>
          </xdr:spPr>
        </xdr:pic>
        <xdr:pic>
          <xdr:nvPicPr>
            <xdr:cNvPr id="22" name="Picture 21">
              <a:extLst>
                <a:ext uri="{FF2B5EF4-FFF2-40B4-BE49-F238E27FC236}">
                  <a16:creationId xmlns:a16="http://schemas.microsoft.com/office/drawing/2014/main" id="{F28595B4-A999-1E6B-0ED7-43F58521E91F}"/>
                </a:ext>
              </a:extLst>
            </xdr:cNvPr>
            <xdr:cNvPicPr>
              <a:picLocks noChangeAspect="1"/>
            </xdr:cNvPicPr>
          </xdr:nvPicPr>
          <xdr:blipFill>
            <a:blip xmlns:r="http://schemas.openxmlformats.org/officeDocument/2006/relationships" r:embed="rId13" cstate="hqprint">
              <a:extLst>
                <a:ext uri="{28A0092B-C50C-407E-A947-70E740481C1C}">
                  <a14:useLocalDpi xmlns:a14="http://schemas.microsoft.com/office/drawing/2010/main"/>
                </a:ext>
              </a:extLst>
            </a:blip>
            <a:stretch>
              <a:fillRect/>
            </a:stretch>
          </xdr:blipFill>
          <xdr:spPr>
            <a:xfrm>
              <a:off x="4376005" y="172697"/>
              <a:ext cx="1888031" cy="2520000"/>
            </a:xfrm>
            <a:prstGeom prst="rect">
              <a:avLst/>
            </a:prstGeom>
            <a:ln>
              <a:solidFill>
                <a:schemeClr val="tx1"/>
              </a:solidFill>
            </a:ln>
          </xdr:spPr>
        </xdr:pic>
      </xdr:grpSp>
      <xdr:grpSp>
        <xdr:nvGrpSpPr>
          <xdr:cNvPr id="15" name="Group 14">
            <a:extLst>
              <a:ext uri="{FF2B5EF4-FFF2-40B4-BE49-F238E27FC236}">
                <a16:creationId xmlns:a16="http://schemas.microsoft.com/office/drawing/2014/main" id="{6D31622D-C6E0-5F13-BBB9-574BDD563FCD}"/>
              </a:ext>
            </a:extLst>
          </xdr:cNvPr>
          <xdr:cNvGrpSpPr/>
        </xdr:nvGrpSpPr>
        <xdr:grpSpPr>
          <a:xfrm>
            <a:off x="1010532" y="5594605"/>
            <a:ext cx="4483176" cy="1800000"/>
            <a:chOff x="1235240" y="5594605"/>
            <a:chExt cx="4483176" cy="1800000"/>
          </a:xfrm>
        </xdr:grpSpPr>
        <xdr:pic>
          <xdr:nvPicPr>
            <xdr:cNvPr id="16" name="Picture 15">
              <a:extLst>
                <a:ext uri="{FF2B5EF4-FFF2-40B4-BE49-F238E27FC236}">
                  <a16:creationId xmlns:a16="http://schemas.microsoft.com/office/drawing/2014/main" id="{8979962B-07D6-3C19-2267-3F6D36A0A064}"/>
                </a:ext>
              </a:extLst>
            </xdr:cNvPr>
            <xdr:cNvPicPr>
              <a:picLocks noChangeAspect="1"/>
            </xdr:cNvPicPr>
          </xdr:nvPicPr>
          <xdr:blipFill>
            <a:blip xmlns:r="http://schemas.openxmlformats.org/officeDocument/2006/relationships" r:embed="rId14" cstate="hqprint">
              <a:extLst>
                <a:ext uri="{28A0092B-C50C-407E-A947-70E740481C1C}">
                  <a14:useLocalDpi xmlns:a14="http://schemas.microsoft.com/office/drawing/2010/main"/>
                </a:ext>
              </a:extLst>
            </a:blip>
            <a:stretch>
              <a:fillRect/>
            </a:stretch>
          </xdr:blipFill>
          <xdr:spPr>
            <a:xfrm>
              <a:off x="2802531" y="5594605"/>
              <a:ext cx="1348594" cy="1800000"/>
            </a:xfrm>
            <a:prstGeom prst="rect">
              <a:avLst/>
            </a:prstGeom>
            <a:ln>
              <a:solidFill>
                <a:schemeClr val="tx1"/>
              </a:solidFill>
            </a:ln>
          </xdr:spPr>
        </xdr:pic>
        <xdr:pic>
          <xdr:nvPicPr>
            <xdr:cNvPr id="17" name="Picture 16">
              <a:extLst>
                <a:ext uri="{FF2B5EF4-FFF2-40B4-BE49-F238E27FC236}">
                  <a16:creationId xmlns:a16="http://schemas.microsoft.com/office/drawing/2014/main" id="{0401F448-07E6-0FAA-AD13-160CFF08F605}"/>
                </a:ext>
              </a:extLst>
            </xdr:cNvPr>
            <xdr:cNvPicPr>
              <a:picLocks noChangeAspect="1"/>
            </xdr:cNvPicPr>
          </xdr:nvPicPr>
          <xdr:blipFill>
            <a:blip xmlns:r="http://schemas.openxmlformats.org/officeDocument/2006/relationships" r:embed="rId15" cstate="hqprint">
              <a:extLst>
                <a:ext uri="{28A0092B-C50C-407E-A947-70E740481C1C}">
                  <a14:useLocalDpi xmlns:a14="http://schemas.microsoft.com/office/drawing/2010/main"/>
                </a:ext>
              </a:extLst>
            </a:blip>
            <a:stretch>
              <a:fillRect/>
            </a:stretch>
          </xdr:blipFill>
          <xdr:spPr>
            <a:xfrm>
              <a:off x="4369822" y="5594605"/>
              <a:ext cx="1348594" cy="1800000"/>
            </a:xfrm>
            <a:prstGeom prst="rect">
              <a:avLst/>
            </a:prstGeom>
            <a:ln>
              <a:solidFill>
                <a:schemeClr val="tx1"/>
              </a:solidFill>
            </a:ln>
          </xdr:spPr>
        </xdr:pic>
        <xdr:pic>
          <xdr:nvPicPr>
            <xdr:cNvPr id="18" name="Picture 17">
              <a:extLst>
                <a:ext uri="{FF2B5EF4-FFF2-40B4-BE49-F238E27FC236}">
                  <a16:creationId xmlns:a16="http://schemas.microsoft.com/office/drawing/2014/main" id="{119FEBBB-EDAF-6A28-F1AA-8D7D893FCD7E}"/>
                </a:ext>
              </a:extLst>
            </xdr:cNvPr>
            <xdr:cNvPicPr>
              <a:picLocks noChangeAspect="1"/>
            </xdr:cNvPicPr>
          </xdr:nvPicPr>
          <xdr:blipFill>
            <a:blip xmlns:r="http://schemas.openxmlformats.org/officeDocument/2006/relationships" r:embed="rId16" cstate="hqprint">
              <a:extLst>
                <a:ext uri="{28A0092B-C50C-407E-A947-70E740481C1C}">
                  <a14:useLocalDpi xmlns:a14="http://schemas.microsoft.com/office/drawing/2010/main"/>
                </a:ext>
              </a:extLst>
            </a:blip>
            <a:stretch>
              <a:fillRect/>
            </a:stretch>
          </xdr:blipFill>
          <xdr:spPr>
            <a:xfrm>
              <a:off x="1235240" y="5594605"/>
              <a:ext cx="1348594" cy="1800000"/>
            </a:xfrm>
            <a:prstGeom prst="rect">
              <a:avLst/>
            </a:prstGeom>
            <a:ln>
              <a:solidFill>
                <a:schemeClr val="tx1"/>
              </a:solidFill>
            </a:ln>
          </xdr:spPr>
        </xdr:pic>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0</xdr:colOff>
      <xdr:row>12</xdr:row>
      <xdr:rowOff>0</xdr:rowOff>
    </xdr:from>
    <xdr:to>
      <xdr:col>11</xdr:col>
      <xdr:colOff>399112</xdr:colOff>
      <xdr:row>21</xdr:row>
      <xdr:rowOff>64500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57850" y="2286000"/>
          <a:ext cx="1618312" cy="2160000"/>
        </a:xfrm>
        <a:prstGeom prst="rect">
          <a:avLst/>
        </a:prstGeom>
        <a:ln>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6499</xdr:colOff>
      <xdr:row>11</xdr:row>
      <xdr:rowOff>8574</xdr:rowOff>
    </xdr:from>
    <xdr:to>
      <xdr:col>6</xdr:col>
      <xdr:colOff>360644</xdr:colOff>
      <xdr:row>29</xdr:row>
      <xdr:rowOff>179574</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587524" y="2104074"/>
          <a:ext cx="6754945" cy="3600000"/>
        </a:xfrm>
        <a:prstGeom prst="rect">
          <a:avLst/>
        </a:prstGeom>
        <a:ln>
          <a:solidFill>
            <a:schemeClr val="tx1"/>
          </a:solidFill>
        </a:ln>
      </xdr:spPr>
    </xdr:pic>
    <xdr:clientData/>
  </xdr:twoCellAnchor>
  <xdr:twoCellAnchor editAs="oneCell">
    <xdr:from>
      <xdr:col>1</xdr:col>
      <xdr:colOff>0</xdr:colOff>
      <xdr:row>30</xdr:row>
      <xdr:rowOff>95664</xdr:rowOff>
    </xdr:from>
    <xdr:to>
      <xdr:col>6</xdr:col>
      <xdr:colOff>354145</xdr:colOff>
      <xdr:row>49</xdr:row>
      <xdr:rowOff>76164</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581025" y="5810664"/>
          <a:ext cx="6754945" cy="3600000"/>
        </a:xfrm>
        <a:prstGeom prst="rect">
          <a:avLst/>
        </a:prstGeom>
        <a:ln>
          <a:solidFill>
            <a:schemeClr val="tx1"/>
          </a:solidFill>
        </a:ln>
      </xdr:spPr>
    </xdr:pic>
    <xdr:clientData/>
  </xdr:twoCellAnchor>
  <xdr:twoCellAnchor editAs="oneCell">
    <xdr:from>
      <xdr:col>6</xdr:col>
      <xdr:colOff>624780</xdr:colOff>
      <xdr:row>11</xdr:row>
      <xdr:rowOff>0</xdr:rowOff>
    </xdr:from>
    <xdr:to>
      <xdr:col>16</xdr:col>
      <xdr:colOff>302650</xdr:colOff>
      <xdr:row>29</xdr:row>
      <xdr:rowOff>171000</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a:stretch>
          <a:fillRect/>
        </a:stretch>
      </xdr:blipFill>
      <xdr:spPr>
        <a:xfrm>
          <a:off x="7606605" y="2095500"/>
          <a:ext cx="6754945" cy="360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sgF5YiM17ESyzjSN6" TargetMode="Externa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208"/>
  <sheetViews>
    <sheetView tabSelected="1" view="pageBreakPreview" topLeftCell="A31" zoomScaleNormal="100" zoomScaleSheetLayoutView="100" zoomScalePageLayoutView="85" workbookViewId="0">
      <selection activeCell="K8" sqref="K8"/>
    </sheetView>
  </sheetViews>
  <sheetFormatPr defaultRowHeight="13.8" x14ac:dyDescent="0.25"/>
  <cols>
    <col min="1" max="1" width="8.77734375" style="1" customWidth="1"/>
    <col min="2" max="2" width="13.5546875" style="43" customWidth="1"/>
    <col min="3" max="3" width="13.44140625" style="1" customWidth="1"/>
    <col min="4" max="4" width="9.21875" style="1" customWidth="1"/>
    <col min="5" max="5" width="7.21875" style="1" customWidth="1"/>
    <col min="6" max="6" width="9.44140625" style="1" customWidth="1"/>
    <col min="7" max="7" width="9.77734375" style="1" customWidth="1"/>
    <col min="8" max="8" width="11.21875" style="1" customWidth="1"/>
    <col min="9" max="9" width="10" style="1" customWidth="1"/>
    <col min="10" max="10" width="7.5546875" style="1" customWidth="1"/>
    <col min="11" max="11" width="17.77734375" style="1" customWidth="1"/>
    <col min="12" max="13" width="9.21875" style="1"/>
    <col min="14" max="14" width="12.77734375" style="1" bestFit="1" customWidth="1"/>
    <col min="15" max="16" width="9.21875" style="1"/>
    <col min="17" max="17" width="10.5546875" style="1" bestFit="1" customWidth="1"/>
    <col min="18" max="256" width="9.21875" style="1"/>
    <col min="257" max="257" width="8.77734375" style="1" customWidth="1"/>
    <col min="258" max="258" width="9.77734375" style="1" customWidth="1"/>
    <col min="259" max="259" width="14.44140625" style="1" customWidth="1"/>
    <col min="260" max="260" width="7.21875" style="1" customWidth="1"/>
    <col min="261" max="261" width="5.5546875" style="1" customWidth="1"/>
    <col min="262" max="262" width="9" style="1" customWidth="1"/>
    <col min="263" max="264" width="9.77734375" style="1" customWidth="1"/>
    <col min="265" max="265" width="11.21875" style="1" customWidth="1"/>
    <col min="266" max="266" width="2.77734375" style="1" customWidth="1"/>
    <col min="267" max="267" width="3.5546875" style="1" customWidth="1"/>
    <col min="268" max="512" width="9.21875" style="1"/>
    <col min="513" max="513" width="8.77734375" style="1" customWidth="1"/>
    <col min="514" max="514" width="9.77734375" style="1" customWidth="1"/>
    <col min="515" max="515" width="14.44140625" style="1" customWidth="1"/>
    <col min="516" max="516" width="7.21875" style="1" customWidth="1"/>
    <col min="517" max="517" width="5.5546875" style="1" customWidth="1"/>
    <col min="518" max="518" width="9" style="1" customWidth="1"/>
    <col min="519" max="520" width="9.77734375" style="1" customWidth="1"/>
    <col min="521" max="521" width="11.21875" style="1" customWidth="1"/>
    <col min="522" max="522" width="2.77734375" style="1" customWidth="1"/>
    <col min="523" max="523" width="3.5546875" style="1" customWidth="1"/>
    <col min="524" max="768" width="9.21875" style="1"/>
    <col min="769" max="769" width="8.77734375" style="1" customWidth="1"/>
    <col min="770" max="770" width="9.77734375" style="1" customWidth="1"/>
    <col min="771" max="771" width="14.44140625" style="1" customWidth="1"/>
    <col min="772" max="772" width="7.21875" style="1" customWidth="1"/>
    <col min="773" max="773" width="5.5546875" style="1" customWidth="1"/>
    <col min="774" max="774" width="9" style="1" customWidth="1"/>
    <col min="775" max="776" width="9.77734375" style="1" customWidth="1"/>
    <col min="777" max="777" width="11.21875" style="1" customWidth="1"/>
    <col min="778" max="778" width="2.77734375" style="1" customWidth="1"/>
    <col min="779" max="779" width="3.5546875" style="1" customWidth="1"/>
    <col min="780" max="1024" width="9.21875" style="1"/>
    <col min="1025" max="1025" width="8.77734375" style="1" customWidth="1"/>
    <col min="1026" max="1026" width="9.77734375" style="1" customWidth="1"/>
    <col min="1027" max="1027" width="14.44140625" style="1" customWidth="1"/>
    <col min="1028" max="1028" width="7.21875" style="1" customWidth="1"/>
    <col min="1029" max="1029" width="5.5546875" style="1" customWidth="1"/>
    <col min="1030" max="1030" width="9" style="1" customWidth="1"/>
    <col min="1031" max="1032" width="9.77734375" style="1" customWidth="1"/>
    <col min="1033" max="1033" width="11.21875" style="1" customWidth="1"/>
    <col min="1034" max="1034" width="2.77734375" style="1" customWidth="1"/>
    <col min="1035" max="1035" width="3.5546875" style="1" customWidth="1"/>
    <col min="1036" max="1280" width="9.21875" style="1"/>
    <col min="1281" max="1281" width="8.77734375" style="1" customWidth="1"/>
    <col min="1282" max="1282" width="9.77734375" style="1" customWidth="1"/>
    <col min="1283" max="1283" width="14.44140625" style="1" customWidth="1"/>
    <col min="1284" max="1284" width="7.21875" style="1" customWidth="1"/>
    <col min="1285" max="1285" width="5.5546875" style="1" customWidth="1"/>
    <col min="1286" max="1286" width="9" style="1" customWidth="1"/>
    <col min="1287" max="1288" width="9.77734375" style="1" customWidth="1"/>
    <col min="1289" max="1289" width="11.21875" style="1" customWidth="1"/>
    <col min="1290" max="1290" width="2.77734375" style="1" customWidth="1"/>
    <col min="1291" max="1291" width="3.5546875" style="1" customWidth="1"/>
    <col min="1292" max="1536" width="9.21875" style="1"/>
    <col min="1537" max="1537" width="8.77734375" style="1" customWidth="1"/>
    <col min="1538" max="1538" width="9.77734375" style="1" customWidth="1"/>
    <col min="1539" max="1539" width="14.44140625" style="1" customWidth="1"/>
    <col min="1540" max="1540" width="7.21875" style="1" customWidth="1"/>
    <col min="1541" max="1541" width="5.5546875" style="1" customWidth="1"/>
    <col min="1542" max="1542" width="9" style="1" customWidth="1"/>
    <col min="1543" max="1544" width="9.77734375" style="1" customWidth="1"/>
    <col min="1545" max="1545" width="11.21875" style="1" customWidth="1"/>
    <col min="1546" max="1546" width="2.77734375" style="1" customWidth="1"/>
    <col min="1547" max="1547" width="3.5546875" style="1" customWidth="1"/>
    <col min="1548" max="1792" width="9.21875" style="1"/>
    <col min="1793" max="1793" width="8.77734375" style="1" customWidth="1"/>
    <col min="1794" max="1794" width="9.77734375" style="1" customWidth="1"/>
    <col min="1795" max="1795" width="14.44140625" style="1" customWidth="1"/>
    <col min="1796" max="1796" width="7.21875" style="1" customWidth="1"/>
    <col min="1797" max="1797" width="5.5546875" style="1" customWidth="1"/>
    <col min="1798" max="1798" width="9" style="1" customWidth="1"/>
    <col min="1799" max="1800" width="9.77734375" style="1" customWidth="1"/>
    <col min="1801" max="1801" width="11.21875" style="1" customWidth="1"/>
    <col min="1802" max="1802" width="2.77734375" style="1" customWidth="1"/>
    <col min="1803" max="1803" width="3.5546875" style="1" customWidth="1"/>
    <col min="1804" max="2048" width="9.21875" style="1"/>
    <col min="2049" max="2049" width="8.77734375" style="1" customWidth="1"/>
    <col min="2050" max="2050" width="9.77734375" style="1" customWidth="1"/>
    <col min="2051" max="2051" width="14.44140625" style="1" customWidth="1"/>
    <col min="2052" max="2052" width="7.21875" style="1" customWidth="1"/>
    <col min="2053" max="2053" width="5.5546875" style="1" customWidth="1"/>
    <col min="2054" max="2054" width="9" style="1" customWidth="1"/>
    <col min="2055" max="2056" width="9.77734375" style="1" customWidth="1"/>
    <col min="2057" max="2057" width="11.21875" style="1" customWidth="1"/>
    <col min="2058" max="2058" width="2.77734375" style="1" customWidth="1"/>
    <col min="2059" max="2059" width="3.5546875" style="1" customWidth="1"/>
    <col min="2060" max="2304" width="9.21875" style="1"/>
    <col min="2305" max="2305" width="8.77734375" style="1" customWidth="1"/>
    <col min="2306" max="2306" width="9.77734375" style="1" customWidth="1"/>
    <col min="2307" max="2307" width="14.44140625" style="1" customWidth="1"/>
    <col min="2308" max="2308" width="7.21875" style="1" customWidth="1"/>
    <col min="2309" max="2309" width="5.5546875" style="1" customWidth="1"/>
    <col min="2310" max="2310" width="9" style="1" customWidth="1"/>
    <col min="2311" max="2312" width="9.77734375" style="1" customWidth="1"/>
    <col min="2313" max="2313" width="11.21875" style="1" customWidth="1"/>
    <col min="2314" max="2314" width="2.77734375" style="1" customWidth="1"/>
    <col min="2315" max="2315" width="3.5546875" style="1" customWidth="1"/>
    <col min="2316" max="2560" width="9.21875" style="1"/>
    <col min="2561" max="2561" width="8.77734375" style="1" customWidth="1"/>
    <col min="2562" max="2562" width="9.77734375" style="1" customWidth="1"/>
    <col min="2563" max="2563" width="14.44140625" style="1" customWidth="1"/>
    <col min="2564" max="2564" width="7.21875" style="1" customWidth="1"/>
    <col min="2565" max="2565" width="5.5546875" style="1" customWidth="1"/>
    <col min="2566" max="2566" width="9" style="1" customWidth="1"/>
    <col min="2567" max="2568" width="9.77734375" style="1" customWidth="1"/>
    <col min="2569" max="2569" width="11.21875" style="1" customWidth="1"/>
    <col min="2570" max="2570" width="2.77734375" style="1" customWidth="1"/>
    <col min="2571" max="2571" width="3.5546875" style="1" customWidth="1"/>
    <col min="2572" max="2816" width="9.21875" style="1"/>
    <col min="2817" max="2817" width="8.77734375" style="1" customWidth="1"/>
    <col min="2818" max="2818" width="9.77734375" style="1" customWidth="1"/>
    <col min="2819" max="2819" width="14.44140625" style="1" customWidth="1"/>
    <col min="2820" max="2820" width="7.21875" style="1" customWidth="1"/>
    <col min="2821" max="2821" width="5.5546875" style="1" customWidth="1"/>
    <col min="2822" max="2822" width="9" style="1" customWidth="1"/>
    <col min="2823" max="2824" width="9.77734375" style="1" customWidth="1"/>
    <col min="2825" max="2825" width="11.21875" style="1" customWidth="1"/>
    <col min="2826" max="2826" width="2.77734375" style="1" customWidth="1"/>
    <col min="2827" max="2827" width="3.5546875" style="1" customWidth="1"/>
    <col min="2828" max="3072" width="9.21875" style="1"/>
    <col min="3073" max="3073" width="8.77734375" style="1" customWidth="1"/>
    <col min="3074" max="3074" width="9.77734375" style="1" customWidth="1"/>
    <col min="3075" max="3075" width="14.44140625" style="1" customWidth="1"/>
    <col min="3076" max="3076" width="7.21875" style="1" customWidth="1"/>
    <col min="3077" max="3077" width="5.5546875" style="1" customWidth="1"/>
    <col min="3078" max="3078" width="9" style="1" customWidth="1"/>
    <col min="3079" max="3080" width="9.77734375" style="1" customWidth="1"/>
    <col min="3081" max="3081" width="11.21875" style="1" customWidth="1"/>
    <col min="3082" max="3082" width="2.77734375" style="1" customWidth="1"/>
    <col min="3083" max="3083" width="3.5546875" style="1" customWidth="1"/>
    <col min="3084" max="3328" width="9.21875" style="1"/>
    <col min="3329" max="3329" width="8.77734375" style="1" customWidth="1"/>
    <col min="3330" max="3330" width="9.77734375" style="1" customWidth="1"/>
    <col min="3331" max="3331" width="14.44140625" style="1" customWidth="1"/>
    <col min="3332" max="3332" width="7.21875" style="1" customWidth="1"/>
    <col min="3333" max="3333" width="5.5546875" style="1" customWidth="1"/>
    <col min="3334" max="3334" width="9" style="1" customWidth="1"/>
    <col min="3335" max="3336" width="9.77734375" style="1" customWidth="1"/>
    <col min="3337" max="3337" width="11.21875" style="1" customWidth="1"/>
    <col min="3338" max="3338" width="2.77734375" style="1" customWidth="1"/>
    <col min="3339" max="3339" width="3.5546875" style="1" customWidth="1"/>
    <col min="3340" max="3584" width="9.21875" style="1"/>
    <col min="3585" max="3585" width="8.77734375" style="1" customWidth="1"/>
    <col min="3586" max="3586" width="9.77734375" style="1" customWidth="1"/>
    <col min="3587" max="3587" width="14.44140625" style="1" customWidth="1"/>
    <col min="3588" max="3588" width="7.21875" style="1" customWidth="1"/>
    <col min="3589" max="3589" width="5.5546875" style="1" customWidth="1"/>
    <col min="3590" max="3590" width="9" style="1" customWidth="1"/>
    <col min="3591" max="3592" width="9.77734375" style="1" customWidth="1"/>
    <col min="3593" max="3593" width="11.21875" style="1" customWidth="1"/>
    <col min="3594" max="3594" width="2.77734375" style="1" customWidth="1"/>
    <col min="3595" max="3595" width="3.5546875" style="1" customWidth="1"/>
    <col min="3596" max="3840" width="9.21875" style="1"/>
    <col min="3841" max="3841" width="8.77734375" style="1" customWidth="1"/>
    <col min="3842" max="3842" width="9.77734375" style="1" customWidth="1"/>
    <col min="3843" max="3843" width="14.44140625" style="1" customWidth="1"/>
    <col min="3844" max="3844" width="7.21875" style="1" customWidth="1"/>
    <col min="3845" max="3845" width="5.5546875" style="1" customWidth="1"/>
    <col min="3846" max="3846" width="9" style="1" customWidth="1"/>
    <col min="3847" max="3848" width="9.77734375" style="1" customWidth="1"/>
    <col min="3849" max="3849" width="11.21875" style="1" customWidth="1"/>
    <col min="3850" max="3850" width="2.77734375" style="1" customWidth="1"/>
    <col min="3851" max="3851" width="3.5546875" style="1" customWidth="1"/>
    <col min="3852" max="4096" width="9.21875" style="1"/>
    <col min="4097" max="4097" width="8.77734375" style="1" customWidth="1"/>
    <col min="4098" max="4098" width="9.77734375" style="1" customWidth="1"/>
    <col min="4099" max="4099" width="14.44140625" style="1" customWidth="1"/>
    <col min="4100" max="4100" width="7.21875" style="1" customWidth="1"/>
    <col min="4101" max="4101" width="5.5546875" style="1" customWidth="1"/>
    <col min="4102" max="4102" width="9" style="1" customWidth="1"/>
    <col min="4103" max="4104" width="9.77734375" style="1" customWidth="1"/>
    <col min="4105" max="4105" width="11.21875" style="1" customWidth="1"/>
    <col min="4106" max="4106" width="2.77734375" style="1" customWidth="1"/>
    <col min="4107" max="4107" width="3.5546875" style="1" customWidth="1"/>
    <col min="4108" max="4352" width="9.21875" style="1"/>
    <col min="4353" max="4353" width="8.77734375" style="1" customWidth="1"/>
    <col min="4354" max="4354" width="9.77734375" style="1" customWidth="1"/>
    <col min="4355" max="4355" width="14.44140625" style="1" customWidth="1"/>
    <col min="4356" max="4356" width="7.21875" style="1" customWidth="1"/>
    <col min="4357" max="4357" width="5.5546875" style="1" customWidth="1"/>
    <col min="4358" max="4358" width="9" style="1" customWidth="1"/>
    <col min="4359" max="4360" width="9.77734375" style="1" customWidth="1"/>
    <col min="4361" max="4361" width="11.21875" style="1" customWidth="1"/>
    <col min="4362" max="4362" width="2.77734375" style="1" customWidth="1"/>
    <col min="4363" max="4363" width="3.5546875" style="1" customWidth="1"/>
    <col min="4364" max="4608" width="9.21875" style="1"/>
    <col min="4609" max="4609" width="8.77734375" style="1" customWidth="1"/>
    <col min="4610" max="4610" width="9.77734375" style="1" customWidth="1"/>
    <col min="4611" max="4611" width="14.44140625" style="1" customWidth="1"/>
    <col min="4612" max="4612" width="7.21875" style="1" customWidth="1"/>
    <col min="4613" max="4613" width="5.5546875" style="1" customWidth="1"/>
    <col min="4614" max="4614" width="9" style="1" customWidth="1"/>
    <col min="4615" max="4616" width="9.77734375" style="1" customWidth="1"/>
    <col min="4617" max="4617" width="11.21875" style="1" customWidth="1"/>
    <col min="4618" max="4618" width="2.77734375" style="1" customWidth="1"/>
    <col min="4619" max="4619" width="3.5546875" style="1" customWidth="1"/>
    <col min="4620" max="4864" width="9.21875" style="1"/>
    <col min="4865" max="4865" width="8.77734375" style="1" customWidth="1"/>
    <col min="4866" max="4866" width="9.77734375" style="1" customWidth="1"/>
    <col min="4867" max="4867" width="14.44140625" style="1" customWidth="1"/>
    <col min="4868" max="4868" width="7.21875" style="1" customWidth="1"/>
    <col min="4869" max="4869" width="5.5546875" style="1" customWidth="1"/>
    <col min="4870" max="4870" width="9" style="1" customWidth="1"/>
    <col min="4871" max="4872" width="9.77734375" style="1" customWidth="1"/>
    <col min="4873" max="4873" width="11.21875" style="1" customWidth="1"/>
    <col min="4874" max="4874" width="2.77734375" style="1" customWidth="1"/>
    <col min="4875" max="4875" width="3.5546875" style="1" customWidth="1"/>
    <col min="4876" max="5120" width="9.21875" style="1"/>
    <col min="5121" max="5121" width="8.77734375" style="1" customWidth="1"/>
    <col min="5122" max="5122" width="9.77734375" style="1" customWidth="1"/>
    <col min="5123" max="5123" width="14.44140625" style="1" customWidth="1"/>
    <col min="5124" max="5124" width="7.21875" style="1" customWidth="1"/>
    <col min="5125" max="5125" width="5.5546875" style="1" customWidth="1"/>
    <col min="5126" max="5126" width="9" style="1" customWidth="1"/>
    <col min="5127" max="5128" width="9.77734375" style="1" customWidth="1"/>
    <col min="5129" max="5129" width="11.21875" style="1" customWidth="1"/>
    <col min="5130" max="5130" width="2.77734375" style="1" customWidth="1"/>
    <col min="5131" max="5131" width="3.5546875" style="1" customWidth="1"/>
    <col min="5132" max="5376" width="9.21875" style="1"/>
    <col min="5377" max="5377" width="8.77734375" style="1" customWidth="1"/>
    <col min="5378" max="5378" width="9.77734375" style="1" customWidth="1"/>
    <col min="5379" max="5379" width="14.44140625" style="1" customWidth="1"/>
    <col min="5380" max="5380" width="7.21875" style="1" customWidth="1"/>
    <col min="5381" max="5381" width="5.5546875" style="1" customWidth="1"/>
    <col min="5382" max="5382" width="9" style="1" customWidth="1"/>
    <col min="5383" max="5384" width="9.77734375" style="1" customWidth="1"/>
    <col min="5385" max="5385" width="11.21875" style="1" customWidth="1"/>
    <col min="5386" max="5386" width="2.77734375" style="1" customWidth="1"/>
    <col min="5387" max="5387" width="3.5546875" style="1" customWidth="1"/>
    <col min="5388" max="5632" width="9.21875" style="1"/>
    <col min="5633" max="5633" width="8.77734375" style="1" customWidth="1"/>
    <col min="5634" max="5634" width="9.77734375" style="1" customWidth="1"/>
    <col min="5635" max="5635" width="14.44140625" style="1" customWidth="1"/>
    <col min="5636" max="5636" width="7.21875" style="1" customWidth="1"/>
    <col min="5637" max="5637" width="5.5546875" style="1" customWidth="1"/>
    <col min="5638" max="5638" width="9" style="1" customWidth="1"/>
    <col min="5639" max="5640" width="9.77734375" style="1" customWidth="1"/>
    <col min="5641" max="5641" width="11.21875" style="1" customWidth="1"/>
    <col min="5642" max="5642" width="2.77734375" style="1" customWidth="1"/>
    <col min="5643" max="5643" width="3.5546875" style="1" customWidth="1"/>
    <col min="5644" max="5888" width="9.21875" style="1"/>
    <col min="5889" max="5889" width="8.77734375" style="1" customWidth="1"/>
    <col min="5890" max="5890" width="9.77734375" style="1" customWidth="1"/>
    <col min="5891" max="5891" width="14.44140625" style="1" customWidth="1"/>
    <col min="5892" max="5892" width="7.21875" style="1" customWidth="1"/>
    <col min="5893" max="5893" width="5.5546875" style="1" customWidth="1"/>
    <col min="5894" max="5894" width="9" style="1" customWidth="1"/>
    <col min="5895" max="5896" width="9.77734375" style="1" customWidth="1"/>
    <col min="5897" max="5897" width="11.21875" style="1" customWidth="1"/>
    <col min="5898" max="5898" width="2.77734375" style="1" customWidth="1"/>
    <col min="5899" max="5899" width="3.5546875" style="1" customWidth="1"/>
    <col min="5900" max="6144" width="9.21875" style="1"/>
    <col min="6145" max="6145" width="8.77734375" style="1" customWidth="1"/>
    <col min="6146" max="6146" width="9.77734375" style="1" customWidth="1"/>
    <col min="6147" max="6147" width="14.44140625" style="1" customWidth="1"/>
    <col min="6148" max="6148" width="7.21875" style="1" customWidth="1"/>
    <col min="6149" max="6149" width="5.5546875" style="1" customWidth="1"/>
    <col min="6150" max="6150" width="9" style="1" customWidth="1"/>
    <col min="6151" max="6152" width="9.77734375" style="1" customWidth="1"/>
    <col min="6153" max="6153" width="11.21875" style="1" customWidth="1"/>
    <col min="6154" max="6154" width="2.77734375" style="1" customWidth="1"/>
    <col min="6155" max="6155" width="3.5546875" style="1" customWidth="1"/>
    <col min="6156" max="6400" width="9.21875" style="1"/>
    <col min="6401" max="6401" width="8.77734375" style="1" customWidth="1"/>
    <col min="6402" max="6402" width="9.77734375" style="1" customWidth="1"/>
    <col min="6403" max="6403" width="14.44140625" style="1" customWidth="1"/>
    <col min="6404" max="6404" width="7.21875" style="1" customWidth="1"/>
    <col min="6405" max="6405" width="5.5546875" style="1" customWidth="1"/>
    <col min="6406" max="6406" width="9" style="1" customWidth="1"/>
    <col min="6407" max="6408" width="9.77734375" style="1" customWidth="1"/>
    <col min="6409" max="6409" width="11.21875" style="1" customWidth="1"/>
    <col min="6410" max="6410" width="2.77734375" style="1" customWidth="1"/>
    <col min="6411" max="6411" width="3.5546875" style="1" customWidth="1"/>
    <col min="6412" max="6656" width="9.21875" style="1"/>
    <col min="6657" max="6657" width="8.77734375" style="1" customWidth="1"/>
    <col min="6658" max="6658" width="9.77734375" style="1" customWidth="1"/>
    <col min="6659" max="6659" width="14.44140625" style="1" customWidth="1"/>
    <col min="6660" max="6660" width="7.21875" style="1" customWidth="1"/>
    <col min="6661" max="6661" width="5.5546875" style="1" customWidth="1"/>
    <col min="6662" max="6662" width="9" style="1" customWidth="1"/>
    <col min="6663" max="6664" width="9.77734375" style="1" customWidth="1"/>
    <col min="6665" max="6665" width="11.21875" style="1" customWidth="1"/>
    <col min="6666" max="6666" width="2.77734375" style="1" customWidth="1"/>
    <col min="6667" max="6667" width="3.5546875" style="1" customWidth="1"/>
    <col min="6668" max="6912" width="9.21875" style="1"/>
    <col min="6913" max="6913" width="8.77734375" style="1" customWidth="1"/>
    <col min="6914" max="6914" width="9.77734375" style="1" customWidth="1"/>
    <col min="6915" max="6915" width="14.44140625" style="1" customWidth="1"/>
    <col min="6916" max="6916" width="7.21875" style="1" customWidth="1"/>
    <col min="6917" max="6917" width="5.5546875" style="1" customWidth="1"/>
    <col min="6918" max="6918" width="9" style="1" customWidth="1"/>
    <col min="6919" max="6920" width="9.77734375" style="1" customWidth="1"/>
    <col min="6921" max="6921" width="11.21875" style="1" customWidth="1"/>
    <col min="6922" max="6922" width="2.77734375" style="1" customWidth="1"/>
    <col min="6923" max="6923" width="3.5546875" style="1" customWidth="1"/>
    <col min="6924" max="7168" width="9.21875" style="1"/>
    <col min="7169" max="7169" width="8.77734375" style="1" customWidth="1"/>
    <col min="7170" max="7170" width="9.77734375" style="1" customWidth="1"/>
    <col min="7171" max="7171" width="14.44140625" style="1" customWidth="1"/>
    <col min="7172" max="7172" width="7.21875" style="1" customWidth="1"/>
    <col min="7173" max="7173" width="5.5546875" style="1" customWidth="1"/>
    <col min="7174" max="7174" width="9" style="1" customWidth="1"/>
    <col min="7175" max="7176" width="9.77734375" style="1" customWidth="1"/>
    <col min="7177" max="7177" width="11.21875" style="1" customWidth="1"/>
    <col min="7178" max="7178" width="2.77734375" style="1" customWidth="1"/>
    <col min="7179" max="7179" width="3.5546875" style="1" customWidth="1"/>
    <col min="7180" max="7424" width="9.21875" style="1"/>
    <col min="7425" max="7425" width="8.77734375" style="1" customWidth="1"/>
    <col min="7426" max="7426" width="9.77734375" style="1" customWidth="1"/>
    <col min="7427" max="7427" width="14.44140625" style="1" customWidth="1"/>
    <col min="7428" max="7428" width="7.21875" style="1" customWidth="1"/>
    <col min="7429" max="7429" width="5.5546875" style="1" customWidth="1"/>
    <col min="7430" max="7430" width="9" style="1" customWidth="1"/>
    <col min="7431" max="7432" width="9.77734375" style="1" customWidth="1"/>
    <col min="7433" max="7433" width="11.21875" style="1" customWidth="1"/>
    <col min="7434" max="7434" width="2.77734375" style="1" customWidth="1"/>
    <col min="7435" max="7435" width="3.5546875" style="1" customWidth="1"/>
    <col min="7436" max="7680" width="9.21875" style="1"/>
    <col min="7681" max="7681" width="8.77734375" style="1" customWidth="1"/>
    <col min="7682" max="7682" width="9.77734375" style="1" customWidth="1"/>
    <col min="7683" max="7683" width="14.44140625" style="1" customWidth="1"/>
    <col min="7684" max="7684" width="7.21875" style="1" customWidth="1"/>
    <col min="7685" max="7685" width="5.5546875" style="1" customWidth="1"/>
    <col min="7686" max="7686" width="9" style="1" customWidth="1"/>
    <col min="7687" max="7688" width="9.77734375" style="1" customWidth="1"/>
    <col min="7689" max="7689" width="11.21875" style="1" customWidth="1"/>
    <col min="7690" max="7690" width="2.77734375" style="1" customWidth="1"/>
    <col min="7691" max="7691" width="3.5546875" style="1" customWidth="1"/>
    <col min="7692" max="7936" width="9.21875" style="1"/>
    <col min="7937" max="7937" width="8.77734375" style="1" customWidth="1"/>
    <col min="7938" max="7938" width="9.77734375" style="1" customWidth="1"/>
    <col min="7939" max="7939" width="14.44140625" style="1" customWidth="1"/>
    <col min="7940" max="7940" width="7.21875" style="1" customWidth="1"/>
    <col min="7941" max="7941" width="5.5546875" style="1" customWidth="1"/>
    <col min="7942" max="7942" width="9" style="1" customWidth="1"/>
    <col min="7943" max="7944" width="9.77734375" style="1" customWidth="1"/>
    <col min="7945" max="7945" width="11.21875" style="1" customWidth="1"/>
    <col min="7946" max="7946" width="2.77734375" style="1" customWidth="1"/>
    <col min="7947" max="7947" width="3.5546875" style="1" customWidth="1"/>
    <col min="7948" max="8192" width="9.21875" style="1"/>
    <col min="8193" max="8193" width="8.77734375" style="1" customWidth="1"/>
    <col min="8194" max="8194" width="9.77734375" style="1" customWidth="1"/>
    <col min="8195" max="8195" width="14.44140625" style="1" customWidth="1"/>
    <col min="8196" max="8196" width="7.21875" style="1" customWidth="1"/>
    <col min="8197" max="8197" width="5.5546875" style="1" customWidth="1"/>
    <col min="8198" max="8198" width="9" style="1" customWidth="1"/>
    <col min="8199" max="8200" width="9.77734375" style="1" customWidth="1"/>
    <col min="8201" max="8201" width="11.21875" style="1" customWidth="1"/>
    <col min="8202" max="8202" width="2.77734375" style="1" customWidth="1"/>
    <col min="8203" max="8203" width="3.5546875" style="1" customWidth="1"/>
    <col min="8204" max="8448" width="9.21875" style="1"/>
    <col min="8449" max="8449" width="8.77734375" style="1" customWidth="1"/>
    <col min="8450" max="8450" width="9.77734375" style="1" customWidth="1"/>
    <col min="8451" max="8451" width="14.44140625" style="1" customWidth="1"/>
    <col min="8452" max="8452" width="7.21875" style="1" customWidth="1"/>
    <col min="8453" max="8453" width="5.5546875" style="1" customWidth="1"/>
    <col min="8454" max="8454" width="9" style="1" customWidth="1"/>
    <col min="8455" max="8456" width="9.77734375" style="1" customWidth="1"/>
    <col min="8457" max="8457" width="11.21875" style="1" customWidth="1"/>
    <col min="8458" max="8458" width="2.77734375" style="1" customWidth="1"/>
    <col min="8459" max="8459" width="3.5546875" style="1" customWidth="1"/>
    <col min="8460" max="8704" width="9.21875" style="1"/>
    <col min="8705" max="8705" width="8.77734375" style="1" customWidth="1"/>
    <col min="8706" max="8706" width="9.77734375" style="1" customWidth="1"/>
    <col min="8707" max="8707" width="14.44140625" style="1" customWidth="1"/>
    <col min="8708" max="8708" width="7.21875" style="1" customWidth="1"/>
    <col min="8709" max="8709" width="5.5546875" style="1" customWidth="1"/>
    <col min="8710" max="8710" width="9" style="1" customWidth="1"/>
    <col min="8711" max="8712" width="9.77734375" style="1" customWidth="1"/>
    <col min="8713" max="8713" width="11.21875" style="1" customWidth="1"/>
    <col min="8714" max="8714" width="2.77734375" style="1" customWidth="1"/>
    <col min="8715" max="8715" width="3.5546875" style="1" customWidth="1"/>
    <col min="8716" max="8960" width="9.21875" style="1"/>
    <col min="8961" max="8961" width="8.77734375" style="1" customWidth="1"/>
    <col min="8962" max="8962" width="9.77734375" style="1" customWidth="1"/>
    <col min="8963" max="8963" width="14.44140625" style="1" customWidth="1"/>
    <col min="8964" max="8964" width="7.21875" style="1" customWidth="1"/>
    <col min="8965" max="8965" width="5.5546875" style="1" customWidth="1"/>
    <col min="8966" max="8966" width="9" style="1" customWidth="1"/>
    <col min="8967" max="8968" width="9.77734375" style="1" customWidth="1"/>
    <col min="8969" max="8969" width="11.21875" style="1" customWidth="1"/>
    <col min="8970" max="8970" width="2.77734375" style="1" customWidth="1"/>
    <col min="8971" max="8971" width="3.5546875" style="1" customWidth="1"/>
    <col min="8972" max="9216" width="9.21875" style="1"/>
    <col min="9217" max="9217" width="8.77734375" style="1" customWidth="1"/>
    <col min="9218" max="9218" width="9.77734375" style="1" customWidth="1"/>
    <col min="9219" max="9219" width="14.44140625" style="1" customWidth="1"/>
    <col min="9220" max="9220" width="7.21875" style="1" customWidth="1"/>
    <col min="9221" max="9221" width="5.5546875" style="1" customWidth="1"/>
    <col min="9222" max="9222" width="9" style="1" customWidth="1"/>
    <col min="9223" max="9224" width="9.77734375" style="1" customWidth="1"/>
    <col min="9225" max="9225" width="11.21875" style="1" customWidth="1"/>
    <col min="9226" max="9226" width="2.77734375" style="1" customWidth="1"/>
    <col min="9227" max="9227" width="3.5546875" style="1" customWidth="1"/>
    <col min="9228" max="9472" width="9.21875" style="1"/>
    <col min="9473" max="9473" width="8.77734375" style="1" customWidth="1"/>
    <col min="9474" max="9474" width="9.77734375" style="1" customWidth="1"/>
    <col min="9475" max="9475" width="14.44140625" style="1" customWidth="1"/>
    <col min="9476" max="9476" width="7.21875" style="1" customWidth="1"/>
    <col min="9477" max="9477" width="5.5546875" style="1" customWidth="1"/>
    <col min="9478" max="9478" width="9" style="1" customWidth="1"/>
    <col min="9479" max="9480" width="9.77734375" style="1" customWidth="1"/>
    <col min="9481" max="9481" width="11.21875" style="1" customWidth="1"/>
    <col min="9482" max="9482" width="2.77734375" style="1" customWidth="1"/>
    <col min="9483" max="9483" width="3.5546875" style="1" customWidth="1"/>
    <col min="9484" max="9728" width="9.21875" style="1"/>
    <col min="9729" max="9729" width="8.77734375" style="1" customWidth="1"/>
    <col min="9730" max="9730" width="9.77734375" style="1" customWidth="1"/>
    <col min="9731" max="9731" width="14.44140625" style="1" customWidth="1"/>
    <col min="9732" max="9732" width="7.21875" style="1" customWidth="1"/>
    <col min="9733" max="9733" width="5.5546875" style="1" customWidth="1"/>
    <col min="9734" max="9734" width="9" style="1" customWidth="1"/>
    <col min="9735" max="9736" width="9.77734375" style="1" customWidth="1"/>
    <col min="9737" max="9737" width="11.21875" style="1" customWidth="1"/>
    <col min="9738" max="9738" width="2.77734375" style="1" customWidth="1"/>
    <col min="9739" max="9739" width="3.5546875" style="1" customWidth="1"/>
    <col min="9740" max="9984" width="9.21875" style="1"/>
    <col min="9985" max="9985" width="8.77734375" style="1" customWidth="1"/>
    <col min="9986" max="9986" width="9.77734375" style="1" customWidth="1"/>
    <col min="9987" max="9987" width="14.44140625" style="1" customWidth="1"/>
    <col min="9988" max="9988" width="7.21875" style="1" customWidth="1"/>
    <col min="9989" max="9989" width="5.5546875" style="1" customWidth="1"/>
    <col min="9990" max="9990" width="9" style="1" customWidth="1"/>
    <col min="9991" max="9992" width="9.77734375" style="1" customWidth="1"/>
    <col min="9993" max="9993" width="11.21875" style="1" customWidth="1"/>
    <col min="9994" max="9994" width="2.77734375" style="1" customWidth="1"/>
    <col min="9995" max="9995" width="3.5546875" style="1" customWidth="1"/>
    <col min="9996" max="10240" width="9.21875" style="1"/>
    <col min="10241" max="10241" width="8.77734375" style="1" customWidth="1"/>
    <col min="10242" max="10242" width="9.77734375" style="1" customWidth="1"/>
    <col min="10243" max="10243" width="14.44140625" style="1" customWidth="1"/>
    <col min="10244" max="10244" width="7.21875" style="1" customWidth="1"/>
    <col min="10245" max="10245" width="5.5546875" style="1" customWidth="1"/>
    <col min="10246" max="10246" width="9" style="1" customWidth="1"/>
    <col min="10247" max="10248" width="9.77734375" style="1" customWidth="1"/>
    <col min="10249" max="10249" width="11.21875" style="1" customWidth="1"/>
    <col min="10250" max="10250" width="2.77734375" style="1" customWidth="1"/>
    <col min="10251" max="10251" width="3.5546875" style="1" customWidth="1"/>
    <col min="10252" max="10496" width="9.21875" style="1"/>
    <col min="10497" max="10497" width="8.77734375" style="1" customWidth="1"/>
    <col min="10498" max="10498" width="9.77734375" style="1" customWidth="1"/>
    <col min="10499" max="10499" width="14.44140625" style="1" customWidth="1"/>
    <col min="10500" max="10500" width="7.21875" style="1" customWidth="1"/>
    <col min="10501" max="10501" width="5.5546875" style="1" customWidth="1"/>
    <col min="10502" max="10502" width="9" style="1" customWidth="1"/>
    <col min="10503" max="10504" width="9.77734375" style="1" customWidth="1"/>
    <col min="10505" max="10505" width="11.21875" style="1" customWidth="1"/>
    <col min="10506" max="10506" width="2.77734375" style="1" customWidth="1"/>
    <col min="10507" max="10507" width="3.5546875" style="1" customWidth="1"/>
    <col min="10508" max="10752" width="9.21875" style="1"/>
    <col min="10753" max="10753" width="8.77734375" style="1" customWidth="1"/>
    <col min="10754" max="10754" width="9.77734375" style="1" customWidth="1"/>
    <col min="10755" max="10755" width="14.44140625" style="1" customWidth="1"/>
    <col min="10756" max="10756" width="7.21875" style="1" customWidth="1"/>
    <col min="10757" max="10757" width="5.5546875" style="1" customWidth="1"/>
    <col min="10758" max="10758" width="9" style="1" customWidth="1"/>
    <col min="10759" max="10760" width="9.77734375" style="1" customWidth="1"/>
    <col min="10761" max="10761" width="11.21875" style="1" customWidth="1"/>
    <col min="10762" max="10762" width="2.77734375" style="1" customWidth="1"/>
    <col min="10763" max="10763" width="3.5546875" style="1" customWidth="1"/>
    <col min="10764" max="11008" width="9.21875" style="1"/>
    <col min="11009" max="11009" width="8.77734375" style="1" customWidth="1"/>
    <col min="11010" max="11010" width="9.77734375" style="1" customWidth="1"/>
    <col min="11011" max="11011" width="14.44140625" style="1" customWidth="1"/>
    <col min="11012" max="11012" width="7.21875" style="1" customWidth="1"/>
    <col min="11013" max="11013" width="5.5546875" style="1" customWidth="1"/>
    <col min="11014" max="11014" width="9" style="1" customWidth="1"/>
    <col min="11015" max="11016" width="9.77734375" style="1" customWidth="1"/>
    <col min="11017" max="11017" width="11.21875" style="1" customWidth="1"/>
    <col min="11018" max="11018" width="2.77734375" style="1" customWidth="1"/>
    <col min="11019" max="11019" width="3.5546875" style="1" customWidth="1"/>
    <col min="11020" max="11264" width="9.21875" style="1"/>
    <col min="11265" max="11265" width="8.77734375" style="1" customWidth="1"/>
    <col min="11266" max="11266" width="9.77734375" style="1" customWidth="1"/>
    <col min="11267" max="11267" width="14.44140625" style="1" customWidth="1"/>
    <col min="11268" max="11268" width="7.21875" style="1" customWidth="1"/>
    <col min="11269" max="11269" width="5.5546875" style="1" customWidth="1"/>
    <col min="11270" max="11270" width="9" style="1" customWidth="1"/>
    <col min="11271" max="11272" width="9.77734375" style="1" customWidth="1"/>
    <col min="11273" max="11273" width="11.21875" style="1" customWidth="1"/>
    <col min="11274" max="11274" width="2.77734375" style="1" customWidth="1"/>
    <col min="11275" max="11275" width="3.5546875" style="1" customWidth="1"/>
    <col min="11276" max="11520" width="9.21875" style="1"/>
    <col min="11521" max="11521" width="8.77734375" style="1" customWidth="1"/>
    <col min="11522" max="11522" width="9.77734375" style="1" customWidth="1"/>
    <col min="11523" max="11523" width="14.44140625" style="1" customWidth="1"/>
    <col min="11524" max="11524" width="7.21875" style="1" customWidth="1"/>
    <col min="11525" max="11525" width="5.5546875" style="1" customWidth="1"/>
    <col min="11526" max="11526" width="9" style="1" customWidth="1"/>
    <col min="11527" max="11528" width="9.77734375" style="1" customWidth="1"/>
    <col min="11529" max="11529" width="11.21875" style="1" customWidth="1"/>
    <col min="11530" max="11530" width="2.77734375" style="1" customWidth="1"/>
    <col min="11531" max="11531" width="3.5546875" style="1" customWidth="1"/>
    <col min="11532" max="11776" width="9.21875" style="1"/>
    <col min="11777" max="11777" width="8.77734375" style="1" customWidth="1"/>
    <col min="11778" max="11778" width="9.77734375" style="1" customWidth="1"/>
    <col min="11779" max="11779" width="14.44140625" style="1" customWidth="1"/>
    <col min="11780" max="11780" width="7.21875" style="1" customWidth="1"/>
    <col min="11781" max="11781" width="5.5546875" style="1" customWidth="1"/>
    <col min="11782" max="11782" width="9" style="1" customWidth="1"/>
    <col min="11783" max="11784" width="9.77734375" style="1" customWidth="1"/>
    <col min="11785" max="11785" width="11.21875" style="1" customWidth="1"/>
    <col min="11786" max="11786" width="2.77734375" style="1" customWidth="1"/>
    <col min="11787" max="11787" width="3.5546875" style="1" customWidth="1"/>
    <col min="11788" max="12032" width="9.21875" style="1"/>
    <col min="12033" max="12033" width="8.77734375" style="1" customWidth="1"/>
    <col min="12034" max="12034" width="9.77734375" style="1" customWidth="1"/>
    <col min="12035" max="12035" width="14.44140625" style="1" customWidth="1"/>
    <col min="12036" max="12036" width="7.21875" style="1" customWidth="1"/>
    <col min="12037" max="12037" width="5.5546875" style="1" customWidth="1"/>
    <col min="12038" max="12038" width="9" style="1" customWidth="1"/>
    <col min="12039" max="12040" width="9.77734375" style="1" customWidth="1"/>
    <col min="12041" max="12041" width="11.21875" style="1" customWidth="1"/>
    <col min="12042" max="12042" width="2.77734375" style="1" customWidth="1"/>
    <col min="12043" max="12043" width="3.5546875" style="1" customWidth="1"/>
    <col min="12044" max="12288" width="9.21875" style="1"/>
    <col min="12289" max="12289" width="8.77734375" style="1" customWidth="1"/>
    <col min="12290" max="12290" width="9.77734375" style="1" customWidth="1"/>
    <col min="12291" max="12291" width="14.44140625" style="1" customWidth="1"/>
    <col min="12292" max="12292" width="7.21875" style="1" customWidth="1"/>
    <col min="12293" max="12293" width="5.5546875" style="1" customWidth="1"/>
    <col min="12294" max="12294" width="9" style="1" customWidth="1"/>
    <col min="12295" max="12296" width="9.77734375" style="1" customWidth="1"/>
    <col min="12297" max="12297" width="11.21875" style="1" customWidth="1"/>
    <col min="12298" max="12298" width="2.77734375" style="1" customWidth="1"/>
    <col min="12299" max="12299" width="3.5546875" style="1" customWidth="1"/>
    <col min="12300" max="12544" width="9.21875" style="1"/>
    <col min="12545" max="12545" width="8.77734375" style="1" customWidth="1"/>
    <col min="12546" max="12546" width="9.77734375" style="1" customWidth="1"/>
    <col min="12547" max="12547" width="14.44140625" style="1" customWidth="1"/>
    <col min="12548" max="12548" width="7.21875" style="1" customWidth="1"/>
    <col min="12549" max="12549" width="5.5546875" style="1" customWidth="1"/>
    <col min="12550" max="12550" width="9" style="1" customWidth="1"/>
    <col min="12551" max="12552" width="9.77734375" style="1" customWidth="1"/>
    <col min="12553" max="12553" width="11.21875" style="1" customWidth="1"/>
    <col min="12554" max="12554" width="2.77734375" style="1" customWidth="1"/>
    <col min="12555" max="12555" width="3.5546875" style="1" customWidth="1"/>
    <col min="12556" max="12800" width="9.21875" style="1"/>
    <col min="12801" max="12801" width="8.77734375" style="1" customWidth="1"/>
    <col min="12802" max="12802" width="9.77734375" style="1" customWidth="1"/>
    <col min="12803" max="12803" width="14.44140625" style="1" customWidth="1"/>
    <col min="12804" max="12804" width="7.21875" style="1" customWidth="1"/>
    <col min="12805" max="12805" width="5.5546875" style="1" customWidth="1"/>
    <col min="12806" max="12806" width="9" style="1" customWidth="1"/>
    <col min="12807" max="12808" width="9.77734375" style="1" customWidth="1"/>
    <col min="12809" max="12809" width="11.21875" style="1" customWidth="1"/>
    <col min="12810" max="12810" width="2.77734375" style="1" customWidth="1"/>
    <col min="12811" max="12811" width="3.5546875" style="1" customWidth="1"/>
    <col min="12812" max="13056" width="9.21875" style="1"/>
    <col min="13057" max="13057" width="8.77734375" style="1" customWidth="1"/>
    <col min="13058" max="13058" width="9.77734375" style="1" customWidth="1"/>
    <col min="13059" max="13059" width="14.44140625" style="1" customWidth="1"/>
    <col min="13060" max="13060" width="7.21875" style="1" customWidth="1"/>
    <col min="13061" max="13061" width="5.5546875" style="1" customWidth="1"/>
    <col min="13062" max="13062" width="9" style="1" customWidth="1"/>
    <col min="13063" max="13064" width="9.77734375" style="1" customWidth="1"/>
    <col min="13065" max="13065" width="11.21875" style="1" customWidth="1"/>
    <col min="13066" max="13066" width="2.77734375" style="1" customWidth="1"/>
    <col min="13067" max="13067" width="3.5546875" style="1" customWidth="1"/>
    <col min="13068" max="13312" width="9.21875" style="1"/>
    <col min="13313" max="13313" width="8.77734375" style="1" customWidth="1"/>
    <col min="13314" max="13314" width="9.77734375" style="1" customWidth="1"/>
    <col min="13315" max="13315" width="14.44140625" style="1" customWidth="1"/>
    <col min="13316" max="13316" width="7.21875" style="1" customWidth="1"/>
    <col min="13317" max="13317" width="5.5546875" style="1" customWidth="1"/>
    <col min="13318" max="13318" width="9" style="1" customWidth="1"/>
    <col min="13319" max="13320" width="9.77734375" style="1" customWidth="1"/>
    <col min="13321" max="13321" width="11.21875" style="1" customWidth="1"/>
    <col min="13322" max="13322" width="2.77734375" style="1" customWidth="1"/>
    <col min="13323" max="13323" width="3.5546875" style="1" customWidth="1"/>
    <col min="13324" max="13568" width="9.21875" style="1"/>
    <col min="13569" max="13569" width="8.77734375" style="1" customWidth="1"/>
    <col min="13570" max="13570" width="9.77734375" style="1" customWidth="1"/>
    <col min="13571" max="13571" width="14.44140625" style="1" customWidth="1"/>
    <col min="13572" max="13572" width="7.21875" style="1" customWidth="1"/>
    <col min="13573" max="13573" width="5.5546875" style="1" customWidth="1"/>
    <col min="13574" max="13574" width="9" style="1" customWidth="1"/>
    <col min="13575" max="13576" width="9.77734375" style="1" customWidth="1"/>
    <col min="13577" max="13577" width="11.21875" style="1" customWidth="1"/>
    <col min="13578" max="13578" width="2.77734375" style="1" customWidth="1"/>
    <col min="13579" max="13579" width="3.5546875" style="1" customWidth="1"/>
    <col min="13580" max="13824" width="9.21875" style="1"/>
    <col min="13825" max="13825" width="8.77734375" style="1" customWidth="1"/>
    <col min="13826" max="13826" width="9.77734375" style="1" customWidth="1"/>
    <col min="13827" max="13827" width="14.44140625" style="1" customWidth="1"/>
    <col min="13828" max="13828" width="7.21875" style="1" customWidth="1"/>
    <col min="13829" max="13829" width="5.5546875" style="1" customWidth="1"/>
    <col min="13830" max="13830" width="9" style="1" customWidth="1"/>
    <col min="13831" max="13832" width="9.77734375" style="1" customWidth="1"/>
    <col min="13833" max="13833" width="11.21875" style="1" customWidth="1"/>
    <col min="13834" max="13834" width="2.77734375" style="1" customWidth="1"/>
    <col min="13835" max="13835" width="3.5546875" style="1" customWidth="1"/>
    <col min="13836" max="14080" width="9.21875" style="1"/>
    <col min="14081" max="14081" width="8.77734375" style="1" customWidth="1"/>
    <col min="14082" max="14082" width="9.77734375" style="1" customWidth="1"/>
    <col min="14083" max="14083" width="14.44140625" style="1" customWidth="1"/>
    <col min="14084" max="14084" width="7.21875" style="1" customWidth="1"/>
    <col min="14085" max="14085" width="5.5546875" style="1" customWidth="1"/>
    <col min="14086" max="14086" width="9" style="1" customWidth="1"/>
    <col min="14087" max="14088" width="9.77734375" style="1" customWidth="1"/>
    <col min="14089" max="14089" width="11.21875" style="1" customWidth="1"/>
    <col min="14090" max="14090" width="2.77734375" style="1" customWidth="1"/>
    <col min="14091" max="14091" width="3.5546875" style="1" customWidth="1"/>
    <col min="14092" max="14336" width="9.21875" style="1"/>
    <col min="14337" max="14337" width="8.77734375" style="1" customWidth="1"/>
    <col min="14338" max="14338" width="9.77734375" style="1" customWidth="1"/>
    <col min="14339" max="14339" width="14.44140625" style="1" customWidth="1"/>
    <col min="14340" max="14340" width="7.21875" style="1" customWidth="1"/>
    <col min="14341" max="14341" width="5.5546875" style="1" customWidth="1"/>
    <col min="14342" max="14342" width="9" style="1" customWidth="1"/>
    <col min="14343" max="14344" width="9.77734375" style="1" customWidth="1"/>
    <col min="14345" max="14345" width="11.21875" style="1" customWidth="1"/>
    <col min="14346" max="14346" width="2.77734375" style="1" customWidth="1"/>
    <col min="14347" max="14347" width="3.5546875" style="1" customWidth="1"/>
    <col min="14348" max="14592" width="9.21875" style="1"/>
    <col min="14593" max="14593" width="8.77734375" style="1" customWidth="1"/>
    <col min="14594" max="14594" width="9.77734375" style="1" customWidth="1"/>
    <col min="14595" max="14595" width="14.44140625" style="1" customWidth="1"/>
    <col min="14596" max="14596" width="7.21875" style="1" customWidth="1"/>
    <col min="14597" max="14597" width="5.5546875" style="1" customWidth="1"/>
    <col min="14598" max="14598" width="9" style="1" customWidth="1"/>
    <col min="14599" max="14600" width="9.77734375" style="1" customWidth="1"/>
    <col min="14601" max="14601" width="11.21875" style="1" customWidth="1"/>
    <col min="14602" max="14602" width="2.77734375" style="1" customWidth="1"/>
    <col min="14603" max="14603" width="3.5546875" style="1" customWidth="1"/>
    <col min="14604" max="14848" width="9.21875" style="1"/>
    <col min="14849" max="14849" width="8.77734375" style="1" customWidth="1"/>
    <col min="14850" max="14850" width="9.77734375" style="1" customWidth="1"/>
    <col min="14851" max="14851" width="14.44140625" style="1" customWidth="1"/>
    <col min="14852" max="14852" width="7.21875" style="1" customWidth="1"/>
    <col min="14853" max="14853" width="5.5546875" style="1" customWidth="1"/>
    <col min="14854" max="14854" width="9" style="1" customWidth="1"/>
    <col min="14855" max="14856" width="9.77734375" style="1" customWidth="1"/>
    <col min="14857" max="14857" width="11.21875" style="1" customWidth="1"/>
    <col min="14858" max="14858" width="2.77734375" style="1" customWidth="1"/>
    <col min="14859" max="14859" width="3.5546875" style="1" customWidth="1"/>
    <col min="14860" max="15104" width="9.21875" style="1"/>
    <col min="15105" max="15105" width="8.77734375" style="1" customWidth="1"/>
    <col min="15106" max="15106" width="9.77734375" style="1" customWidth="1"/>
    <col min="15107" max="15107" width="14.44140625" style="1" customWidth="1"/>
    <col min="15108" max="15108" width="7.21875" style="1" customWidth="1"/>
    <col min="15109" max="15109" width="5.5546875" style="1" customWidth="1"/>
    <col min="15110" max="15110" width="9" style="1" customWidth="1"/>
    <col min="15111" max="15112" width="9.77734375" style="1" customWidth="1"/>
    <col min="15113" max="15113" width="11.21875" style="1" customWidth="1"/>
    <col min="15114" max="15114" width="2.77734375" style="1" customWidth="1"/>
    <col min="15115" max="15115" width="3.5546875" style="1" customWidth="1"/>
    <col min="15116" max="15360" width="9.21875" style="1"/>
    <col min="15361" max="15361" width="8.77734375" style="1" customWidth="1"/>
    <col min="15362" max="15362" width="9.77734375" style="1" customWidth="1"/>
    <col min="15363" max="15363" width="14.44140625" style="1" customWidth="1"/>
    <col min="15364" max="15364" width="7.21875" style="1" customWidth="1"/>
    <col min="15365" max="15365" width="5.5546875" style="1" customWidth="1"/>
    <col min="15366" max="15366" width="9" style="1" customWidth="1"/>
    <col min="15367" max="15368" width="9.77734375" style="1" customWidth="1"/>
    <col min="15369" max="15369" width="11.21875" style="1" customWidth="1"/>
    <col min="15370" max="15370" width="2.77734375" style="1" customWidth="1"/>
    <col min="15371" max="15371" width="3.5546875" style="1" customWidth="1"/>
    <col min="15372" max="15616" width="9.21875" style="1"/>
    <col min="15617" max="15617" width="8.77734375" style="1" customWidth="1"/>
    <col min="15618" max="15618" width="9.77734375" style="1" customWidth="1"/>
    <col min="15619" max="15619" width="14.44140625" style="1" customWidth="1"/>
    <col min="15620" max="15620" width="7.21875" style="1" customWidth="1"/>
    <col min="15621" max="15621" width="5.5546875" style="1" customWidth="1"/>
    <col min="15622" max="15622" width="9" style="1" customWidth="1"/>
    <col min="15623" max="15624" width="9.77734375" style="1" customWidth="1"/>
    <col min="15625" max="15625" width="11.21875" style="1" customWidth="1"/>
    <col min="15626" max="15626" width="2.77734375" style="1" customWidth="1"/>
    <col min="15627" max="15627" width="3.5546875" style="1" customWidth="1"/>
    <col min="15628" max="15872" width="9.21875" style="1"/>
    <col min="15873" max="15873" width="8.77734375" style="1" customWidth="1"/>
    <col min="15874" max="15874" width="9.77734375" style="1" customWidth="1"/>
    <col min="15875" max="15875" width="14.44140625" style="1" customWidth="1"/>
    <col min="15876" max="15876" width="7.21875" style="1" customWidth="1"/>
    <col min="15877" max="15877" width="5.5546875" style="1" customWidth="1"/>
    <col min="15878" max="15878" width="9" style="1" customWidth="1"/>
    <col min="15879" max="15880" width="9.77734375" style="1" customWidth="1"/>
    <col min="15881" max="15881" width="11.21875" style="1" customWidth="1"/>
    <col min="15882" max="15882" width="2.77734375" style="1" customWidth="1"/>
    <col min="15883" max="15883" width="3.5546875" style="1" customWidth="1"/>
    <col min="15884" max="16128" width="9.21875" style="1"/>
    <col min="16129" max="16129" width="8.77734375" style="1" customWidth="1"/>
    <col min="16130" max="16130" width="9.77734375" style="1" customWidth="1"/>
    <col min="16131" max="16131" width="14.44140625" style="1" customWidth="1"/>
    <col min="16132" max="16132" width="7.21875" style="1" customWidth="1"/>
    <col min="16133" max="16133" width="5.5546875" style="1" customWidth="1"/>
    <col min="16134" max="16134" width="9" style="1" customWidth="1"/>
    <col min="16135" max="16136" width="9.77734375" style="1" customWidth="1"/>
    <col min="16137" max="16137" width="11.21875" style="1" customWidth="1"/>
    <col min="16138" max="16138" width="2.77734375" style="1" customWidth="1"/>
    <col min="16139" max="16139" width="3.5546875" style="1" customWidth="1"/>
    <col min="16140" max="16384" width="9.21875" style="1"/>
  </cols>
  <sheetData>
    <row r="1" spans="1:10" ht="43.95" customHeight="1" x14ac:dyDescent="0.25">
      <c r="A1" s="195" t="s">
        <v>260</v>
      </c>
      <c r="B1" s="196"/>
      <c r="C1" s="196"/>
      <c r="D1" s="196"/>
      <c r="E1" s="196"/>
      <c r="F1" s="196"/>
      <c r="G1" s="196"/>
      <c r="H1" s="196"/>
      <c r="I1" s="196"/>
      <c r="J1" s="197"/>
    </row>
    <row r="2" spans="1:10" x14ac:dyDescent="0.25">
      <c r="A2" s="198" t="s">
        <v>0</v>
      </c>
      <c r="B2" s="199"/>
      <c r="C2" s="199"/>
      <c r="D2" s="199"/>
      <c r="E2" s="199"/>
      <c r="F2" s="199"/>
      <c r="G2" s="199"/>
      <c r="H2" s="199"/>
      <c r="I2" s="199"/>
      <c r="J2" s="200"/>
    </row>
    <row r="3" spans="1:10" x14ac:dyDescent="0.25">
      <c r="A3" s="99" t="s">
        <v>1</v>
      </c>
      <c r="B3" s="100"/>
      <c r="C3" s="100"/>
      <c r="D3" s="100"/>
      <c r="E3" s="101"/>
      <c r="F3" s="201" t="str">
        <f ca="1">TEXT(TODAY(),"DD/MM/YYYY")</f>
        <v>19/08/2025</v>
      </c>
      <c r="G3" s="202"/>
      <c r="H3" s="202"/>
      <c r="I3" s="202"/>
      <c r="J3" s="203"/>
    </row>
    <row r="4" spans="1:10" ht="15" customHeight="1" x14ac:dyDescent="0.25">
      <c r="A4" s="99" t="s">
        <v>2</v>
      </c>
      <c r="B4" s="100"/>
      <c r="C4" s="100"/>
      <c r="D4" s="100"/>
      <c r="E4" s="101"/>
      <c r="F4" s="191" t="s">
        <v>149</v>
      </c>
      <c r="G4" s="192"/>
      <c r="H4" s="192"/>
      <c r="I4" s="192"/>
      <c r="J4" s="204"/>
    </row>
    <row r="5" spans="1:10" x14ac:dyDescent="0.25">
      <c r="A5" s="99" t="s">
        <v>3</v>
      </c>
      <c r="B5" s="100"/>
      <c r="C5" s="100"/>
      <c r="D5" s="100"/>
      <c r="E5" s="101"/>
      <c r="F5" s="168">
        <v>45880</v>
      </c>
      <c r="G5" s="205"/>
      <c r="H5" s="205"/>
      <c r="I5" s="205"/>
      <c r="J5" s="206"/>
    </row>
    <row r="6" spans="1:10" ht="16.5" customHeight="1" x14ac:dyDescent="0.25">
      <c r="A6" s="99" t="s">
        <v>4</v>
      </c>
      <c r="B6" s="100"/>
      <c r="C6" s="100"/>
      <c r="D6" s="100"/>
      <c r="E6" s="101"/>
      <c r="F6" s="115" t="s">
        <v>150</v>
      </c>
      <c r="G6" s="116"/>
      <c r="H6" s="116"/>
      <c r="I6" s="116"/>
      <c r="J6" s="117"/>
    </row>
    <row r="7" spans="1:10" ht="15" customHeight="1" x14ac:dyDescent="0.25">
      <c r="A7" s="99" t="s">
        <v>5</v>
      </c>
      <c r="B7" s="100"/>
      <c r="C7" s="100"/>
      <c r="D7" s="100"/>
      <c r="E7" s="101"/>
      <c r="F7" s="115" t="str">
        <f>F6</f>
        <v xml:space="preserve">M/s.Suraj Estate Developers Pvt Ltd  </v>
      </c>
      <c r="G7" s="116"/>
      <c r="H7" s="116"/>
      <c r="I7" s="116"/>
      <c r="J7" s="117"/>
    </row>
    <row r="8" spans="1:10" x14ac:dyDescent="0.25">
      <c r="A8" s="99" t="s">
        <v>6</v>
      </c>
      <c r="B8" s="100"/>
      <c r="C8" s="100"/>
      <c r="D8" s="100"/>
      <c r="E8" s="101"/>
      <c r="F8" s="135" t="s">
        <v>151</v>
      </c>
      <c r="G8" s="136"/>
      <c r="H8" s="136"/>
      <c r="I8" s="136"/>
      <c r="J8" s="137"/>
    </row>
    <row r="9" spans="1:10" x14ac:dyDescent="0.25">
      <c r="A9" s="99" t="s">
        <v>7</v>
      </c>
      <c r="B9" s="100"/>
      <c r="C9" s="100"/>
      <c r="D9" s="100"/>
      <c r="E9" s="101"/>
      <c r="F9" s="99">
        <v>2224460707</v>
      </c>
      <c r="G9" s="100"/>
      <c r="H9" s="100"/>
      <c r="I9" s="100"/>
      <c r="J9" s="101"/>
    </row>
    <row r="10" spans="1:10" x14ac:dyDescent="0.25">
      <c r="A10" s="99" t="s">
        <v>8</v>
      </c>
      <c r="B10" s="100"/>
      <c r="C10" s="100"/>
      <c r="D10" s="100"/>
      <c r="E10" s="101"/>
      <c r="F10" s="188" t="s">
        <v>200</v>
      </c>
      <c r="G10" s="169"/>
      <c r="H10" s="169"/>
      <c r="I10" s="169"/>
      <c r="J10" s="170"/>
    </row>
    <row r="11" spans="1:10" ht="30" customHeight="1" x14ac:dyDescent="0.25">
      <c r="A11" s="99" t="s">
        <v>9</v>
      </c>
      <c r="B11" s="100"/>
      <c r="C11" s="100"/>
      <c r="D11" s="100"/>
      <c r="E11" s="101"/>
      <c r="F11" s="177" t="s">
        <v>174</v>
      </c>
      <c r="G11" s="178"/>
      <c r="H11" s="178"/>
      <c r="I11" s="178"/>
      <c r="J11" s="179"/>
    </row>
    <row r="12" spans="1:10" x14ac:dyDescent="0.25">
      <c r="A12" s="99" t="s">
        <v>10</v>
      </c>
      <c r="B12" s="100"/>
      <c r="C12" s="100"/>
      <c r="D12" s="100"/>
      <c r="E12" s="101"/>
      <c r="F12" s="99" t="s">
        <v>153</v>
      </c>
      <c r="G12" s="100"/>
      <c r="H12" s="100"/>
      <c r="I12" s="100"/>
      <c r="J12" s="101"/>
    </row>
    <row r="13" spans="1:10" ht="31.5" customHeight="1" x14ac:dyDescent="0.25">
      <c r="A13" s="165" t="s">
        <v>11</v>
      </c>
      <c r="B13" s="165"/>
      <c r="C13" s="115" t="str">
        <f>CONCATENATE((IF(OR(F8="",F8="NA"),"",F8)),", ",(IF(OR(A14="",A14="NA"),"",A14)),".",(IF(OR(C14="",C14="NA"),"",C14)),", ",(IF(OR(H14="",H14="NA"),"",H14)),", ",(IF(OR(C15="",C15="NA"),"",C15)),", ",(IF(OR(H14="",H14="NA"),"",H14)),", ",(IF(OR(C16="",C16="NA"),"",C16)),", ",(IF(OR(H15="",H15="NA"),"",H15)),".")</f>
        <v>Ocean Star I, F.P. Nos.1198 &amp; 1199, T.P.S IV, Mahim, Kashinath Dhuru Marg, Mahim, Dadar, Mumbai.</v>
      </c>
      <c r="D13" s="116"/>
      <c r="E13" s="116"/>
      <c r="F13" s="116"/>
      <c r="G13" s="116"/>
      <c r="H13" s="116"/>
      <c r="I13" s="116"/>
      <c r="J13" s="117"/>
    </row>
    <row r="14" spans="1:10" x14ac:dyDescent="0.25">
      <c r="A14" s="115" t="s">
        <v>154</v>
      </c>
      <c r="B14" s="117"/>
      <c r="C14" s="115" t="s">
        <v>236</v>
      </c>
      <c r="D14" s="116"/>
      <c r="E14" s="116"/>
      <c r="F14" s="115" t="s">
        <v>12</v>
      </c>
      <c r="G14" s="117"/>
      <c r="H14" s="115" t="s">
        <v>155</v>
      </c>
      <c r="I14" s="116"/>
      <c r="J14" s="117"/>
    </row>
    <row r="15" spans="1:10" x14ac:dyDescent="0.25">
      <c r="A15" s="115" t="s">
        <v>13</v>
      </c>
      <c r="B15" s="117"/>
      <c r="C15" s="115" t="s">
        <v>158</v>
      </c>
      <c r="D15" s="116"/>
      <c r="E15" s="116"/>
      <c r="F15" s="115" t="s">
        <v>14</v>
      </c>
      <c r="G15" s="117"/>
      <c r="H15" s="115" t="s">
        <v>156</v>
      </c>
      <c r="I15" s="116"/>
      <c r="J15" s="117"/>
    </row>
    <row r="16" spans="1:10" x14ac:dyDescent="0.25">
      <c r="A16" s="115" t="s">
        <v>15</v>
      </c>
      <c r="B16" s="117"/>
      <c r="C16" s="115" t="s">
        <v>157</v>
      </c>
      <c r="D16" s="116"/>
      <c r="E16" s="116"/>
      <c r="F16" s="115" t="s">
        <v>16</v>
      </c>
      <c r="G16" s="117"/>
      <c r="H16" s="115">
        <v>400028</v>
      </c>
      <c r="I16" s="116"/>
      <c r="J16" s="117"/>
    </row>
    <row r="17" spans="1:10" x14ac:dyDescent="0.25">
      <c r="A17" s="165" t="s">
        <v>17</v>
      </c>
      <c r="B17" s="165"/>
      <c r="C17" s="207" t="s">
        <v>159</v>
      </c>
      <c r="D17" s="207"/>
      <c r="E17" s="207"/>
      <c r="F17" s="176" t="s">
        <v>18</v>
      </c>
      <c r="G17" s="176"/>
      <c r="H17" s="178" t="s">
        <v>261</v>
      </c>
      <c r="I17" s="178"/>
      <c r="J17" s="179"/>
    </row>
    <row r="18" spans="1:10" ht="15" customHeight="1" x14ac:dyDescent="0.25">
      <c r="A18" s="208" t="s">
        <v>19</v>
      </c>
      <c r="B18" s="209"/>
      <c r="C18" s="209"/>
      <c r="D18" s="209"/>
      <c r="E18" s="210"/>
      <c r="F18" s="214" t="s">
        <v>20</v>
      </c>
      <c r="G18" s="215"/>
      <c r="H18" s="215"/>
      <c r="I18" s="215"/>
      <c r="J18" s="216"/>
    </row>
    <row r="19" spans="1:10" x14ac:dyDescent="0.25">
      <c r="A19" s="211"/>
      <c r="B19" s="212"/>
      <c r="C19" s="212"/>
      <c r="D19" s="212"/>
      <c r="E19" s="213"/>
      <c r="F19" s="217"/>
      <c r="G19" s="218"/>
      <c r="H19" s="218"/>
      <c r="I19" s="218"/>
      <c r="J19" s="219"/>
    </row>
    <row r="20" spans="1:10" ht="15" customHeight="1" x14ac:dyDescent="0.25">
      <c r="A20" s="208" t="s">
        <v>21</v>
      </c>
      <c r="B20" s="209"/>
      <c r="C20" s="209"/>
      <c r="D20" s="209"/>
      <c r="E20" s="210"/>
      <c r="F20" s="208" t="s">
        <v>22</v>
      </c>
      <c r="G20" s="209"/>
      <c r="H20" s="209"/>
      <c r="I20" s="209"/>
      <c r="J20" s="210"/>
    </row>
    <row r="21" spans="1:10" ht="15" customHeight="1" x14ac:dyDescent="0.25">
      <c r="A21" s="99" t="s">
        <v>23</v>
      </c>
      <c r="B21" s="100"/>
      <c r="C21" s="100"/>
      <c r="D21" s="100"/>
      <c r="E21" s="101"/>
      <c r="F21" s="191" t="s">
        <v>24</v>
      </c>
      <c r="G21" s="192"/>
      <c r="H21" s="192"/>
      <c r="I21" s="192"/>
      <c r="J21" s="2"/>
    </row>
    <row r="22" spans="1:10" x14ac:dyDescent="0.25">
      <c r="A22" s="99" t="s">
        <v>25</v>
      </c>
      <c r="B22" s="100"/>
      <c r="C22" s="100"/>
      <c r="D22" s="100"/>
      <c r="E22" s="101"/>
      <c r="F22" s="121" t="s">
        <v>26</v>
      </c>
      <c r="G22" s="122"/>
      <c r="H22" s="122"/>
      <c r="I22" s="122"/>
      <c r="J22" s="123"/>
    </row>
    <row r="23" spans="1:10" ht="15" customHeight="1" x14ac:dyDescent="0.25">
      <c r="A23" s="99" t="s">
        <v>27</v>
      </c>
      <c r="B23" s="100"/>
      <c r="C23" s="100"/>
      <c r="D23" s="100"/>
      <c r="E23" s="101"/>
      <c r="F23" s="191" t="s">
        <v>28</v>
      </c>
      <c r="G23" s="192"/>
      <c r="H23" s="192"/>
      <c r="I23" s="192"/>
      <c r="J23" s="2"/>
    </row>
    <row r="24" spans="1:10" x14ac:dyDescent="0.25">
      <c r="A24" s="99" t="s">
        <v>29</v>
      </c>
      <c r="B24" s="100"/>
      <c r="C24" s="100"/>
      <c r="D24" s="100"/>
      <c r="E24" s="101"/>
      <c r="F24" s="121" t="s">
        <v>30</v>
      </c>
      <c r="G24" s="122"/>
      <c r="H24" s="122"/>
      <c r="I24" s="122"/>
      <c r="J24" s="123"/>
    </row>
    <row r="25" spans="1:10" x14ac:dyDescent="0.25">
      <c r="A25" s="193" t="s">
        <v>31</v>
      </c>
      <c r="B25" s="194"/>
      <c r="C25" s="193" t="s">
        <v>32</v>
      </c>
      <c r="D25" s="194"/>
      <c r="E25" s="193" t="s">
        <v>33</v>
      </c>
      <c r="F25" s="194"/>
      <c r="G25" s="193" t="s">
        <v>34</v>
      </c>
      <c r="H25" s="194"/>
      <c r="I25" s="193" t="s">
        <v>35</v>
      </c>
      <c r="J25" s="194"/>
    </row>
    <row r="26" spans="1:10" x14ac:dyDescent="0.25">
      <c r="A26" s="189" t="s">
        <v>36</v>
      </c>
      <c r="B26" s="190"/>
      <c r="C26" s="189" t="s">
        <v>37</v>
      </c>
      <c r="D26" s="190"/>
      <c r="E26" s="189" t="s">
        <v>37</v>
      </c>
      <c r="F26" s="190"/>
      <c r="G26" s="189" t="s">
        <v>37</v>
      </c>
      <c r="H26" s="190"/>
      <c r="I26" s="189" t="s">
        <v>37</v>
      </c>
      <c r="J26" s="190"/>
    </row>
    <row r="27" spans="1:10" x14ac:dyDescent="0.25">
      <c r="A27" s="189" t="s">
        <v>38</v>
      </c>
      <c r="B27" s="190"/>
      <c r="C27" s="189" t="s">
        <v>160</v>
      </c>
      <c r="D27" s="190"/>
      <c r="E27" s="189" t="s">
        <v>13</v>
      </c>
      <c r="F27" s="190"/>
      <c r="G27" s="189" t="s">
        <v>160</v>
      </c>
      <c r="H27" s="190"/>
      <c r="I27" s="189" t="s">
        <v>13</v>
      </c>
      <c r="J27" s="190"/>
    </row>
    <row r="28" spans="1:10" x14ac:dyDescent="0.25">
      <c r="A28" s="99" t="s">
        <v>39</v>
      </c>
      <c r="B28" s="100"/>
      <c r="C28" s="100"/>
      <c r="D28" s="100"/>
      <c r="E28" s="100"/>
      <c r="F28" s="100"/>
      <c r="G28" s="100"/>
      <c r="H28" s="100"/>
      <c r="I28" s="100"/>
      <c r="J28" s="101"/>
    </row>
    <row r="29" spans="1:10" x14ac:dyDescent="0.25">
      <c r="A29" s="99" t="s">
        <v>40</v>
      </c>
      <c r="B29" s="100"/>
      <c r="C29" s="100"/>
      <c r="D29" s="100"/>
      <c r="E29" s="100"/>
      <c r="F29" s="100"/>
      <c r="G29" s="100"/>
      <c r="H29" s="100"/>
      <c r="I29" s="100"/>
      <c r="J29" s="101"/>
    </row>
    <row r="30" spans="1:10" x14ac:dyDescent="0.25">
      <c r="A30" s="99" t="s">
        <v>41</v>
      </c>
      <c r="B30" s="101"/>
      <c r="C30" s="135" t="s">
        <v>263</v>
      </c>
      <c r="D30" s="136"/>
      <c r="E30" s="136"/>
      <c r="F30" s="136"/>
      <c r="G30" s="136"/>
      <c r="H30" s="136"/>
      <c r="I30" s="136"/>
      <c r="J30" s="137"/>
    </row>
    <row r="31" spans="1:10" ht="14.4" x14ac:dyDescent="0.25">
      <c r="A31" s="99" t="s">
        <v>234</v>
      </c>
      <c r="B31" s="101"/>
      <c r="C31" s="220" t="s">
        <v>235</v>
      </c>
      <c r="D31" s="100"/>
      <c r="E31" s="100"/>
      <c r="F31" s="100"/>
      <c r="G31" s="100"/>
      <c r="H31" s="100"/>
      <c r="I31" s="100"/>
      <c r="J31" s="101"/>
    </row>
    <row r="32" spans="1:10" x14ac:dyDescent="0.25">
      <c r="A32" s="135" t="s">
        <v>42</v>
      </c>
      <c r="B32" s="136"/>
      <c r="C32" s="136"/>
      <c r="D32" s="136"/>
      <c r="E32" s="136"/>
      <c r="F32" s="136"/>
      <c r="G32" s="136"/>
      <c r="H32" s="136"/>
      <c r="I32" s="136"/>
      <c r="J32" s="137"/>
    </row>
    <row r="33" spans="1:17" ht="15" customHeight="1" x14ac:dyDescent="0.25">
      <c r="A33" s="115" t="s">
        <v>43</v>
      </c>
      <c r="B33" s="116"/>
      <c r="C33" s="116"/>
      <c r="D33" s="116"/>
      <c r="E33" s="117"/>
      <c r="F33" s="227" t="s">
        <v>44</v>
      </c>
      <c r="G33" s="228"/>
      <c r="H33" s="228"/>
      <c r="I33" s="228"/>
      <c r="J33" s="3"/>
    </row>
    <row r="34" spans="1:17" ht="15" customHeight="1" x14ac:dyDescent="0.25">
      <c r="A34" s="211" t="s">
        <v>45</v>
      </c>
      <c r="B34" s="212"/>
      <c r="C34" s="212"/>
      <c r="D34" s="212"/>
      <c r="E34" s="212"/>
      <c r="F34" s="115" t="s">
        <v>46</v>
      </c>
      <c r="G34" s="116"/>
      <c r="H34" s="116"/>
      <c r="I34" s="116"/>
      <c r="J34" s="117"/>
    </row>
    <row r="35" spans="1:17" x14ac:dyDescent="0.25">
      <c r="A35" s="135" t="s">
        <v>47</v>
      </c>
      <c r="B35" s="136"/>
      <c r="C35" s="136"/>
      <c r="D35" s="136"/>
      <c r="E35" s="136"/>
      <c r="F35" s="136"/>
      <c r="G35" s="136"/>
      <c r="H35" s="136"/>
      <c r="I35" s="136"/>
      <c r="J35" s="137"/>
    </row>
    <row r="36" spans="1:17" x14ac:dyDescent="0.25">
      <c r="A36" s="99" t="s">
        <v>48</v>
      </c>
      <c r="B36" s="100"/>
      <c r="C36" s="100"/>
      <c r="D36" s="100"/>
      <c r="E36" s="101"/>
      <c r="F36" s="224">
        <v>1497.83</v>
      </c>
      <c r="G36" s="225"/>
      <c r="H36" s="225"/>
      <c r="I36" s="225"/>
      <c r="J36" s="226"/>
    </row>
    <row r="37" spans="1:17" x14ac:dyDescent="0.25">
      <c r="A37" s="99" t="s">
        <v>49</v>
      </c>
      <c r="B37" s="100"/>
      <c r="C37" s="100"/>
      <c r="D37" s="100"/>
      <c r="E37" s="101"/>
      <c r="F37" s="182">
        <v>3</v>
      </c>
      <c r="G37" s="183"/>
      <c r="H37" s="183"/>
      <c r="I37" s="183"/>
      <c r="J37" s="184"/>
    </row>
    <row r="38" spans="1:17" x14ac:dyDescent="0.25">
      <c r="A38" s="99" t="s">
        <v>50</v>
      </c>
      <c r="B38" s="100"/>
      <c r="C38" s="100"/>
      <c r="D38" s="100"/>
      <c r="E38" s="101"/>
      <c r="F38" s="182">
        <v>0</v>
      </c>
      <c r="G38" s="183"/>
      <c r="H38" s="183"/>
      <c r="I38" s="183"/>
      <c r="J38" s="184"/>
    </row>
    <row r="39" spans="1:17" x14ac:dyDescent="0.25">
      <c r="A39" s="99" t="s">
        <v>51</v>
      </c>
      <c r="B39" s="100"/>
      <c r="C39" s="100"/>
      <c r="D39" s="100"/>
      <c r="E39" s="101"/>
      <c r="F39" s="182">
        <f>F37+F38</f>
        <v>3</v>
      </c>
      <c r="G39" s="183"/>
      <c r="H39" s="183"/>
      <c r="I39" s="183"/>
      <c r="J39" s="184"/>
    </row>
    <row r="40" spans="1:17" x14ac:dyDescent="0.25">
      <c r="A40" s="99" t="s">
        <v>52</v>
      </c>
      <c r="B40" s="100"/>
      <c r="C40" s="100"/>
      <c r="D40" s="100"/>
      <c r="E40" s="101"/>
      <c r="F40" s="185">
        <f>F36*F39</f>
        <v>4493.49</v>
      </c>
      <c r="G40" s="186"/>
      <c r="H40" s="186"/>
      <c r="I40" s="186"/>
      <c r="J40" s="187"/>
    </row>
    <row r="41" spans="1:17" x14ac:dyDescent="0.25">
      <c r="A41" s="99" t="s">
        <v>53</v>
      </c>
      <c r="B41" s="100"/>
      <c r="C41" s="100"/>
      <c r="D41" s="100"/>
      <c r="E41" s="101"/>
      <c r="F41" s="188" t="s">
        <v>152</v>
      </c>
      <c r="G41" s="169"/>
      <c r="H41" s="169"/>
      <c r="I41" s="169"/>
      <c r="J41" s="170"/>
    </row>
    <row r="42" spans="1:17" x14ac:dyDescent="0.25">
      <c r="A42" s="229" t="s">
        <v>54</v>
      </c>
      <c r="B42" s="229"/>
      <c r="C42" s="229"/>
      <c r="D42" s="229"/>
      <c r="E42" s="229"/>
      <c r="F42" s="229"/>
      <c r="G42" s="229"/>
      <c r="H42" s="229"/>
      <c r="I42" s="229"/>
      <c r="J42" s="229"/>
    </row>
    <row r="43" spans="1:17" x14ac:dyDescent="0.25">
      <c r="A43" s="176" t="s">
        <v>55</v>
      </c>
      <c r="B43" s="176"/>
      <c r="C43" s="181" t="s">
        <v>161</v>
      </c>
      <c r="D43" s="181"/>
      <c r="E43" s="181"/>
      <c r="F43" s="181"/>
      <c r="G43" s="66" t="s">
        <v>56</v>
      </c>
      <c r="H43" s="180">
        <v>45314</v>
      </c>
      <c r="I43" s="180"/>
      <c r="J43" s="180"/>
    </row>
    <row r="44" spans="1:17" x14ac:dyDescent="0.25">
      <c r="A44" s="165" t="s">
        <v>57</v>
      </c>
      <c r="B44" s="165"/>
      <c r="C44" s="181" t="str">
        <f>C43</f>
        <v>CHE/CTY/1445/G/N/337(NEW)</v>
      </c>
      <c r="D44" s="181"/>
      <c r="E44" s="181"/>
      <c r="F44" s="181"/>
      <c r="G44" s="66" t="s">
        <v>56</v>
      </c>
      <c r="H44" s="180">
        <f>H43</f>
        <v>45314</v>
      </c>
      <c r="I44" s="180"/>
      <c r="J44" s="180"/>
    </row>
    <row r="45" spans="1:17" ht="31.5" customHeight="1" x14ac:dyDescent="0.25">
      <c r="A45" s="176" t="s">
        <v>237</v>
      </c>
      <c r="B45" s="176"/>
      <c r="C45" s="181" t="s">
        <v>264</v>
      </c>
      <c r="D45" s="207"/>
      <c r="E45" s="207"/>
      <c r="F45" s="207"/>
      <c r="G45" s="4" t="s">
        <v>56</v>
      </c>
      <c r="H45" s="230">
        <v>45342</v>
      </c>
      <c r="I45" s="230"/>
      <c r="J45" s="230"/>
    </row>
    <row r="46" spans="1:17" ht="45.75" customHeight="1" x14ac:dyDescent="0.25">
      <c r="A46" s="176"/>
      <c r="B46" s="176"/>
      <c r="C46" s="181" t="s">
        <v>265</v>
      </c>
      <c r="D46" s="207"/>
      <c r="E46" s="207"/>
      <c r="F46" s="207"/>
      <c r="G46" s="62" t="s">
        <v>238</v>
      </c>
      <c r="H46" s="231">
        <v>45900</v>
      </c>
      <c r="I46" s="181"/>
      <c r="J46" s="181"/>
      <c r="L46" s="1">
        <f>31*0.9+8</f>
        <v>35.900000000000006</v>
      </c>
    </row>
    <row r="47" spans="1:17" s="14" customFormat="1" ht="15" customHeight="1" x14ac:dyDescent="0.25">
      <c r="A47" s="250" t="s">
        <v>58</v>
      </c>
      <c r="B47" s="251"/>
      <c r="C47" s="147" t="s">
        <v>37</v>
      </c>
      <c r="D47" s="148"/>
      <c r="E47" s="148"/>
      <c r="F47" s="149" t="s">
        <v>59</v>
      </c>
      <c r="G47" s="63" t="s">
        <v>56</v>
      </c>
      <c r="H47" s="250" t="s">
        <v>37</v>
      </c>
      <c r="I47" s="252" t="s">
        <v>37</v>
      </c>
      <c r="J47" s="251"/>
      <c r="Q47" s="64"/>
    </row>
    <row r="48" spans="1:17" x14ac:dyDescent="0.25">
      <c r="A48" s="165" t="s">
        <v>60</v>
      </c>
      <c r="B48" s="165"/>
      <c r="C48" s="165"/>
      <c r="D48" s="166">
        <v>44383</v>
      </c>
      <c r="E48" s="166"/>
      <c r="F48" s="99" t="s">
        <v>61</v>
      </c>
      <c r="G48" s="167"/>
      <c r="H48" s="168">
        <v>46203</v>
      </c>
      <c r="I48" s="169"/>
      <c r="J48" s="170"/>
      <c r="Q48" s="38"/>
    </row>
    <row r="49" spans="1:17" x14ac:dyDescent="0.25">
      <c r="A49" s="171" t="s">
        <v>62</v>
      </c>
      <c r="B49" s="172"/>
      <c r="C49" s="172"/>
      <c r="D49" s="172"/>
      <c r="E49" s="172"/>
      <c r="F49" s="172"/>
      <c r="G49" s="172"/>
      <c r="H49" s="172"/>
      <c r="I49" s="172"/>
      <c r="J49" s="173"/>
      <c r="Q49" s="38"/>
    </row>
    <row r="50" spans="1:17" ht="31.5" customHeight="1" x14ac:dyDescent="0.25">
      <c r="A50" s="176" t="s">
        <v>63</v>
      </c>
      <c r="B50" s="176"/>
      <c r="C50" s="185">
        <v>8590.9599999999991</v>
      </c>
      <c r="D50" s="186"/>
      <c r="E50" s="187"/>
      <c r="F50" s="246" t="s">
        <v>64</v>
      </c>
      <c r="G50" s="247"/>
      <c r="H50" s="243" t="s">
        <v>258</v>
      </c>
      <c r="I50" s="244"/>
      <c r="J50" s="245"/>
    </row>
    <row r="51" spans="1:17" x14ac:dyDescent="0.25">
      <c r="A51" s="164" t="s">
        <v>65</v>
      </c>
      <c r="B51" s="164"/>
      <c r="C51" s="177" t="s">
        <v>255</v>
      </c>
      <c r="D51" s="178"/>
      <c r="E51" s="178"/>
      <c r="F51" s="178"/>
      <c r="G51" s="178"/>
      <c r="H51" s="178"/>
      <c r="I51" s="178"/>
      <c r="J51" s="179"/>
    </row>
    <row r="52" spans="1:17" x14ac:dyDescent="0.25">
      <c r="A52" s="174" t="s">
        <v>173</v>
      </c>
      <c r="B52" s="175"/>
      <c r="C52" s="177" t="s">
        <v>255</v>
      </c>
      <c r="D52" s="178"/>
      <c r="E52" s="178"/>
      <c r="F52" s="178"/>
      <c r="G52" s="178"/>
      <c r="H52" s="178"/>
      <c r="I52" s="178"/>
      <c r="J52" s="179"/>
    </row>
    <row r="53" spans="1:17" ht="14.4" thickBot="1" x14ac:dyDescent="0.3">
      <c r="A53" s="165" t="s">
        <v>256</v>
      </c>
      <c r="B53" s="165"/>
      <c r="C53" s="165" t="s">
        <v>257</v>
      </c>
      <c r="D53" s="165"/>
      <c r="E53" s="165"/>
      <c r="F53" s="165"/>
      <c r="G53" s="165"/>
      <c r="H53" s="165"/>
      <c r="I53" s="165"/>
      <c r="J53" s="165"/>
    </row>
    <row r="54" spans="1:17" ht="15.6" x14ac:dyDescent="0.3">
      <c r="A54" s="159" t="s">
        <v>201</v>
      </c>
      <c r="B54" s="160"/>
      <c r="C54" s="161" t="str">
        <f>C52</f>
        <v>Bldg No.1 (Sale) = B  + Gr. + P1 to P7 + 8th Service + 9th to 42nd Floor</v>
      </c>
      <c r="D54" s="162"/>
      <c r="E54" s="162"/>
      <c r="F54" s="162"/>
      <c r="G54" s="162"/>
      <c r="H54" s="162"/>
      <c r="I54" s="162"/>
      <c r="J54" s="163"/>
      <c r="K54" s="45" t="str">
        <f ca="1">(IF(F58&gt;99%,"All work completed. Please provide OC.",IF(F58&gt;89.8%,"Plinth, RCC, Brick, Plaster, Flooring, Painting work Completed. Finishing work is in process.",IF(F58&lt;94%,(IF(C58=0,"Work not yet Started.",IF(D58=25%,"Piling work in process",IF(D58=50%,"Excavation work in process",IF(D58=100%,"Excavation work Completed. ","0")))&amp;(IF(C59=0%,"",IF(C59=L60,"Footing work is process",IF(C59=L61,"Footing work Completed",IF(C59=L62,"1st Basement Completed",IF(C59=L63,"1st &amp; 2nd Basement Completed",IF(C59=L64,"1st to 3rd Basement Completed",IF(C59=L65,"1st to 4th Basement Completed",IF(C59=L66,"Plinth work is process",IF(C59=L67,"Plinth work completed","0")))))))))))&amp;(IF(C60=(D55+G55+I55),", RCC Slab",IF(C60&gt;0,", RCC upto "&amp;C60&amp;" Slab",""))&amp;(IF(C61=I55,", Brickwork",IF(C61&gt;0,", Brickwork upto "&amp;C61&amp;" Floor",""))&amp;(IF(C62=I55,", Internal Plaster",IF(C62&gt;0,", Internal Plaster upto "&amp;C62&amp;" Floor",""))&amp;(IF(C63=I55,", External Plaster",IF(C63&gt;0,", External Plaster upto "&amp;C63&amp;" Floor",""))&amp;(IF(C64=I55,", Flooring",IF(C64&gt;0,", Flooring upto "&amp;C64&amp;" Floor",""))&amp;(IF(C65=I55,", Painting",IF(C65&gt;0,", Painting upto "&amp;C65&amp;" Floor",""))&amp;(IF(C66&gt;0,", Finishing upto "&amp;C66&amp;" Floor","")&amp;(IF(C60&gt;0.5," Completed",""))))))))))))))</f>
        <v>Excavation work Completed. Plinth work completed, RCC upto 41 Slab, Brickwork upto 38 Floor, Internal Plaster upto 32 Floor, External Plaster upto 30 Floor, Flooring upto 9 Floor Completed</v>
      </c>
      <c r="L54" s="46"/>
    </row>
    <row r="55" spans="1:17" ht="15.6" x14ac:dyDescent="0.3">
      <c r="A55" s="47" t="s">
        <v>202</v>
      </c>
      <c r="B55" s="48">
        <v>1</v>
      </c>
      <c r="C55" s="48" t="s">
        <v>203</v>
      </c>
      <c r="D55" s="48">
        <v>1</v>
      </c>
      <c r="E55" s="67" t="s">
        <v>204</v>
      </c>
      <c r="F55" s="68"/>
      <c r="G55" s="48">
        <v>0</v>
      </c>
      <c r="H55" s="48" t="s">
        <v>205</v>
      </c>
      <c r="I55" s="67">
        <f ca="1">--TRIM(RIGHT(SUBSTITUTE(LEFT(C54,_xlfn.AGGREGATE(16,6,FIND({0,1,2,3,4,5,6,7,8,9},C54,ROW(INDIRECT("1:"&amp;LEN(C54)))),1))," ",REPT(" ",LEN(C54))),LEN(C54)))</f>
        <v>42</v>
      </c>
      <c r="J55" s="69"/>
      <c r="K55" s="49"/>
      <c r="L55" s="50"/>
    </row>
    <row r="56" spans="1:17" ht="48" customHeight="1" x14ac:dyDescent="0.3">
      <c r="A56" s="70" t="s">
        <v>206</v>
      </c>
      <c r="B56" s="71"/>
      <c r="C56" s="72" t="str">
        <f ca="1">K54</f>
        <v>Excavation work Completed. Plinth work completed, RCC upto 41 Slab, Brickwork upto 38 Floor, Internal Plaster upto 32 Floor, External Plaster upto 30 Floor, Flooring upto 9 Floor Completed</v>
      </c>
      <c r="D56" s="73"/>
      <c r="E56" s="73"/>
      <c r="F56" s="73"/>
      <c r="G56" s="73"/>
      <c r="H56" s="73"/>
      <c r="I56" s="73"/>
      <c r="J56" s="74"/>
      <c r="K56" s="49" t="s">
        <v>207</v>
      </c>
      <c r="L56" s="50"/>
    </row>
    <row r="57" spans="1:17" ht="15.6" x14ac:dyDescent="0.3">
      <c r="A57" s="248" t="s">
        <v>66</v>
      </c>
      <c r="B57" s="249"/>
      <c r="C57" s="58" t="s">
        <v>208</v>
      </c>
      <c r="D57" s="75" t="s">
        <v>209</v>
      </c>
      <c r="E57" s="75"/>
      <c r="F57" s="75" t="s">
        <v>210</v>
      </c>
      <c r="G57" s="75"/>
      <c r="H57" s="75" t="s">
        <v>211</v>
      </c>
      <c r="I57" s="75"/>
      <c r="J57" s="76"/>
      <c r="K57" s="51" t="s">
        <v>212</v>
      </c>
      <c r="L57" s="52">
        <f ca="1">I55*25%</f>
        <v>10.5</v>
      </c>
    </row>
    <row r="58" spans="1:17" ht="15.6" x14ac:dyDescent="0.3">
      <c r="A58" s="77" t="s">
        <v>213</v>
      </c>
      <c r="B58" s="75"/>
      <c r="C58" s="59">
        <f ca="1">L59</f>
        <v>42</v>
      </c>
      <c r="D58" s="78">
        <f ca="1">((100/I55)*C58)/100</f>
        <v>1</v>
      </c>
      <c r="E58" s="79"/>
      <c r="F58" s="80">
        <f ca="1">(((C59/I55*10)+(40/(D55+G55+I55)*C60)+(7.5/(I55)*C61)+(7.5/(I55)*C62)+(10/I55*C63)+(10/I55*C64)+(5/I55*C65)+(5/I55*C66)+(5/I55*C67))/100)</f>
        <v>0.699252491694352</v>
      </c>
      <c r="G58" s="80"/>
      <c r="H58" s="82">
        <f ca="1">((((C58/I55)*20)+((C59/I55)*25)+(30/(I55+G55+D55)*C60)+(5/I55*C61)+(5/I55*C62)+(5/I55*C63)+(5/I55*C64)+(0/I55*C65)+(0/I55*C66)+(5/I55*C67))/100)</f>
        <v>0.86580841638981165</v>
      </c>
      <c r="I58" s="83"/>
      <c r="J58" s="84"/>
      <c r="K58" s="51" t="s">
        <v>214</v>
      </c>
      <c r="L58" s="53">
        <f ca="1">I55*50%</f>
        <v>21</v>
      </c>
    </row>
    <row r="59" spans="1:17" ht="15.6" x14ac:dyDescent="0.3">
      <c r="A59" s="77" t="s">
        <v>67</v>
      </c>
      <c r="B59" s="75"/>
      <c r="C59" s="60">
        <f ca="1">L67</f>
        <v>42</v>
      </c>
      <c r="D59" s="78">
        <f ca="1">((100/I55)*C59)/100</f>
        <v>1</v>
      </c>
      <c r="E59" s="79"/>
      <c r="F59" s="80"/>
      <c r="G59" s="80"/>
      <c r="H59" s="85"/>
      <c r="I59" s="86"/>
      <c r="J59" s="87"/>
      <c r="K59" s="51" t="s">
        <v>215</v>
      </c>
      <c r="L59" s="53">
        <f ca="1">I55</f>
        <v>42</v>
      </c>
    </row>
    <row r="60" spans="1:17" ht="15.6" x14ac:dyDescent="0.3">
      <c r="A60" s="91" t="s">
        <v>216</v>
      </c>
      <c r="B60" s="92"/>
      <c r="C60" s="60">
        <v>41</v>
      </c>
      <c r="D60" s="78">
        <f ca="1">((100/(D55+G55+I55))*C60)/100</f>
        <v>0.95348837209302328</v>
      </c>
      <c r="E60" s="79"/>
      <c r="F60" s="80"/>
      <c r="G60" s="80"/>
      <c r="H60" s="85"/>
      <c r="I60" s="86"/>
      <c r="J60" s="87"/>
      <c r="K60" s="51" t="s">
        <v>217</v>
      </c>
      <c r="L60" s="54">
        <f ca="1">(IF(B55&gt;1,(I55/(B55+2)),I55/4))</f>
        <v>10.5</v>
      </c>
    </row>
    <row r="61" spans="1:17" ht="15.6" x14ac:dyDescent="0.3">
      <c r="A61" s="77" t="s">
        <v>218</v>
      </c>
      <c r="B61" s="75" t="s">
        <v>219</v>
      </c>
      <c r="C61" s="59">
        <v>38</v>
      </c>
      <c r="D61" s="78">
        <f ca="1">((100/I55)*C61)/100</f>
        <v>0.90476190476190477</v>
      </c>
      <c r="E61" s="79"/>
      <c r="F61" s="80"/>
      <c r="G61" s="80"/>
      <c r="H61" s="85"/>
      <c r="I61" s="86"/>
      <c r="J61" s="87"/>
      <c r="K61" s="51" t="s">
        <v>220</v>
      </c>
      <c r="L61" s="54">
        <f ca="1">(IF(B55&gt;1,(I55/(B55+2)+L60),I55/4+L60))</f>
        <v>21</v>
      </c>
      <c r="N61" s="1">
        <f>8+31</f>
        <v>39</v>
      </c>
    </row>
    <row r="62" spans="1:17" ht="15.6" x14ac:dyDescent="0.3">
      <c r="A62" s="77" t="s">
        <v>221</v>
      </c>
      <c r="B62" s="75" t="s">
        <v>219</v>
      </c>
      <c r="C62" s="59">
        <v>32</v>
      </c>
      <c r="D62" s="78">
        <f ca="1">((100/I55)*C62)/100</f>
        <v>0.76190476190476186</v>
      </c>
      <c r="E62" s="79"/>
      <c r="F62" s="80"/>
      <c r="G62" s="80"/>
      <c r="H62" s="85"/>
      <c r="I62" s="86"/>
      <c r="J62" s="87"/>
      <c r="K62" s="51" t="s">
        <v>222</v>
      </c>
      <c r="L62" s="54">
        <f>(IF(B55&gt;1,(I55/(B55+2)+L61),0))</f>
        <v>0</v>
      </c>
    </row>
    <row r="63" spans="1:17" ht="15.6" x14ac:dyDescent="0.3">
      <c r="A63" s="77" t="s">
        <v>223</v>
      </c>
      <c r="B63" s="75" t="s">
        <v>224</v>
      </c>
      <c r="C63" s="59">
        <v>30</v>
      </c>
      <c r="D63" s="78">
        <f ca="1">((100/(I55))*C63)/100</f>
        <v>0.7142857142857143</v>
      </c>
      <c r="E63" s="79"/>
      <c r="F63" s="80"/>
      <c r="G63" s="80"/>
      <c r="H63" s="85"/>
      <c r="I63" s="86"/>
      <c r="J63" s="87"/>
      <c r="K63" s="51" t="s">
        <v>225</v>
      </c>
      <c r="L63" s="54">
        <f>(IF(B55&gt;2,(I55/(B55+2)+L62),0))</f>
        <v>0</v>
      </c>
    </row>
    <row r="64" spans="1:17" ht="15.6" x14ac:dyDescent="0.3">
      <c r="A64" s="77" t="s">
        <v>226</v>
      </c>
      <c r="B64" s="75" t="s">
        <v>226</v>
      </c>
      <c r="C64" s="59">
        <v>9</v>
      </c>
      <c r="D64" s="78">
        <f ca="1">((100/I55)*C64)/100</f>
        <v>0.21428571428571427</v>
      </c>
      <c r="E64" s="79"/>
      <c r="F64" s="80"/>
      <c r="G64" s="80"/>
      <c r="H64" s="85"/>
      <c r="I64" s="86"/>
      <c r="J64" s="87"/>
      <c r="K64" s="51" t="s">
        <v>227</v>
      </c>
      <c r="L64" s="55">
        <f>(IF(B55&gt;3,(I55/(B55+2)+L63),0))</f>
        <v>0</v>
      </c>
    </row>
    <row r="65" spans="1:12" ht="15" customHeight="1" x14ac:dyDescent="0.3">
      <c r="A65" s="77" t="s">
        <v>228</v>
      </c>
      <c r="B65" s="75"/>
      <c r="C65" s="59">
        <v>0</v>
      </c>
      <c r="D65" s="78">
        <f ca="1">((100/I55)*C65)/100</f>
        <v>0</v>
      </c>
      <c r="E65" s="79"/>
      <c r="F65" s="80"/>
      <c r="G65" s="80"/>
      <c r="H65" s="85"/>
      <c r="I65" s="86"/>
      <c r="J65" s="87"/>
      <c r="K65" s="51" t="s">
        <v>229</v>
      </c>
      <c r="L65" s="54">
        <f>(IF(B55&gt;4,(I55/(B55+2)+L64),0))</f>
        <v>0</v>
      </c>
    </row>
    <row r="66" spans="1:12" ht="15.6" x14ac:dyDescent="0.3">
      <c r="A66" s="77" t="s">
        <v>230</v>
      </c>
      <c r="B66" s="75" t="s">
        <v>230</v>
      </c>
      <c r="C66" s="59">
        <v>0</v>
      </c>
      <c r="D66" s="78">
        <f ca="1">((100/(I55))*C66)/100</f>
        <v>0</v>
      </c>
      <c r="E66" s="79"/>
      <c r="F66" s="80"/>
      <c r="G66" s="80"/>
      <c r="H66" s="85"/>
      <c r="I66" s="86"/>
      <c r="J66" s="87"/>
      <c r="K66" s="51" t="s">
        <v>231</v>
      </c>
      <c r="L66" s="54">
        <f ca="1">(IF(B55=1,(I55/(B55+3)+L61),IF(B55=0,(I55/4+L61),IF(B55&gt;1,0))))</f>
        <v>31.5</v>
      </c>
    </row>
    <row r="67" spans="1:12" ht="16.2" thickBot="1" x14ac:dyDescent="0.35">
      <c r="A67" s="157" t="s">
        <v>232</v>
      </c>
      <c r="B67" s="158"/>
      <c r="C67" s="61">
        <v>0</v>
      </c>
      <c r="D67" s="155">
        <f ca="1">((100/(I55))*C67)/100</f>
        <v>0</v>
      </c>
      <c r="E67" s="156"/>
      <c r="F67" s="81"/>
      <c r="G67" s="81"/>
      <c r="H67" s="88"/>
      <c r="I67" s="89"/>
      <c r="J67" s="90"/>
      <c r="K67" s="56" t="s">
        <v>233</v>
      </c>
      <c r="L67" s="57">
        <f ca="1">(IF(B55&gt;1.5,(I55/(B55+2)+L61+MAX(0,L62-L61)+MAX(0,L63-L62)+MAX(0,L64-L63)+MAX(0,L65-L64)+MAX(0,L66-L65)),IF(B55=1,(I55/(B55+3)+L66),IF(B55=0,I55/4+L66))))</f>
        <v>42</v>
      </c>
    </row>
    <row r="68" spans="1:12" x14ac:dyDescent="0.25">
      <c r="A68" s="99" t="s">
        <v>72</v>
      </c>
      <c r="B68" s="100"/>
      <c r="C68" s="100"/>
      <c r="D68" s="100"/>
      <c r="E68" s="100"/>
      <c r="F68" s="100"/>
      <c r="G68" s="100"/>
      <c r="H68" s="100"/>
      <c r="I68" s="100"/>
      <c r="J68" s="101"/>
    </row>
    <row r="69" spans="1:12" x14ac:dyDescent="0.25">
      <c r="A69" s="99" t="s">
        <v>73</v>
      </c>
      <c r="B69" s="100"/>
      <c r="C69" s="100"/>
      <c r="D69" s="100"/>
      <c r="E69" s="100"/>
      <c r="F69" s="100"/>
      <c r="G69" s="100"/>
      <c r="H69" s="100"/>
      <c r="I69" s="100"/>
      <c r="J69" s="101"/>
    </row>
    <row r="70" spans="1:12" ht="15" hidden="1" customHeight="1" x14ac:dyDescent="0.25">
      <c r="A70" s="150" t="s">
        <v>147</v>
      </c>
      <c r="B70" s="151"/>
      <c r="C70" s="152" t="s">
        <v>148</v>
      </c>
      <c r="D70" s="153"/>
      <c r="E70" s="153"/>
      <c r="F70" s="153"/>
      <c r="G70" s="153"/>
      <c r="H70" s="153"/>
      <c r="I70" s="153"/>
      <c r="J70" s="154"/>
    </row>
    <row r="71" spans="1:12" x14ac:dyDescent="0.25">
      <c r="A71" s="135" t="s">
        <v>74</v>
      </c>
      <c r="B71" s="136"/>
      <c r="C71" s="136"/>
      <c r="D71" s="136"/>
      <c r="E71" s="136"/>
      <c r="F71" s="136"/>
      <c r="G71" s="136"/>
      <c r="H71" s="136"/>
      <c r="I71" s="136"/>
      <c r="J71" s="137"/>
    </row>
    <row r="72" spans="1:12" x14ac:dyDescent="0.25">
      <c r="A72" s="99" t="s">
        <v>75</v>
      </c>
      <c r="B72" s="100"/>
      <c r="C72" s="100"/>
      <c r="D72" s="100"/>
      <c r="E72" s="100"/>
      <c r="F72" s="101"/>
      <c r="G72" s="147">
        <v>53000</v>
      </c>
      <c r="H72" s="148"/>
      <c r="I72" s="148"/>
      <c r="J72" s="149"/>
      <c r="L72" s="1">
        <f>44000*1.5/1.6</f>
        <v>41250</v>
      </c>
    </row>
    <row r="73" spans="1:12" x14ac:dyDescent="0.25">
      <c r="A73" s="99" t="s">
        <v>76</v>
      </c>
      <c r="B73" s="100"/>
      <c r="C73" s="100"/>
      <c r="D73" s="100"/>
      <c r="E73" s="100"/>
      <c r="F73" s="101"/>
      <c r="G73" s="141" t="s">
        <v>259</v>
      </c>
      <c r="H73" s="142"/>
      <c r="I73" s="142"/>
      <c r="J73" s="143"/>
    </row>
    <row r="74" spans="1:12" hidden="1" x14ac:dyDescent="0.25">
      <c r="A74" s="99" t="s">
        <v>77</v>
      </c>
      <c r="B74" s="100"/>
      <c r="C74" s="100"/>
      <c r="D74" s="100"/>
      <c r="E74" s="100"/>
      <c r="F74" s="101"/>
      <c r="G74" s="141" t="s">
        <v>37</v>
      </c>
      <c r="H74" s="142"/>
      <c r="I74" s="142"/>
      <c r="J74" s="143"/>
    </row>
    <row r="75" spans="1:12" s="5" customFormat="1" ht="14.55" customHeight="1" x14ac:dyDescent="0.25">
      <c r="A75" s="135" t="s">
        <v>78</v>
      </c>
      <c r="B75" s="136"/>
      <c r="C75" s="136"/>
      <c r="D75" s="136"/>
      <c r="E75" s="136"/>
      <c r="F75" s="137"/>
      <c r="G75" s="138">
        <f>G72*0.8</f>
        <v>42400</v>
      </c>
      <c r="H75" s="139"/>
      <c r="I75" s="139"/>
      <c r="J75" s="140"/>
    </row>
    <row r="76" spans="1:12" s="6" customFormat="1" ht="15.6" x14ac:dyDescent="0.3">
      <c r="A76" s="144" t="s">
        <v>254</v>
      </c>
      <c r="B76" s="145"/>
      <c r="C76" s="145"/>
      <c r="D76" s="145"/>
      <c r="E76" s="145"/>
      <c r="F76" s="145"/>
      <c r="G76" s="145"/>
      <c r="H76" s="145"/>
      <c r="I76" s="145"/>
      <c r="J76" s="146"/>
    </row>
    <row r="77" spans="1:12" s="6" customFormat="1" ht="15.75" customHeight="1" x14ac:dyDescent="0.3">
      <c r="A77" s="131" t="s">
        <v>79</v>
      </c>
      <c r="B77" s="132"/>
      <c r="C77" s="236" t="s">
        <v>146</v>
      </c>
      <c r="D77" s="237"/>
      <c r="E77" s="233" t="s">
        <v>80</v>
      </c>
      <c r="F77" s="234"/>
      <c r="G77" s="235"/>
      <c r="H77" s="131" t="s">
        <v>81</v>
      </c>
      <c r="I77" s="232"/>
      <c r="J77" s="132"/>
    </row>
    <row r="78" spans="1:12" s="6" customFormat="1" ht="15.6" x14ac:dyDescent="0.3">
      <c r="A78" s="133" t="s">
        <v>168</v>
      </c>
      <c r="B78" s="134"/>
      <c r="C78" s="238">
        <f>COUNT(D103:E104,D109:E110,D115,D118:E119,D121:E122,D127,D133:E134,D136,D139:E140,D142,D144,D147,D150)+COUNT(D112:E113,D124:E125)*2+COUNT(D130:E131)*12</f>
        <v>51</v>
      </c>
      <c r="D78" s="239"/>
      <c r="E78" s="240">
        <f>SUM(D103:E104,D109:E110,D115,D118:E119,D121:E122,D127,D133:E134,D136,D139:E140,D142,D144,D147,D150)+SUM(D112:E113,D124:E125)*2+SUM(D130:E131)*12</f>
        <v>68457.963600000003</v>
      </c>
      <c r="F78" s="241"/>
      <c r="G78" s="242"/>
      <c r="H78" s="240">
        <f>SUM(G103:H104,G109:H110,G115,G118:H119,G121:H122,G127,G133:H134,G136,G139:H140,G142,G144,G147,G150)+SUM(G112:H113,G124:H125)*2+SUM(G130:H131)*12</f>
        <v>102769.45145999998</v>
      </c>
      <c r="I78" s="241"/>
      <c r="J78" s="242"/>
    </row>
    <row r="79" spans="1:12" s="6" customFormat="1" ht="15.6" x14ac:dyDescent="0.3">
      <c r="A79" s="133" t="s">
        <v>164</v>
      </c>
      <c r="B79" s="134"/>
      <c r="C79" s="255">
        <f>COUNT(D94,D96,D98:E100,D102,D106:E107,D128)</f>
        <v>9</v>
      </c>
      <c r="D79" s="239"/>
      <c r="E79" s="240">
        <f>SUM(D94,D96,D98:E100,D102,D106:E107,D128)</f>
        <v>6316.3151999999991</v>
      </c>
      <c r="F79" s="256"/>
      <c r="G79" s="257"/>
      <c r="H79" s="240">
        <f>SUM(G94,G96,G98:H100,G102,G106:H107,G128)</f>
        <v>9540.4022999999997</v>
      </c>
      <c r="I79" s="256"/>
      <c r="J79" s="257"/>
    </row>
    <row r="80" spans="1:12" s="65" customFormat="1" ht="15.6" x14ac:dyDescent="0.3">
      <c r="A80" s="253" t="s">
        <v>83</v>
      </c>
      <c r="B80" s="254"/>
      <c r="C80" s="236">
        <f>SUM(C78:C79)</f>
        <v>60</v>
      </c>
      <c r="D80" s="237"/>
      <c r="E80" s="258">
        <f>SUM(E78:E79)</f>
        <v>74774.2788</v>
      </c>
      <c r="F80" s="234"/>
      <c r="G80" s="235"/>
      <c r="H80" s="131">
        <f>SUM(H78:H79)</f>
        <v>112309.85375999998</v>
      </c>
      <c r="I80" s="232"/>
      <c r="J80" s="132"/>
    </row>
    <row r="81" spans="1:20" s="9" customFormat="1" ht="17.399999999999999" x14ac:dyDescent="0.3">
      <c r="A81" s="259" t="s">
        <v>84</v>
      </c>
      <c r="B81" s="259"/>
      <c r="C81" s="259"/>
      <c r="D81" s="259"/>
      <c r="E81" s="259"/>
      <c r="F81" s="259"/>
      <c r="G81" s="259"/>
      <c r="H81" s="259"/>
      <c r="I81" s="259"/>
      <c r="J81" s="259"/>
      <c r="L81" s="9">
        <f>2+3+3+2+2+2+1+1+1+2*4+2*5+1</f>
        <v>36</v>
      </c>
    </row>
    <row r="82" spans="1:20" s="9" customFormat="1" ht="15.6" x14ac:dyDescent="0.3">
      <c r="A82" s="260" t="s">
        <v>85</v>
      </c>
      <c r="B82" s="260"/>
      <c r="C82" s="260"/>
      <c r="D82" s="260"/>
      <c r="E82" s="260"/>
      <c r="F82" s="260"/>
      <c r="G82" s="260"/>
      <c r="H82" s="260"/>
      <c r="I82" s="260"/>
      <c r="J82" s="260"/>
    </row>
    <row r="83" spans="1:20" s="9" customFormat="1" ht="39.6" x14ac:dyDescent="0.3">
      <c r="A83" s="7" t="s">
        <v>86</v>
      </c>
      <c r="B83" s="39" t="s">
        <v>196</v>
      </c>
      <c r="C83" s="7" t="s">
        <v>87</v>
      </c>
      <c r="D83" s="261" t="s">
        <v>88</v>
      </c>
      <c r="E83" s="261"/>
      <c r="F83" s="8" t="s">
        <v>89</v>
      </c>
      <c r="G83" s="7" t="s">
        <v>90</v>
      </c>
      <c r="H83" s="262" t="s">
        <v>91</v>
      </c>
      <c r="I83" s="262"/>
      <c r="J83" s="262"/>
    </row>
    <row r="84" spans="1:20" s="9" customFormat="1" ht="15.6" x14ac:dyDescent="0.3">
      <c r="A84" s="102" t="s">
        <v>239</v>
      </c>
      <c r="B84" s="102"/>
      <c r="C84" s="102"/>
      <c r="D84" s="102"/>
      <c r="E84" s="102"/>
      <c r="F84" s="102"/>
      <c r="G84" s="102"/>
      <c r="H84" s="102"/>
      <c r="I84" s="102"/>
      <c r="J84" s="102"/>
    </row>
    <row r="85" spans="1:20" s="9" customFormat="1" ht="15.6" x14ac:dyDescent="0.3">
      <c r="A85" s="102" t="s">
        <v>175</v>
      </c>
      <c r="B85" s="102"/>
      <c r="C85" s="102"/>
      <c r="D85" s="102"/>
      <c r="E85" s="102"/>
      <c r="F85" s="102"/>
      <c r="G85" s="102"/>
      <c r="H85" s="102"/>
      <c r="I85" s="102"/>
      <c r="J85" s="102"/>
    </row>
    <row r="86" spans="1:20" s="9" customFormat="1" ht="15.6" x14ac:dyDescent="0.3">
      <c r="A86" s="102" t="s">
        <v>240</v>
      </c>
      <c r="B86" s="102"/>
      <c r="C86" s="102"/>
      <c r="D86" s="102"/>
      <c r="E86" s="102"/>
      <c r="F86" s="102"/>
      <c r="G86" s="102"/>
      <c r="H86" s="102"/>
      <c r="I86" s="102"/>
      <c r="J86" s="102"/>
    </row>
    <row r="87" spans="1:20" s="9" customFormat="1" ht="15.6" x14ac:dyDescent="0.3">
      <c r="A87" s="102" t="s">
        <v>262</v>
      </c>
      <c r="B87" s="102"/>
      <c r="C87" s="102"/>
      <c r="D87" s="102"/>
      <c r="E87" s="102"/>
      <c r="F87" s="102"/>
      <c r="G87" s="102"/>
      <c r="H87" s="102"/>
      <c r="I87" s="102"/>
      <c r="J87" s="102"/>
    </row>
    <row r="88" spans="1:20" s="9" customFormat="1" ht="15.6" hidden="1" x14ac:dyDescent="0.3">
      <c r="A88" s="102" t="s">
        <v>241</v>
      </c>
      <c r="B88" s="102"/>
      <c r="C88" s="102"/>
      <c r="D88" s="102"/>
      <c r="E88" s="102"/>
      <c r="F88" s="102"/>
      <c r="G88" s="102"/>
      <c r="H88" s="102"/>
      <c r="I88" s="102"/>
      <c r="J88" s="102"/>
    </row>
    <row r="89" spans="1:20" s="9" customFormat="1" ht="15.6" hidden="1" x14ac:dyDescent="0.3">
      <c r="A89" s="102" t="s">
        <v>242</v>
      </c>
      <c r="B89" s="102"/>
      <c r="C89" s="102"/>
      <c r="D89" s="102"/>
      <c r="E89" s="102"/>
      <c r="F89" s="102"/>
      <c r="G89" s="102"/>
      <c r="H89" s="102"/>
      <c r="I89" s="102"/>
      <c r="J89" s="102"/>
    </row>
    <row r="90" spans="1:20" s="9" customFormat="1" ht="15.6" x14ac:dyDescent="0.3">
      <c r="A90" s="102" t="s">
        <v>243</v>
      </c>
      <c r="B90" s="102"/>
      <c r="C90" s="102"/>
      <c r="D90" s="102"/>
      <c r="E90" s="102"/>
      <c r="F90" s="102"/>
      <c r="G90" s="102"/>
      <c r="H90" s="102"/>
      <c r="I90" s="102"/>
      <c r="J90" s="102"/>
    </row>
    <row r="91" spans="1:20" s="9" customFormat="1" ht="15.6" x14ac:dyDescent="0.3">
      <c r="A91" s="93" t="s">
        <v>244</v>
      </c>
      <c r="B91" s="94"/>
      <c r="C91" s="94"/>
      <c r="D91" s="94"/>
      <c r="E91" s="94"/>
      <c r="F91" s="94"/>
      <c r="G91" s="94"/>
      <c r="H91" s="94"/>
      <c r="I91" s="94"/>
      <c r="J91" s="95"/>
    </row>
    <row r="92" spans="1:20" s="9" customFormat="1" ht="15.6" x14ac:dyDescent="0.3">
      <c r="A92" s="93" t="s">
        <v>245</v>
      </c>
      <c r="B92" s="94"/>
      <c r="C92" s="94"/>
      <c r="D92" s="94"/>
      <c r="E92" s="94"/>
      <c r="F92" s="94"/>
      <c r="G92" s="94"/>
      <c r="H92" s="94"/>
      <c r="I92" s="94"/>
      <c r="J92" s="95"/>
    </row>
    <row r="93" spans="1:20" s="9" customFormat="1" ht="15.6" x14ac:dyDescent="0.3">
      <c r="A93" s="93" t="s">
        <v>176</v>
      </c>
      <c r="B93" s="94"/>
      <c r="C93" s="94"/>
      <c r="D93" s="94"/>
      <c r="E93" s="94"/>
      <c r="F93" s="94"/>
      <c r="G93" s="94"/>
      <c r="H93" s="94"/>
      <c r="I93" s="94"/>
      <c r="J93" s="95"/>
      <c r="S93" s="126">
        <f>10.764</f>
        <v>10.763999999999999</v>
      </c>
      <c r="T93" s="126"/>
    </row>
    <row r="94" spans="1:20" s="9" customFormat="1" ht="15.75" customHeight="1" x14ac:dyDescent="0.3">
      <c r="A94" s="10">
        <v>1</v>
      </c>
      <c r="B94" s="40" t="s">
        <v>164</v>
      </c>
      <c r="C94" s="10" t="s">
        <v>163</v>
      </c>
      <c r="D94" s="96">
        <f>45.32*10.764</f>
        <v>487.82447999999999</v>
      </c>
      <c r="E94" s="97"/>
      <c r="F94" s="10">
        <v>0</v>
      </c>
      <c r="G94" s="10">
        <f>D94*1.5</f>
        <v>731.73671999999999</v>
      </c>
      <c r="H94" s="105" t="str">
        <f>A93</f>
        <v>9th Floor (Part Refuge Area)</v>
      </c>
      <c r="I94" s="106"/>
      <c r="J94" s="107"/>
    </row>
    <row r="95" spans="1:20" s="9" customFormat="1" ht="15.6" x14ac:dyDescent="0.3">
      <c r="A95" s="10">
        <v>2</v>
      </c>
      <c r="B95" s="41" t="s">
        <v>197</v>
      </c>
      <c r="C95" s="127" t="s">
        <v>162</v>
      </c>
      <c r="D95" s="127"/>
      <c r="E95" s="127"/>
      <c r="F95" s="127"/>
      <c r="G95" s="127"/>
      <c r="H95" s="128"/>
      <c r="I95" s="129"/>
      <c r="J95" s="130"/>
    </row>
    <row r="96" spans="1:20" s="9" customFormat="1" ht="15.6" x14ac:dyDescent="0.3">
      <c r="A96" s="10">
        <v>3</v>
      </c>
      <c r="B96" s="40" t="s">
        <v>164</v>
      </c>
      <c r="C96" s="10" t="s">
        <v>163</v>
      </c>
      <c r="D96" s="96">
        <f>45.3*10.764</f>
        <v>487.60919999999993</v>
      </c>
      <c r="E96" s="97"/>
      <c r="F96" s="10">
        <v>0</v>
      </c>
      <c r="G96" s="10">
        <f>D96*1.5</f>
        <v>731.41379999999992</v>
      </c>
      <c r="H96" s="108"/>
      <c r="I96" s="109"/>
      <c r="J96" s="110"/>
    </row>
    <row r="97" spans="1:12" s="9" customFormat="1" ht="15.6" x14ac:dyDescent="0.3">
      <c r="A97" s="93" t="s">
        <v>165</v>
      </c>
      <c r="B97" s="94"/>
      <c r="C97" s="94"/>
      <c r="D97" s="94"/>
      <c r="E97" s="94"/>
      <c r="F97" s="94"/>
      <c r="G97" s="94"/>
      <c r="H97" s="94"/>
      <c r="I97" s="94"/>
      <c r="J97" s="95"/>
    </row>
    <row r="98" spans="1:12" s="9" customFormat="1" ht="15.6" x14ac:dyDescent="0.3">
      <c r="A98" s="10">
        <v>1</v>
      </c>
      <c r="B98" s="40" t="s">
        <v>164</v>
      </c>
      <c r="C98" s="10" t="s">
        <v>163</v>
      </c>
      <c r="D98" s="126">
        <f>(49.38)*(10.764)</f>
        <v>531.52631999999994</v>
      </c>
      <c r="E98" s="126"/>
      <c r="F98" s="10">
        <v>0</v>
      </c>
      <c r="G98" s="10">
        <f t="shared" ref="G98:G100" si="0">D98*1.5</f>
        <v>797.28947999999991</v>
      </c>
      <c r="H98" s="105" t="str">
        <f>A97</f>
        <v xml:space="preserve">10th Floor </v>
      </c>
      <c r="I98" s="106"/>
      <c r="J98" s="107"/>
    </row>
    <row r="99" spans="1:12" s="9" customFormat="1" ht="15.6" x14ac:dyDescent="0.3">
      <c r="A99" s="10">
        <v>2</v>
      </c>
      <c r="B99" s="40" t="s">
        <v>164</v>
      </c>
      <c r="C99" s="10" t="s">
        <v>163</v>
      </c>
      <c r="D99" s="126">
        <f>(49.5)*(10.764)</f>
        <v>532.81799999999998</v>
      </c>
      <c r="E99" s="126"/>
      <c r="F99" s="10">
        <v>0</v>
      </c>
      <c r="G99" s="10">
        <f t="shared" si="0"/>
        <v>799.22699999999998</v>
      </c>
      <c r="H99" s="128"/>
      <c r="I99" s="129"/>
      <c r="J99" s="130"/>
    </row>
    <row r="100" spans="1:12" s="9" customFormat="1" ht="15.6" x14ac:dyDescent="0.3">
      <c r="A100" s="10">
        <v>3</v>
      </c>
      <c r="B100" s="40" t="s">
        <v>164</v>
      </c>
      <c r="C100" s="10" t="s">
        <v>163</v>
      </c>
      <c r="D100" s="126">
        <f>(45.54)*(10.764)</f>
        <v>490.19255999999996</v>
      </c>
      <c r="E100" s="126"/>
      <c r="F100" s="10">
        <v>0</v>
      </c>
      <c r="G100" s="10">
        <f t="shared" si="0"/>
        <v>735.28883999999994</v>
      </c>
      <c r="H100" s="108"/>
      <c r="I100" s="109"/>
      <c r="J100" s="110"/>
    </row>
    <row r="101" spans="1:12" s="9" customFormat="1" ht="15.6" x14ac:dyDescent="0.3">
      <c r="A101" s="93" t="s">
        <v>166</v>
      </c>
      <c r="B101" s="94"/>
      <c r="C101" s="94"/>
      <c r="D101" s="94"/>
      <c r="E101" s="94"/>
      <c r="F101" s="94"/>
      <c r="G101" s="94"/>
      <c r="H101" s="94"/>
      <c r="I101" s="94"/>
      <c r="J101" s="95"/>
    </row>
    <row r="102" spans="1:12" s="9" customFormat="1" ht="15.6" x14ac:dyDescent="0.3">
      <c r="A102" s="10">
        <v>1</v>
      </c>
      <c r="B102" s="40" t="s">
        <v>164</v>
      </c>
      <c r="C102" s="10" t="s">
        <v>167</v>
      </c>
      <c r="D102" s="126">
        <f>(71.72)*(10.764)</f>
        <v>771.99407999999994</v>
      </c>
      <c r="E102" s="126"/>
      <c r="F102" s="10">
        <v>0</v>
      </c>
      <c r="G102" s="10">
        <f t="shared" ref="G102:G104" si="1">D102*1.5</f>
        <v>1157.9911199999999</v>
      </c>
      <c r="H102" s="105" t="str">
        <f>A101</f>
        <v xml:space="preserve">11th Floor </v>
      </c>
      <c r="I102" s="106"/>
      <c r="J102" s="107"/>
    </row>
    <row r="103" spans="1:12" s="9" customFormat="1" ht="15.6" x14ac:dyDescent="0.3">
      <c r="A103" s="10">
        <v>2</v>
      </c>
      <c r="B103" s="40" t="s">
        <v>168</v>
      </c>
      <c r="C103" s="10" t="s">
        <v>163</v>
      </c>
      <c r="D103" s="126">
        <f>(53.52)*(10.764)</f>
        <v>576.08928000000003</v>
      </c>
      <c r="E103" s="126"/>
      <c r="F103" s="10">
        <v>0</v>
      </c>
      <c r="G103" s="10">
        <f t="shared" si="1"/>
        <v>864.13391999999999</v>
      </c>
      <c r="H103" s="128"/>
      <c r="I103" s="129"/>
      <c r="J103" s="130"/>
    </row>
    <row r="104" spans="1:12" s="9" customFormat="1" ht="15.6" x14ac:dyDescent="0.3">
      <c r="A104" s="10">
        <v>3</v>
      </c>
      <c r="B104" s="40" t="s">
        <v>168</v>
      </c>
      <c r="C104" s="10" t="s">
        <v>177</v>
      </c>
      <c r="D104" s="126">
        <f>(39.71)*(10.764)</f>
        <v>427.43843999999996</v>
      </c>
      <c r="E104" s="126"/>
      <c r="F104" s="10">
        <v>0</v>
      </c>
      <c r="G104" s="10">
        <f t="shared" si="1"/>
        <v>641.15765999999996</v>
      </c>
      <c r="H104" s="108"/>
      <c r="I104" s="109"/>
      <c r="J104" s="110"/>
    </row>
    <row r="105" spans="1:12" s="9" customFormat="1" ht="15.6" x14ac:dyDescent="0.3">
      <c r="A105" s="93" t="s">
        <v>169</v>
      </c>
      <c r="B105" s="94"/>
      <c r="C105" s="94"/>
      <c r="D105" s="94"/>
      <c r="E105" s="94"/>
      <c r="F105" s="94"/>
      <c r="G105" s="94"/>
      <c r="H105" s="94"/>
      <c r="I105" s="94"/>
      <c r="J105" s="95"/>
    </row>
    <row r="106" spans="1:12" s="9" customFormat="1" ht="15.6" x14ac:dyDescent="0.3">
      <c r="A106" s="10">
        <v>1</v>
      </c>
      <c r="B106" s="40" t="s">
        <v>164</v>
      </c>
      <c r="C106" s="10" t="s">
        <v>167</v>
      </c>
      <c r="D106" s="126">
        <f>(78.4)*(10.764)</f>
        <v>843.89760000000001</v>
      </c>
      <c r="E106" s="126"/>
      <c r="F106" s="10">
        <f>(3.5*3.5)*10.764</f>
        <v>131.85899999999998</v>
      </c>
      <c r="G106" s="10">
        <f>D106*1.5+F106/2</f>
        <v>1331.7758999999999</v>
      </c>
      <c r="H106" s="105" t="str">
        <f t="shared" ref="H106" si="2">A105</f>
        <v xml:space="preserve">12th Floor </v>
      </c>
      <c r="I106" s="106"/>
      <c r="J106" s="107"/>
    </row>
    <row r="107" spans="1:12" s="9" customFormat="1" ht="15.6" x14ac:dyDescent="0.3">
      <c r="A107" s="10">
        <v>2</v>
      </c>
      <c r="B107" s="40" t="s">
        <v>164</v>
      </c>
      <c r="C107" s="10" t="s">
        <v>178</v>
      </c>
      <c r="D107" s="126">
        <f>(85.4)*(10.764)</f>
        <v>919.24559999999997</v>
      </c>
      <c r="E107" s="126"/>
      <c r="F107" s="10">
        <v>0</v>
      </c>
      <c r="G107" s="10">
        <f t="shared" ref="G107:G115" si="3">D107*1.5</f>
        <v>1378.8683999999998</v>
      </c>
      <c r="H107" s="108"/>
      <c r="I107" s="109"/>
      <c r="J107" s="110"/>
    </row>
    <row r="108" spans="1:12" s="9" customFormat="1" ht="15.6" x14ac:dyDescent="0.3">
      <c r="A108" s="93" t="s">
        <v>171</v>
      </c>
      <c r="B108" s="94"/>
      <c r="C108" s="94"/>
      <c r="D108" s="94"/>
      <c r="E108" s="94"/>
      <c r="F108" s="94"/>
      <c r="G108" s="94"/>
      <c r="H108" s="94"/>
      <c r="I108" s="94"/>
      <c r="J108" s="95"/>
    </row>
    <row r="109" spans="1:12" s="9" customFormat="1" ht="15.6" x14ac:dyDescent="0.3">
      <c r="A109" s="10">
        <v>1</v>
      </c>
      <c r="B109" s="40" t="s">
        <v>168</v>
      </c>
      <c r="C109" s="10" t="s">
        <v>178</v>
      </c>
      <c r="D109" s="126">
        <f>(93.76)*(10.764)</f>
        <v>1009.2326399999999</v>
      </c>
      <c r="E109" s="126"/>
      <c r="F109" s="10">
        <v>0</v>
      </c>
      <c r="G109" s="10">
        <f t="shared" si="3"/>
        <v>1513.8489599999998</v>
      </c>
      <c r="H109" s="105" t="str">
        <f t="shared" ref="H109" si="4">A108</f>
        <v xml:space="preserve">13th Floor </v>
      </c>
      <c r="I109" s="106"/>
      <c r="J109" s="107"/>
    </row>
    <row r="110" spans="1:12" s="9" customFormat="1" ht="15.6" x14ac:dyDescent="0.3">
      <c r="A110" s="10">
        <v>2</v>
      </c>
      <c r="B110" s="40" t="s">
        <v>168</v>
      </c>
      <c r="C110" s="10" t="s">
        <v>170</v>
      </c>
      <c r="D110" s="126">
        <f>(101.17)*(10.764)</f>
        <v>1088.99388</v>
      </c>
      <c r="E110" s="126"/>
      <c r="F110" s="10">
        <v>0</v>
      </c>
      <c r="G110" s="10">
        <f t="shared" si="3"/>
        <v>1633.49082</v>
      </c>
      <c r="H110" s="108"/>
      <c r="I110" s="109"/>
      <c r="J110" s="110"/>
    </row>
    <row r="111" spans="1:12" s="9" customFormat="1" ht="15.6" x14ac:dyDescent="0.3">
      <c r="A111" s="93" t="s">
        <v>179</v>
      </c>
      <c r="B111" s="94"/>
      <c r="C111" s="94"/>
      <c r="D111" s="94"/>
      <c r="E111" s="94"/>
      <c r="F111" s="94"/>
      <c r="G111" s="94"/>
      <c r="H111" s="94"/>
      <c r="I111" s="94"/>
      <c r="J111" s="95"/>
    </row>
    <row r="112" spans="1:12" s="9" customFormat="1" ht="15.75" customHeight="1" x14ac:dyDescent="0.3">
      <c r="A112" s="10">
        <v>1</v>
      </c>
      <c r="B112" s="40" t="s">
        <v>168</v>
      </c>
      <c r="C112" s="10" t="s">
        <v>170</v>
      </c>
      <c r="D112" s="126">
        <f>(100.98)*(10.764)</f>
        <v>1086.9487199999999</v>
      </c>
      <c r="E112" s="126"/>
      <c r="F112" s="10">
        <v>0</v>
      </c>
      <c r="G112" s="10">
        <f t="shared" si="3"/>
        <v>1630.4230799999998</v>
      </c>
      <c r="H112" s="105" t="str">
        <f t="shared" ref="H112" si="5">A111</f>
        <v xml:space="preserve">14th &amp; 15th Floor </v>
      </c>
      <c r="I112" s="106"/>
      <c r="J112" s="107"/>
      <c r="L112" s="9">
        <f>68000000/G112</f>
        <v>41706.966022585999</v>
      </c>
    </row>
    <row r="113" spans="1:12" s="9" customFormat="1" ht="15.6" x14ac:dyDescent="0.3">
      <c r="A113" s="10">
        <v>2</v>
      </c>
      <c r="B113" s="40" t="s">
        <v>168</v>
      </c>
      <c r="C113" s="10" t="s">
        <v>170</v>
      </c>
      <c r="D113" s="126">
        <f>(100.98)*(10.764)</f>
        <v>1086.9487199999999</v>
      </c>
      <c r="E113" s="126"/>
      <c r="F113" s="10">
        <v>0</v>
      </c>
      <c r="G113" s="10">
        <f t="shared" si="3"/>
        <v>1630.4230799999998</v>
      </c>
      <c r="H113" s="108"/>
      <c r="I113" s="109"/>
      <c r="J113" s="110"/>
    </row>
    <row r="114" spans="1:12" s="9" customFormat="1" ht="15.6" x14ac:dyDescent="0.3">
      <c r="A114" s="93" t="s">
        <v>180</v>
      </c>
      <c r="B114" s="94"/>
      <c r="C114" s="94"/>
      <c r="D114" s="94"/>
      <c r="E114" s="94"/>
      <c r="F114" s="94"/>
      <c r="G114" s="94"/>
      <c r="H114" s="94"/>
      <c r="I114" s="94"/>
      <c r="J114" s="95"/>
    </row>
    <row r="115" spans="1:12" s="9" customFormat="1" ht="15.75" customHeight="1" x14ac:dyDescent="0.3">
      <c r="A115" s="10">
        <v>1</v>
      </c>
      <c r="B115" s="41" t="s">
        <v>168</v>
      </c>
      <c r="C115" s="10" t="s">
        <v>172</v>
      </c>
      <c r="D115" s="126">
        <f>(151.32)*(10.764)</f>
        <v>1628.8084799999999</v>
      </c>
      <c r="E115" s="126"/>
      <c r="F115" s="10">
        <v>0</v>
      </c>
      <c r="G115" s="10">
        <f t="shared" si="3"/>
        <v>2443.21272</v>
      </c>
      <c r="H115" s="105" t="str">
        <f t="shared" ref="H115" si="6">A114</f>
        <v>16th Floor (Part Refuge Area)</v>
      </c>
      <c r="I115" s="106"/>
      <c r="J115" s="107"/>
    </row>
    <row r="116" spans="1:12" s="9" customFormat="1" ht="15.6" x14ac:dyDescent="0.3">
      <c r="A116" s="10">
        <v>2</v>
      </c>
      <c r="B116" s="41" t="s">
        <v>197</v>
      </c>
      <c r="C116" s="103" t="s">
        <v>162</v>
      </c>
      <c r="D116" s="103"/>
      <c r="E116" s="103"/>
      <c r="F116" s="103"/>
      <c r="G116" s="104"/>
      <c r="H116" s="108"/>
      <c r="I116" s="109"/>
      <c r="J116" s="110"/>
    </row>
    <row r="117" spans="1:12" s="9" customFormat="1" ht="15.6" x14ac:dyDescent="0.3">
      <c r="A117" s="93" t="s">
        <v>181</v>
      </c>
      <c r="B117" s="94"/>
      <c r="C117" s="94"/>
      <c r="D117" s="94"/>
      <c r="E117" s="94"/>
      <c r="F117" s="94"/>
      <c r="G117" s="94"/>
      <c r="H117" s="94"/>
      <c r="I117" s="94"/>
      <c r="J117" s="95"/>
    </row>
    <row r="118" spans="1:12" s="9" customFormat="1" ht="15.6" x14ac:dyDescent="0.3">
      <c r="A118" s="10">
        <v>1</v>
      </c>
      <c r="B118" s="40" t="s">
        <v>168</v>
      </c>
      <c r="C118" s="10" t="s">
        <v>170</v>
      </c>
      <c r="D118" s="96">
        <f>101.2*10.764</f>
        <v>1089.3168000000001</v>
      </c>
      <c r="E118" s="97"/>
      <c r="F118" s="10">
        <f>(3.65*1.05)*10.764</f>
        <v>41.253029999999995</v>
      </c>
      <c r="G118" s="10">
        <f>D118*1.5+F118</f>
        <v>1675.2282300000002</v>
      </c>
      <c r="H118" s="105" t="str">
        <f t="shared" ref="H118" si="7">A117</f>
        <v xml:space="preserve">17th Floor </v>
      </c>
      <c r="I118" s="106"/>
      <c r="J118" s="107"/>
    </row>
    <row r="119" spans="1:12" s="9" customFormat="1" ht="15.6" x14ac:dyDescent="0.3">
      <c r="A119" s="10">
        <v>2</v>
      </c>
      <c r="B119" s="40" t="s">
        <v>168</v>
      </c>
      <c r="C119" s="10" t="s">
        <v>170</v>
      </c>
      <c r="D119" s="96">
        <f>101.2*10.764</f>
        <v>1089.3168000000001</v>
      </c>
      <c r="E119" s="97"/>
      <c r="F119" s="10">
        <f>(3.65*1.05)*10.764</f>
        <v>41.253029999999995</v>
      </c>
      <c r="G119" s="10">
        <f>D119*1.5+F119</f>
        <v>1675.2282300000002</v>
      </c>
      <c r="H119" s="108"/>
      <c r="I119" s="109"/>
      <c r="J119" s="110"/>
    </row>
    <row r="120" spans="1:12" s="9" customFormat="1" ht="15.6" x14ac:dyDescent="0.3">
      <c r="A120" s="93" t="s">
        <v>182</v>
      </c>
      <c r="B120" s="94"/>
      <c r="C120" s="94"/>
      <c r="D120" s="94"/>
      <c r="E120" s="94"/>
      <c r="F120" s="94"/>
      <c r="G120" s="94"/>
      <c r="H120" s="94"/>
      <c r="I120" s="94"/>
      <c r="J120" s="95"/>
    </row>
    <row r="121" spans="1:12" s="9" customFormat="1" ht="15.6" x14ac:dyDescent="0.3">
      <c r="A121" s="10">
        <v>1</v>
      </c>
      <c r="B121" s="40" t="s">
        <v>168</v>
      </c>
      <c r="C121" s="10" t="s">
        <v>170</v>
      </c>
      <c r="D121" s="96">
        <f>101.28*10.764</f>
        <v>1090.1779199999999</v>
      </c>
      <c r="E121" s="97"/>
      <c r="F121" s="10">
        <v>0</v>
      </c>
      <c r="G121" s="10">
        <f t="shared" ref="G121:G122" si="8">D121*1.5+F121</f>
        <v>1635.2668799999997</v>
      </c>
      <c r="H121" s="105" t="str">
        <f t="shared" ref="H121" si="9">A120</f>
        <v xml:space="preserve">18th Floor </v>
      </c>
      <c r="I121" s="106"/>
      <c r="J121" s="107"/>
      <c r="L121" s="9">
        <f>57500000/G121</f>
        <v>35162.456173514634</v>
      </c>
    </row>
    <row r="122" spans="1:12" s="9" customFormat="1" ht="15.6" x14ac:dyDescent="0.3">
      <c r="A122" s="10">
        <v>2</v>
      </c>
      <c r="B122" s="40" t="s">
        <v>168</v>
      </c>
      <c r="C122" s="10" t="s">
        <v>170</v>
      </c>
      <c r="D122" s="96">
        <f>101.42*10.764</f>
        <v>1091.68488</v>
      </c>
      <c r="E122" s="97"/>
      <c r="F122" s="10">
        <v>0</v>
      </c>
      <c r="G122" s="10">
        <f t="shared" si="8"/>
        <v>1637.5273200000001</v>
      </c>
      <c r="H122" s="108"/>
      <c r="I122" s="109"/>
      <c r="J122" s="110"/>
    </row>
    <row r="123" spans="1:12" s="9" customFormat="1" ht="15.6" x14ac:dyDescent="0.3">
      <c r="A123" s="221" t="s">
        <v>246</v>
      </c>
      <c r="B123" s="222"/>
      <c r="C123" s="222"/>
      <c r="D123" s="222"/>
      <c r="E123" s="222"/>
      <c r="F123" s="222"/>
      <c r="G123" s="222"/>
      <c r="H123" s="222"/>
      <c r="I123" s="222"/>
      <c r="J123" s="223"/>
    </row>
    <row r="124" spans="1:12" s="9" customFormat="1" ht="15.75" customHeight="1" x14ac:dyDescent="0.3">
      <c r="A124" s="10">
        <v>1</v>
      </c>
      <c r="B124" s="40" t="s">
        <v>168</v>
      </c>
      <c r="C124" s="10" t="s">
        <v>170</v>
      </c>
      <c r="D124" s="96">
        <f>100.92*10.764</f>
        <v>1086.30288</v>
      </c>
      <c r="E124" s="97"/>
      <c r="F124" s="10">
        <v>0</v>
      </c>
      <c r="G124" s="10">
        <f t="shared" ref="G124:G125" si="10">D124*1.5+F124</f>
        <v>1629.4543199999998</v>
      </c>
      <c r="H124" s="105" t="str">
        <f t="shared" ref="H124" si="11">A123</f>
        <v xml:space="preserve">19th &amp; 20th Floor </v>
      </c>
      <c r="I124" s="106"/>
      <c r="J124" s="107"/>
    </row>
    <row r="125" spans="1:12" s="9" customFormat="1" ht="15.6" x14ac:dyDescent="0.3">
      <c r="A125" s="10">
        <v>2</v>
      </c>
      <c r="B125" s="40" t="s">
        <v>168</v>
      </c>
      <c r="C125" s="10" t="s">
        <v>170</v>
      </c>
      <c r="D125" s="96">
        <f>100.92*10.764</f>
        <v>1086.30288</v>
      </c>
      <c r="E125" s="97"/>
      <c r="F125" s="10">
        <v>0</v>
      </c>
      <c r="G125" s="10">
        <f t="shared" si="10"/>
        <v>1629.4543199999998</v>
      </c>
      <c r="H125" s="108"/>
      <c r="I125" s="109"/>
      <c r="J125" s="110"/>
    </row>
    <row r="126" spans="1:12" s="9" customFormat="1" ht="15.6" x14ac:dyDescent="0.3">
      <c r="A126" s="93" t="s">
        <v>252</v>
      </c>
      <c r="B126" s="94"/>
      <c r="C126" s="94"/>
      <c r="D126" s="94"/>
      <c r="E126" s="94"/>
      <c r="F126" s="94"/>
      <c r="G126" s="94"/>
      <c r="H126" s="94"/>
      <c r="I126" s="94"/>
      <c r="J126" s="95"/>
    </row>
    <row r="127" spans="1:12" s="9" customFormat="1" ht="15.6" x14ac:dyDescent="0.3">
      <c r="A127" s="10">
        <v>1</v>
      </c>
      <c r="B127" s="41" t="s">
        <v>168</v>
      </c>
      <c r="C127" s="10" t="s">
        <v>170</v>
      </c>
      <c r="D127" s="96">
        <f>116.24*10.764</f>
        <v>1251.2073599999999</v>
      </c>
      <c r="E127" s="97"/>
      <c r="F127" s="10">
        <v>0</v>
      </c>
      <c r="G127" s="10">
        <f t="shared" ref="G127:G128" si="12">D127*1.5+F127</f>
        <v>1876.8110399999998</v>
      </c>
      <c r="H127" s="105" t="str">
        <f t="shared" ref="H127" si="13">A126</f>
        <v xml:space="preserve">21st Floor </v>
      </c>
      <c r="I127" s="106"/>
      <c r="J127" s="107"/>
      <c r="L127" s="9">
        <f>64000000/G127</f>
        <v>34100.396169877604</v>
      </c>
    </row>
    <row r="128" spans="1:12" s="9" customFormat="1" ht="15.6" x14ac:dyDescent="0.3">
      <c r="A128" s="10">
        <v>2</v>
      </c>
      <c r="B128" s="41" t="s">
        <v>164</v>
      </c>
      <c r="C128" s="10" t="s">
        <v>170</v>
      </c>
      <c r="D128" s="96">
        <f>116.24*10.764</f>
        <v>1251.2073599999999</v>
      </c>
      <c r="E128" s="97"/>
      <c r="F128" s="10">
        <v>0</v>
      </c>
      <c r="G128" s="10">
        <f t="shared" si="12"/>
        <v>1876.8110399999998</v>
      </c>
      <c r="H128" s="108"/>
      <c r="I128" s="109"/>
      <c r="J128" s="110"/>
    </row>
    <row r="129" spans="1:12" s="9" customFormat="1" ht="15.6" x14ac:dyDescent="0.3">
      <c r="A129" s="102" t="s">
        <v>253</v>
      </c>
      <c r="B129" s="102"/>
      <c r="C129" s="102"/>
      <c r="D129" s="102"/>
      <c r="E129" s="102"/>
      <c r="F129" s="102"/>
      <c r="G129" s="102"/>
      <c r="H129" s="102"/>
      <c r="I129" s="102"/>
      <c r="J129" s="102"/>
    </row>
    <row r="130" spans="1:12" s="9" customFormat="1" ht="15.6" x14ac:dyDescent="0.3">
      <c r="A130" s="10">
        <v>1</v>
      </c>
      <c r="B130" s="41" t="s">
        <v>168</v>
      </c>
      <c r="C130" s="10" t="s">
        <v>170</v>
      </c>
      <c r="D130" s="98">
        <f>116.24*10.764</f>
        <v>1251.2073599999999</v>
      </c>
      <c r="E130" s="98"/>
      <c r="F130" s="10">
        <v>0</v>
      </c>
      <c r="G130" s="10">
        <f t="shared" ref="G130:G131" si="14">D130*1.5+F130</f>
        <v>1876.8110399999998</v>
      </c>
      <c r="H130" s="111" t="str">
        <f t="shared" ref="H130" si="15">A129</f>
        <v xml:space="preserve">24th, 25th, 29th, 31st to 36th &amp; 38th to 40th Floor </v>
      </c>
      <c r="I130" s="111"/>
      <c r="J130" s="111"/>
      <c r="L130" s="9">
        <f>64000000/G130</f>
        <v>34100.396169877604</v>
      </c>
    </row>
    <row r="131" spans="1:12" s="9" customFormat="1" ht="15.6" x14ac:dyDescent="0.3">
      <c r="A131" s="10">
        <v>2</v>
      </c>
      <c r="B131" s="41" t="s">
        <v>168</v>
      </c>
      <c r="C131" s="10" t="s">
        <v>170</v>
      </c>
      <c r="D131" s="98">
        <f>116.24*10.764</f>
        <v>1251.2073599999999</v>
      </c>
      <c r="E131" s="98"/>
      <c r="F131" s="10">
        <v>0</v>
      </c>
      <c r="G131" s="10">
        <f t="shared" si="14"/>
        <v>1876.8110399999998</v>
      </c>
      <c r="H131" s="111"/>
      <c r="I131" s="111"/>
      <c r="J131" s="111"/>
    </row>
    <row r="132" spans="1:12" s="9" customFormat="1" ht="15.6" x14ac:dyDescent="0.3">
      <c r="A132" s="102" t="s">
        <v>198</v>
      </c>
      <c r="B132" s="102"/>
      <c r="C132" s="102"/>
      <c r="D132" s="102"/>
      <c r="E132" s="102"/>
      <c r="F132" s="102"/>
      <c r="G132" s="102"/>
      <c r="H132" s="102"/>
      <c r="I132" s="102"/>
      <c r="J132" s="102"/>
    </row>
    <row r="133" spans="1:12" s="9" customFormat="1" ht="15.75" customHeight="1" x14ac:dyDescent="0.3">
      <c r="A133" s="10">
        <v>1</v>
      </c>
      <c r="B133" s="40" t="s">
        <v>168</v>
      </c>
      <c r="C133" s="10" t="s">
        <v>170</v>
      </c>
      <c r="D133" s="98">
        <f>116.78*10.764</f>
        <v>1257.01992</v>
      </c>
      <c r="E133" s="98"/>
      <c r="F133" s="10">
        <v>0</v>
      </c>
      <c r="G133" s="10">
        <f t="shared" ref="G133:G134" si="16">D133*1.5+F133</f>
        <v>1885.52988</v>
      </c>
      <c r="H133" s="111" t="str">
        <f t="shared" ref="H133" si="17">A132</f>
        <v xml:space="preserve">22nd Floor </v>
      </c>
      <c r="I133" s="111"/>
      <c r="J133" s="111"/>
      <c r="L133" s="9">
        <f>64000000/G133</f>
        <v>33942.713228177534</v>
      </c>
    </row>
    <row r="134" spans="1:12" s="9" customFormat="1" ht="15.75" customHeight="1" x14ac:dyDescent="0.3">
      <c r="A134" s="10">
        <v>2</v>
      </c>
      <c r="B134" s="40" t="s">
        <v>168</v>
      </c>
      <c r="C134" s="10" t="s">
        <v>163</v>
      </c>
      <c r="D134" s="98">
        <f>115.42*10.764</f>
        <v>1242.3808799999999</v>
      </c>
      <c r="E134" s="98"/>
      <c r="F134" s="10">
        <v>0</v>
      </c>
      <c r="G134" s="10">
        <f t="shared" si="16"/>
        <v>1863.57132</v>
      </c>
      <c r="H134" s="111"/>
      <c r="I134" s="111"/>
      <c r="J134" s="111"/>
    </row>
    <row r="135" spans="1:12" s="9" customFormat="1" ht="15.6" x14ac:dyDescent="0.3">
      <c r="A135" s="102" t="s">
        <v>183</v>
      </c>
      <c r="B135" s="102"/>
      <c r="C135" s="102"/>
      <c r="D135" s="102"/>
      <c r="E135" s="102"/>
      <c r="F135" s="102"/>
      <c r="G135" s="102"/>
      <c r="H135" s="102"/>
      <c r="I135" s="102"/>
      <c r="J135" s="102"/>
    </row>
    <row r="136" spans="1:12" s="9" customFormat="1" ht="15.75" customHeight="1" x14ac:dyDescent="0.3">
      <c r="A136" s="10">
        <v>1</v>
      </c>
      <c r="B136" s="41" t="s">
        <v>168</v>
      </c>
      <c r="C136" s="10" t="s">
        <v>170</v>
      </c>
      <c r="D136" s="96">
        <f>172.43*10.764</f>
        <v>1856.0365199999999</v>
      </c>
      <c r="E136" s="97"/>
      <c r="F136" s="10">
        <v>0</v>
      </c>
      <c r="G136" s="10">
        <f>D136*1.5+F136</f>
        <v>2784.0547799999999</v>
      </c>
      <c r="H136" s="105" t="str">
        <f t="shared" ref="H136" si="18">A135</f>
        <v>23rd Floor (Part Refuge Area)</v>
      </c>
      <c r="I136" s="106"/>
      <c r="J136" s="107"/>
    </row>
    <row r="137" spans="1:12" s="9" customFormat="1" ht="15.6" x14ac:dyDescent="0.3">
      <c r="A137" s="10">
        <v>2</v>
      </c>
      <c r="B137" s="41" t="s">
        <v>197</v>
      </c>
      <c r="C137" s="103" t="s">
        <v>162</v>
      </c>
      <c r="D137" s="103"/>
      <c r="E137" s="103"/>
      <c r="F137" s="103"/>
      <c r="G137" s="104"/>
      <c r="H137" s="108"/>
      <c r="I137" s="109"/>
      <c r="J137" s="110"/>
    </row>
    <row r="138" spans="1:12" s="9" customFormat="1" ht="15.6" x14ac:dyDescent="0.3">
      <c r="A138" s="93" t="s">
        <v>247</v>
      </c>
      <c r="B138" s="94"/>
      <c r="C138" s="94"/>
      <c r="D138" s="94"/>
      <c r="E138" s="94"/>
      <c r="F138" s="94"/>
      <c r="G138" s="94"/>
      <c r="H138" s="94"/>
      <c r="I138" s="94"/>
      <c r="J138" s="95"/>
    </row>
    <row r="139" spans="1:12" s="9" customFormat="1" ht="15.75" customHeight="1" x14ac:dyDescent="0.3">
      <c r="A139" s="10">
        <v>1</v>
      </c>
      <c r="B139" s="40" t="s">
        <v>168</v>
      </c>
      <c r="C139" s="10" t="s">
        <v>170</v>
      </c>
      <c r="D139" s="96">
        <f>116.21*10.764</f>
        <v>1250.8844399999998</v>
      </c>
      <c r="E139" s="97"/>
      <c r="F139" s="10">
        <v>0</v>
      </c>
      <c r="G139" s="10">
        <f t="shared" ref="G139:G140" si="19">D139*1.5+F139</f>
        <v>1876.3266599999997</v>
      </c>
      <c r="H139" s="105" t="str">
        <f t="shared" ref="H139" si="20">A138</f>
        <v xml:space="preserve">26th Floor </v>
      </c>
      <c r="I139" s="106"/>
      <c r="J139" s="107"/>
    </row>
    <row r="140" spans="1:12" s="9" customFormat="1" ht="15.75" customHeight="1" x14ac:dyDescent="0.3">
      <c r="A140" s="10">
        <v>2</v>
      </c>
      <c r="B140" s="40" t="s">
        <v>168</v>
      </c>
      <c r="C140" s="10" t="s">
        <v>170</v>
      </c>
      <c r="D140" s="96">
        <f>116.21*10.764</f>
        <v>1250.8844399999998</v>
      </c>
      <c r="E140" s="97"/>
      <c r="F140" s="10">
        <v>0</v>
      </c>
      <c r="G140" s="10">
        <f t="shared" si="19"/>
        <v>1876.3266599999997</v>
      </c>
      <c r="H140" s="108"/>
      <c r="I140" s="109"/>
      <c r="J140" s="110"/>
    </row>
    <row r="141" spans="1:12" s="9" customFormat="1" ht="15.6" x14ac:dyDescent="0.3">
      <c r="A141" s="93" t="s">
        <v>248</v>
      </c>
      <c r="B141" s="94"/>
      <c r="C141" s="94"/>
      <c r="D141" s="94"/>
      <c r="E141" s="94"/>
      <c r="F141" s="94"/>
      <c r="G141" s="94"/>
      <c r="H141" s="94"/>
      <c r="I141" s="94"/>
      <c r="J141" s="95"/>
    </row>
    <row r="142" spans="1:12" s="9" customFormat="1" ht="42.75" customHeight="1" x14ac:dyDescent="0.3">
      <c r="A142" s="10">
        <v>1</v>
      </c>
      <c r="B142" s="41" t="s">
        <v>168</v>
      </c>
      <c r="C142" s="10" t="s">
        <v>172</v>
      </c>
      <c r="D142" s="96">
        <f>(409.52)*10.764</f>
        <v>4408.0732799999996</v>
      </c>
      <c r="E142" s="97"/>
      <c r="F142" s="10">
        <v>0</v>
      </c>
      <c r="G142" s="10">
        <f>D142*1.5+F142</f>
        <v>6612.109919999999</v>
      </c>
      <c r="H142" s="112" t="str">
        <f>A141</f>
        <v>27th(Lower) + 28th Floor (Upper) Duplex Flat</v>
      </c>
      <c r="I142" s="113"/>
      <c r="J142" s="114"/>
    </row>
    <row r="143" spans="1:12" s="9" customFormat="1" ht="15.6" x14ac:dyDescent="0.3">
      <c r="A143" s="93" t="s">
        <v>250</v>
      </c>
      <c r="B143" s="94"/>
      <c r="C143" s="94"/>
      <c r="D143" s="94"/>
      <c r="E143" s="94"/>
      <c r="F143" s="94"/>
      <c r="G143" s="94"/>
      <c r="H143" s="94"/>
      <c r="I143" s="94"/>
      <c r="J143" s="95"/>
    </row>
    <row r="144" spans="1:12" s="9" customFormat="1" ht="15.75" customHeight="1" x14ac:dyDescent="0.3">
      <c r="A144" s="10">
        <v>1</v>
      </c>
      <c r="B144" s="41" t="s">
        <v>168</v>
      </c>
      <c r="C144" s="10" t="s">
        <v>172</v>
      </c>
      <c r="D144" s="96">
        <f>172.22*10.764</f>
        <v>1853.7760799999999</v>
      </c>
      <c r="E144" s="97"/>
      <c r="F144" s="10">
        <v>0</v>
      </c>
      <c r="G144" s="10">
        <f>D144*1.5+F144</f>
        <v>2780.6641199999999</v>
      </c>
      <c r="H144" s="105" t="str">
        <f t="shared" ref="H144" si="21">A143</f>
        <v>30th Floor (Part Refuge Area)</v>
      </c>
      <c r="I144" s="106"/>
      <c r="J144" s="107"/>
    </row>
    <row r="145" spans="1:10" s="9" customFormat="1" ht="15.6" x14ac:dyDescent="0.3">
      <c r="A145" s="10">
        <v>2</v>
      </c>
      <c r="B145" s="41" t="s">
        <v>197</v>
      </c>
      <c r="C145" s="103" t="s">
        <v>162</v>
      </c>
      <c r="D145" s="103"/>
      <c r="E145" s="103"/>
      <c r="F145" s="103"/>
      <c r="G145" s="104"/>
      <c r="H145" s="108"/>
      <c r="I145" s="109"/>
      <c r="J145" s="110"/>
    </row>
    <row r="146" spans="1:10" s="9" customFormat="1" ht="15.6" x14ac:dyDescent="0.3">
      <c r="A146" s="93" t="s">
        <v>251</v>
      </c>
      <c r="B146" s="94"/>
      <c r="C146" s="94"/>
      <c r="D146" s="94"/>
      <c r="E146" s="94"/>
      <c r="F146" s="94"/>
      <c r="G146" s="94"/>
      <c r="H146" s="94"/>
      <c r="I146" s="94"/>
      <c r="J146" s="95"/>
    </row>
    <row r="147" spans="1:10" s="9" customFormat="1" ht="15.75" customHeight="1" x14ac:dyDescent="0.3">
      <c r="A147" s="10">
        <v>1</v>
      </c>
      <c r="B147" s="41" t="s">
        <v>168</v>
      </c>
      <c r="C147" s="10" t="s">
        <v>172</v>
      </c>
      <c r="D147" s="96">
        <f>173.41*10.764</f>
        <v>1866.5852399999999</v>
      </c>
      <c r="E147" s="97"/>
      <c r="F147" s="10">
        <v>0</v>
      </c>
      <c r="G147" s="10">
        <f>D147*1.5+F147</f>
        <v>2799.8778599999996</v>
      </c>
      <c r="H147" s="105" t="str">
        <f t="shared" ref="H147" si="22">A146</f>
        <v>37th Floor (Part Refuge Area)</v>
      </c>
      <c r="I147" s="106"/>
      <c r="J147" s="107"/>
    </row>
    <row r="148" spans="1:10" s="9" customFormat="1" ht="15.6" x14ac:dyDescent="0.3">
      <c r="A148" s="10">
        <v>2</v>
      </c>
      <c r="B148" s="41" t="s">
        <v>197</v>
      </c>
      <c r="C148" s="103" t="s">
        <v>162</v>
      </c>
      <c r="D148" s="103"/>
      <c r="E148" s="103"/>
      <c r="F148" s="103"/>
      <c r="G148" s="104"/>
      <c r="H148" s="108"/>
      <c r="I148" s="109"/>
      <c r="J148" s="110"/>
    </row>
    <row r="149" spans="1:10" s="9" customFormat="1" ht="15.6" x14ac:dyDescent="0.3">
      <c r="A149" s="93" t="s">
        <v>249</v>
      </c>
      <c r="B149" s="94"/>
      <c r="C149" s="94"/>
      <c r="D149" s="94"/>
      <c r="E149" s="94"/>
      <c r="F149" s="94"/>
      <c r="G149" s="94"/>
      <c r="H149" s="94"/>
      <c r="I149" s="94"/>
      <c r="J149" s="95"/>
    </row>
    <row r="150" spans="1:10" s="9" customFormat="1" ht="45" customHeight="1" x14ac:dyDescent="0.3">
      <c r="A150" s="10">
        <v>1</v>
      </c>
      <c r="B150" s="41" t="s">
        <v>168</v>
      </c>
      <c r="C150" s="10" t="s">
        <v>172</v>
      </c>
      <c r="D150" s="96">
        <f>(409.52)*10.764</f>
        <v>4408.0732799999996</v>
      </c>
      <c r="E150" s="97"/>
      <c r="F150" s="10">
        <v>0</v>
      </c>
      <c r="G150" s="10">
        <f>D150*1.5+F150</f>
        <v>6612.109919999999</v>
      </c>
      <c r="H150" s="112" t="str">
        <f>A149</f>
        <v>41st(Lower) + 42nd Floor (Upper) Duplex Flat</v>
      </c>
      <c r="I150" s="113"/>
      <c r="J150" s="114"/>
    </row>
    <row r="151" spans="1:10" ht="15.6" x14ac:dyDescent="0.25">
      <c r="A151" s="119" t="s">
        <v>102</v>
      </c>
      <c r="B151" s="119"/>
      <c r="C151" s="119"/>
      <c r="D151" s="119"/>
      <c r="E151" s="119"/>
      <c r="F151" s="119"/>
      <c r="G151" s="119"/>
      <c r="H151" s="119"/>
      <c r="I151" s="119"/>
      <c r="J151" s="119"/>
    </row>
    <row r="152" spans="1:10" ht="118.5" customHeight="1" x14ac:dyDescent="0.25">
      <c r="A152" s="120" t="s">
        <v>269</v>
      </c>
      <c r="B152" s="120"/>
      <c r="C152" s="120"/>
      <c r="D152" s="120"/>
      <c r="E152" s="120"/>
      <c r="F152" s="120"/>
      <c r="G152" s="120"/>
      <c r="H152" s="120"/>
      <c r="I152" s="120"/>
      <c r="J152" s="120"/>
    </row>
    <row r="153" spans="1:10" x14ac:dyDescent="0.25">
      <c r="A153" s="121" t="s">
        <v>92</v>
      </c>
      <c r="B153" s="122"/>
      <c r="C153" s="122"/>
      <c r="D153" s="122"/>
      <c r="E153" s="122"/>
      <c r="F153" s="122"/>
      <c r="G153" s="122"/>
      <c r="H153" s="122"/>
      <c r="I153" s="122"/>
      <c r="J153" s="123"/>
    </row>
    <row r="154" spans="1:10" ht="15" customHeight="1" x14ac:dyDescent="0.25">
      <c r="A154" s="99" t="s">
        <v>93</v>
      </c>
      <c r="B154" s="100"/>
      <c r="C154" s="100"/>
      <c r="D154" s="100"/>
      <c r="E154" s="100"/>
      <c r="F154" s="100"/>
      <c r="G154" s="100"/>
      <c r="H154" s="100"/>
      <c r="I154" s="100"/>
      <c r="J154" s="101"/>
    </row>
    <row r="155" spans="1:10" x14ac:dyDescent="0.25">
      <c r="A155" s="121" t="s">
        <v>94</v>
      </c>
      <c r="B155" s="122"/>
      <c r="C155" s="122"/>
      <c r="D155" s="122"/>
      <c r="E155" s="122"/>
      <c r="F155" s="122"/>
      <c r="G155" s="122"/>
      <c r="H155" s="122"/>
      <c r="I155" s="122"/>
      <c r="J155" s="123"/>
    </row>
    <row r="156" spans="1:10" x14ac:dyDescent="0.25">
      <c r="A156" s="99" t="s">
        <v>95</v>
      </c>
      <c r="B156" s="100"/>
      <c r="C156" s="100"/>
      <c r="D156" s="100"/>
      <c r="E156" s="100"/>
      <c r="F156" s="100"/>
      <c r="G156" s="100"/>
      <c r="H156" s="100"/>
      <c r="I156" s="100"/>
      <c r="J156" s="101"/>
    </row>
    <row r="157" spans="1:10" x14ac:dyDescent="0.25">
      <c r="A157" s="99" t="s">
        <v>96</v>
      </c>
      <c r="B157" s="100"/>
      <c r="C157" s="100"/>
      <c r="D157" s="100"/>
      <c r="E157" s="100"/>
      <c r="F157" s="100"/>
      <c r="G157" s="100"/>
      <c r="H157" s="100"/>
      <c r="I157" s="100"/>
      <c r="J157" s="101"/>
    </row>
    <row r="158" spans="1:10" x14ac:dyDescent="0.25">
      <c r="A158" s="99" t="s">
        <v>97</v>
      </c>
      <c r="B158" s="100"/>
      <c r="C158" s="100"/>
      <c r="D158" s="100"/>
      <c r="E158" s="100"/>
      <c r="F158" s="100"/>
      <c r="G158" s="100"/>
      <c r="H158" s="100"/>
      <c r="I158" s="100"/>
      <c r="J158" s="101"/>
    </row>
    <row r="159" spans="1:10" x14ac:dyDescent="0.25">
      <c r="A159" s="115" t="s">
        <v>98</v>
      </c>
      <c r="B159" s="116"/>
      <c r="C159" s="116"/>
      <c r="D159" s="116"/>
      <c r="E159" s="116"/>
      <c r="F159" s="116"/>
      <c r="G159" s="116"/>
      <c r="H159" s="116"/>
      <c r="I159" s="116"/>
      <c r="J159" s="117"/>
    </row>
    <row r="160" spans="1:10" x14ac:dyDescent="0.25">
      <c r="A160" s="124" t="s">
        <v>266</v>
      </c>
      <c r="B160" s="124"/>
      <c r="C160" s="125" t="s">
        <v>268</v>
      </c>
      <c r="D160" s="125"/>
      <c r="E160" s="125"/>
      <c r="F160" s="124" t="s">
        <v>267</v>
      </c>
      <c r="G160" s="124"/>
      <c r="H160" s="124" t="s">
        <v>270</v>
      </c>
      <c r="I160" s="124"/>
      <c r="J160" s="124"/>
    </row>
    <row r="161" spans="1:10" x14ac:dyDescent="0.25">
      <c r="A161" s="118" t="s">
        <v>99</v>
      </c>
      <c r="B161" s="118"/>
      <c r="C161" s="118"/>
      <c r="D161" s="118"/>
      <c r="E161" s="118"/>
      <c r="F161" s="118"/>
      <c r="G161" s="118"/>
      <c r="H161" s="118"/>
      <c r="I161" s="118"/>
      <c r="J161" s="118"/>
    </row>
    <row r="162" spans="1:10" x14ac:dyDescent="0.25">
      <c r="A162" s="118"/>
      <c r="B162" s="118"/>
      <c r="C162" s="118"/>
      <c r="D162" s="118"/>
      <c r="E162" s="118"/>
      <c r="F162" s="118"/>
      <c r="G162" s="118"/>
      <c r="H162" s="118"/>
      <c r="I162" s="118"/>
      <c r="J162" s="118"/>
    </row>
    <row r="163" spans="1:10" x14ac:dyDescent="0.25">
      <c r="A163" s="118"/>
      <c r="B163" s="118"/>
      <c r="C163" s="118"/>
      <c r="D163" s="118"/>
      <c r="E163" s="118"/>
      <c r="F163" s="118"/>
      <c r="G163" s="118"/>
      <c r="H163" s="118"/>
      <c r="I163" s="118"/>
      <c r="J163" s="118"/>
    </row>
    <row r="164" spans="1:10" x14ac:dyDescent="0.25">
      <c r="A164" s="11" t="s">
        <v>100</v>
      </c>
      <c r="B164" s="42"/>
      <c r="C164" s="12"/>
      <c r="D164" s="13" t="str">
        <f>F8</f>
        <v>Ocean Star I</v>
      </c>
      <c r="G164" s="12"/>
      <c r="H164" s="12"/>
      <c r="I164" s="12"/>
      <c r="J164" s="12"/>
    </row>
    <row r="165" spans="1:10" x14ac:dyDescent="0.25">
      <c r="A165" s="12"/>
      <c r="B165" s="42"/>
      <c r="C165" s="12"/>
      <c r="D165" s="12"/>
      <c r="E165" s="12"/>
      <c r="F165" s="12"/>
      <c r="G165" s="12"/>
      <c r="H165" s="12"/>
      <c r="I165" s="12"/>
      <c r="J165" s="12"/>
    </row>
    <row r="166" spans="1:10" x14ac:dyDescent="0.25">
      <c r="A166" s="12"/>
      <c r="B166" s="42"/>
      <c r="C166" s="12"/>
      <c r="D166" s="12"/>
      <c r="E166" s="12"/>
      <c r="F166" s="12"/>
      <c r="G166" s="12"/>
      <c r="H166" s="12"/>
      <c r="I166" s="12"/>
      <c r="J166" s="12"/>
    </row>
    <row r="208" spans="1:1" x14ac:dyDescent="0.25">
      <c r="A208" s="14" t="s">
        <v>101</v>
      </c>
    </row>
  </sheetData>
  <mergeCells count="288">
    <mergeCell ref="D128:E128"/>
    <mergeCell ref="D103:E103"/>
    <mergeCell ref="S93:T93"/>
    <mergeCell ref="A79:B79"/>
    <mergeCell ref="A80:B80"/>
    <mergeCell ref="C79:D79"/>
    <mergeCell ref="E79:G79"/>
    <mergeCell ref="H79:J79"/>
    <mergeCell ref="C80:D80"/>
    <mergeCell ref="E80:G80"/>
    <mergeCell ref="H80:J80"/>
    <mergeCell ref="A90:J90"/>
    <mergeCell ref="A81:J81"/>
    <mergeCell ref="A82:J82"/>
    <mergeCell ref="D83:E83"/>
    <mergeCell ref="A86:J86"/>
    <mergeCell ref="A87:J87"/>
    <mergeCell ref="A92:J92"/>
    <mergeCell ref="A85:J85"/>
    <mergeCell ref="H83:J83"/>
    <mergeCell ref="D102:E102"/>
    <mergeCell ref="A101:J101"/>
    <mergeCell ref="D99:E99"/>
    <mergeCell ref="D100:E100"/>
    <mergeCell ref="H147:J148"/>
    <mergeCell ref="H144:J145"/>
    <mergeCell ref="D104:E104"/>
    <mergeCell ref="A111:J111"/>
    <mergeCell ref="D107:E107"/>
    <mergeCell ref="D106:E106"/>
    <mergeCell ref="A105:J105"/>
    <mergeCell ref="A108:J108"/>
    <mergeCell ref="D115:E115"/>
    <mergeCell ref="A129:J129"/>
    <mergeCell ref="D130:E130"/>
    <mergeCell ref="H130:J131"/>
    <mergeCell ref="D131:E131"/>
    <mergeCell ref="H127:J128"/>
    <mergeCell ref="H124:J125"/>
    <mergeCell ref="H121:J122"/>
    <mergeCell ref="H118:J119"/>
    <mergeCell ref="H115:J116"/>
    <mergeCell ref="H112:J113"/>
    <mergeCell ref="H109:J110"/>
    <mergeCell ref="H106:J107"/>
    <mergeCell ref="H102:J104"/>
    <mergeCell ref="A126:J126"/>
    <mergeCell ref="D127:E127"/>
    <mergeCell ref="C46:F46"/>
    <mergeCell ref="A45:B46"/>
    <mergeCell ref="H45:J45"/>
    <mergeCell ref="H46:J46"/>
    <mergeCell ref="C52:J52"/>
    <mergeCell ref="A88:J88"/>
    <mergeCell ref="A89:J89"/>
    <mergeCell ref="H77:J77"/>
    <mergeCell ref="E77:G77"/>
    <mergeCell ref="C77:D77"/>
    <mergeCell ref="C78:D78"/>
    <mergeCell ref="E78:G78"/>
    <mergeCell ref="H78:J78"/>
    <mergeCell ref="A53:B53"/>
    <mergeCell ref="C53:J53"/>
    <mergeCell ref="H50:J50"/>
    <mergeCell ref="F50:G50"/>
    <mergeCell ref="C50:E50"/>
    <mergeCell ref="A57:B57"/>
    <mergeCell ref="D57:E57"/>
    <mergeCell ref="C45:F45"/>
    <mergeCell ref="A47:B47"/>
    <mergeCell ref="C47:F47"/>
    <mergeCell ref="H47:J47"/>
    <mergeCell ref="A31:B31"/>
    <mergeCell ref="C31:J31"/>
    <mergeCell ref="A123:J123"/>
    <mergeCell ref="D124:E124"/>
    <mergeCell ref="D125:E125"/>
    <mergeCell ref="A132:J132"/>
    <mergeCell ref="C116:G116"/>
    <mergeCell ref="D109:E109"/>
    <mergeCell ref="D110:E110"/>
    <mergeCell ref="A36:E36"/>
    <mergeCell ref="F36:J36"/>
    <mergeCell ref="A37:E37"/>
    <mergeCell ref="F37:J37"/>
    <mergeCell ref="A38:E38"/>
    <mergeCell ref="F38:J38"/>
    <mergeCell ref="A32:J32"/>
    <mergeCell ref="A33:E33"/>
    <mergeCell ref="F33:I33"/>
    <mergeCell ref="A34:E34"/>
    <mergeCell ref="F34:J34"/>
    <mergeCell ref="A35:J35"/>
    <mergeCell ref="A42:J42"/>
    <mergeCell ref="A43:B43"/>
    <mergeCell ref="C43:F43"/>
    <mergeCell ref="A10:E10"/>
    <mergeCell ref="F10:J10"/>
    <mergeCell ref="A20:E20"/>
    <mergeCell ref="F20:J20"/>
    <mergeCell ref="A21:E21"/>
    <mergeCell ref="F21:I21"/>
    <mergeCell ref="A11:E11"/>
    <mergeCell ref="F11:J11"/>
    <mergeCell ref="A12:E12"/>
    <mergeCell ref="F12:J12"/>
    <mergeCell ref="A13:B13"/>
    <mergeCell ref="C13:J13"/>
    <mergeCell ref="F14:G14"/>
    <mergeCell ref="H14:J14"/>
    <mergeCell ref="F15:G15"/>
    <mergeCell ref="F16:G16"/>
    <mergeCell ref="H15:J15"/>
    <mergeCell ref="H16:J16"/>
    <mergeCell ref="A15:B15"/>
    <mergeCell ref="A16:B16"/>
    <mergeCell ref="A22:E22"/>
    <mergeCell ref="F22:J22"/>
    <mergeCell ref="A17:B17"/>
    <mergeCell ref="C17:E17"/>
    <mergeCell ref="F17:G17"/>
    <mergeCell ref="H17:J17"/>
    <mergeCell ref="A18:E19"/>
    <mergeCell ref="A14:B14"/>
    <mergeCell ref="C14:E14"/>
    <mergeCell ref="F18:J19"/>
    <mergeCell ref="C15:E15"/>
    <mergeCell ref="C16:E16"/>
    <mergeCell ref="A1:J1"/>
    <mergeCell ref="A2:J2"/>
    <mergeCell ref="A3:E3"/>
    <mergeCell ref="F3:J3"/>
    <mergeCell ref="A4:E4"/>
    <mergeCell ref="A8:E8"/>
    <mergeCell ref="F8:J8"/>
    <mergeCell ref="A9:E9"/>
    <mergeCell ref="F9:J9"/>
    <mergeCell ref="F4:J4"/>
    <mergeCell ref="A5:E5"/>
    <mergeCell ref="F5:J5"/>
    <mergeCell ref="A6:E6"/>
    <mergeCell ref="F6:J6"/>
    <mergeCell ref="A7:E7"/>
    <mergeCell ref="F7:J7"/>
    <mergeCell ref="A23:E23"/>
    <mergeCell ref="F23:I23"/>
    <mergeCell ref="A24:E24"/>
    <mergeCell ref="F24:J24"/>
    <mergeCell ref="A25:B25"/>
    <mergeCell ref="C25:D25"/>
    <mergeCell ref="E25:F25"/>
    <mergeCell ref="G25:H25"/>
    <mergeCell ref="I25:J25"/>
    <mergeCell ref="A28:J28"/>
    <mergeCell ref="A29:J29"/>
    <mergeCell ref="A30:B30"/>
    <mergeCell ref="A26:B26"/>
    <mergeCell ref="C26:D26"/>
    <mergeCell ref="E26:F26"/>
    <mergeCell ref="G26:H26"/>
    <mergeCell ref="I26:J26"/>
    <mergeCell ref="A27:B27"/>
    <mergeCell ref="C27:D27"/>
    <mergeCell ref="E27:F27"/>
    <mergeCell ref="G27:H27"/>
    <mergeCell ref="I27:J27"/>
    <mergeCell ref="C30:J30"/>
    <mergeCell ref="H43:J43"/>
    <mergeCell ref="A44:B44"/>
    <mergeCell ref="C44:F44"/>
    <mergeCell ref="H44:J44"/>
    <mergeCell ref="A39:E39"/>
    <mergeCell ref="F39:J39"/>
    <mergeCell ref="A40:E40"/>
    <mergeCell ref="F40:J40"/>
    <mergeCell ref="A41:E41"/>
    <mergeCell ref="F41:J41"/>
    <mergeCell ref="A54:B54"/>
    <mergeCell ref="C54:J54"/>
    <mergeCell ref="A51:B51"/>
    <mergeCell ref="A48:C48"/>
    <mergeCell ref="D48:E48"/>
    <mergeCell ref="F48:G48"/>
    <mergeCell ref="H48:J48"/>
    <mergeCell ref="A49:J49"/>
    <mergeCell ref="A52:B52"/>
    <mergeCell ref="A50:B50"/>
    <mergeCell ref="C51:J51"/>
    <mergeCell ref="A72:F72"/>
    <mergeCell ref="G72:J72"/>
    <mergeCell ref="A68:J68"/>
    <mergeCell ref="A69:J69"/>
    <mergeCell ref="A70:B70"/>
    <mergeCell ref="C70:J70"/>
    <mergeCell ref="A71:J71"/>
    <mergeCell ref="D67:E67"/>
    <mergeCell ref="D65:E65"/>
    <mergeCell ref="A66:B66"/>
    <mergeCell ref="D66:E66"/>
    <mergeCell ref="A67:B67"/>
    <mergeCell ref="A77:B77"/>
    <mergeCell ref="A78:B78"/>
    <mergeCell ref="A75:F75"/>
    <mergeCell ref="G75:J75"/>
    <mergeCell ref="A73:F73"/>
    <mergeCell ref="G73:J73"/>
    <mergeCell ref="A74:F74"/>
    <mergeCell ref="G74:J74"/>
    <mergeCell ref="A76:J76"/>
    <mergeCell ref="D98:E98"/>
    <mergeCell ref="A97:J97"/>
    <mergeCell ref="A84:J84"/>
    <mergeCell ref="C95:G95"/>
    <mergeCell ref="D96:E96"/>
    <mergeCell ref="D94:E94"/>
    <mergeCell ref="A93:J93"/>
    <mergeCell ref="A91:J91"/>
    <mergeCell ref="H94:J96"/>
    <mergeCell ref="H98:J100"/>
    <mergeCell ref="D113:E113"/>
    <mergeCell ref="A114:J114"/>
    <mergeCell ref="D112:E112"/>
    <mergeCell ref="A117:J117"/>
    <mergeCell ref="D118:E118"/>
    <mergeCell ref="D119:E119"/>
    <mergeCell ref="A120:J120"/>
    <mergeCell ref="D121:E121"/>
    <mergeCell ref="D122:E122"/>
    <mergeCell ref="A159:J159"/>
    <mergeCell ref="A161:J163"/>
    <mergeCell ref="A151:J151"/>
    <mergeCell ref="A152:J152"/>
    <mergeCell ref="A153:J153"/>
    <mergeCell ref="A154:J154"/>
    <mergeCell ref="A155:J155"/>
    <mergeCell ref="A156:J156"/>
    <mergeCell ref="A157:J157"/>
    <mergeCell ref="A160:B160"/>
    <mergeCell ref="C160:E160"/>
    <mergeCell ref="F160:G160"/>
    <mergeCell ref="H160:J160"/>
    <mergeCell ref="A141:J141"/>
    <mergeCell ref="D142:E142"/>
    <mergeCell ref="D133:E133"/>
    <mergeCell ref="D134:E134"/>
    <mergeCell ref="A158:J158"/>
    <mergeCell ref="A138:J138"/>
    <mergeCell ref="D139:E139"/>
    <mergeCell ref="D140:E140"/>
    <mergeCell ref="A135:J135"/>
    <mergeCell ref="D136:E136"/>
    <mergeCell ref="C137:G137"/>
    <mergeCell ref="H139:J140"/>
    <mergeCell ref="H136:J137"/>
    <mergeCell ref="H133:J134"/>
    <mergeCell ref="H142:J142"/>
    <mergeCell ref="A149:J149"/>
    <mergeCell ref="D150:E150"/>
    <mergeCell ref="A143:J143"/>
    <mergeCell ref="D144:E144"/>
    <mergeCell ref="C145:G145"/>
    <mergeCell ref="A146:J146"/>
    <mergeCell ref="D147:E147"/>
    <mergeCell ref="C148:G148"/>
    <mergeCell ref="H150:J150"/>
    <mergeCell ref="E55:F55"/>
    <mergeCell ref="I55:J55"/>
    <mergeCell ref="A56:B56"/>
    <mergeCell ref="C56:J56"/>
    <mergeCell ref="H57:J57"/>
    <mergeCell ref="A58:B58"/>
    <mergeCell ref="D58:E58"/>
    <mergeCell ref="F58:G67"/>
    <mergeCell ref="H58:J67"/>
    <mergeCell ref="A59:B59"/>
    <mergeCell ref="D59:E59"/>
    <mergeCell ref="A60:B60"/>
    <mergeCell ref="D60:E60"/>
    <mergeCell ref="A61:B61"/>
    <mergeCell ref="D61:E61"/>
    <mergeCell ref="A62:B62"/>
    <mergeCell ref="D62:E62"/>
    <mergeCell ref="A63:B63"/>
    <mergeCell ref="D63:E63"/>
    <mergeCell ref="A64:B64"/>
    <mergeCell ref="D64:E64"/>
    <mergeCell ref="A65:B65"/>
    <mergeCell ref="F57:G57"/>
  </mergeCells>
  <hyperlinks>
    <hyperlink ref="C31" r:id="rId1" xr:uid="{00000000-0004-0000-0000-000000000000}"/>
  </hyperlinks>
  <pageMargins left="0.39370078740157483" right="0.39370078740157483" top="0.78740157480314965" bottom="0.78740157480314965" header="0.19685039370078741" footer="0.19685039370078741"/>
  <pageSetup scale="98" fitToHeight="0" orientation="portrait" r:id="rId2"/>
  <headerFooter>
    <oddHeader>&amp;C&amp;G</oddHeader>
    <oddFooter>&amp;L&amp;"Times New Roman,Bold"Ref No: &amp;F&amp;C&amp;G&amp;R&amp;P</oddFooter>
  </headerFooter>
  <rowBreaks count="2" manualBreakCount="2">
    <brk id="163" max="16383" man="1"/>
    <brk id="207"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
  <sheetViews>
    <sheetView workbookViewId="0">
      <selection activeCell="F1" sqref="F1:F2"/>
    </sheetView>
  </sheetViews>
  <sheetFormatPr defaultRowHeight="14.4" x14ac:dyDescent="0.3"/>
  <sheetData>
    <row r="1" spans="1:6" x14ac:dyDescent="0.3">
      <c r="A1">
        <v>1</v>
      </c>
      <c r="C1" t="str">
        <f>(2200+A1)&amp;",….,"&amp;(2600+A1)</f>
        <v>2201,….,2601</v>
      </c>
      <c r="F1" t="s">
        <v>184</v>
      </c>
    </row>
    <row r="2" spans="1:6" x14ac:dyDescent="0.3">
      <c r="A2">
        <v>2</v>
      </c>
      <c r="C2" t="str">
        <f t="shared" ref="C2:C3" si="0">(2200+A2)&amp;",….,"&amp;(2600+A2)</f>
        <v>2202,….,2602</v>
      </c>
      <c r="F2" t="s">
        <v>185</v>
      </c>
    </row>
    <row r="3" spans="1:6" x14ac:dyDescent="0.3">
      <c r="A3">
        <v>3</v>
      </c>
      <c r="C3" t="str">
        <f t="shared" si="0"/>
        <v>2203,….,2603</v>
      </c>
      <c r="F3" t="s">
        <v>186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O21"/>
  <sheetViews>
    <sheetView workbookViewId="0">
      <selection activeCell="E18" sqref="E18"/>
    </sheetView>
  </sheetViews>
  <sheetFormatPr defaultRowHeight="14.4" x14ac:dyDescent="0.3"/>
  <cols>
    <col min="1" max="1" width="9.21875" style="15"/>
    <col min="2" max="2" width="11.77734375" style="15" customWidth="1"/>
    <col min="3" max="257" width="9.21875" style="15"/>
    <col min="258" max="258" width="11.77734375" style="15" customWidth="1"/>
    <col min="259" max="513" width="9.21875" style="15"/>
    <col min="514" max="514" width="11.77734375" style="15" customWidth="1"/>
    <col min="515" max="769" width="9.21875" style="15"/>
    <col min="770" max="770" width="11.77734375" style="15" customWidth="1"/>
    <col min="771" max="1025" width="9.21875" style="15"/>
    <col min="1026" max="1026" width="11.77734375" style="15" customWidth="1"/>
    <col min="1027" max="1281" width="9.21875" style="15"/>
    <col min="1282" max="1282" width="11.77734375" style="15" customWidth="1"/>
    <col min="1283" max="1537" width="9.21875" style="15"/>
    <col min="1538" max="1538" width="11.77734375" style="15" customWidth="1"/>
    <col min="1539" max="1793" width="9.21875" style="15"/>
    <col min="1794" max="1794" width="11.77734375" style="15" customWidth="1"/>
    <col min="1795" max="2049" width="9.21875" style="15"/>
    <col min="2050" max="2050" width="11.77734375" style="15" customWidth="1"/>
    <col min="2051" max="2305" width="9.21875" style="15"/>
    <col min="2306" max="2306" width="11.77734375" style="15" customWidth="1"/>
    <col min="2307" max="2561" width="9.21875" style="15"/>
    <col min="2562" max="2562" width="11.77734375" style="15" customWidth="1"/>
    <col min="2563" max="2817" width="9.21875" style="15"/>
    <col min="2818" max="2818" width="11.77734375" style="15" customWidth="1"/>
    <col min="2819" max="3073" width="9.21875" style="15"/>
    <col min="3074" max="3074" width="11.77734375" style="15" customWidth="1"/>
    <col min="3075" max="3329" width="9.21875" style="15"/>
    <col min="3330" max="3330" width="11.77734375" style="15" customWidth="1"/>
    <col min="3331" max="3585" width="9.21875" style="15"/>
    <col min="3586" max="3586" width="11.77734375" style="15" customWidth="1"/>
    <col min="3587" max="3841" width="9.21875" style="15"/>
    <col min="3842" max="3842" width="11.77734375" style="15" customWidth="1"/>
    <col min="3843" max="4097" width="9.21875" style="15"/>
    <col min="4098" max="4098" width="11.77734375" style="15" customWidth="1"/>
    <col min="4099" max="4353" width="9.21875" style="15"/>
    <col min="4354" max="4354" width="11.77734375" style="15" customWidth="1"/>
    <col min="4355" max="4609" width="9.21875" style="15"/>
    <col min="4610" max="4610" width="11.77734375" style="15" customWidth="1"/>
    <col min="4611" max="4865" width="9.21875" style="15"/>
    <col min="4866" max="4866" width="11.77734375" style="15" customWidth="1"/>
    <col min="4867" max="5121" width="9.21875" style="15"/>
    <col min="5122" max="5122" width="11.77734375" style="15" customWidth="1"/>
    <col min="5123" max="5377" width="9.21875" style="15"/>
    <col min="5378" max="5378" width="11.77734375" style="15" customWidth="1"/>
    <col min="5379" max="5633" width="9.21875" style="15"/>
    <col min="5634" max="5634" width="11.77734375" style="15" customWidth="1"/>
    <col min="5635" max="5889" width="9.21875" style="15"/>
    <col min="5890" max="5890" width="11.77734375" style="15" customWidth="1"/>
    <col min="5891" max="6145" width="9.21875" style="15"/>
    <col min="6146" max="6146" width="11.77734375" style="15" customWidth="1"/>
    <col min="6147" max="6401" width="9.21875" style="15"/>
    <col min="6402" max="6402" width="11.77734375" style="15" customWidth="1"/>
    <col min="6403" max="6657" width="9.21875" style="15"/>
    <col min="6658" max="6658" width="11.77734375" style="15" customWidth="1"/>
    <col min="6659" max="6913" width="9.21875" style="15"/>
    <col min="6914" max="6914" width="11.77734375" style="15" customWidth="1"/>
    <col min="6915" max="7169" width="9.21875" style="15"/>
    <col min="7170" max="7170" width="11.77734375" style="15" customWidth="1"/>
    <col min="7171" max="7425" width="9.21875" style="15"/>
    <col min="7426" max="7426" width="11.77734375" style="15" customWidth="1"/>
    <col min="7427" max="7681" width="9.21875" style="15"/>
    <col min="7682" max="7682" width="11.77734375" style="15" customWidth="1"/>
    <col min="7683" max="7937" width="9.21875" style="15"/>
    <col min="7938" max="7938" width="11.77734375" style="15" customWidth="1"/>
    <col min="7939" max="8193" width="9.21875" style="15"/>
    <col min="8194" max="8194" width="11.77734375" style="15" customWidth="1"/>
    <col min="8195" max="8449" width="9.21875" style="15"/>
    <col min="8450" max="8450" width="11.77734375" style="15" customWidth="1"/>
    <col min="8451" max="8705" width="9.21875" style="15"/>
    <col min="8706" max="8706" width="11.77734375" style="15" customWidth="1"/>
    <col min="8707" max="8961" width="9.21875" style="15"/>
    <col min="8962" max="8962" width="11.77734375" style="15" customWidth="1"/>
    <col min="8963" max="9217" width="9.21875" style="15"/>
    <col min="9218" max="9218" width="11.77734375" style="15" customWidth="1"/>
    <col min="9219" max="9473" width="9.21875" style="15"/>
    <col min="9474" max="9474" width="11.77734375" style="15" customWidth="1"/>
    <col min="9475" max="9729" width="9.21875" style="15"/>
    <col min="9730" max="9730" width="11.77734375" style="15" customWidth="1"/>
    <col min="9731" max="9985" width="9.21875" style="15"/>
    <col min="9986" max="9986" width="11.77734375" style="15" customWidth="1"/>
    <col min="9987" max="10241" width="9.21875" style="15"/>
    <col min="10242" max="10242" width="11.77734375" style="15" customWidth="1"/>
    <col min="10243" max="10497" width="9.21875" style="15"/>
    <col min="10498" max="10498" width="11.77734375" style="15" customWidth="1"/>
    <col min="10499" max="10753" width="9.21875" style="15"/>
    <col min="10754" max="10754" width="11.77734375" style="15" customWidth="1"/>
    <col min="10755" max="11009" width="9.21875" style="15"/>
    <col min="11010" max="11010" width="11.77734375" style="15" customWidth="1"/>
    <col min="11011" max="11265" width="9.21875" style="15"/>
    <col min="11266" max="11266" width="11.77734375" style="15" customWidth="1"/>
    <col min="11267" max="11521" width="9.21875" style="15"/>
    <col min="11522" max="11522" width="11.77734375" style="15" customWidth="1"/>
    <col min="11523" max="11777" width="9.21875" style="15"/>
    <col min="11778" max="11778" width="11.77734375" style="15" customWidth="1"/>
    <col min="11779" max="12033" width="9.21875" style="15"/>
    <col min="12034" max="12034" width="11.77734375" style="15" customWidth="1"/>
    <col min="12035" max="12289" width="9.21875" style="15"/>
    <col min="12290" max="12290" width="11.77734375" style="15" customWidth="1"/>
    <col min="12291" max="12545" width="9.21875" style="15"/>
    <col min="12546" max="12546" width="11.77734375" style="15" customWidth="1"/>
    <col min="12547" max="12801" width="9.21875" style="15"/>
    <col min="12802" max="12802" width="11.77734375" style="15" customWidth="1"/>
    <col min="12803" max="13057" width="9.21875" style="15"/>
    <col min="13058" max="13058" width="11.77734375" style="15" customWidth="1"/>
    <col min="13059" max="13313" width="9.21875" style="15"/>
    <col min="13314" max="13314" width="11.77734375" style="15" customWidth="1"/>
    <col min="13315" max="13569" width="9.21875" style="15"/>
    <col min="13570" max="13570" width="11.77734375" style="15" customWidth="1"/>
    <col min="13571" max="13825" width="9.21875" style="15"/>
    <col min="13826" max="13826" width="11.77734375" style="15" customWidth="1"/>
    <col min="13827" max="14081" width="9.21875" style="15"/>
    <col min="14082" max="14082" width="11.77734375" style="15" customWidth="1"/>
    <col min="14083" max="14337" width="9.21875" style="15"/>
    <col min="14338" max="14338" width="11.77734375" style="15" customWidth="1"/>
    <col min="14339" max="14593" width="9.21875" style="15"/>
    <col min="14594" max="14594" width="11.77734375" style="15" customWidth="1"/>
    <col min="14595" max="14849" width="9.21875" style="15"/>
    <col min="14850" max="14850" width="11.77734375" style="15" customWidth="1"/>
    <col min="14851" max="15105" width="9.21875" style="15"/>
    <col min="15106" max="15106" width="11.77734375" style="15" customWidth="1"/>
    <col min="15107" max="15361" width="9.21875" style="15"/>
    <col min="15362" max="15362" width="11.77734375" style="15" customWidth="1"/>
    <col min="15363" max="15617" width="9.21875" style="15"/>
    <col min="15618" max="15618" width="11.77734375" style="15" customWidth="1"/>
    <col min="15619" max="15873" width="9.21875" style="15"/>
    <col min="15874" max="15874" width="11.77734375" style="15" customWidth="1"/>
    <col min="15875" max="16129" width="9.21875" style="15"/>
    <col min="16130" max="16130" width="11.77734375" style="15" customWidth="1"/>
    <col min="16131" max="16384" width="9.21875" style="15"/>
  </cols>
  <sheetData>
    <row r="2" spans="1:15" x14ac:dyDescent="0.3">
      <c r="A2" s="15" t="s">
        <v>103</v>
      </c>
      <c r="B2" s="16" t="s">
        <v>104</v>
      </c>
      <c r="C2" s="16">
        <v>29</v>
      </c>
    </row>
    <row r="3" spans="1:15" x14ac:dyDescent="0.3">
      <c r="B3" s="15" t="s">
        <v>105</v>
      </c>
      <c r="C3" s="15" t="s">
        <v>106</v>
      </c>
    </row>
    <row r="4" spans="1:15" x14ac:dyDescent="0.3">
      <c r="A4" s="15" t="s">
        <v>107</v>
      </c>
      <c r="B4" s="17">
        <v>10</v>
      </c>
      <c r="C4" s="17">
        <v>10</v>
      </c>
      <c r="E4" s="15">
        <f>(100/B4)*C4</f>
        <v>100</v>
      </c>
    </row>
    <row r="5" spans="1:15" x14ac:dyDescent="0.3">
      <c r="A5" s="15" t="s">
        <v>108</v>
      </c>
      <c r="B5" s="15" t="s">
        <v>109</v>
      </c>
      <c r="C5" s="15" t="s">
        <v>110</v>
      </c>
      <c r="E5" s="15">
        <f>(100/B6)*C6</f>
        <v>30</v>
      </c>
      <c r="I5" s="17" t="s">
        <v>111</v>
      </c>
      <c r="J5" s="17" t="s">
        <v>112</v>
      </c>
      <c r="K5" s="17" t="s">
        <v>113</v>
      </c>
      <c r="L5" s="17" t="s">
        <v>69</v>
      </c>
      <c r="M5" s="17" t="s">
        <v>70</v>
      </c>
      <c r="N5" s="17" t="s">
        <v>114</v>
      </c>
      <c r="O5" s="17" t="s">
        <v>71</v>
      </c>
    </row>
    <row r="6" spans="1:15" x14ac:dyDescent="0.3">
      <c r="B6" s="17">
        <f>C2+1</f>
        <v>30</v>
      </c>
      <c r="C6" s="17">
        <v>9</v>
      </c>
      <c r="E6" s="15">
        <f>(100/B8)*C8</f>
        <v>27.586206896551722</v>
      </c>
      <c r="F6" s="18" t="s">
        <v>115</v>
      </c>
      <c r="I6" s="18">
        <f>C4</f>
        <v>10</v>
      </c>
      <c r="J6" s="18">
        <f>40/B6*C6</f>
        <v>12</v>
      </c>
      <c r="K6" s="18">
        <f>15/B8*C8</f>
        <v>4.1379310344827589</v>
      </c>
      <c r="L6" s="18">
        <f>10/B10*C10</f>
        <v>1.3793103448275863</v>
      </c>
      <c r="M6" s="18">
        <f>10/B12*C12</f>
        <v>0</v>
      </c>
      <c r="N6" s="18">
        <f>5/B14*C14</f>
        <v>0</v>
      </c>
      <c r="O6" s="18">
        <f>5/B16*C16</f>
        <v>0</v>
      </c>
    </row>
    <row r="7" spans="1:15" x14ac:dyDescent="0.3">
      <c r="A7" s="15" t="s">
        <v>116</v>
      </c>
      <c r="B7" s="15" t="s">
        <v>117</v>
      </c>
      <c r="C7" s="15" t="s">
        <v>118</v>
      </c>
      <c r="E7" s="15">
        <f>(100/B10)*C10</f>
        <v>13.793103448275861</v>
      </c>
      <c r="F7" s="17" t="s">
        <v>119</v>
      </c>
      <c r="G7" s="17"/>
      <c r="H7" s="17"/>
      <c r="I7" s="17">
        <f>I6+20</f>
        <v>30</v>
      </c>
      <c r="J7" s="17">
        <f>30/B6*C6</f>
        <v>9</v>
      </c>
      <c r="K7" s="17">
        <f>15/B8*C8</f>
        <v>4.1379310344827589</v>
      </c>
      <c r="L7" s="17">
        <f>10/B10*C10</f>
        <v>1.3793103448275863</v>
      </c>
      <c r="M7" s="17">
        <f>5/B12*C12</f>
        <v>0</v>
      </c>
      <c r="N7" s="17">
        <f>5/B14*C14</f>
        <v>0</v>
      </c>
      <c r="O7" s="17">
        <f>5/B16*C16</f>
        <v>0</v>
      </c>
    </row>
    <row r="8" spans="1:15" x14ac:dyDescent="0.3">
      <c r="B8" s="17">
        <f>C2</f>
        <v>29</v>
      </c>
      <c r="C8" s="17">
        <f>C6-1</f>
        <v>8</v>
      </c>
      <c r="E8" s="15">
        <f>(100/B12)*C12</f>
        <v>0</v>
      </c>
    </row>
    <row r="9" spans="1:15" x14ac:dyDescent="0.3">
      <c r="A9" s="15" t="s">
        <v>120</v>
      </c>
      <c r="B9" s="15" t="s">
        <v>117</v>
      </c>
      <c r="C9" s="15" t="s">
        <v>118</v>
      </c>
      <c r="E9" s="15">
        <f>(100/B14)*C14</f>
        <v>0</v>
      </c>
    </row>
    <row r="10" spans="1:15" x14ac:dyDescent="0.3">
      <c r="B10" s="17">
        <f>C2</f>
        <v>29</v>
      </c>
      <c r="C10" s="17">
        <f>C8/2</f>
        <v>4</v>
      </c>
      <c r="E10" s="15">
        <f>(100/B16)*C16</f>
        <v>0</v>
      </c>
    </row>
    <row r="11" spans="1:15" x14ac:dyDescent="0.3">
      <c r="A11" s="15" t="s">
        <v>70</v>
      </c>
      <c r="B11" s="15" t="s">
        <v>117</v>
      </c>
      <c r="C11" s="15" t="s">
        <v>118</v>
      </c>
    </row>
    <row r="12" spans="1:15" x14ac:dyDescent="0.3">
      <c r="B12" s="17">
        <f>C2</f>
        <v>29</v>
      </c>
      <c r="C12" s="17">
        <v>0</v>
      </c>
      <c r="F12" s="17"/>
      <c r="G12" s="17" t="s">
        <v>115</v>
      </c>
      <c r="H12" s="17" t="s">
        <v>121</v>
      </c>
      <c r="L12" s="15" t="s">
        <v>122</v>
      </c>
    </row>
    <row r="13" spans="1:15" ht="28.8" x14ac:dyDescent="0.3">
      <c r="A13" s="19" t="s">
        <v>114</v>
      </c>
      <c r="B13" s="15" t="s">
        <v>117</v>
      </c>
      <c r="C13" s="15" t="s">
        <v>118</v>
      </c>
      <c r="F13" s="17" t="s">
        <v>67</v>
      </c>
      <c r="G13" s="17">
        <f>I6</f>
        <v>10</v>
      </c>
      <c r="H13" s="17">
        <f>I7</f>
        <v>30</v>
      </c>
      <c r="L13" s="15" t="s">
        <v>122</v>
      </c>
    </row>
    <row r="14" spans="1:15" x14ac:dyDescent="0.3">
      <c r="B14" s="17">
        <f>C2</f>
        <v>29</v>
      </c>
      <c r="C14" s="17">
        <v>0</v>
      </c>
      <c r="F14" s="17" t="s">
        <v>68</v>
      </c>
      <c r="G14" s="17">
        <f>J6</f>
        <v>12</v>
      </c>
      <c r="H14" s="17">
        <f>J7</f>
        <v>9</v>
      </c>
    </row>
    <row r="15" spans="1:15" x14ac:dyDescent="0.3">
      <c r="A15" s="15" t="s">
        <v>71</v>
      </c>
      <c r="B15" s="15" t="s">
        <v>117</v>
      </c>
      <c r="C15" s="15" t="s">
        <v>118</v>
      </c>
      <c r="F15" s="17" t="s">
        <v>113</v>
      </c>
      <c r="G15" s="17">
        <f>K6</f>
        <v>4.1379310344827589</v>
      </c>
      <c r="H15" s="17">
        <f>K7</f>
        <v>4.1379310344827589</v>
      </c>
    </row>
    <row r="16" spans="1:15" x14ac:dyDescent="0.3">
      <c r="B16" s="17">
        <f>C2</f>
        <v>29</v>
      </c>
      <c r="C16" s="17">
        <v>0</v>
      </c>
      <c r="F16" s="17" t="s">
        <v>69</v>
      </c>
      <c r="G16" s="17">
        <f>L6</f>
        <v>1.3793103448275863</v>
      </c>
      <c r="H16" s="17">
        <f>L7</f>
        <v>1.3793103448275863</v>
      </c>
    </row>
    <row r="17" spans="5:8" x14ac:dyDescent="0.3">
      <c r="F17" s="17" t="s">
        <v>70</v>
      </c>
      <c r="G17" s="17">
        <f>M6</f>
        <v>0</v>
      </c>
      <c r="H17" s="17">
        <f>M7</f>
        <v>0</v>
      </c>
    </row>
    <row r="18" spans="5:8" ht="28.8" x14ac:dyDescent="0.3">
      <c r="F18" s="20" t="s">
        <v>114</v>
      </c>
      <c r="G18" s="17">
        <f>N6</f>
        <v>0</v>
      </c>
      <c r="H18" s="17">
        <f>N7</f>
        <v>0</v>
      </c>
    </row>
    <row r="19" spans="5:8" x14ac:dyDescent="0.3">
      <c r="F19" s="17" t="s">
        <v>71</v>
      </c>
      <c r="G19" s="17">
        <f>O6</f>
        <v>0</v>
      </c>
      <c r="H19" s="17">
        <f>O7</f>
        <v>0</v>
      </c>
    </row>
    <row r="20" spans="5:8" x14ac:dyDescent="0.3">
      <c r="F20" s="17" t="s">
        <v>123</v>
      </c>
      <c r="G20" s="17">
        <f>G13+G14+G15+G16+G17+G18+G19</f>
        <v>27.517241379310345</v>
      </c>
      <c r="H20" s="17">
        <f>H13+H14+H15+H16+H17+H18+H19</f>
        <v>44.517241379310349</v>
      </c>
    </row>
    <row r="21" spans="5:8" x14ac:dyDescent="0.3">
      <c r="E21" s="21"/>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3"/>
  <sheetViews>
    <sheetView workbookViewId="0">
      <selection activeCell="G11" sqref="G11"/>
    </sheetView>
  </sheetViews>
  <sheetFormatPr defaultColWidth="8.77734375" defaultRowHeight="14.4" x14ac:dyDescent="0.3"/>
  <cols>
    <col min="1" max="1" width="8.77734375" style="27"/>
    <col min="2" max="2" width="22.21875" style="27" customWidth="1"/>
    <col min="3" max="3" width="37" style="27" customWidth="1"/>
    <col min="4" max="5" width="11.44140625" style="27" customWidth="1"/>
    <col min="6" max="6" width="14" style="27" customWidth="1"/>
    <col min="7" max="7" width="20" style="27" customWidth="1"/>
    <col min="8" max="8" width="16.44140625" style="27" customWidth="1"/>
    <col min="9" max="16384" width="8.77734375" style="27"/>
  </cols>
  <sheetData>
    <row r="1" spans="1:10" ht="15" customHeight="1" x14ac:dyDescent="0.3"/>
    <row r="2" spans="1:10" ht="15" customHeight="1" x14ac:dyDescent="0.3">
      <c r="A2" s="28"/>
      <c r="B2" s="28"/>
      <c r="C2" s="28"/>
      <c r="D2" s="28"/>
      <c r="E2" s="28"/>
      <c r="F2" s="28"/>
      <c r="G2" s="28"/>
      <c r="H2" s="28"/>
    </row>
    <row r="3" spans="1:10" x14ac:dyDescent="0.3">
      <c r="A3" s="28"/>
      <c r="B3" s="263" t="s">
        <v>187</v>
      </c>
      <c r="C3" s="263"/>
      <c r="D3" s="263"/>
      <c r="E3" s="263"/>
      <c r="F3" s="263"/>
      <c r="G3" s="263"/>
      <c r="H3" s="263"/>
    </row>
    <row r="4" spans="1:10" x14ac:dyDescent="0.3">
      <c r="A4" s="28"/>
      <c r="B4" s="29" t="s">
        <v>188</v>
      </c>
      <c r="C4" s="29" t="s">
        <v>189</v>
      </c>
      <c r="D4" s="29" t="s">
        <v>125</v>
      </c>
      <c r="E4" s="29" t="s">
        <v>190</v>
      </c>
      <c r="F4" s="29" t="s">
        <v>191</v>
      </c>
      <c r="G4" s="29" t="s">
        <v>192</v>
      </c>
      <c r="H4" s="29" t="s">
        <v>193</v>
      </c>
    </row>
    <row r="5" spans="1:10" ht="15" customHeight="1" x14ac:dyDescent="0.3">
      <c r="A5" s="28"/>
      <c r="B5" s="44" t="s">
        <v>199</v>
      </c>
      <c r="C5" s="31" t="s">
        <v>151</v>
      </c>
      <c r="D5" s="30" t="s">
        <v>170</v>
      </c>
      <c r="E5" s="30">
        <v>0</v>
      </c>
      <c r="F5" s="32">
        <v>1743</v>
      </c>
      <c r="G5" s="32">
        <f>H5/F5</f>
        <v>39013.195639701662</v>
      </c>
      <c r="H5" s="33">
        <v>68000000</v>
      </c>
    </row>
    <row r="6" spans="1:10" x14ac:dyDescent="0.3">
      <c r="A6" s="28"/>
      <c r="B6" s="44" t="s">
        <v>199</v>
      </c>
      <c r="C6" s="31" t="s">
        <v>151</v>
      </c>
      <c r="D6" s="30" t="s">
        <v>170</v>
      </c>
      <c r="E6" s="30">
        <v>0</v>
      </c>
      <c r="F6" s="32">
        <v>1747</v>
      </c>
      <c r="G6" s="32">
        <f t="shared" ref="G6:G7" si="0">H6/F6</f>
        <v>32913.566113337147</v>
      </c>
      <c r="H6" s="33">
        <v>57500000</v>
      </c>
      <c r="J6" s="27">
        <v>33000</v>
      </c>
    </row>
    <row r="7" spans="1:10" ht="15" customHeight="1" x14ac:dyDescent="0.3">
      <c r="A7" s="28"/>
      <c r="B7" s="44" t="s">
        <v>199</v>
      </c>
      <c r="C7" s="31" t="s">
        <v>151</v>
      </c>
      <c r="D7" s="30" t="s">
        <v>170</v>
      </c>
      <c r="E7" s="32">
        <v>1221</v>
      </c>
      <c r="F7" s="32">
        <f>E7*1.6</f>
        <v>1953.6000000000001</v>
      </c>
      <c r="G7" s="32">
        <f t="shared" si="0"/>
        <v>32760.032760032758</v>
      </c>
      <c r="H7" s="33">
        <v>64000000</v>
      </c>
    </row>
    <row r="8" spans="1:10" ht="15" customHeight="1" x14ac:dyDescent="0.3">
      <c r="A8" s="28"/>
      <c r="B8" s="44" t="s">
        <v>199</v>
      </c>
      <c r="C8" s="31" t="s">
        <v>151</v>
      </c>
      <c r="D8" s="30" t="s">
        <v>172</v>
      </c>
      <c r="E8" s="32">
        <v>1221</v>
      </c>
      <c r="F8" s="32">
        <f>E8*1.6</f>
        <v>1953.6000000000001</v>
      </c>
      <c r="G8" s="32">
        <f>H8/F8</f>
        <v>37110.974610974612</v>
      </c>
      <c r="H8" s="33">
        <v>72500000</v>
      </c>
    </row>
    <row r="9" spans="1:10" ht="15" customHeight="1" x14ac:dyDescent="0.3">
      <c r="A9" s="28"/>
      <c r="B9" s="34" t="s">
        <v>194</v>
      </c>
      <c r="C9" s="30"/>
      <c r="D9" s="30"/>
      <c r="E9" s="30"/>
      <c r="F9" s="30"/>
      <c r="G9" s="35">
        <f>AVERAGE(G5:G8)</f>
        <v>35449.442281011543</v>
      </c>
      <c r="H9" s="30"/>
    </row>
    <row r="10" spans="1:10" ht="15" customHeight="1" x14ac:dyDescent="0.3">
      <c r="B10" s="34" t="s">
        <v>195</v>
      </c>
      <c r="C10" s="30"/>
      <c r="D10" s="30"/>
      <c r="E10" s="30"/>
      <c r="F10" s="36"/>
      <c r="G10" s="34">
        <v>35500</v>
      </c>
      <c r="H10" s="34"/>
      <c r="I10" s="37"/>
    </row>
    <row r="11" spans="1:10" ht="15" customHeight="1" x14ac:dyDescent="0.3"/>
    <row r="12" spans="1:10" ht="15" customHeight="1" x14ac:dyDescent="0.3"/>
    <row r="13" spans="1:10" ht="15" customHeight="1" x14ac:dyDescent="0.3"/>
  </sheetData>
  <mergeCells count="1">
    <mergeCell ref="B3:H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L36"/>
  <sheetViews>
    <sheetView workbookViewId="0">
      <selection activeCell="C16" sqref="C16"/>
    </sheetView>
  </sheetViews>
  <sheetFormatPr defaultRowHeight="14.4" x14ac:dyDescent="0.3"/>
  <cols>
    <col min="2" max="2" width="12.21875" customWidth="1"/>
  </cols>
  <sheetData>
    <row r="2" spans="1:12" x14ac:dyDescent="0.3">
      <c r="B2" s="22" t="s">
        <v>124</v>
      </c>
      <c r="C2" s="264"/>
      <c r="D2" s="264"/>
    </row>
    <row r="3" spans="1:12" x14ac:dyDescent="0.3">
      <c r="D3" s="23"/>
      <c r="E3" s="23"/>
      <c r="F3" s="23"/>
      <c r="G3" s="23"/>
      <c r="H3" s="23"/>
      <c r="I3" s="23"/>
    </row>
    <row r="4" spans="1:12" x14ac:dyDescent="0.3">
      <c r="A4" s="22" t="s">
        <v>125</v>
      </c>
      <c r="B4" s="24" t="s">
        <v>126</v>
      </c>
      <c r="C4" s="265" t="s">
        <v>127</v>
      </c>
      <c r="D4" s="265"/>
      <c r="E4" s="265"/>
      <c r="F4" s="25"/>
      <c r="G4" s="265" t="s">
        <v>128</v>
      </c>
      <c r="H4" s="265"/>
      <c r="I4" s="265"/>
      <c r="J4" s="265" t="s">
        <v>129</v>
      </c>
      <c r="K4" s="265"/>
      <c r="L4" s="265"/>
    </row>
    <row r="5" spans="1:12" x14ac:dyDescent="0.3">
      <c r="A5" s="22">
        <v>1</v>
      </c>
      <c r="B5" s="24"/>
      <c r="C5" s="24" t="s">
        <v>130</v>
      </c>
      <c r="D5" s="24" t="s">
        <v>131</v>
      </c>
      <c r="E5" s="24" t="s">
        <v>82</v>
      </c>
      <c r="F5" s="24"/>
      <c r="G5" s="24" t="s">
        <v>130</v>
      </c>
      <c r="H5" s="24" t="s">
        <v>131</v>
      </c>
      <c r="I5" s="24" t="s">
        <v>82</v>
      </c>
      <c r="J5" s="24" t="s">
        <v>130</v>
      </c>
      <c r="K5" s="24" t="s">
        <v>131</v>
      </c>
      <c r="L5" s="24" t="s">
        <v>82</v>
      </c>
    </row>
    <row r="6" spans="1:12" x14ac:dyDescent="0.3">
      <c r="B6" s="26" t="s">
        <v>132</v>
      </c>
      <c r="C6" s="26"/>
      <c r="D6" s="26"/>
      <c r="E6" s="26">
        <f>C6*D6</f>
        <v>0</v>
      </c>
      <c r="F6" s="26" t="s">
        <v>133</v>
      </c>
      <c r="G6" s="26"/>
      <c r="H6" s="26"/>
      <c r="I6" s="26">
        <f>G6*H6</f>
        <v>0</v>
      </c>
      <c r="J6" s="26"/>
      <c r="K6" s="26"/>
      <c r="L6" s="26">
        <f>J6*K6</f>
        <v>0</v>
      </c>
    </row>
    <row r="7" spans="1:12" x14ac:dyDescent="0.3">
      <c r="B7" s="26"/>
      <c r="C7" s="26"/>
      <c r="D7" s="26"/>
      <c r="E7" s="26">
        <f t="shared" ref="E7:E33" si="0">C7*D7</f>
        <v>0</v>
      </c>
      <c r="F7" s="26" t="s">
        <v>134</v>
      </c>
      <c r="G7" s="26"/>
      <c r="H7" s="26"/>
      <c r="I7" s="26">
        <f t="shared" ref="I7:I29" si="1">G7*H7</f>
        <v>0</v>
      </c>
      <c r="J7" s="26"/>
      <c r="K7" s="26"/>
      <c r="L7" s="26">
        <f t="shared" ref="L7:L29" si="2">J7*K7</f>
        <v>0</v>
      </c>
    </row>
    <row r="8" spans="1:12" x14ac:dyDescent="0.3">
      <c r="B8" s="26"/>
      <c r="C8" s="26"/>
      <c r="D8" s="26"/>
      <c r="E8" s="26">
        <f t="shared" si="0"/>
        <v>0</v>
      </c>
      <c r="F8" s="26"/>
      <c r="G8" s="26"/>
      <c r="H8" s="26"/>
      <c r="I8" s="26">
        <f t="shared" si="1"/>
        <v>0</v>
      </c>
      <c r="J8" s="26"/>
      <c r="K8" s="26"/>
      <c r="L8" s="26">
        <f t="shared" si="2"/>
        <v>0</v>
      </c>
    </row>
    <row r="9" spans="1:12" x14ac:dyDescent="0.3">
      <c r="B9" s="26" t="s">
        <v>135</v>
      </c>
      <c r="C9" s="26"/>
      <c r="D9" s="26"/>
      <c r="E9" s="26">
        <f t="shared" si="0"/>
        <v>0</v>
      </c>
      <c r="F9" s="26" t="s">
        <v>133</v>
      </c>
      <c r="G9" s="26"/>
      <c r="H9" s="26"/>
      <c r="I9" s="26">
        <f t="shared" si="1"/>
        <v>0</v>
      </c>
      <c r="J9" s="26"/>
      <c r="K9" s="26"/>
      <c r="L9" s="26">
        <f t="shared" si="2"/>
        <v>0</v>
      </c>
    </row>
    <row r="10" spans="1:12" x14ac:dyDescent="0.3">
      <c r="B10" s="26"/>
      <c r="C10" s="26"/>
      <c r="D10" s="26"/>
      <c r="E10" s="26">
        <f t="shared" si="0"/>
        <v>0</v>
      </c>
      <c r="F10" s="26" t="s">
        <v>134</v>
      </c>
      <c r="G10" s="26"/>
      <c r="H10" s="26"/>
      <c r="I10" s="26">
        <f t="shared" si="1"/>
        <v>0</v>
      </c>
      <c r="J10" s="26"/>
      <c r="K10" s="26"/>
      <c r="L10" s="26">
        <f t="shared" si="2"/>
        <v>0</v>
      </c>
    </row>
    <row r="11" spans="1:12" x14ac:dyDescent="0.3">
      <c r="B11" s="26"/>
      <c r="C11" s="26"/>
      <c r="D11" s="26"/>
      <c r="E11" s="26">
        <f t="shared" si="0"/>
        <v>0</v>
      </c>
      <c r="F11" s="26"/>
      <c r="G11" s="26"/>
      <c r="H11" s="26"/>
      <c r="I11" s="26">
        <f t="shared" si="1"/>
        <v>0</v>
      </c>
      <c r="J11" s="26"/>
      <c r="K11" s="26"/>
      <c r="L11" s="26">
        <f t="shared" si="2"/>
        <v>0</v>
      </c>
    </row>
    <row r="12" spans="1:12" x14ac:dyDescent="0.3">
      <c r="B12" s="26"/>
      <c r="C12" s="26"/>
      <c r="D12" s="26"/>
      <c r="E12" s="26">
        <f t="shared" si="0"/>
        <v>0</v>
      </c>
      <c r="F12" s="26"/>
      <c r="G12" s="26"/>
      <c r="H12" s="26"/>
      <c r="I12" s="26">
        <f t="shared" si="1"/>
        <v>0</v>
      </c>
      <c r="J12" s="26"/>
      <c r="K12" s="26"/>
      <c r="L12" s="26">
        <f t="shared" si="2"/>
        <v>0</v>
      </c>
    </row>
    <row r="13" spans="1:12" x14ac:dyDescent="0.3">
      <c r="B13" s="26" t="s">
        <v>136</v>
      </c>
      <c r="C13" s="26"/>
      <c r="D13" s="26"/>
      <c r="E13" s="26">
        <f t="shared" si="0"/>
        <v>0</v>
      </c>
      <c r="F13" s="26" t="s">
        <v>133</v>
      </c>
      <c r="G13" s="26"/>
      <c r="H13" s="26"/>
      <c r="I13" s="26">
        <f t="shared" si="1"/>
        <v>0</v>
      </c>
      <c r="J13" s="26"/>
      <c r="K13" s="26"/>
      <c r="L13" s="26">
        <f t="shared" si="2"/>
        <v>0</v>
      </c>
    </row>
    <row r="14" spans="1:12" x14ac:dyDescent="0.3">
      <c r="B14" s="26"/>
      <c r="C14" s="26"/>
      <c r="D14" s="26"/>
      <c r="E14" s="26">
        <f t="shared" si="0"/>
        <v>0</v>
      </c>
      <c r="F14" s="26" t="s">
        <v>134</v>
      </c>
      <c r="G14" s="26"/>
      <c r="H14" s="26"/>
      <c r="I14" s="26">
        <f t="shared" si="1"/>
        <v>0</v>
      </c>
      <c r="J14" s="26"/>
      <c r="K14" s="26"/>
      <c r="L14" s="26">
        <f t="shared" si="2"/>
        <v>0</v>
      </c>
    </row>
    <row r="15" spans="1:12" x14ac:dyDescent="0.3">
      <c r="B15" s="26"/>
      <c r="C15" s="26"/>
      <c r="D15" s="26"/>
      <c r="E15" s="26">
        <f t="shared" si="0"/>
        <v>0</v>
      </c>
      <c r="F15" s="26"/>
      <c r="G15" s="26"/>
      <c r="H15" s="26"/>
      <c r="I15" s="26">
        <f t="shared" si="1"/>
        <v>0</v>
      </c>
      <c r="J15" s="26"/>
      <c r="K15" s="26"/>
      <c r="L15" s="26">
        <f t="shared" si="2"/>
        <v>0</v>
      </c>
    </row>
    <row r="16" spans="1:12" x14ac:dyDescent="0.3">
      <c r="B16" s="26"/>
      <c r="C16" s="26"/>
      <c r="D16" s="26"/>
      <c r="E16" s="26">
        <f t="shared" si="0"/>
        <v>0</v>
      </c>
      <c r="F16" s="26"/>
      <c r="G16" s="26"/>
      <c r="H16" s="26"/>
      <c r="I16" s="26">
        <f t="shared" si="1"/>
        <v>0</v>
      </c>
      <c r="J16" s="26"/>
      <c r="K16" s="26"/>
      <c r="L16" s="26">
        <f t="shared" si="2"/>
        <v>0</v>
      </c>
    </row>
    <row r="17" spans="2:12" x14ac:dyDescent="0.3">
      <c r="B17" s="26" t="s">
        <v>137</v>
      </c>
      <c r="C17" s="26"/>
      <c r="D17" s="26"/>
      <c r="E17" s="26">
        <f t="shared" si="0"/>
        <v>0</v>
      </c>
      <c r="F17" s="26" t="s">
        <v>133</v>
      </c>
      <c r="G17" s="26"/>
      <c r="H17" s="26"/>
      <c r="I17" s="26">
        <f t="shared" si="1"/>
        <v>0</v>
      </c>
      <c r="J17" s="26"/>
      <c r="K17" s="26"/>
      <c r="L17" s="26">
        <f t="shared" si="2"/>
        <v>0</v>
      </c>
    </row>
    <row r="18" spans="2:12" x14ac:dyDescent="0.3">
      <c r="B18" s="26"/>
      <c r="C18" s="26"/>
      <c r="D18" s="26"/>
      <c r="E18" s="26">
        <f t="shared" si="0"/>
        <v>0</v>
      </c>
      <c r="F18" s="26" t="s">
        <v>134</v>
      </c>
      <c r="G18" s="26"/>
      <c r="H18" s="26"/>
      <c r="I18" s="26">
        <f t="shared" si="1"/>
        <v>0</v>
      </c>
      <c r="J18" s="26"/>
      <c r="K18" s="26"/>
      <c r="L18" s="26">
        <f t="shared" si="2"/>
        <v>0</v>
      </c>
    </row>
    <row r="19" spans="2:12" x14ac:dyDescent="0.3">
      <c r="B19" s="26"/>
      <c r="C19" s="26"/>
      <c r="D19" s="26"/>
      <c r="E19" s="26">
        <f t="shared" si="0"/>
        <v>0</v>
      </c>
      <c r="F19" s="26"/>
      <c r="G19" s="26"/>
      <c r="H19" s="26"/>
      <c r="I19" s="26">
        <f t="shared" si="1"/>
        <v>0</v>
      </c>
      <c r="J19" s="26"/>
      <c r="K19" s="26"/>
      <c r="L19" s="26">
        <f t="shared" si="2"/>
        <v>0</v>
      </c>
    </row>
    <row r="20" spans="2:12" x14ac:dyDescent="0.3">
      <c r="B20" s="26" t="s">
        <v>137</v>
      </c>
      <c r="C20" s="26"/>
      <c r="D20" s="26"/>
      <c r="E20" s="26">
        <f t="shared" si="0"/>
        <v>0</v>
      </c>
      <c r="F20" s="26" t="s">
        <v>133</v>
      </c>
      <c r="G20" s="26"/>
      <c r="H20" s="26"/>
      <c r="I20" s="26">
        <f t="shared" si="1"/>
        <v>0</v>
      </c>
      <c r="J20" s="26"/>
      <c r="K20" s="26"/>
      <c r="L20" s="26">
        <f t="shared" si="2"/>
        <v>0</v>
      </c>
    </row>
    <row r="21" spans="2:12" x14ac:dyDescent="0.3">
      <c r="B21" s="26"/>
      <c r="C21" s="26"/>
      <c r="D21" s="26"/>
      <c r="E21" s="26">
        <f t="shared" si="0"/>
        <v>0</v>
      </c>
      <c r="F21" s="26" t="s">
        <v>134</v>
      </c>
      <c r="G21" s="26"/>
      <c r="H21" s="26"/>
      <c r="I21" s="26">
        <f t="shared" si="1"/>
        <v>0</v>
      </c>
      <c r="J21" s="26"/>
      <c r="K21" s="26"/>
      <c r="L21" s="26">
        <f t="shared" si="2"/>
        <v>0</v>
      </c>
    </row>
    <row r="22" spans="2:12" x14ac:dyDescent="0.3">
      <c r="B22" s="26"/>
      <c r="C22" s="26"/>
      <c r="D22" s="26"/>
      <c r="E22" s="26">
        <f t="shared" si="0"/>
        <v>0</v>
      </c>
      <c r="F22" s="26"/>
      <c r="G22" s="26"/>
      <c r="H22" s="26"/>
      <c r="I22" s="26">
        <f t="shared" si="1"/>
        <v>0</v>
      </c>
      <c r="J22" s="26"/>
      <c r="K22" s="26"/>
      <c r="L22" s="26">
        <f t="shared" si="2"/>
        <v>0</v>
      </c>
    </row>
    <row r="23" spans="2:12" x14ac:dyDescent="0.3">
      <c r="B23" s="26" t="s">
        <v>138</v>
      </c>
      <c r="C23" s="26"/>
      <c r="D23" s="26"/>
      <c r="E23" s="26">
        <f t="shared" si="0"/>
        <v>0</v>
      </c>
      <c r="F23" s="26" t="s">
        <v>139</v>
      </c>
      <c r="G23" s="26"/>
      <c r="H23" s="26"/>
      <c r="I23" s="26">
        <f t="shared" si="1"/>
        <v>0</v>
      </c>
      <c r="J23" s="26"/>
      <c r="K23" s="26"/>
      <c r="L23" s="26">
        <f t="shared" si="2"/>
        <v>0</v>
      </c>
    </row>
    <row r="24" spans="2:12" x14ac:dyDescent="0.3">
      <c r="B24" s="26" t="s">
        <v>140</v>
      </c>
      <c r="C24" s="26"/>
      <c r="D24" s="26"/>
      <c r="E24" s="26">
        <f t="shared" si="0"/>
        <v>0</v>
      </c>
      <c r="F24" s="26" t="s">
        <v>139</v>
      </c>
      <c r="G24" s="26"/>
      <c r="H24" s="26"/>
      <c r="I24" s="26">
        <f t="shared" si="1"/>
        <v>0</v>
      </c>
      <c r="J24" s="26"/>
      <c r="K24" s="26"/>
      <c r="L24" s="26">
        <f t="shared" si="2"/>
        <v>0</v>
      </c>
    </row>
    <row r="25" spans="2:12" x14ac:dyDescent="0.3">
      <c r="B25" s="26" t="s">
        <v>141</v>
      </c>
      <c r="C25" s="26"/>
      <c r="D25" s="26"/>
      <c r="E25" s="26">
        <f t="shared" si="0"/>
        <v>0</v>
      </c>
      <c r="F25" s="26" t="s">
        <v>139</v>
      </c>
      <c r="G25" s="26"/>
      <c r="H25" s="26"/>
      <c r="I25" s="26">
        <f t="shared" si="1"/>
        <v>0</v>
      </c>
      <c r="J25" s="26"/>
      <c r="K25" s="26"/>
      <c r="L25" s="26">
        <f t="shared" si="2"/>
        <v>0</v>
      </c>
    </row>
    <row r="26" spans="2:12" x14ac:dyDescent="0.3">
      <c r="B26" s="26"/>
      <c r="C26" s="26"/>
      <c r="D26" s="26"/>
      <c r="E26" s="26">
        <f t="shared" si="0"/>
        <v>0</v>
      </c>
      <c r="F26" s="26"/>
      <c r="G26" s="26"/>
      <c r="H26" s="26"/>
      <c r="I26" s="26">
        <f t="shared" si="1"/>
        <v>0</v>
      </c>
      <c r="J26" s="26"/>
      <c r="K26" s="26"/>
      <c r="L26" s="26">
        <f t="shared" si="2"/>
        <v>0</v>
      </c>
    </row>
    <row r="27" spans="2:12" x14ac:dyDescent="0.3">
      <c r="B27" s="26" t="s">
        <v>142</v>
      </c>
      <c r="C27" s="26"/>
      <c r="D27" s="26"/>
      <c r="E27" s="26">
        <f t="shared" si="0"/>
        <v>0</v>
      </c>
      <c r="F27" s="26"/>
      <c r="G27" s="26"/>
      <c r="H27" s="26"/>
      <c r="I27" s="26">
        <f t="shared" si="1"/>
        <v>0</v>
      </c>
      <c r="J27" s="26"/>
      <c r="K27" s="26"/>
      <c r="L27" s="26">
        <f t="shared" si="2"/>
        <v>0</v>
      </c>
    </row>
    <row r="28" spans="2:12" x14ac:dyDescent="0.3">
      <c r="B28" s="26" t="s">
        <v>143</v>
      </c>
      <c r="C28" s="26"/>
      <c r="D28" s="26"/>
      <c r="E28" s="26">
        <f t="shared" si="0"/>
        <v>0</v>
      </c>
      <c r="F28" s="26"/>
      <c r="G28" s="26"/>
      <c r="H28" s="26"/>
      <c r="I28" s="26">
        <f t="shared" si="1"/>
        <v>0</v>
      </c>
      <c r="J28" s="26"/>
      <c r="K28" s="26"/>
      <c r="L28" s="26">
        <f t="shared" si="2"/>
        <v>0</v>
      </c>
    </row>
    <row r="29" spans="2:12" x14ac:dyDescent="0.3">
      <c r="B29" s="26" t="s">
        <v>144</v>
      </c>
      <c r="C29" s="26"/>
      <c r="D29" s="26"/>
      <c r="E29" s="26">
        <f t="shared" si="0"/>
        <v>0</v>
      </c>
      <c r="F29" s="26"/>
      <c r="G29" s="26"/>
      <c r="H29" s="26"/>
      <c r="I29" s="26">
        <f t="shared" si="1"/>
        <v>0</v>
      </c>
      <c r="J29" s="26"/>
      <c r="K29" s="26"/>
      <c r="L29" s="26">
        <f t="shared" si="2"/>
        <v>0</v>
      </c>
    </row>
    <row r="30" spans="2:12" x14ac:dyDescent="0.3">
      <c r="B30" s="26" t="s">
        <v>145</v>
      </c>
      <c r="C30" s="26"/>
      <c r="D30" s="26"/>
      <c r="E30" s="26">
        <f t="shared" si="0"/>
        <v>0</v>
      </c>
      <c r="F30" s="26"/>
      <c r="G30" s="26"/>
      <c r="H30" s="26"/>
      <c r="I30" s="26">
        <f>G30*H30</f>
        <v>0</v>
      </c>
      <c r="J30" s="26"/>
      <c r="K30" s="26"/>
      <c r="L30" s="26">
        <f>J30*K30</f>
        <v>0</v>
      </c>
    </row>
    <row r="31" spans="2:12" x14ac:dyDescent="0.3">
      <c r="B31" s="26"/>
      <c r="C31" s="26"/>
      <c r="D31" s="26"/>
      <c r="E31" s="26">
        <f t="shared" si="0"/>
        <v>0</v>
      </c>
      <c r="F31" s="26"/>
      <c r="G31" s="26"/>
      <c r="H31" s="26"/>
      <c r="I31" s="26">
        <f>G31*H31</f>
        <v>0</v>
      </c>
      <c r="J31" s="26"/>
      <c r="K31" s="26"/>
      <c r="L31" s="26">
        <f>J31*K31</f>
        <v>0</v>
      </c>
    </row>
    <row r="32" spans="2:12" x14ac:dyDescent="0.3">
      <c r="B32" s="26"/>
      <c r="C32" s="26"/>
      <c r="D32" s="26"/>
      <c r="E32" s="26">
        <f t="shared" si="0"/>
        <v>0</v>
      </c>
      <c r="F32" s="26"/>
      <c r="G32" s="26"/>
      <c r="H32" s="26"/>
      <c r="I32" s="26">
        <f>G32*H32</f>
        <v>0</v>
      </c>
      <c r="J32" s="26"/>
      <c r="K32" s="26"/>
      <c r="L32" s="26">
        <f>J32*K32</f>
        <v>0</v>
      </c>
    </row>
    <row r="33" spans="2:12" x14ac:dyDescent="0.3">
      <c r="B33" s="26"/>
      <c r="C33" s="26"/>
      <c r="D33" s="26"/>
      <c r="E33" s="26">
        <f t="shared" si="0"/>
        <v>0</v>
      </c>
      <c r="F33" s="26"/>
      <c r="G33" s="26"/>
      <c r="H33" s="26"/>
      <c r="I33" s="26">
        <f>G33*H33</f>
        <v>0</v>
      </c>
      <c r="J33" s="26"/>
      <c r="K33" s="26"/>
      <c r="L33" s="26">
        <f>J33*K33</f>
        <v>0</v>
      </c>
    </row>
    <row r="34" spans="2:12" x14ac:dyDescent="0.3">
      <c r="B34" s="26" t="s">
        <v>83</v>
      </c>
      <c r="C34" s="26"/>
      <c r="D34" s="26">
        <f>E34*10.764</f>
        <v>0</v>
      </c>
      <c r="E34" s="26">
        <f>SUM(E6:E33)</f>
        <v>0</v>
      </c>
      <c r="F34" s="26"/>
      <c r="G34" s="26"/>
      <c r="H34" s="26">
        <f>I34*10.764</f>
        <v>0</v>
      </c>
      <c r="I34" s="26">
        <f>SUM(I6:I33)</f>
        <v>0</v>
      </c>
      <c r="J34" s="26"/>
      <c r="K34" s="26">
        <f>L34*10.764</f>
        <v>0</v>
      </c>
      <c r="L34" s="26">
        <f>SUM(L6:L33)</f>
        <v>0</v>
      </c>
    </row>
    <row r="36" spans="2:12" x14ac:dyDescent="0.3">
      <c r="D36">
        <f>D34+H34</f>
        <v>0</v>
      </c>
      <c r="E36">
        <f>E34+I34</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 (2)</vt:lpstr>
      <vt:lpstr>Sheet1</vt:lpstr>
      <vt:lpstr>C%</vt:lpstr>
      <vt:lpstr>VALUATION</vt:lpstr>
      <vt:lpstr>Flat detail</vt:lpstr>
      <vt:lpstr>'Report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Kunal Kadam</cp:lastModifiedBy>
  <cp:lastPrinted>2025-08-19T15:02:05Z</cp:lastPrinted>
  <dcterms:created xsi:type="dcterms:W3CDTF">2019-07-16T09:29:46Z</dcterms:created>
  <dcterms:modified xsi:type="dcterms:W3CDTF">2025-08-19T15:05:59Z</dcterms:modified>
</cp:coreProperties>
</file>