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04F72EFF-E6CE-4FBA-9064-5A468151220D}" xr6:coauthVersionLast="47" xr6:coauthVersionMax="47" xr10:uidLastSave="{00000000-0000-0000-0000-000000000000}"/>
  <bookViews>
    <workbookView xWindow="-108" yWindow="-108" windowWidth="23256" windowHeight="12456" tabRatio="770" xr2:uid="{00000000-000D-0000-FFFF-FFFF00000000}"/>
  </bookViews>
  <sheets>
    <sheet name="Sheet1" sheetId="1" r:id="rId1"/>
    <sheet name="VALUATION" sheetId="17" r:id="rId2"/>
    <sheet name="NOte" sheetId="18" r:id="rId3"/>
    <sheet name="A" sheetId="14" r:id="rId4"/>
    <sheet name="B" sheetId="16" r:id="rId5"/>
    <sheet name="Wing A" sheetId="11" r:id="rId6"/>
    <sheet name="Wing B" sheetId="12" r:id="rId7"/>
    <sheet name="Wing C" sheetId="13" r:id="rId8"/>
  </sheets>
  <definedNames>
    <definedName name="_xlnm.Print_Area" localSheetId="0">Sheet1!$A$1:$J$1374</definedName>
  </definedNames>
  <calcPr calcId="191029"/>
</workbook>
</file>

<file path=xl/calcChain.xml><?xml version="1.0" encoding="utf-8"?>
<calcChain xmlns="http://schemas.openxmlformats.org/spreadsheetml/2006/main">
  <c r="C137" i="1" l="1"/>
  <c r="C139" i="1" s="1"/>
  <c r="C138" i="1" l="1"/>
  <c r="K60" i="1"/>
  <c r="C104" i="1" l="1"/>
  <c r="L148" i="1" l="1"/>
  <c r="L147" i="1"/>
  <c r="L146" i="1"/>
  <c r="L145" i="1"/>
  <c r="L134" i="1"/>
  <c r="L133" i="1"/>
  <c r="L132" i="1"/>
  <c r="L131" i="1"/>
  <c r="D360" i="1"/>
  <c r="D355" i="1"/>
  <c r="G355" i="1" s="1"/>
  <c r="D785" i="1"/>
  <c r="G785" i="1" s="1"/>
  <c r="D789" i="1"/>
  <c r="G789" i="1" s="1"/>
  <c r="D788" i="1"/>
  <c r="G788" i="1" s="1"/>
  <c r="D787" i="1"/>
  <c r="G787" i="1" s="1"/>
  <c r="D786" i="1"/>
  <c r="G786" i="1" s="1"/>
  <c r="H783" i="1"/>
  <c r="D723" i="1"/>
  <c r="D730" i="1"/>
  <c r="D716" i="1"/>
  <c r="K727" i="1"/>
  <c r="D808" i="1"/>
  <c r="D807" i="1"/>
  <c r="D823" i="1"/>
  <c r="G823" i="1" s="1"/>
  <c r="D822" i="1"/>
  <c r="G822" i="1" s="1"/>
  <c r="D821" i="1"/>
  <c r="G821" i="1" s="1"/>
  <c r="D820" i="1"/>
  <c r="G820" i="1" s="1"/>
  <c r="D819" i="1"/>
  <c r="G819" i="1" s="1"/>
  <c r="D818" i="1"/>
  <c r="G818" i="1" s="1"/>
  <c r="H816" i="1"/>
  <c r="D801" i="1"/>
  <c r="D793" i="1"/>
  <c r="G793" i="1" s="1"/>
  <c r="D797" i="1"/>
  <c r="G797" i="1" s="1"/>
  <c r="D796" i="1"/>
  <c r="G796" i="1" s="1"/>
  <c r="D795" i="1"/>
  <c r="G795" i="1" s="1"/>
  <c r="D794" i="1"/>
  <c r="G794" i="1" s="1"/>
  <c r="D792" i="1"/>
  <c r="G792" i="1" s="1"/>
  <c r="H791" i="1"/>
  <c r="D791" i="1"/>
  <c r="G791" i="1" s="1"/>
  <c r="D777" i="1"/>
  <c r="G777" i="1" s="1"/>
  <c r="D781" i="1"/>
  <c r="G781" i="1" s="1"/>
  <c r="D780" i="1"/>
  <c r="G780" i="1" s="1"/>
  <c r="D779" i="1"/>
  <c r="G779" i="1" s="1"/>
  <c r="D778" i="1"/>
  <c r="G778" i="1" s="1"/>
  <c r="D776" i="1"/>
  <c r="G776" i="1" s="1"/>
  <c r="H775" i="1"/>
  <c r="D775" i="1"/>
  <c r="G775" i="1" s="1"/>
  <c r="D739" i="1"/>
  <c r="I145" i="1"/>
  <c r="I131" i="1"/>
  <c r="L142" i="1" l="1"/>
  <c r="C148" i="1" s="1"/>
  <c r="D148" i="1" s="1"/>
  <c r="L140" i="1"/>
  <c r="D152" i="1"/>
  <c r="D157" i="1"/>
  <c r="D155" i="1"/>
  <c r="D153" i="1"/>
  <c r="D151" i="1"/>
  <c r="D156" i="1"/>
  <c r="D150" i="1"/>
  <c r="L143" i="1"/>
  <c r="D154" i="1"/>
  <c r="L141" i="1"/>
  <c r="L128" i="1"/>
  <c r="C134" i="1" s="1"/>
  <c r="D134" i="1" s="1"/>
  <c r="L126" i="1"/>
  <c r="D140" i="1"/>
  <c r="L127" i="1"/>
  <c r="D143" i="1"/>
  <c r="D141" i="1"/>
  <c r="D139" i="1"/>
  <c r="D137" i="1"/>
  <c r="D142" i="1"/>
  <c r="D136" i="1"/>
  <c r="L129" i="1"/>
  <c r="L130" i="1" s="1"/>
  <c r="L135" i="1" s="1"/>
  <c r="L136" i="1" s="1"/>
  <c r="C135" i="1" s="1"/>
  <c r="D138" i="1"/>
  <c r="K583" i="1"/>
  <c r="K660" i="1"/>
  <c r="D728" i="1"/>
  <c r="G728" i="1" s="1"/>
  <c r="D729" i="1"/>
  <c r="G729" i="1" s="1"/>
  <c r="D715" i="1"/>
  <c r="G715" i="1" s="1"/>
  <c r="D708" i="1"/>
  <c r="G708" i="1" s="1"/>
  <c r="D733" i="1"/>
  <c r="G733" i="1" s="1"/>
  <c r="D732" i="1"/>
  <c r="G732" i="1" s="1"/>
  <c r="D731" i="1"/>
  <c r="G731" i="1" s="1"/>
  <c r="G730" i="1"/>
  <c r="H728" i="1"/>
  <c r="D719" i="1"/>
  <c r="G719" i="1" s="1"/>
  <c r="D718" i="1"/>
  <c r="G718" i="1" s="1"/>
  <c r="D717" i="1"/>
  <c r="G717" i="1" s="1"/>
  <c r="G716" i="1"/>
  <c r="H715" i="1"/>
  <c r="D713" i="1"/>
  <c r="G713" i="1" s="1"/>
  <c r="D712" i="1"/>
  <c r="G712" i="1" s="1"/>
  <c r="D711" i="1"/>
  <c r="G711" i="1" s="1"/>
  <c r="D710" i="1"/>
  <c r="G710" i="1" s="1"/>
  <c r="D709" i="1"/>
  <c r="G709" i="1" s="1"/>
  <c r="H708" i="1"/>
  <c r="D706" i="1"/>
  <c r="G706" i="1" s="1"/>
  <c r="D705" i="1"/>
  <c r="G705" i="1" s="1"/>
  <c r="D704" i="1"/>
  <c r="G704" i="1" s="1"/>
  <c r="D703" i="1"/>
  <c r="G703" i="1" s="1"/>
  <c r="D702" i="1"/>
  <c r="G702" i="1" s="1"/>
  <c r="D701" i="1"/>
  <c r="G701" i="1" s="1"/>
  <c r="H700" i="1"/>
  <c r="D700" i="1"/>
  <c r="G700" i="1" s="1"/>
  <c r="D698" i="1"/>
  <c r="D697" i="1"/>
  <c r="D696" i="1"/>
  <c r="D695" i="1"/>
  <c r="D687" i="1"/>
  <c r="D694" i="1"/>
  <c r="D690" i="1"/>
  <c r="D689" i="1"/>
  <c r="D688" i="1"/>
  <c r="D686" i="1"/>
  <c r="D685" i="1"/>
  <c r="D684" i="1"/>
  <c r="K442" i="1"/>
  <c r="D942" i="1"/>
  <c r="D941" i="1"/>
  <c r="D951" i="1"/>
  <c r="G951" i="1" s="1"/>
  <c r="D950" i="1"/>
  <c r="G950" i="1" s="1"/>
  <c r="D949" i="1"/>
  <c r="G949" i="1" s="1"/>
  <c r="D948" i="1"/>
  <c r="G948" i="1" s="1"/>
  <c r="D947" i="1"/>
  <c r="G947" i="1" s="1"/>
  <c r="D946" i="1"/>
  <c r="G946" i="1" s="1"/>
  <c r="D945" i="1"/>
  <c r="G945" i="1" s="1"/>
  <c r="D944" i="1"/>
  <c r="G944" i="1" s="1"/>
  <c r="D932" i="1"/>
  <c r="G932" i="1" s="1"/>
  <c r="D933" i="1"/>
  <c r="G933" i="1" s="1"/>
  <c r="D931" i="1"/>
  <c r="G931" i="1" s="1"/>
  <c r="D930" i="1"/>
  <c r="G930" i="1" s="1"/>
  <c r="D927" i="1"/>
  <c r="G927" i="1" s="1"/>
  <c r="D926" i="1"/>
  <c r="G926" i="1" s="1"/>
  <c r="K918" i="1"/>
  <c r="A945" i="1"/>
  <c r="A946" i="1" s="1"/>
  <c r="A947" i="1" s="1"/>
  <c r="A948" i="1" s="1"/>
  <c r="A949" i="1" s="1"/>
  <c r="A950" i="1" s="1"/>
  <c r="A951" i="1" s="1"/>
  <c r="H944" i="1"/>
  <c r="D929" i="1"/>
  <c r="G929" i="1" s="1"/>
  <c r="D928" i="1"/>
  <c r="G928" i="1" s="1"/>
  <c r="A927" i="1"/>
  <c r="A928" i="1" s="1"/>
  <c r="A929" i="1" s="1"/>
  <c r="A930" i="1" s="1"/>
  <c r="A931" i="1" s="1"/>
  <c r="A932" i="1" s="1"/>
  <c r="A933" i="1" s="1"/>
  <c r="H926" i="1"/>
  <c r="D915" i="1"/>
  <c r="G915" i="1" s="1"/>
  <c r="D914" i="1"/>
  <c r="G914" i="1" s="1"/>
  <c r="G913" i="1"/>
  <c r="G912" i="1"/>
  <c r="D911" i="1"/>
  <c r="G911" i="1" s="1"/>
  <c r="D910" i="1"/>
  <c r="G910" i="1" s="1"/>
  <c r="D909" i="1"/>
  <c r="G909" i="1" s="1"/>
  <c r="A909" i="1"/>
  <c r="A910" i="1" s="1"/>
  <c r="A911" i="1" s="1"/>
  <c r="A912" i="1" s="1"/>
  <c r="A913" i="1" s="1"/>
  <c r="A914" i="1" s="1"/>
  <c r="A915" i="1" s="1"/>
  <c r="H908" i="1"/>
  <c r="D908" i="1"/>
  <c r="G908" i="1" s="1"/>
  <c r="D826" i="1"/>
  <c r="D825" i="1"/>
  <c r="D758" i="1"/>
  <c r="D757" i="1"/>
  <c r="D749" i="1"/>
  <c r="D748" i="1"/>
  <c r="L848" i="1"/>
  <c r="K848" i="1"/>
  <c r="F896" i="1"/>
  <c r="D1045" i="1"/>
  <c r="G1045" i="1" s="1"/>
  <c r="D1044" i="1"/>
  <c r="F1044" i="1"/>
  <c r="D1043" i="1"/>
  <c r="G1043" i="1" s="1"/>
  <c r="D1042" i="1"/>
  <c r="G1042" i="1" s="1"/>
  <c r="D1041" i="1"/>
  <c r="G1041" i="1" s="1"/>
  <c r="D1040" i="1"/>
  <c r="G1040" i="1" s="1"/>
  <c r="D1039" i="1"/>
  <c r="G1039" i="1" s="1"/>
  <c r="D1038" i="1"/>
  <c r="G1038" i="1" s="1"/>
  <c r="D1034" i="1"/>
  <c r="G1034" i="1" s="1"/>
  <c r="D1033" i="1"/>
  <c r="G1033" i="1" s="1"/>
  <c r="D1032" i="1"/>
  <c r="G1032" i="1" s="1"/>
  <c r="D1031" i="1"/>
  <c r="G1031" i="1" s="1"/>
  <c r="D1030" i="1"/>
  <c r="G1030" i="1" s="1"/>
  <c r="D1029" i="1"/>
  <c r="G1029" i="1" s="1"/>
  <c r="D1025" i="1"/>
  <c r="G1025" i="1" s="1"/>
  <c r="D1024" i="1"/>
  <c r="G1024" i="1" s="1"/>
  <c r="D1023" i="1"/>
  <c r="G1023" i="1" s="1"/>
  <c r="D1022" i="1"/>
  <c r="G1022" i="1" s="1"/>
  <c r="D1021" i="1"/>
  <c r="G1021" i="1" s="1"/>
  <c r="D1020" i="1"/>
  <c r="G1020" i="1" s="1"/>
  <c r="D1014" i="1"/>
  <c r="G1014" i="1" s="1"/>
  <c r="D1013" i="1"/>
  <c r="G1013" i="1" s="1"/>
  <c r="D1016" i="1"/>
  <c r="G1016" i="1" s="1"/>
  <c r="D1015" i="1"/>
  <c r="G1015" i="1" s="1"/>
  <c r="D1012" i="1"/>
  <c r="G1012" i="1" s="1"/>
  <c r="D1011" i="1"/>
  <c r="G1011" i="1" s="1"/>
  <c r="D1007" i="1"/>
  <c r="D1006" i="1"/>
  <c r="D1005" i="1"/>
  <c r="D1004" i="1"/>
  <c r="A1039" i="1"/>
  <c r="A1040" i="1" s="1"/>
  <c r="A1041" i="1" s="1"/>
  <c r="A1042" i="1" s="1"/>
  <c r="A1043" i="1" s="1"/>
  <c r="A1044" i="1" s="1"/>
  <c r="A1045" i="1" s="1"/>
  <c r="H1038" i="1"/>
  <c r="A1030" i="1"/>
  <c r="A1031" i="1" s="1"/>
  <c r="A1032" i="1" s="1"/>
  <c r="A1033" i="1" s="1"/>
  <c r="A1034" i="1" s="1"/>
  <c r="A1035" i="1" s="1"/>
  <c r="A1036" i="1" s="1"/>
  <c r="H1029" i="1"/>
  <c r="A1021" i="1"/>
  <c r="A1022" i="1" s="1"/>
  <c r="A1023" i="1" s="1"/>
  <c r="A1024" i="1" s="1"/>
  <c r="A1025" i="1" s="1"/>
  <c r="A1026" i="1" s="1"/>
  <c r="A1027" i="1" s="1"/>
  <c r="H1020" i="1"/>
  <c r="A1012" i="1"/>
  <c r="A1013" i="1" s="1"/>
  <c r="A1014" i="1" s="1"/>
  <c r="A1015" i="1" s="1"/>
  <c r="A1016" i="1" s="1"/>
  <c r="A1017" i="1" s="1"/>
  <c r="A1018" i="1" s="1"/>
  <c r="H1011" i="1"/>
  <c r="D998" i="1"/>
  <c r="G998" i="1" s="1"/>
  <c r="D997" i="1"/>
  <c r="G997" i="1" s="1"/>
  <c r="D1003" i="1"/>
  <c r="D1002" i="1"/>
  <c r="D996" i="1"/>
  <c r="G996" i="1" s="1"/>
  <c r="D995" i="1"/>
  <c r="G995" i="1" s="1"/>
  <c r="D994" i="1"/>
  <c r="G994" i="1" s="1"/>
  <c r="D993" i="1"/>
  <c r="A994" i="1"/>
  <c r="A995" i="1" s="1"/>
  <c r="A996" i="1" s="1"/>
  <c r="A997" i="1" s="1"/>
  <c r="A998" i="1" s="1"/>
  <c r="A999" i="1" s="1"/>
  <c r="A1000" i="1" s="1"/>
  <c r="H993" i="1"/>
  <c r="L144" i="1" l="1"/>
  <c r="D180" i="1"/>
  <c r="C180" i="1"/>
  <c r="G993" i="1"/>
  <c r="F134" i="1"/>
  <c r="K123" i="1" s="1"/>
  <c r="C132" i="1" s="1"/>
  <c r="D135" i="1"/>
  <c r="H134" i="1"/>
  <c r="G1044" i="1"/>
  <c r="D988" i="1"/>
  <c r="G988" i="1" s="1"/>
  <c r="D989" i="1"/>
  <c r="G989" i="1" s="1"/>
  <c r="D987" i="1"/>
  <c r="G987" i="1" s="1"/>
  <c r="D986" i="1"/>
  <c r="G986" i="1" s="1"/>
  <c r="H986" i="1"/>
  <c r="A987" i="1"/>
  <c r="A988" i="1" s="1"/>
  <c r="A989" i="1" s="1"/>
  <c r="D984" i="1"/>
  <c r="G984" i="1" s="1"/>
  <c r="D983" i="1"/>
  <c r="G983" i="1" s="1"/>
  <c r="D981" i="1"/>
  <c r="G981" i="1" s="1"/>
  <c r="D980" i="1"/>
  <c r="G980" i="1" s="1"/>
  <c r="D976" i="1"/>
  <c r="G976" i="1" s="1"/>
  <c r="D975" i="1"/>
  <c r="G975" i="1" s="1"/>
  <c r="D967" i="1"/>
  <c r="G967" i="1" s="1"/>
  <c r="D966" i="1"/>
  <c r="G966" i="1" s="1"/>
  <c r="D969" i="1"/>
  <c r="G969" i="1" s="1"/>
  <c r="D968" i="1"/>
  <c r="G968" i="1" s="1"/>
  <c r="D965" i="1"/>
  <c r="G965" i="1" s="1"/>
  <c r="D964" i="1"/>
  <c r="G964" i="1" s="1"/>
  <c r="D963" i="1"/>
  <c r="G963" i="1" s="1"/>
  <c r="D962" i="1"/>
  <c r="G962" i="1" s="1"/>
  <c r="A963" i="1"/>
  <c r="A964" i="1" s="1"/>
  <c r="A965" i="1" s="1"/>
  <c r="A966" i="1" s="1"/>
  <c r="A967" i="1" s="1"/>
  <c r="A968" i="1" s="1"/>
  <c r="A969" i="1" s="1"/>
  <c r="H962" i="1"/>
  <c r="D978" i="1"/>
  <c r="G978" i="1" s="1"/>
  <c r="D977" i="1"/>
  <c r="G977" i="1" s="1"/>
  <c r="D974" i="1"/>
  <c r="G974" i="1" s="1"/>
  <c r="D973" i="1"/>
  <c r="G973" i="1" s="1"/>
  <c r="D972" i="1"/>
  <c r="G972" i="1" s="1"/>
  <c r="D971" i="1"/>
  <c r="G971" i="1" s="1"/>
  <c r="D954" i="1"/>
  <c r="G954" i="1" s="1"/>
  <c r="D953" i="1"/>
  <c r="G953" i="1" s="1"/>
  <c r="D960" i="1"/>
  <c r="G960" i="1" s="1"/>
  <c r="D959" i="1"/>
  <c r="G959" i="1" s="1"/>
  <c r="D956" i="1"/>
  <c r="G956" i="1" s="1"/>
  <c r="D955" i="1"/>
  <c r="G955" i="1" s="1"/>
  <c r="G942" i="1"/>
  <c r="G941" i="1"/>
  <c r="D938" i="1"/>
  <c r="G938" i="1" s="1"/>
  <c r="D937" i="1"/>
  <c r="G937" i="1" s="1"/>
  <c r="D936" i="1"/>
  <c r="G936" i="1" s="1"/>
  <c r="D935" i="1"/>
  <c r="G935" i="1" s="1"/>
  <c r="A972" i="1"/>
  <c r="A973" i="1" s="1"/>
  <c r="A974" i="1" s="1"/>
  <c r="A975" i="1" s="1"/>
  <c r="A976" i="1" s="1"/>
  <c r="A977" i="1" s="1"/>
  <c r="A978" i="1" s="1"/>
  <c r="H971" i="1"/>
  <c r="G958" i="1"/>
  <c r="G957" i="1"/>
  <c r="A954" i="1"/>
  <c r="A955" i="1" s="1"/>
  <c r="A956" i="1" s="1"/>
  <c r="A957" i="1" s="1"/>
  <c r="A958" i="1" s="1"/>
  <c r="A959" i="1" s="1"/>
  <c r="A960" i="1" s="1"/>
  <c r="H953" i="1"/>
  <c r="G940" i="1"/>
  <c r="G939" i="1"/>
  <c r="A936" i="1"/>
  <c r="A937" i="1" s="1"/>
  <c r="A938" i="1" s="1"/>
  <c r="A939" i="1" s="1"/>
  <c r="A940" i="1" s="1"/>
  <c r="A941" i="1" s="1"/>
  <c r="A942" i="1" s="1"/>
  <c r="H935" i="1"/>
  <c r="D924" i="1"/>
  <c r="G924" i="1" s="1"/>
  <c r="D923" i="1"/>
  <c r="G923" i="1" s="1"/>
  <c r="D922" i="1"/>
  <c r="G922" i="1" s="1"/>
  <c r="D921" i="1"/>
  <c r="G921" i="1" s="1"/>
  <c r="D920" i="1"/>
  <c r="G920" i="1" s="1"/>
  <c r="D919" i="1"/>
  <c r="G919" i="1" s="1"/>
  <c r="D918" i="1"/>
  <c r="G918" i="1" s="1"/>
  <c r="D917" i="1"/>
  <c r="G917" i="1" s="1"/>
  <c r="D906" i="1"/>
  <c r="G906" i="1" s="1"/>
  <c r="D905" i="1"/>
  <c r="G905" i="1" s="1"/>
  <c r="D904" i="1"/>
  <c r="G904" i="1" s="1"/>
  <c r="D903" i="1"/>
  <c r="G903" i="1" s="1"/>
  <c r="D902" i="1"/>
  <c r="G902" i="1" s="1"/>
  <c r="D901" i="1"/>
  <c r="G901" i="1" s="1"/>
  <c r="D900" i="1"/>
  <c r="G900" i="1" s="1"/>
  <c r="D899" i="1"/>
  <c r="G899" i="1" s="1"/>
  <c r="D893" i="1"/>
  <c r="D892" i="1"/>
  <c r="F897" i="1"/>
  <c r="F895" i="1"/>
  <c r="F894" i="1"/>
  <c r="F893" i="1"/>
  <c r="F892" i="1"/>
  <c r="F891" i="1"/>
  <c r="F890" i="1"/>
  <c r="D891" i="1"/>
  <c r="D890" i="1"/>
  <c r="D897" i="1"/>
  <c r="D896" i="1"/>
  <c r="G896" i="1" s="1"/>
  <c r="D895" i="1"/>
  <c r="D894" i="1"/>
  <c r="D861" i="1"/>
  <c r="D870" i="1"/>
  <c r="D879" i="1"/>
  <c r="D888" i="1"/>
  <c r="A918" i="1"/>
  <c r="A919" i="1" s="1"/>
  <c r="A920" i="1" s="1"/>
  <c r="A921" i="1" s="1"/>
  <c r="A922" i="1" s="1"/>
  <c r="A923" i="1" s="1"/>
  <c r="A924" i="1" s="1"/>
  <c r="H917" i="1"/>
  <c r="A900" i="1"/>
  <c r="A901" i="1" s="1"/>
  <c r="A902" i="1" s="1"/>
  <c r="A903" i="1" s="1"/>
  <c r="A904" i="1" s="1"/>
  <c r="A905" i="1" s="1"/>
  <c r="A906" i="1" s="1"/>
  <c r="H899" i="1"/>
  <c r="A891" i="1"/>
  <c r="A892" i="1" s="1"/>
  <c r="A893" i="1" s="1"/>
  <c r="A894" i="1" s="1"/>
  <c r="A895" i="1" s="1"/>
  <c r="A896" i="1" s="1"/>
  <c r="A897" i="1" s="1"/>
  <c r="H890" i="1"/>
  <c r="F888" i="1"/>
  <c r="F887" i="1"/>
  <c r="D887" i="1"/>
  <c r="F886" i="1"/>
  <c r="D886" i="1"/>
  <c r="F885" i="1"/>
  <c r="D885" i="1"/>
  <c r="F882" i="1"/>
  <c r="D882" i="1"/>
  <c r="A882" i="1"/>
  <c r="A883" i="1" s="1"/>
  <c r="A884" i="1" s="1"/>
  <c r="A885" i="1" s="1"/>
  <c r="A886" i="1" s="1"/>
  <c r="A887" i="1" s="1"/>
  <c r="A888" i="1" s="1"/>
  <c r="H881" i="1"/>
  <c r="F881" i="1"/>
  <c r="D881" i="1"/>
  <c r="A981" i="1"/>
  <c r="A983" i="1" s="1"/>
  <c r="A984" i="1" s="1"/>
  <c r="H980" i="1"/>
  <c r="F879" i="1"/>
  <c r="F878" i="1"/>
  <c r="F877" i="1"/>
  <c r="F876" i="1"/>
  <c r="F870" i="1"/>
  <c r="F869" i="1"/>
  <c r="F868" i="1"/>
  <c r="F867" i="1"/>
  <c r="D878" i="1"/>
  <c r="D877" i="1"/>
  <c r="D876" i="1"/>
  <c r="F873" i="1"/>
  <c r="D873" i="1"/>
  <c r="F872" i="1"/>
  <c r="D872" i="1"/>
  <c r="D869" i="1"/>
  <c r="D868" i="1"/>
  <c r="D867" i="1"/>
  <c r="F864" i="1"/>
  <c r="D864" i="1"/>
  <c r="F863" i="1"/>
  <c r="D863" i="1"/>
  <c r="A873" i="1"/>
  <c r="A874" i="1" s="1"/>
  <c r="A875" i="1" s="1"/>
  <c r="A876" i="1" s="1"/>
  <c r="A877" i="1" s="1"/>
  <c r="A878" i="1" s="1"/>
  <c r="A879" i="1" s="1"/>
  <c r="H872" i="1"/>
  <c r="A864" i="1"/>
  <c r="A865" i="1" s="1"/>
  <c r="A866" i="1" s="1"/>
  <c r="A867" i="1" s="1"/>
  <c r="A868" i="1" s="1"/>
  <c r="A869" i="1" s="1"/>
  <c r="A870" i="1" s="1"/>
  <c r="H863" i="1"/>
  <c r="G1007" i="1"/>
  <c r="G1006" i="1"/>
  <c r="G1005" i="1"/>
  <c r="G1004" i="1"/>
  <c r="G1003" i="1"/>
  <c r="A1003" i="1"/>
  <c r="A1004" i="1" s="1"/>
  <c r="A1005" i="1" s="1"/>
  <c r="A1006" i="1" s="1"/>
  <c r="A1007" i="1" s="1"/>
  <c r="A1008" i="1" s="1"/>
  <c r="A1009" i="1" s="1"/>
  <c r="H1002" i="1"/>
  <c r="G1002" i="1"/>
  <c r="D860" i="1"/>
  <c r="G860" i="1" s="1"/>
  <c r="D859" i="1"/>
  <c r="G859" i="1" s="1"/>
  <c r="D858" i="1"/>
  <c r="G858" i="1" s="1"/>
  <c r="D855" i="1"/>
  <c r="D854" i="1"/>
  <c r="G861" i="1"/>
  <c r="F855" i="1"/>
  <c r="F854" i="1"/>
  <c r="H854" i="1"/>
  <c r="A855" i="1"/>
  <c r="A856" i="1" s="1"/>
  <c r="A857" i="1" s="1"/>
  <c r="A858" i="1" s="1"/>
  <c r="A859" i="1" s="1"/>
  <c r="A860" i="1" s="1"/>
  <c r="A861" i="1" s="1"/>
  <c r="C48" i="1"/>
  <c r="L149" i="1" l="1"/>
  <c r="L150" i="1" s="1"/>
  <c r="C149" i="1"/>
  <c r="G180" i="1"/>
  <c r="D179" i="1"/>
  <c r="G879" i="1"/>
  <c r="G869" i="1"/>
  <c r="G870" i="1"/>
  <c r="G876" i="1"/>
  <c r="C179" i="1"/>
  <c r="G891" i="1"/>
  <c r="G892" i="1"/>
  <c r="G881" i="1"/>
  <c r="G868" i="1"/>
  <c r="G882" i="1"/>
  <c r="G877" i="1"/>
  <c r="G872" i="1"/>
  <c r="G873" i="1"/>
  <c r="G886" i="1"/>
  <c r="G887" i="1"/>
  <c r="G888" i="1"/>
  <c r="G894" i="1"/>
  <c r="G895" i="1"/>
  <c r="G885" i="1"/>
  <c r="G893" i="1"/>
  <c r="G890" i="1"/>
  <c r="G863" i="1"/>
  <c r="G878" i="1"/>
  <c r="G867" i="1"/>
  <c r="G864" i="1"/>
  <c r="G897" i="1"/>
  <c r="G855" i="1"/>
  <c r="G854" i="1"/>
  <c r="C87" i="1"/>
  <c r="F148" i="1" l="1"/>
  <c r="K137" i="1" s="1"/>
  <c r="C146" i="1" s="1"/>
  <c r="D149" i="1"/>
  <c r="H148" i="1"/>
  <c r="G179" i="1"/>
  <c r="C73" i="1"/>
  <c r="F3" i="1" l="1"/>
  <c r="C109" i="1"/>
  <c r="D220" i="1" l="1"/>
  <c r="D192" i="1"/>
  <c r="D191" i="1"/>
  <c r="D203" i="1"/>
  <c r="D196" i="1"/>
  <c r="D197" i="1"/>
  <c r="D198" i="1"/>
  <c r="D200" i="1"/>
  <c r="D201" i="1"/>
  <c r="D202" i="1"/>
  <c r="D189" i="1"/>
  <c r="D188" i="1"/>
  <c r="D844" i="1" l="1"/>
  <c r="G844" i="1" s="1"/>
  <c r="D850" i="1"/>
  <c r="G850" i="1" s="1"/>
  <c r="D849" i="1"/>
  <c r="G849" i="1" s="1"/>
  <c r="D848" i="1"/>
  <c r="G848" i="1" s="1"/>
  <c r="D847" i="1"/>
  <c r="G847" i="1" s="1"/>
  <c r="D846" i="1"/>
  <c r="G846" i="1" s="1"/>
  <c r="D845" i="1"/>
  <c r="G845" i="1" s="1"/>
  <c r="H843" i="1"/>
  <c r="D841" i="1"/>
  <c r="G841" i="1" s="1"/>
  <c r="D840" i="1"/>
  <c r="G840" i="1" s="1"/>
  <c r="D839" i="1"/>
  <c r="G839" i="1" s="1"/>
  <c r="D838" i="1"/>
  <c r="G838" i="1" s="1"/>
  <c r="D837" i="1"/>
  <c r="G837" i="1" s="1"/>
  <c r="D836" i="1"/>
  <c r="G836" i="1" s="1"/>
  <c r="H834" i="1"/>
  <c r="D832" i="1"/>
  <c r="G832" i="1" s="1"/>
  <c r="D831" i="1"/>
  <c r="G831" i="1" s="1"/>
  <c r="D830" i="1"/>
  <c r="G830" i="1" s="1"/>
  <c r="D829" i="1"/>
  <c r="G829" i="1" s="1"/>
  <c r="D828" i="1"/>
  <c r="G828" i="1" s="1"/>
  <c r="D827" i="1"/>
  <c r="G827" i="1" s="1"/>
  <c r="G826" i="1"/>
  <c r="H825" i="1"/>
  <c r="G825" i="1"/>
  <c r="D805" i="1"/>
  <c r="G805" i="1" s="1"/>
  <c r="D804" i="1"/>
  <c r="G804" i="1" s="1"/>
  <c r="D803" i="1"/>
  <c r="G803" i="1" s="1"/>
  <c r="D802" i="1"/>
  <c r="G802" i="1" s="1"/>
  <c r="G801" i="1"/>
  <c r="H799" i="1"/>
  <c r="D814" i="1"/>
  <c r="G814" i="1" s="1"/>
  <c r="D813" i="1"/>
  <c r="G813" i="1" s="1"/>
  <c r="D812" i="1"/>
  <c r="G812" i="1" s="1"/>
  <c r="D811" i="1"/>
  <c r="G811" i="1" s="1"/>
  <c r="D810" i="1"/>
  <c r="G810" i="1" s="1"/>
  <c r="D809" i="1"/>
  <c r="G809" i="1" s="1"/>
  <c r="G808" i="1"/>
  <c r="H807" i="1"/>
  <c r="G807" i="1"/>
  <c r="D773" i="1"/>
  <c r="G773" i="1" s="1"/>
  <c r="D772" i="1"/>
  <c r="G772" i="1" s="1"/>
  <c r="D771" i="1"/>
  <c r="G771" i="1" s="1"/>
  <c r="D770" i="1"/>
  <c r="G770" i="1" s="1"/>
  <c r="D769" i="1"/>
  <c r="G769" i="1" s="1"/>
  <c r="D768" i="1"/>
  <c r="G768" i="1" s="1"/>
  <c r="H766" i="1"/>
  <c r="D764" i="1"/>
  <c r="G764" i="1" s="1"/>
  <c r="D763" i="1"/>
  <c r="G763" i="1" s="1"/>
  <c r="D762" i="1"/>
  <c r="G762" i="1" s="1"/>
  <c r="D761" i="1"/>
  <c r="G761" i="1" s="1"/>
  <c r="D760" i="1"/>
  <c r="G760" i="1" s="1"/>
  <c r="D759" i="1"/>
  <c r="G759" i="1" s="1"/>
  <c r="G758" i="1"/>
  <c r="H757" i="1"/>
  <c r="G757" i="1"/>
  <c r="G749" i="1"/>
  <c r="G748" i="1"/>
  <c r="D751" i="1"/>
  <c r="G751" i="1" s="1"/>
  <c r="D750" i="1"/>
  <c r="G750" i="1" s="1"/>
  <c r="D755" i="1"/>
  <c r="G755" i="1" s="1"/>
  <c r="D754" i="1"/>
  <c r="G754" i="1" s="1"/>
  <c r="D753" i="1"/>
  <c r="G753" i="1" s="1"/>
  <c r="D752" i="1"/>
  <c r="G752" i="1" s="1"/>
  <c r="H748" i="1"/>
  <c r="D746" i="1"/>
  <c r="G746" i="1" s="1"/>
  <c r="D745" i="1"/>
  <c r="G745" i="1" s="1"/>
  <c r="D744" i="1"/>
  <c r="G744" i="1" s="1"/>
  <c r="D743" i="1"/>
  <c r="G743" i="1" s="1"/>
  <c r="D742" i="1"/>
  <c r="G742" i="1" s="1"/>
  <c r="D741" i="1"/>
  <c r="G741" i="1" s="1"/>
  <c r="H741" i="1"/>
  <c r="D738" i="1"/>
  <c r="D737" i="1"/>
  <c r="D726" i="1"/>
  <c r="D725" i="1"/>
  <c r="D724" i="1"/>
  <c r="D682" i="1"/>
  <c r="D681" i="1"/>
  <c r="D680" i="1"/>
  <c r="D679" i="1"/>
  <c r="D678" i="1"/>
  <c r="D674" i="1"/>
  <c r="D673" i="1"/>
  <c r="D672" i="1"/>
  <c r="D671" i="1"/>
  <c r="D670" i="1"/>
  <c r="D669" i="1"/>
  <c r="D668" i="1"/>
  <c r="D666" i="1"/>
  <c r="D665" i="1"/>
  <c r="D664" i="1"/>
  <c r="D663" i="1"/>
  <c r="D662" i="1"/>
  <c r="D661" i="1"/>
  <c r="D660" i="1"/>
  <c r="D659" i="1"/>
  <c r="D657" i="1"/>
  <c r="D656" i="1"/>
  <c r="D655" i="1"/>
  <c r="D654" i="1"/>
  <c r="D653" i="1"/>
  <c r="D652" i="1"/>
  <c r="D650" i="1"/>
  <c r="D649" i="1"/>
  <c r="D648" i="1"/>
  <c r="D647" i="1"/>
  <c r="D643" i="1"/>
  <c r="D642" i="1"/>
  <c r="D641" i="1"/>
  <c r="D640" i="1"/>
  <c r="D639" i="1"/>
  <c r="D638" i="1"/>
  <c r="D636" i="1"/>
  <c r="D635" i="1"/>
  <c r="D634" i="1"/>
  <c r="D633" i="1"/>
  <c r="D632" i="1"/>
  <c r="D631" i="1"/>
  <c r="D629" i="1"/>
  <c r="D628" i="1"/>
  <c r="D627" i="1"/>
  <c r="D626" i="1"/>
  <c r="D625" i="1"/>
  <c r="D624" i="1"/>
  <c r="D622" i="1"/>
  <c r="D621" i="1"/>
  <c r="D620" i="1"/>
  <c r="D619" i="1"/>
  <c r="D618" i="1"/>
  <c r="D617" i="1"/>
  <c r="D615" i="1"/>
  <c r="D614" i="1"/>
  <c r="D613" i="1"/>
  <c r="D612" i="1"/>
  <c r="D611" i="1"/>
  <c r="D610" i="1"/>
  <c r="D608" i="1"/>
  <c r="D607" i="1"/>
  <c r="D606" i="1"/>
  <c r="D605" i="1"/>
  <c r="D604" i="1"/>
  <c r="D603" i="1"/>
  <c r="D601" i="1"/>
  <c r="D600" i="1"/>
  <c r="D599" i="1"/>
  <c r="D598" i="1"/>
  <c r="D596" i="1"/>
  <c r="D595" i="1"/>
  <c r="D594" i="1"/>
  <c r="D593" i="1"/>
  <c r="D178" i="1" l="1"/>
  <c r="C178" i="1"/>
  <c r="C177" i="1"/>
  <c r="D177" i="1"/>
  <c r="D589" i="1"/>
  <c r="D588" i="1"/>
  <c r="D587" i="1"/>
  <c r="D586" i="1"/>
  <c r="D585" i="1"/>
  <c r="D583" i="1"/>
  <c r="D582" i="1"/>
  <c r="D579" i="1"/>
  <c r="D578" i="1"/>
  <c r="D577" i="1"/>
  <c r="D576" i="1"/>
  <c r="D574" i="1"/>
  <c r="D570" i="1"/>
  <c r="D569" i="1"/>
  <c r="D568" i="1"/>
  <c r="D567" i="1"/>
  <c r="D565" i="1"/>
  <c r="D564" i="1"/>
  <c r="D561" i="1"/>
  <c r="D560" i="1"/>
  <c r="D558" i="1"/>
  <c r="D557" i="1"/>
  <c r="D555" i="1"/>
  <c r="D554" i="1"/>
  <c r="D551" i="1"/>
  <c r="D550" i="1"/>
  <c r="D549" i="1"/>
  <c r="D548" i="1"/>
  <c r="D546" i="1"/>
  <c r="D545" i="1"/>
  <c r="D542" i="1"/>
  <c r="D541" i="1"/>
  <c r="D540" i="1"/>
  <c r="D539" i="1"/>
  <c r="D533" i="1"/>
  <c r="D532" i="1"/>
  <c r="D531" i="1"/>
  <c r="D530" i="1"/>
  <c r="D528" i="1"/>
  <c r="D527" i="1"/>
  <c r="D524" i="1"/>
  <c r="D523" i="1"/>
  <c r="D522" i="1"/>
  <c r="D521" i="1"/>
  <c r="D520" i="1"/>
  <c r="D519" i="1"/>
  <c r="D517" i="1"/>
  <c r="D516" i="1"/>
  <c r="D513" i="1"/>
  <c r="D512" i="1"/>
  <c r="D511" i="1"/>
  <c r="D510" i="1"/>
  <c r="D509" i="1"/>
  <c r="D508" i="1"/>
  <c r="D500" i="1"/>
  <c r="D499" i="1"/>
  <c r="D498" i="1"/>
  <c r="D497" i="1"/>
  <c r="D496" i="1"/>
  <c r="D494" i="1" l="1"/>
  <c r="D493" i="1"/>
  <c r="D492" i="1"/>
  <c r="D480" i="1" l="1"/>
  <c r="D477" i="1"/>
  <c r="D479" i="1"/>
  <c r="D478" i="1"/>
  <c r="D476" i="1"/>
  <c r="D474" i="1"/>
  <c r="D473" i="1"/>
  <c r="D472" i="1"/>
  <c r="D490" i="1"/>
  <c r="D489" i="1"/>
  <c r="D487" i="1"/>
  <c r="D486" i="1"/>
  <c r="D484" i="1"/>
  <c r="D483" i="1"/>
  <c r="D470" i="1"/>
  <c r="D469" i="1"/>
  <c r="D468" i="1"/>
  <c r="D467" i="1"/>
  <c r="D466" i="1"/>
  <c r="D465" i="1"/>
  <c r="D459" i="1"/>
  <c r="D458" i="1"/>
  <c r="D455" i="1"/>
  <c r="D454" i="1"/>
  <c r="D453" i="1"/>
  <c r="D452" i="1"/>
  <c r="D451" i="1"/>
  <c r="D448" i="1"/>
  <c r="D443" i="1"/>
  <c r="D442" i="1"/>
  <c r="D441" i="1"/>
  <c r="D440" i="1"/>
  <c r="D437" i="1"/>
  <c r="D432" i="1"/>
  <c r="D430" i="1"/>
  <c r="D429" i="1"/>
  <c r="D426" i="1"/>
  <c r="D421" i="1"/>
  <c r="D415" i="1"/>
  <c r="D410" i="1"/>
  <c r="D408" i="1"/>
  <c r="D407" i="1"/>
  <c r="D404" i="1"/>
  <c r="D399" i="1"/>
  <c r="G399" i="1" s="1"/>
  <c r="D397" i="1"/>
  <c r="D396" i="1"/>
  <c r="D393" i="1"/>
  <c r="D388" i="1"/>
  <c r="D386" i="1"/>
  <c r="D385" i="1"/>
  <c r="D382" i="1"/>
  <c r="D377" i="1"/>
  <c r="D375" i="1"/>
  <c r="D374" i="1"/>
  <c r="D371" i="1"/>
  <c r="D366" i="1"/>
  <c r="D364" i="1"/>
  <c r="D363" i="1"/>
  <c r="D353" i="1"/>
  <c r="D352" i="1"/>
  <c r="D349" i="1"/>
  <c r="D345" i="1"/>
  <c r="D344" i="1"/>
  <c r="D340" i="1"/>
  <c r="D336" i="1"/>
  <c r="D334" i="1"/>
  <c r="D335" i="1"/>
  <c r="D333" i="1"/>
  <c r="D331" i="1"/>
  <c r="D330" i="1"/>
  <c r="D329" i="1"/>
  <c r="D328" i="1"/>
  <c r="D327" i="1"/>
  <c r="D326" i="1"/>
  <c r="D325" i="1"/>
  <c r="D324" i="1"/>
  <c r="C175" i="1" l="1"/>
  <c r="D175" i="1"/>
  <c r="D322" i="1"/>
  <c r="D321" i="1"/>
  <c r="D320" i="1"/>
  <c r="D319" i="1"/>
  <c r="D318" i="1"/>
  <c r="D317" i="1"/>
  <c r="D316" i="1"/>
  <c r="D315" i="1"/>
  <c r="D311" i="1"/>
  <c r="D310" i="1"/>
  <c r="D309" i="1"/>
  <c r="D308" i="1"/>
  <c r="D307" i="1"/>
  <c r="D306" i="1"/>
  <c r="D305" i="1"/>
  <c r="D304" i="1"/>
  <c r="D302" i="1"/>
  <c r="D301" i="1"/>
  <c r="D300" i="1"/>
  <c r="D299" i="1"/>
  <c r="D298" i="1"/>
  <c r="D297" i="1"/>
  <c r="D296" i="1"/>
  <c r="D295" i="1"/>
  <c r="D293" i="1"/>
  <c r="D289" i="1"/>
  <c r="D288" i="1"/>
  <c r="D287" i="1"/>
  <c r="D286" i="1"/>
  <c r="D284" i="1"/>
  <c r="D283" i="1"/>
  <c r="D282" i="1"/>
  <c r="D281" i="1"/>
  <c r="D280" i="1"/>
  <c r="D279" i="1"/>
  <c r="D278" i="1"/>
  <c r="D277" i="1"/>
  <c r="D265" i="1"/>
  <c r="D264" i="1"/>
  <c r="D263" i="1"/>
  <c r="D275" i="1"/>
  <c r="D274" i="1"/>
  <c r="D273" i="1"/>
  <c r="D272" i="1"/>
  <c r="F270" i="1"/>
  <c r="D270" i="1"/>
  <c r="F269" i="1"/>
  <c r="D269" i="1"/>
  <c r="D268" i="1"/>
  <c r="D266" i="1"/>
  <c r="D261" i="1"/>
  <c r="D260" i="1"/>
  <c r="D259" i="1"/>
  <c r="D257" i="1"/>
  <c r="D252" i="1"/>
  <c r="D251" i="1"/>
  <c r="D250" i="1"/>
  <c r="D248" i="1"/>
  <c r="D247" i="1"/>
  <c r="D246" i="1"/>
  <c r="D245" i="1"/>
  <c r="D243" i="1"/>
  <c r="D242" i="1"/>
  <c r="D241" i="1"/>
  <c r="D239" i="1"/>
  <c r="D238" i="1"/>
  <c r="D237" i="1"/>
  <c r="D236" i="1"/>
  <c r="D234" i="1"/>
  <c r="D233" i="1"/>
  <c r="D232" i="1"/>
  <c r="D230" i="1"/>
  <c r="D229" i="1"/>
  <c r="D228" i="1"/>
  <c r="D227" i="1"/>
  <c r="D225" i="1"/>
  <c r="D224" i="1"/>
  <c r="D223" i="1"/>
  <c r="D221" i="1"/>
  <c r="D219" i="1"/>
  <c r="D218" i="1"/>
  <c r="D216" i="1"/>
  <c r="D215" i="1"/>
  <c r="D214" i="1"/>
  <c r="D212" i="1"/>
  <c r="D211" i="1"/>
  <c r="D210" i="1"/>
  <c r="D209" i="1"/>
  <c r="D207" i="1"/>
  <c r="D206" i="1"/>
  <c r="D205" i="1"/>
  <c r="D174" i="1" l="1"/>
  <c r="C174" i="1"/>
  <c r="G574" i="1"/>
  <c r="D575" i="1"/>
  <c r="G575" i="1" s="1"/>
  <c r="D572" i="1"/>
  <c r="G572" i="1" s="1"/>
  <c r="G265" i="1" l="1"/>
  <c r="G266" i="1"/>
  <c r="L257" i="1"/>
  <c r="G264" i="1"/>
  <c r="G263" i="1"/>
  <c r="M257" i="1" s="1"/>
  <c r="N257" i="1" s="1"/>
  <c r="G261" i="1"/>
  <c r="L253" i="1"/>
  <c r="G260" i="1"/>
  <c r="H259" i="1"/>
  <c r="G259" i="1"/>
  <c r="M253" i="1" s="1"/>
  <c r="N253" i="1" s="1"/>
  <c r="O253" i="1" l="1"/>
  <c r="O257" i="1"/>
  <c r="G561" i="1"/>
  <c r="G560" i="1"/>
  <c r="D559" i="1"/>
  <c r="G559" i="1" s="1"/>
  <c r="G558" i="1"/>
  <c r="G557" i="1"/>
  <c r="D556" i="1"/>
  <c r="G556" i="1" s="1"/>
  <c r="G555" i="1"/>
  <c r="G554" i="1"/>
  <c r="L547" i="1"/>
  <c r="H553" i="1"/>
  <c r="D553" i="1"/>
  <c r="G553" i="1" s="1"/>
  <c r="M547" i="1" s="1"/>
  <c r="N547" i="1" s="1"/>
  <c r="G570" i="1"/>
  <c r="G569" i="1"/>
  <c r="G568" i="1"/>
  <c r="G567" i="1"/>
  <c r="D566" i="1"/>
  <c r="G566" i="1" s="1"/>
  <c r="G565" i="1"/>
  <c r="G564" i="1"/>
  <c r="L557" i="1"/>
  <c r="H563" i="1"/>
  <c r="D563" i="1"/>
  <c r="G563" i="1" s="1"/>
  <c r="M557" i="1" s="1"/>
  <c r="N557" i="1" s="1"/>
  <c r="G579" i="1"/>
  <c r="G578" i="1"/>
  <c r="G577" i="1"/>
  <c r="G576" i="1"/>
  <c r="L566" i="1"/>
  <c r="H572" i="1"/>
  <c r="M566" i="1"/>
  <c r="N566" i="1" s="1"/>
  <c r="G586" i="1"/>
  <c r="G588" i="1"/>
  <c r="G583" i="1"/>
  <c r="G582" i="1"/>
  <c r="G589" i="1"/>
  <c r="G587" i="1"/>
  <c r="G585" i="1"/>
  <c r="D584" i="1"/>
  <c r="G584" i="1" s="1"/>
  <c r="L575" i="1"/>
  <c r="H581" i="1"/>
  <c r="D581" i="1"/>
  <c r="G581" i="1" s="1"/>
  <c r="M575" i="1" s="1"/>
  <c r="N575" i="1" s="1"/>
  <c r="G546" i="1"/>
  <c r="G545" i="1"/>
  <c r="D547" i="1"/>
  <c r="G547" i="1" s="1"/>
  <c r="D544" i="1"/>
  <c r="G544" i="1" s="1"/>
  <c r="M538" i="1" s="1"/>
  <c r="N538" i="1" s="1"/>
  <c r="G551" i="1"/>
  <c r="G550" i="1"/>
  <c r="G549" i="1"/>
  <c r="G548" i="1"/>
  <c r="L538" i="1"/>
  <c r="H544" i="1"/>
  <c r="G541" i="1"/>
  <c r="G540" i="1"/>
  <c r="G542" i="1"/>
  <c r="G539" i="1"/>
  <c r="L529" i="1"/>
  <c r="H535" i="1"/>
  <c r="M529" i="1"/>
  <c r="N529" i="1" s="1"/>
  <c r="G523" i="1"/>
  <c r="G520" i="1"/>
  <c r="G532" i="1"/>
  <c r="G524" i="1"/>
  <c r="G522" i="1"/>
  <c r="G521" i="1"/>
  <c r="G519" i="1"/>
  <c r="D518" i="1"/>
  <c r="G518" i="1" s="1"/>
  <c r="G517" i="1"/>
  <c r="G516" i="1"/>
  <c r="L509" i="1"/>
  <c r="H515" i="1"/>
  <c r="D515" i="1"/>
  <c r="G515" i="1" s="1"/>
  <c r="M509" i="1" s="1"/>
  <c r="N509" i="1" s="1"/>
  <c r="G511" i="1"/>
  <c r="G510" i="1"/>
  <c r="G513" i="1"/>
  <c r="G512" i="1"/>
  <c r="G509" i="1"/>
  <c r="G508" i="1"/>
  <c r="M498" i="1"/>
  <c r="N498" i="1" s="1"/>
  <c r="L498" i="1"/>
  <c r="H504" i="1"/>
  <c r="G499" i="1"/>
  <c r="G497" i="1"/>
  <c r="G469" i="1"/>
  <c r="G466" i="1"/>
  <c r="G500" i="1"/>
  <c r="G498" i="1"/>
  <c r="G496" i="1"/>
  <c r="D495" i="1"/>
  <c r="G495" i="1" s="1"/>
  <c r="G494" i="1"/>
  <c r="G493" i="1"/>
  <c r="H492" i="1"/>
  <c r="G492" i="1"/>
  <c r="M486" i="1" s="1"/>
  <c r="N486" i="1" s="1"/>
  <c r="L486" i="1"/>
  <c r="G533" i="1"/>
  <c r="D529" i="1"/>
  <c r="G529" i="1" s="1"/>
  <c r="G528" i="1"/>
  <c r="D526" i="1"/>
  <c r="G526" i="1" s="1"/>
  <c r="M520" i="1" s="1"/>
  <c r="N520" i="1" s="1"/>
  <c r="G531" i="1"/>
  <c r="G530" i="1"/>
  <c r="G527" i="1"/>
  <c r="L520" i="1"/>
  <c r="H526" i="1"/>
  <c r="G480" i="1"/>
  <c r="G479" i="1"/>
  <c r="G478" i="1"/>
  <c r="G477" i="1"/>
  <c r="G476" i="1"/>
  <c r="D475" i="1"/>
  <c r="G475" i="1" s="1"/>
  <c r="G474" i="1"/>
  <c r="G473" i="1"/>
  <c r="L466" i="1"/>
  <c r="H472" i="1"/>
  <c r="G472" i="1"/>
  <c r="M466" i="1" s="1"/>
  <c r="N466" i="1" s="1"/>
  <c r="G490" i="1"/>
  <c r="G489" i="1"/>
  <c r="D488" i="1"/>
  <c r="G488" i="1" s="1"/>
  <c r="G487" i="1"/>
  <c r="G486" i="1"/>
  <c r="D485" i="1"/>
  <c r="G485" i="1" s="1"/>
  <c r="G484" i="1"/>
  <c r="G483" i="1"/>
  <c r="L476" i="1"/>
  <c r="H482" i="1"/>
  <c r="D482" i="1"/>
  <c r="G482" i="1" s="1"/>
  <c r="M476" i="1" s="1"/>
  <c r="N476" i="1" s="1"/>
  <c r="G470" i="1"/>
  <c r="G468" i="1"/>
  <c r="G467" i="1"/>
  <c r="G465" i="1"/>
  <c r="L455" i="1"/>
  <c r="H461" i="1"/>
  <c r="M455" i="1"/>
  <c r="N455" i="1" s="1"/>
  <c r="D457" i="1"/>
  <c r="G457" i="1" s="1"/>
  <c r="D456" i="1"/>
  <c r="G456" i="1" s="1"/>
  <c r="G458" i="1"/>
  <c r="G454" i="1"/>
  <c r="G455" i="1"/>
  <c r="G453" i="1"/>
  <c r="D450" i="1"/>
  <c r="G450" i="1" s="1"/>
  <c r="M444" i="1" s="1"/>
  <c r="N444" i="1" s="1"/>
  <c r="G459" i="1"/>
  <c r="G452" i="1"/>
  <c r="G451" i="1"/>
  <c r="L444" i="1"/>
  <c r="H450" i="1"/>
  <c r="G448" i="1"/>
  <c r="G443" i="1"/>
  <c r="G442" i="1"/>
  <c r="G441" i="1"/>
  <c r="G440" i="1"/>
  <c r="L433" i="1"/>
  <c r="H439" i="1"/>
  <c r="D439" i="1"/>
  <c r="G439" i="1" s="1"/>
  <c r="M433" i="1" s="1"/>
  <c r="N433" i="1" s="1"/>
  <c r="G437" i="1"/>
  <c r="G432" i="1"/>
  <c r="D431" i="1"/>
  <c r="G431" i="1" s="1"/>
  <c r="G430" i="1"/>
  <c r="G429" i="1"/>
  <c r="L422" i="1"/>
  <c r="H428" i="1"/>
  <c r="D428" i="1"/>
  <c r="G428" i="1" s="1"/>
  <c r="M422" i="1" s="1"/>
  <c r="N422" i="1" s="1"/>
  <c r="G426" i="1"/>
  <c r="G421" i="1"/>
  <c r="L411" i="1"/>
  <c r="H417" i="1"/>
  <c r="M411" i="1"/>
  <c r="N411" i="1" s="1"/>
  <c r="G415" i="1"/>
  <c r="G410" i="1"/>
  <c r="D409" i="1"/>
  <c r="G409" i="1" s="1"/>
  <c r="G408" i="1"/>
  <c r="G407" i="1"/>
  <c r="L400" i="1"/>
  <c r="H406" i="1"/>
  <c r="D406" i="1"/>
  <c r="G406" i="1" s="1"/>
  <c r="M400" i="1" s="1"/>
  <c r="N400" i="1" s="1"/>
  <c r="G404" i="1"/>
  <c r="D398" i="1"/>
  <c r="G398" i="1" s="1"/>
  <c r="G397" i="1"/>
  <c r="G396" i="1"/>
  <c r="L389" i="1"/>
  <c r="H395" i="1"/>
  <c r="D395" i="1"/>
  <c r="G395" i="1" s="1"/>
  <c r="M389" i="1" s="1"/>
  <c r="N389" i="1" s="1"/>
  <c r="G393" i="1"/>
  <c r="G388" i="1"/>
  <c r="D387" i="1"/>
  <c r="G387" i="1" s="1"/>
  <c r="G386" i="1"/>
  <c r="G385" i="1"/>
  <c r="L378" i="1"/>
  <c r="H384" i="1"/>
  <c r="D384" i="1"/>
  <c r="G384" i="1" s="1"/>
  <c r="M378" i="1" s="1"/>
  <c r="N378" i="1" s="1"/>
  <c r="G382" i="1"/>
  <c r="G377" i="1"/>
  <c r="D376" i="1"/>
  <c r="G376" i="1" s="1"/>
  <c r="G375" i="1"/>
  <c r="G374" i="1"/>
  <c r="L367" i="1"/>
  <c r="H373" i="1"/>
  <c r="D373" i="1"/>
  <c r="G373" i="1" s="1"/>
  <c r="M367" i="1" s="1"/>
  <c r="N367" i="1" s="1"/>
  <c r="G366" i="1"/>
  <c r="G371" i="1"/>
  <c r="D365" i="1"/>
  <c r="G365" i="1" s="1"/>
  <c r="G364" i="1"/>
  <c r="G363" i="1"/>
  <c r="L356" i="1"/>
  <c r="H362" i="1"/>
  <c r="D362" i="1"/>
  <c r="G362" i="1" s="1"/>
  <c r="M356" i="1" s="1"/>
  <c r="N356" i="1" s="1"/>
  <c r="G360" i="1"/>
  <c r="D354" i="1"/>
  <c r="G353" i="1"/>
  <c r="G352" i="1"/>
  <c r="D351" i="1"/>
  <c r="L345" i="1"/>
  <c r="H351" i="1"/>
  <c r="G349" i="1"/>
  <c r="L341" i="1"/>
  <c r="H347" i="1"/>
  <c r="M341" i="1"/>
  <c r="N341" i="1" s="1"/>
  <c r="G345" i="1"/>
  <c r="L338" i="1"/>
  <c r="H344" i="1"/>
  <c r="C176" i="1" l="1"/>
  <c r="C181" i="1" s="1"/>
  <c r="D176" i="1"/>
  <c r="G354" i="1"/>
  <c r="G351" i="1"/>
  <c r="M345" i="1" s="1"/>
  <c r="N345" i="1" s="1"/>
  <c r="O345" i="1" s="1"/>
  <c r="G344" i="1"/>
  <c r="G175" i="1" s="1"/>
  <c r="O529" i="1"/>
  <c r="O444" i="1"/>
  <c r="O422" i="1"/>
  <c r="O538" i="1"/>
  <c r="O557" i="1"/>
  <c r="O509" i="1"/>
  <c r="O547" i="1"/>
  <c r="O566" i="1"/>
  <c r="O575" i="1"/>
  <c r="O455" i="1"/>
  <c r="O367" i="1"/>
  <c r="O498" i="1"/>
  <c r="O486" i="1"/>
  <c r="O378" i="1"/>
  <c r="O389" i="1"/>
  <c r="O466" i="1"/>
  <c r="O520" i="1"/>
  <c r="O400" i="1"/>
  <c r="O411" i="1"/>
  <c r="O476" i="1"/>
  <c r="O433" i="1"/>
  <c r="O356" i="1"/>
  <c r="O341" i="1"/>
  <c r="G340" i="1"/>
  <c r="L331" i="1"/>
  <c r="M331" i="1"/>
  <c r="N331" i="1" s="1"/>
  <c r="G336" i="1"/>
  <c r="G335" i="1"/>
  <c r="G334" i="1"/>
  <c r="L327" i="1"/>
  <c r="H333" i="1"/>
  <c r="G333" i="1"/>
  <c r="M327" i="1" s="1"/>
  <c r="N327" i="1" s="1"/>
  <c r="G331" i="1"/>
  <c r="G330" i="1"/>
  <c r="G329" i="1"/>
  <c r="G328" i="1"/>
  <c r="M322" i="1" s="1"/>
  <c r="N322" i="1" s="1"/>
  <c r="G327" i="1"/>
  <c r="G326" i="1"/>
  <c r="G325" i="1"/>
  <c r="G324" i="1"/>
  <c r="M318" i="1" s="1"/>
  <c r="N318" i="1" s="1"/>
  <c r="L322" i="1"/>
  <c r="L318" i="1"/>
  <c r="H324" i="1"/>
  <c r="G320" i="1"/>
  <c r="G319" i="1"/>
  <c r="M313" i="1" s="1"/>
  <c r="N313" i="1" s="1"/>
  <c r="G318" i="1"/>
  <c r="G317" i="1"/>
  <c r="G316" i="1"/>
  <c r="G315" i="1"/>
  <c r="M309" i="1" s="1"/>
  <c r="N309" i="1" s="1"/>
  <c r="G322" i="1"/>
  <c r="G321" i="1"/>
  <c r="L313" i="1"/>
  <c r="L309" i="1"/>
  <c r="H315" i="1"/>
  <c r="G311" i="1"/>
  <c r="G310" i="1"/>
  <c r="G309" i="1"/>
  <c r="G308" i="1"/>
  <c r="M302" i="1" s="1"/>
  <c r="N302" i="1" s="1"/>
  <c r="G307" i="1"/>
  <c r="L302" i="1"/>
  <c r="G306" i="1"/>
  <c r="G305" i="1"/>
  <c r="L298" i="1"/>
  <c r="H304" i="1"/>
  <c r="G304" i="1"/>
  <c r="M298" i="1" s="1"/>
  <c r="N298" i="1" s="1"/>
  <c r="G302" i="1"/>
  <c r="G301" i="1"/>
  <c r="G300" i="1"/>
  <c r="G299" i="1"/>
  <c r="M293" i="1" s="1"/>
  <c r="N293" i="1" s="1"/>
  <c r="G298" i="1"/>
  <c r="G297" i="1"/>
  <c r="G296" i="1"/>
  <c r="G295" i="1"/>
  <c r="M289" i="1" s="1"/>
  <c r="N289" i="1" s="1"/>
  <c r="L293" i="1"/>
  <c r="L289" i="1"/>
  <c r="H295" i="1"/>
  <c r="G293" i="1"/>
  <c r="G289" i="1"/>
  <c r="G288" i="1"/>
  <c r="G287" i="1"/>
  <c r="G286" i="1"/>
  <c r="M280" i="1" s="1"/>
  <c r="N280" i="1" s="1"/>
  <c r="L284" i="1"/>
  <c r="M284" i="1"/>
  <c r="N284" i="1" s="1"/>
  <c r="L280" i="1"/>
  <c r="H286" i="1"/>
  <c r="G284" i="1"/>
  <c r="G283" i="1"/>
  <c r="G282" i="1"/>
  <c r="G281" i="1"/>
  <c r="M275" i="1" s="1"/>
  <c r="N275" i="1" s="1"/>
  <c r="G280" i="1"/>
  <c r="G279" i="1"/>
  <c r="G278" i="1"/>
  <c r="G277" i="1"/>
  <c r="M271" i="1" s="1"/>
  <c r="N271" i="1" s="1"/>
  <c r="L275" i="1"/>
  <c r="L271" i="1"/>
  <c r="H277" i="1"/>
  <c r="G273" i="1"/>
  <c r="G246" i="1"/>
  <c r="G237" i="1"/>
  <c r="G228" i="1"/>
  <c r="G210" i="1"/>
  <c r="G268" i="1"/>
  <c r="M262" i="1" s="1"/>
  <c r="N262" i="1" s="1"/>
  <c r="G275" i="1"/>
  <c r="G274" i="1"/>
  <c r="L266" i="1"/>
  <c r="G272" i="1"/>
  <c r="M266" i="1" s="1"/>
  <c r="N266" i="1" s="1"/>
  <c r="G270" i="1"/>
  <c r="G269" i="1"/>
  <c r="L262" i="1"/>
  <c r="H268" i="1"/>
  <c r="G257" i="1"/>
  <c r="L248" i="1"/>
  <c r="M248" i="1"/>
  <c r="N248" i="1" s="1"/>
  <c r="G252" i="1"/>
  <c r="G251" i="1"/>
  <c r="L244" i="1"/>
  <c r="H250" i="1"/>
  <c r="G250" i="1"/>
  <c r="M244" i="1" s="1"/>
  <c r="N244" i="1" s="1"/>
  <c r="G248" i="1"/>
  <c r="G247" i="1"/>
  <c r="L239" i="1"/>
  <c r="G245" i="1"/>
  <c r="M239" i="1" s="1"/>
  <c r="N239" i="1" s="1"/>
  <c r="G243" i="1"/>
  <c r="G242" i="1"/>
  <c r="L235" i="1"/>
  <c r="H241" i="1"/>
  <c r="G241" i="1"/>
  <c r="M235" i="1" s="1"/>
  <c r="N235" i="1" s="1"/>
  <c r="G238" i="1"/>
  <c r="G239" i="1"/>
  <c r="G236" i="1"/>
  <c r="M230" i="1" s="1"/>
  <c r="N230" i="1" s="1"/>
  <c r="G230" i="1"/>
  <c r="G229" i="1"/>
  <c r="K222" i="1" s="1"/>
  <c r="G227" i="1"/>
  <c r="M221" i="1" s="1"/>
  <c r="N221" i="1" s="1"/>
  <c r="G221" i="1"/>
  <c r="G220" i="1"/>
  <c r="G219" i="1"/>
  <c r="G218" i="1"/>
  <c r="M212" i="1" s="1"/>
  <c r="N212" i="1" s="1"/>
  <c r="G211" i="1"/>
  <c r="G209" i="1"/>
  <c r="M203" i="1" s="1"/>
  <c r="N203" i="1" s="1"/>
  <c r="L230" i="1"/>
  <c r="G234" i="1"/>
  <c r="G233" i="1"/>
  <c r="L226" i="1"/>
  <c r="H232" i="1"/>
  <c r="G232" i="1"/>
  <c r="M226" i="1" s="1"/>
  <c r="N226" i="1" s="1"/>
  <c r="L221" i="1"/>
  <c r="G225" i="1"/>
  <c r="G224" i="1"/>
  <c r="L217" i="1"/>
  <c r="H223" i="1"/>
  <c r="G223" i="1"/>
  <c r="M217" i="1" s="1"/>
  <c r="N217" i="1" s="1"/>
  <c r="L212" i="1"/>
  <c r="G216" i="1"/>
  <c r="G215" i="1"/>
  <c r="L208" i="1"/>
  <c r="H214" i="1"/>
  <c r="G214" i="1"/>
  <c r="M208" i="1" s="1"/>
  <c r="N208" i="1" s="1"/>
  <c r="G212" i="1"/>
  <c r="G207" i="1"/>
  <c r="G206" i="1"/>
  <c r="G205" i="1"/>
  <c r="M199" i="1" s="1"/>
  <c r="N199" i="1" s="1"/>
  <c r="L203" i="1"/>
  <c r="L199" i="1"/>
  <c r="H205" i="1"/>
  <c r="G203" i="1"/>
  <c r="G202" i="1"/>
  <c r="G201" i="1"/>
  <c r="G200" i="1"/>
  <c r="M194" i="1" s="1"/>
  <c r="N194" i="1" s="1"/>
  <c r="G198" i="1"/>
  <c r="G197" i="1"/>
  <c r="G196" i="1"/>
  <c r="M190" i="1" s="1"/>
  <c r="N190" i="1" s="1"/>
  <c r="L194" i="1"/>
  <c r="L190" i="1"/>
  <c r="H196" i="1"/>
  <c r="L186" i="1"/>
  <c r="M186" i="1"/>
  <c r="N186" i="1" s="1"/>
  <c r="G192" i="1"/>
  <c r="L184" i="1"/>
  <c r="H191" i="1"/>
  <c r="G191" i="1"/>
  <c r="M184" i="1" s="1"/>
  <c r="N184" i="1" s="1"/>
  <c r="G189" i="1"/>
  <c r="L181" i="1"/>
  <c r="H188" i="1"/>
  <c r="G176" i="1" l="1"/>
  <c r="D181" i="1"/>
  <c r="G188" i="1"/>
  <c r="G174" i="1" s="1"/>
  <c r="M338" i="1"/>
  <c r="N338" i="1" s="1"/>
  <c r="O338" i="1" s="1"/>
  <c r="O313" i="1"/>
  <c r="O322" i="1"/>
  <c r="O235" i="1"/>
  <c r="O212" i="1"/>
  <c r="O199" i="1"/>
  <c r="O298" i="1"/>
  <c r="O230" i="1"/>
  <c r="O266" i="1"/>
  <c r="O208" i="1"/>
  <c r="O280" i="1"/>
  <c r="O309" i="1"/>
  <c r="O239" i="1"/>
  <c r="O289" i="1"/>
  <c r="O262" i="1"/>
  <c r="O248" i="1"/>
  <c r="O226" i="1"/>
  <c r="O327" i="1"/>
  <c r="O331" i="1"/>
  <c r="O318" i="1"/>
  <c r="O302" i="1"/>
  <c r="O293" i="1"/>
  <c r="O284" i="1"/>
  <c r="O271" i="1"/>
  <c r="O275" i="1"/>
  <c r="O244" i="1"/>
  <c r="O217" i="1"/>
  <c r="O221" i="1"/>
  <c r="O203" i="1"/>
  <c r="O190" i="1"/>
  <c r="O194" i="1"/>
  <c r="O186" i="1"/>
  <c r="O184" i="1"/>
  <c r="G171" i="1"/>
  <c r="M181" i="1" l="1"/>
  <c r="N181" i="1" s="1"/>
  <c r="O181" i="1" s="1"/>
  <c r="L587" i="1"/>
  <c r="L160" i="1" l="1"/>
  <c r="D66" i="1" l="1"/>
  <c r="F41" i="1"/>
  <c r="F42" i="1" s="1"/>
  <c r="H603" i="1" l="1"/>
  <c r="G739" i="1"/>
  <c r="G738" i="1"/>
  <c r="G737" i="1" l="1"/>
  <c r="G178" i="1" s="1"/>
  <c r="G595" i="1"/>
  <c r="G594" i="1"/>
  <c r="G648" i="1"/>
  <c r="G647" i="1"/>
  <c r="G649" i="1"/>
  <c r="G653" i="1"/>
  <c r="G652" i="1"/>
  <c r="G639" i="1"/>
  <c r="G638" i="1"/>
  <c r="G632" i="1"/>
  <c r="G631" i="1"/>
  <c r="G625" i="1"/>
  <c r="G624" i="1"/>
  <c r="K618" i="1" s="1"/>
  <c r="G618" i="1"/>
  <c r="G617" i="1"/>
  <c r="G611" i="1"/>
  <c r="G610" i="1"/>
  <c r="G604" i="1"/>
  <c r="G603" i="1"/>
  <c r="G664" i="1"/>
  <c r="G666" i="1"/>
  <c r="G665" i="1"/>
  <c r="G656" i="1"/>
  <c r="G642" i="1"/>
  <c r="G635" i="1"/>
  <c r="G628" i="1"/>
  <c r="G621" i="1"/>
  <c r="G607" i="1"/>
  <c r="G614" i="1"/>
  <c r="G606" i="1"/>
  <c r="G605" i="1"/>
  <c r="G613" i="1"/>
  <c r="G612" i="1"/>
  <c r="G620" i="1"/>
  <c r="G619" i="1"/>
  <c r="G627" i="1"/>
  <c r="G626" i="1"/>
  <c r="G634" i="1"/>
  <c r="G633" i="1"/>
  <c r="G641" i="1"/>
  <c r="G640" i="1"/>
  <c r="G655" i="1"/>
  <c r="G654" i="1"/>
  <c r="G662" i="1"/>
  <c r="G661" i="1"/>
  <c r="G663" i="1"/>
  <c r="G660" i="1"/>
  <c r="G659" i="1"/>
  <c r="G657" i="1"/>
  <c r="G650" i="1"/>
  <c r="G643" i="1"/>
  <c r="G636" i="1"/>
  <c r="G629" i="1"/>
  <c r="K623" i="1" s="1"/>
  <c r="G622" i="1"/>
  <c r="G615" i="1"/>
  <c r="G608" i="1"/>
  <c r="G596" i="1"/>
  <c r="G601" i="1"/>
  <c r="G600" i="1"/>
  <c r="G599" i="1"/>
  <c r="G598" i="1"/>
  <c r="H659" i="1"/>
  <c r="G726" i="1"/>
  <c r="G725" i="1"/>
  <c r="G724" i="1"/>
  <c r="G723" i="1"/>
  <c r="G698" i="1"/>
  <c r="G697" i="1"/>
  <c r="G696" i="1"/>
  <c r="G695" i="1"/>
  <c r="G694" i="1"/>
  <c r="G687" i="1"/>
  <c r="G686" i="1"/>
  <c r="G685" i="1"/>
  <c r="G684" i="1"/>
  <c r="G689" i="1"/>
  <c r="G690" i="1"/>
  <c r="G688" i="1"/>
  <c r="G682" i="1"/>
  <c r="G681" i="1"/>
  <c r="G680" i="1"/>
  <c r="G679" i="1"/>
  <c r="G678" i="1"/>
  <c r="G674" i="1"/>
  <c r="G673" i="1"/>
  <c r="G672" i="1"/>
  <c r="G671" i="1"/>
  <c r="G670" i="1"/>
  <c r="G669" i="1"/>
  <c r="G668" i="1"/>
  <c r="H721" i="1"/>
  <c r="H692" i="1"/>
  <c r="H684" i="1"/>
  <c r="H676" i="1"/>
  <c r="G593" i="1" l="1"/>
  <c r="G177" i="1" s="1"/>
  <c r="L120" i="1"/>
  <c r="L119" i="1"/>
  <c r="L118" i="1"/>
  <c r="L117" i="1"/>
  <c r="L106" i="1"/>
  <c r="L105" i="1"/>
  <c r="L104" i="1"/>
  <c r="L102" i="1"/>
  <c r="H737" i="1"/>
  <c r="H668" i="1"/>
  <c r="H652" i="1"/>
  <c r="H645" i="1"/>
  <c r="H638" i="1"/>
  <c r="H631" i="1"/>
  <c r="H624" i="1"/>
  <c r="H617" i="1"/>
  <c r="H610" i="1"/>
  <c r="H598" i="1"/>
  <c r="H593" i="1"/>
  <c r="I117" i="1"/>
  <c r="I102" i="1"/>
  <c r="M587" i="1" l="1"/>
  <c r="N587" i="1" s="1"/>
  <c r="O587" i="1" s="1"/>
  <c r="G181" i="1"/>
  <c r="L114" i="1"/>
  <c r="C120" i="1" s="1"/>
  <c r="L112" i="1"/>
  <c r="L115" i="1"/>
  <c r="D128" i="1"/>
  <c r="D126" i="1"/>
  <c r="D124" i="1"/>
  <c r="D122" i="1"/>
  <c r="L113" i="1"/>
  <c r="D129" i="1"/>
  <c r="D127" i="1"/>
  <c r="D125" i="1"/>
  <c r="D123" i="1"/>
  <c r="L100" i="1"/>
  <c r="L99" i="1"/>
  <c r="C106" i="1" s="1"/>
  <c r="D106" i="1" s="1"/>
  <c r="L97" i="1"/>
  <c r="D114" i="1"/>
  <c r="L98" i="1"/>
  <c r="D115" i="1"/>
  <c r="D113" i="1"/>
  <c r="D111" i="1"/>
  <c r="D109" i="1"/>
  <c r="D112" i="1"/>
  <c r="D110" i="1"/>
  <c r="D108" i="1"/>
  <c r="L101" i="1" l="1"/>
  <c r="L107" i="1" s="1"/>
  <c r="L116" i="1"/>
  <c r="L121" i="1" s="1"/>
  <c r="L122" i="1" s="1"/>
  <c r="C121" i="1" s="1"/>
  <c r="D121" i="1" s="1"/>
  <c r="D120" i="1"/>
  <c r="H120" i="1" l="1"/>
  <c r="F120" i="1"/>
  <c r="K109" i="1" s="1"/>
  <c r="C118" i="1" s="1"/>
  <c r="L108" i="1"/>
  <c r="L91" i="1"/>
  <c r="L90" i="1"/>
  <c r="L89" i="1"/>
  <c r="L88" i="1"/>
  <c r="L75" i="1"/>
  <c r="L74" i="1"/>
  <c r="L73" i="1"/>
  <c r="L72" i="1"/>
  <c r="I86" i="1"/>
  <c r="I72" i="1"/>
  <c r="F106" i="1" l="1"/>
  <c r="K94" i="1" s="1"/>
  <c r="H106" i="1"/>
  <c r="D107" i="1"/>
  <c r="D97" i="1"/>
  <c r="L84" i="1"/>
  <c r="D100" i="1"/>
  <c r="D98" i="1"/>
  <c r="D96" i="1"/>
  <c r="D94" i="1"/>
  <c r="L85" i="1"/>
  <c r="C91" i="1" s="1"/>
  <c r="D91" i="1" s="1"/>
  <c r="L83" i="1"/>
  <c r="L86" i="1"/>
  <c r="L87" i="1" s="1"/>
  <c r="L92" i="1" s="1"/>
  <c r="L93" i="1" s="1"/>
  <c r="C92" i="1" s="1"/>
  <c r="D95" i="1"/>
  <c r="D99" i="1"/>
  <c r="D93" i="1"/>
  <c r="C77" i="1"/>
  <c r="D77" i="1" s="1"/>
  <c r="L68" i="1"/>
  <c r="D84" i="1"/>
  <c r="D82" i="1"/>
  <c r="D80" i="1"/>
  <c r="D78" i="1"/>
  <c r="L69" i="1"/>
  <c r="L67" i="1"/>
  <c r="D83" i="1"/>
  <c r="D81" i="1"/>
  <c r="L70" i="1"/>
  <c r="L71" i="1" s="1"/>
  <c r="L76" i="1" s="1"/>
  <c r="L77" i="1" s="1"/>
  <c r="C76" i="1" s="1"/>
  <c r="D79" i="1"/>
  <c r="F11" i="17"/>
  <c r="G10" i="17"/>
  <c r="F10" i="17"/>
  <c r="G9" i="17"/>
  <c r="F9" i="17"/>
  <c r="G8" i="17"/>
  <c r="F8" i="17"/>
  <c r="G7" i="17"/>
  <c r="F7" i="17"/>
  <c r="G6" i="17"/>
  <c r="F6" i="17"/>
  <c r="G5" i="17"/>
  <c r="F5" i="17"/>
  <c r="G15" i="16"/>
  <c r="B15" i="16" s="1"/>
  <c r="B7" i="16"/>
  <c r="H15" i="16" s="1"/>
  <c r="B16" i="16" s="1"/>
  <c r="D6" i="16"/>
  <c r="C5" i="16"/>
  <c r="B11" i="16" s="1"/>
  <c r="H48" i="1"/>
  <c r="F7" i="1"/>
  <c r="G15" i="14"/>
  <c r="G16" i="14" s="1"/>
  <c r="C15" i="14" s="1"/>
  <c r="B7" i="14"/>
  <c r="D7" i="14" s="1"/>
  <c r="D6" i="14"/>
  <c r="C5" i="14"/>
  <c r="B8" i="14"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B11" i="14"/>
  <c r="L16" i="14" s="1"/>
  <c r="C20" i="14" s="1"/>
  <c r="B10" i="14"/>
  <c r="K16" i="14" s="1"/>
  <c r="C19" i="14" s="1"/>
  <c r="B9" i="14" l="1"/>
  <c r="D9" i="14" s="1"/>
  <c r="B12" i="14"/>
  <c r="M16" i="14" s="1"/>
  <c r="C21" i="14" s="1"/>
  <c r="J15" i="14"/>
  <c r="B18" i="14" s="1"/>
  <c r="G11" i="17"/>
  <c r="I15" i="14"/>
  <c r="B17" i="14" s="1"/>
  <c r="D8" i="14"/>
  <c r="I16" i="14"/>
  <c r="C17" i="14" s="1"/>
  <c r="M34" i="11"/>
  <c r="L34" i="11" s="1"/>
  <c r="D12" i="14"/>
  <c r="M15" i="14"/>
  <c r="B21" i="14" s="1"/>
  <c r="J16" i="14"/>
  <c r="C18" i="14" s="1"/>
  <c r="D11" i="14"/>
  <c r="B15" i="14"/>
  <c r="J35" i="12"/>
  <c r="I35" i="12" s="1"/>
  <c r="K15" i="14"/>
  <c r="B19" i="14" s="1"/>
  <c r="F34" i="11"/>
  <c r="E34" i="11" s="1"/>
  <c r="F35" i="12"/>
  <c r="E35" i="12" s="1"/>
  <c r="M35" i="12"/>
  <c r="L35" i="12" s="1"/>
  <c r="G35" i="13"/>
  <c r="F35" i="13" s="1"/>
  <c r="N35" i="13"/>
  <c r="M35" i="13" s="1"/>
  <c r="J34" i="11"/>
  <c r="I34" i="11" s="1"/>
  <c r="K35" i="13"/>
  <c r="J35" i="13" s="1"/>
  <c r="D10" i="14"/>
  <c r="D11" i="16"/>
  <c r="L15" i="16"/>
  <c r="B20" i="16" s="1"/>
  <c r="L16" i="16"/>
  <c r="C20" i="16" s="1"/>
  <c r="H16" i="14"/>
  <c r="C16" i="14" s="1"/>
  <c r="L15" i="14"/>
  <c r="B20" i="14" s="1"/>
  <c r="B8" i="16"/>
  <c r="H15" i="14"/>
  <c r="B16" i="14" s="1"/>
  <c r="G16" i="16"/>
  <c r="C15" i="16" s="1"/>
  <c r="B9" i="16"/>
  <c r="B10" i="16"/>
  <c r="B12" i="16"/>
  <c r="D7" i="16"/>
  <c r="H16" i="16"/>
  <c r="C16" i="16" s="1"/>
  <c r="C75" i="1"/>
  <c r="H75" i="1" s="1"/>
  <c r="F91" i="1"/>
  <c r="K78" i="1" s="1"/>
  <c r="D92" i="1"/>
  <c r="H91" i="1"/>
  <c r="F75" i="1"/>
  <c r="D76" i="1"/>
  <c r="C22" i="14" l="1"/>
  <c r="B22" i="14"/>
  <c r="M16" i="16"/>
  <c r="C21" i="16" s="1"/>
  <c r="D12" i="16"/>
  <c r="M15" i="16"/>
  <c r="B21" i="16" s="1"/>
  <c r="K16" i="16"/>
  <c r="C19" i="16" s="1"/>
  <c r="K15" i="16"/>
  <c r="B19" i="16" s="1"/>
  <c r="D10" i="16"/>
  <c r="D8" i="16"/>
  <c r="I15" i="16"/>
  <c r="B17" i="16" s="1"/>
  <c r="I16" i="16"/>
  <c r="C17" i="16" s="1"/>
  <c r="J15" i="16"/>
  <c r="B18" i="16" s="1"/>
  <c r="J16" i="16"/>
  <c r="C18" i="16" s="1"/>
  <c r="D9" i="16"/>
  <c r="D75" i="1"/>
  <c r="K64" i="1" s="1"/>
  <c r="C22" i="16" l="1"/>
  <c r="B22" i="16"/>
</calcChain>
</file>

<file path=xl/sharedStrings.xml><?xml version="1.0" encoding="utf-8"?>
<sst xmlns="http://schemas.openxmlformats.org/spreadsheetml/2006/main" count="1529" uniqueCount="418">
  <si>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</si>
  <si>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</si>
  <si>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</si>
  <si>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</si>
  <si>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</si>
  <si>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</si>
  <si>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</si>
  <si>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</si>
  <si>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</si>
  <si>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</si>
  <si>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</si>
  <si>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</si>
  <si>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</si>
  <si>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</si>
  <si>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</si>
  <si>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</si>
  <si>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</si>
  <si>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</si>
  <si>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</si>
  <si>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</si>
  <si>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</si>
  <si>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</si>
  <si>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</si>
  <si>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</si>
  <si>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</si>
  <si>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</si>
  <si>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</si>
  <si>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</si>
  <si>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</si>
  <si>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</si>
  <si>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</si>
  <si>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</si>
  <si>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</si>
  <si>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</si>
  <si>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</si>
  <si>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</si>
  <si>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</si>
  <si>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</si>
  <si>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</si>
  <si>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</si>
  <si>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Quality of construction: Good</t>
  </si>
  <si>
    <t>Violations Observed if any : 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</si>
  <si>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</si>
  <si>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</si>
  <si>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</si>
  <si>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</si>
  <si>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</si>
  <si>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</si>
  <si>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</si>
  <si>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</si>
  <si>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</si>
  <si>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</si>
  <si>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</si>
  <si>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</si>
  <si>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</si>
  <si>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</si>
  <si>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</si>
  <si>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</si>
  <si>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</si>
  <si>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</si>
  <si>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</si>
  <si>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</si>
  <si>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</si>
  <si>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C.certificate No  </t>
  </si>
  <si>
    <t>Expected Completion</t>
  </si>
  <si>
    <t>Approved no of units residential</t>
  </si>
  <si>
    <t>Approved no of Floors</t>
  </si>
  <si>
    <t>Distress valuation of the property Per Sq. Ft.</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</si>
  <si>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</si>
  <si>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</si>
  <si>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</si>
  <si>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</si>
  <si>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</si>
  <si>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</si>
  <si>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</si>
  <si>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</si>
  <si>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</si>
  <si>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</si>
  <si>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</si>
  <si>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</si>
  <si>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</si>
  <si>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</si>
  <si>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</si>
  <si>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</si>
  <si>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</si>
  <si>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</si>
  <si>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</si>
  <si>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</si>
  <si>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</si>
  <si>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</si>
  <si>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</si>
  <si>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</si>
  <si>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</si>
  <si>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</si>
  <si>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</si>
  <si>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</si>
  <si>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Contect Details ( Name &amp; Contect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</si>
  <si>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</si>
  <si>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</si>
  <si>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</si>
  <si>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</si>
  <si>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</si>
  <si>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</si>
  <si>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</si>
  <si>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</si>
  <si>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</si>
  <si>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</si>
  <si>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</si>
  <si>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</si>
  <si>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</si>
  <si>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</si>
  <si>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</si>
  <si>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</si>
  <si>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</si>
  <si>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</si>
  <si>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</si>
  <si>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</si>
  <si>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</si>
  <si>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</si>
  <si>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</si>
  <si>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</si>
  <si>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</si>
  <si>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</si>
  <si>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</si>
  <si>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</si>
  <si>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</si>
  <si>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</si>
  <si>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</si>
  <si>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</si>
  <si>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</si>
  <si>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</si>
  <si>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</si>
  <si>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</si>
  <si>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</si>
  <si>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</si>
  <si>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</si>
  <si>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</si>
  <si>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</si>
  <si>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</si>
  <si>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</si>
  <si>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</si>
  <si>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</si>
  <si>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</si>
  <si>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</si>
  <si>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CTS No</t>
  </si>
  <si>
    <t>Proposed no of Floors</t>
  </si>
  <si>
    <t>Approved usage of the Property: Residential
(Restrictive convenants in regards to land use , if any)</t>
  </si>
  <si>
    <t xml:space="preserve">M/s. PRL Developers Pvt Ltd </t>
  </si>
  <si>
    <t>Piramal Revanta</t>
  </si>
  <si>
    <t>Name No. of the Building</t>
  </si>
  <si>
    <t>Nahur</t>
  </si>
  <si>
    <t>Mumbai</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</si>
  <si>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</si>
  <si>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Goregaon Mulund Link Road</t>
  </si>
  <si>
    <t>Mulund (West)</t>
  </si>
  <si>
    <t>Nirmal Lifestyle Mall, Dietetian Shruti Karnik - Dietbright clinic</t>
  </si>
  <si>
    <t>Upper class</t>
  </si>
  <si>
    <t>Developed</t>
  </si>
  <si>
    <t xml:space="preserve">Road </t>
  </si>
  <si>
    <t xml:space="preserve">Pipeline </t>
  </si>
  <si>
    <t>Nirmal Residency</t>
  </si>
  <si>
    <t>Electric &amp; Water Connection</t>
  </si>
  <si>
    <t>50,000/-</t>
  </si>
  <si>
    <t>Corpus Fund</t>
  </si>
  <si>
    <t>1,00,000/-</t>
  </si>
  <si>
    <t>Charges towards MGL connection</t>
  </si>
  <si>
    <t>10,000/-</t>
  </si>
  <si>
    <t>19/10/2020.</t>
  </si>
  <si>
    <t>Market Research Data</t>
  </si>
  <si>
    <t>Source</t>
  </si>
  <si>
    <t>Distance from proposed property</t>
  </si>
  <si>
    <t>Net Carpet</t>
  </si>
  <si>
    <t>Saleable Area</t>
  </si>
  <si>
    <t>Rate on Saleable</t>
  </si>
  <si>
    <t>Market Value</t>
  </si>
  <si>
    <t>99acres</t>
  </si>
  <si>
    <t>1BHK</t>
  </si>
  <si>
    <t>2BHK</t>
  </si>
  <si>
    <t>3BHK</t>
  </si>
  <si>
    <t>magicbricks</t>
  </si>
  <si>
    <t>Average</t>
  </si>
  <si>
    <t xml:space="preserve">Valuation Adopted </t>
  </si>
  <si>
    <t>Dhanashree</t>
  </si>
  <si>
    <t>OLD APF</t>
  </si>
  <si>
    <t>Rate has not Changed</t>
  </si>
  <si>
    <t>Pratiksha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</si>
  <si>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</si>
  <si>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</si>
  <si>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</si>
  <si>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</si>
  <si>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</si>
  <si>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</si>
  <si>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</si>
  <si>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</si>
  <si>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</si>
  <si>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</si>
  <si>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</si>
  <si>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</si>
  <si>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</si>
  <si>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</si>
  <si>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</si>
  <si>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</si>
  <si>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</si>
  <si>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</si>
  <si>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</si>
  <si>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</si>
  <si>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</si>
  <si>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</si>
  <si>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</si>
  <si>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</si>
  <si>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Residential Area Details :</t>
  </si>
  <si>
    <t>Building &amp; Wing</t>
  </si>
  <si>
    <t>No. of Flats</t>
  </si>
  <si>
    <t>Total Carpet Area</t>
  </si>
  <si>
    <t>Total Saleable Area</t>
  </si>
  <si>
    <t>Building details Floor Wise</t>
  </si>
  <si>
    <t>Flat/Shop No.</t>
  </si>
  <si>
    <t>Description</t>
  </si>
  <si>
    <t>Gross Carpet area</t>
  </si>
  <si>
    <t>Attached Terrace area</t>
  </si>
  <si>
    <t>Floor</t>
  </si>
  <si>
    <t>Basement Floor for Parking</t>
  </si>
  <si>
    <t>Ground Floor for Residential &amp; Parking</t>
  </si>
  <si>
    <t>Refuge Area</t>
  </si>
  <si>
    <t>C Wing</t>
  </si>
  <si>
    <t>D Wing</t>
  </si>
  <si>
    <t>1st Floor for Residential &amp; Parking</t>
  </si>
  <si>
    <t>3rd Floor for Residential &amp; Parking</t>
  </si>
  <si>
    <t>4th Floor for Residential &amp; Parking</t>
  </si>
  <si>
    <t>5th Floor for Residential &amp; Parking</t>
  </si>
  <si>
    <t>6th Floor for Residential &amp; Parking</t>
  </si>
  <si>
    <t>15th Floor (Part Refuge Area)</t>
  </si>
  <si>
    <t>22nd, 29th, 36th Floor (Part Refuge Area)</t>
  </si>
  <si>
    <t>43rd Floor (Part Refuge Area)</t>
  </si>
  <si>
    <t>10th Floor</t>
  </si>
  <si>
    <t>9th Floor for Residential &amp; Parking</t>
  </si>
  <si>
    <t>8th Floor for Residential &amp; Parking (Part Refuge Area)</t>
  </si>
  <si>
    <t>2nd Floor for Residential &amp; Parking</t>
  </si>
  <si>
    <t>491-A /5 &amp; 491- A /6,&amp; C.T.S NO 491 A[PT] &amp;494 A/4 (PT)</t>
  </si>
  <si>
    <t>Approved plans, CC</t>
  </si>
  <si>
    <t>Tower 3 - C Wing - Ravin</t>
  </si>
  <si>
    <t>7th Floor For Residential &amp; Parking</t>
  </si>
  <si>
    <t>Saleable area (60%)</t>
  </si>
  <si>
    <t>11th to 14th &amp; 16th to 19th Floor</t>
  </si>
  <si>
    <t>Recommended Parking</t>
  </si>
  <si>
    <t>8,00,000/-</t>
  </si>
  <si>
    <t>5,000/-</t>
  </si>
  <si>
    <t xml:space="preserve">Society / Condominium Formation Charges </t>
  </si>
  <si>
    <t>Piramal Revanta, Proposed Residential Building On Plot Bearing C.T.S , NO. 491-A /5 &amp; 491-A/6 , Of Village - Nahur, Behind Nirmal Lifestyle Mall, Goregaon Mulund Link Road, Mulund (West), Mumbai, 400080</t>
  </si>
  <si>
    <t>Advance Maintenance Charges</t>
  </si>
  <si>
    <t>1,37,000/-</t>
  </si>
  <si>
    <t>Tower No.1 - (Wing A) Ravik = Basement + Ground/Stilt + 1st to 10th Podium/Residential + 11th to 34th Floor</t>
  </si>
  <si>
    <t>Recommended rate of the flat Per Sq. Ft. (on Saleable area)
Recommended rate of the flat Per Sq. Ft. (on Carpet area)</t>
  </si>
  <si>
    <t>15000
24000</t>
  </si>
  <si>
    <t>Floor rise rate Per Sq. Ft. (on Saleable area)
Floor rise rate Per Sq. Ft. (on Carpet area)</t>
  </si>
  <si>
    <t>94/-  from 2nd Habitable Floor 
150/-  from 2nd Habitable Floor</t>
  </si>
  <si>
    <t>Tower 1 - A Wing - Ravik</t>
  </si>
  <si>
    <t xml:space="preserve">1st Floor </t>
  </si>
  <si>
    <t xml:space="preserve">Duplex Flat </t>
  </si>
  <si>
    <t xml:space="preserve">2nd Floor </t>
  </si>
  <si>
    <t>4BHK</t>
  </si>
  <si>
    <t>3rd Floor</t>
  </si>
  <si>
    <t>4th Floor</t>
  </si>
  <si>
    <t>5th Floor</t>
  </si>
  <si>
    <t>6th Floor</t>
  </si>
  <si>
    <t>7th Floor</t>
  </si>
  <si>
    <t>8th Floor (Part Refuge Area)</t>
  </si>
  <si>
    <t>11th to 14th Floor</t>
  </si>
  <si>
    <t xml:space="preserve">16th Floor </t>
  </si>
  <si>
    <t xml:space="preserve"> </t>
  </si>
  <si>
    <t>17th to 21st Floor</t>
  </si>
  <si>
    <t xml:space="preserve">22nd Service Floor </t>
  </si>
  <si>
    <t xml:space="preserve">23rd Floor for Fire Check </t>
  </si>
  <si>
    <t>25th &amp; 32nd Floor</t>
  </si>
  <si>
    <t>26th to 30th, 33rd &amp; 34th Floor</t>
  </si>
  <si>
    <t>31st Floor(Part Refuge Area)</t>
  </si>
  <si>
    <t>Tower 2 - B Wing - Rohin</t>
  </si>
  <si>
    <t>6BHK (Duplex to 1st Floor)</t>
  </si>
  <si>
    <t>1st Floor</t>
  </si>
  <si>
    <t>(Duplex to 1st Floor)</t>
  </si>
  <si>
    <t>M P Room</t>
  </si>
  <si>
    <t xml:space="preserve">3rd Floor </t>
  </si>
  <si>
    <t>9th Floor</t>
  </si>
  <si>
    <t>11th to 14th &amp; 17th, 18th &amp; 20th Floor</t>
  </si>
  <si>
    <t>15th (Part Refuge Area)</t>
  </si>
  <si>
    <t>19th Floor</t>
  </si>
  <si>
    <t>26th to 30th Floor</t>
  </si>
  <si>
    <t>21st Floor</t>
  </si>
  <si>
    <t>24th (Part Refuge Area)</t>
  </si>
  <si>
    <t>25th Floor</t>
  </si>
  <si>
    <t>32nd Floor</t>
  </si>
  <si>
    <t>39th Floor</t>
  </si>
  <si>
    <t>38th (Part Refuge Floor)</t>
  </si>
  <si>
    <t>33rd &amp; 34th Floor</t>
  </si>
  <si>
    <t>35th to 37th &amp; 40th Floor</t>
  </si>
  <si>
    <t>A Wing</t>
  </si>
  <si>
    <t>B Wing</t>
  </si>
  <si>
    <t>15th &amp; 24th Floor (Part Refuge Area)</t>
  </si>
  <si>
    <t xml:space="preserve">Club house </t>
  </si>
  <si>
    <t>31st Floor (Part Refuge Area)</t>
  </si>
  <si>
    <t xml:space="preserve">1st Floor for Residential </t>
  </si>
  <si>
    <t>8th &amp; 15th Floor ( Part Refuge Area)</t>
  </si>
  <si>
    <t>30th to 35 &amp; 37th to 42nd Floor</t>
  </si>
  <si>
    <t>36th Floor ( Part Refuge Area)</t>
  </si>
  <si>
    <t>1.2 Km Distance From  Nahur Railway Station</t>
  </si>
  <si>
    <t>Mr. Mahesh Nagthane 
022-21681934/022-33514000/4040</t>
  </si>
  <si>
    <t>7BHK
(Duplex to 1st Floor)</t>
  </si>
  <si>
    <t>Tower No.3 (C Wing) Ravin = Basement + Ground/Stilt + 1st to 47th Floor</t>
  </si>
  <si>
    <t>Tower No.4 (D Wing) Ravit = Basement + Ground/Stilt + 1st to 43th Floor</t>
  </si>
  <si>
    <t xml:space="preserve">Location Link </t>
  </si>
  <si>
    <t>19.1658841,72.9337298</t>
  </si>
  <si>
    <t>https://goo.gl/maps/nmV8W74xPFtabyuC6</t>
  </si>
  <si>
    <t>CHE/ES/1930/T/337(NEW)/OCC/1/New
Wing A = B + Gr/St + 1st to 10th Podium/Residential + 11th to 34th Floor</t>
  </si>
  <si>
    <t>CHE/ES/1930/T/337(NEW)/OCC/1/New
Wing B = B + Gr/St + 1st to 10th Podium/Residential + 11th to 40th Floor</t>
  </si>
  <si>
    <t>Office No. 1031, Wing J, Akshar Business Park, Plot No. 03 Sector 25, Near APMC Market, Vashi, 
Navi Mumbai, Maharashtra 400703 TEL: 022-46090378/79/80                                                                       
E mail : vsjcapf@gmail.com. Web site : www.vsjadon.com</t>
  </si>
  <si>
    <t>Authorized Signatory
Name &amp; Seal of the agency</t>
  </si>
  <si>
    <t>PHOTOGRAPHS OF PROPERTY :</t>
  </si>
  <si>
    <t>Tower No.1 - (Wing A) Ravik = B + Gr./St. + 1st to 10th Podium/Residential + 11th to 34th Floor
Tower No.2 - (Wing B) Rohin = Basement + Ground/Stilt + 1st to 10th Podium/Residential + 11th to 40th Floor</t>
  </si>
  <si>
    <t>Piramal Revanta (Tower 1 to 5)</t>
  </si>
  <si>
    <t>CHE/ES/1930/T/337(NEW)/337/16/Amend</t>
  </si>
  <si>
    <t>Tower 1 - Ravik 
Tower 2 - Rohin 
Tower 3 - Ravin
Tower 4 - Ravit
Tower 5 - Raynav</t>
  </si>
  <si>
    <t>https://www.piramalrealty.com/project-revanta</t>
  </si>
  <si>
    <t>Entrance Lobby</t>
  </si>
  <si>
    <t>2.5BHK</t>
  </si>
  <si>
    <t>3.5BHK</t>
  </si>
  <si>
    <t>Entrance Lobby Below</t>
  </si>
  <si>
    <t>Fintess Center (Wing G)</t>
  </si>
  <si>
    <t>2nd &amp; 3rd Floor</t>
  </si>
  <si>
    <t>Fintess Center Below (Wing G)</t>
  </si>
  <si>
    <t>6th &amp; 7th, 10th to 14th &amp; 17th Floor</t>
  </si>
  <si>
    <t>9th &amp; 16th Floor</t>
  </si>
  <si>
    <t>22nd Floor (Part Refuge Area)</t>
  </si>
  <si>
    <t>29th Floor (Part Refuge Area)</t>
  </si>
  <si>
    <t>31st to 35th Floor</t>
  </si>
  <si>
    <t>30th Floor</t>
  </si>
  <si>
    <t>-</t>
  </si>
  <si>
    <t>4.5BHK</t>
  </si>
  <si>
    <t>5.5BHK</t>
  </si>
  <si>
    <t>37th Floor</t>
  </si>
  <si>
    <t xml:space="preserve"> Basement Floor for Parking</t>
  </si>
  <si>
    <t>Wing F</t>
  </si>
  <si>
    <t>Ground Floor for Residential, Entrance Lobby, LT Panel Room, Fire Control Room &amp; Parking</t>
  </si>
  <si>
    <t>2nd Floor</t>
  </si>
  <si>
    <t>Fitness Center (Wing H)</t>
  </si>
  <si>
    <t>Fitness Center Below (Wing H)</t>
  </si>
  <si>
    <t>E Wing</t>
  </si>
  <si>
    <t>F Wing</t>
  </si>
  <si>
    <t>18th to 21st, 24th to 28th Floor</t>
  </si>
  <si>
    <t>23rd Floor</t>
  </si>
  <si>
    <t>Flats</t>
  </si>
  <si>
    <t>MP Room</t>
  </si>
  <si>
    <t>20th, 21st, 23rd to 28th Floor</t>
  </si>
  <si>
    <t>30th to 35 &amp; 37th Floor</t>
  </si>
  <si>
    <t>38th &amp; 39th Floor</t>
  </si>
  <si>
    <t>40th to 42nd, 44th, 46th &amp; 47th Floor</t>
  </si>
  <si>
    <t>45th Floor</t>
  </si>
  <si>
    <t>1 + 2</t>
  </si>
  <si>
    <t>3 + 4</t>
  </si>
  <si>
    <t>3rd to 7th, 9th Floor</t>
  </si>
  <si>
    <t>10th to 14th, 16th to 19th Floor</t>
  </si>
  <si>
    <t>20th, 21st, 23rd to 25th Floor</t>
  </si>
  <si>
    <t>22nd Floor ( Part Refuge Area)</t>
  </si>
  <si>
    <t>29th Floor ( Part Refuge Area)</t>
  </si>
  <si>
    <t>26th to 28th Floor</t>
  </si>
  <si>
    <t>15th Floor ( Part Refuge Area)</t>
  </si>
  <si>
    <t>As per Plan</t>
  </si>
  <si>
    <t>Proposed 36.60MT  DP Road</t>
  </si>
  <si>
    <t>Existing Goregaon - Mulund Link Road</t>
  </si>
  <si>
    <t>Other Plot</t>
  </si>
  <si>
    <t>Tower No.5 (Wing E) Raynav = Basement + Ground/Stilt + 1st to 37th Floor</t>
  </si>
  <si>
    <t>Layout :</t>
  </si>
  <si>
    <t>Hide F Wing after checking</t>
  </si>
  <si>
    <t>(Wing F) Raynav = Basement + Ground/Stilt + 1st to 37th Floor</t>
  </si>
  <si>
    <t>RERA Name &amp; No.</t>
  </si>
  <si>
    <r>
      <t xml:space="preserve">Tower No.1 (Wing A) Ravik = P51800005983
Tower No.2 (Wing B) Rohin = P51800014021
Tower No.3 (Wing C ) Ravin = P51800018099
Tower No.4 (Wing D) Ravit = P51800018099
</t>
    </r>
    <r>
      <rPr>
        <sz val="11"/>
        <color indexed="8"/>
        <rFont val="Times New Roman"/>
        <family val="1"/>
      </rPr>
      <t xml:space="preserve">
</t>
    </r>
  </si>
  <si>
    <t>Piramal Revanta Tower 5
P51800054164</t>
  </si>
  <si>
    <t>Building Consist on
Old RERA Portal</t>
  </si>
  <si>
    <t>Building Consist on
New RERA Portal</t>
  </si>
  <si>
    <t>Wing F &amp; G</t>
  </si>
  <si>
    <t>Wing E &amp; G</t>
  </si>
  <si>
    <t>Building plan approval No    
(For A &amp; B)</t>
  </si>
  <si>
    <t>CHE/ES/1930/T/337 (NEW)</t>
  </si>
  <si>
    <t xml:space="preserve">Building plan approval No
(For C to E)    </t>
  </si>
  <si>
    <t xml:space="preserve">27/12/2017
Tower 5 - 29/12/2023 </t>
  </si>
  <si>
    <t xml:space="preserve">Details of Residentia &amp; Commercial in Building   </t>
  </si>
  <si>
    <t>Remark No.4</t>
  </si>
  <si>
    <t>Remark No.6</t>
  </si>
  <si>
    <t>Flat = 1412</t>
  </si>
  <si>
    <t>Remark No.14</t>
  </si>
  <si>
    <t>Expiry date: 
29/02/ 2024</t>
  </si>
  <si>
    <t>CHE/ES/1930/T/337(NEW)/FCC/15/Amend</t>
  </si>
  <si>
    <t xml:space="preserve">CHE/ES/1930/T/337(NEW)/FCC/16/Amend
</t>
  </si>
  <si>
    <r>
      <rPr>
        <b/>
        <sz val="11"/>
        <color indexed="8"/>
        <rFont val="Times New Roman"/>
        <family val="1"/>
      </rPr>
      <t>Valid Up to</t>
    </r>
    <r>
      <rPr>
        <sz val="11"/>
        <color indexed="8"/>
        <rFont val="Times New Roman"/>
        <family val="1"/>
      </rPr>
      <t xml:space="preserve">: C.C. is “Re-endorsed i.e. full CC for </t>
    </r>
    <r>
      <rPr>
        <b/>
        <sz val="11"/>
        <color indexed="8"/>
        <rFont val="Times New Roman"/>
        <family val="1"/>
      </rPr>
      <t xml:space="preserve">Wing A </t>
    </r>
    <r>
      <rPr>
        <sz val="11"/>
        <color indexed="8"/>
        <rFont val="Times New Roman"/>
        <family val="1"/>
      </rPr>
      <t xml:space="preserve">i.e. up to top of 34th floor + LMR + OHT, Full CC for </t>
    </r>
    <r>
      <rPr>
        <b/>
        <sz val="11"/>
        <color indexed="8"/>
        <rFont val="Times New Roman"/>
        <family val="1"/>
      </rPr>
      <t>wing B</t>
    </r>
    <r>
      <rPr>
        <sz val="11"/>
        <color indexed="8"/>
        <rFont val="Times New Roman"/>
        <family val="1"/>
      </rPr>
      <t xml:space="preserve"> i.e. up to top of 40th floor + LMR + OHT, CC up to top of 40th floor for wing C, CC up to top of 29th floor for wing D, CC up to plinth i.e. top of basement for wings E, F, G, H, I and J (MLCP), and CC up to 11th floor level for part portion of MLCP - wing J and Full CC is granted for wing C i.e. upto top of 47th floor + LMR + OHT as per last approved amended plans dated 27.02.2023”.</t>
    </r>
  </si>
  <si>
    <t>Expiry date: 04/10/2024</t>
  </si>
  <si>
    <r>
      <rPr>
        <b/>
        <sz val="11"/>
        <color indexed="8"/>
        <rFont val="Times New Roman"/>
        <family val="1"/>
      </rPr>
      <t>Valid Up to:</t>
    </r>
    <r>
      <rPr>
        <sz val="11"/>
        <color indexed="8"/>
        <rFont val="Times New Roman"/>
        <family val="1"/>
      </rPr>
      <t xml:space="preserve"> Full CC is re-endorsed for </t>
    </r>
    <r>
      <rPr>
        <b/>
        <sz val="11"/>
        <color indexed="8"/>
        <rFont val="Times New Roman"/>
        <family val="1"/>
      </rPr>
      <t>Wing C</t>
    </r>
    <r>
      <rPr>
        <sz val="11"/>
        <color indexed="8"/>
        <rFont val="Times New Roman"/>
        <family val="1"/>
      </rPr>
      <t xml:space="preserve"> up to top of 47th+ LMR + OHT, CC up to plinth i.e. top of basement for wings E, F, G, H, I and J (MLCP) &amp; entire basement, and CC up to 11th floor level for part portion of MLCP - wing J and Full CC is granted for </t>
    </r>
    <r>
      <rPr>
        <b/>
        <sz val="11"/>
        <color indexed="8"/>
        <rFont val="Times New Roman"/>
        <family val="1"/>
      </rPr>
      <t xml:space="preserve">wing D </t>
    </r>
    <r>
      <rPr>
        <sz val="11"/>
        <color indexed="8"/>
        <rFont val="Times New Roman"/>
        <family val="1"/>
      </rPr>
      <t>i.e.up to top of 43rd floor + LMR + OHT as per last approved amended plans dated 18.09.2023” 2021 subject to timely renewal of B.G, SWM NOC, Workmen’s compensation policy and taking all sorts of precautions during construction and for air pollution.</t>
    </r>
  </si>
  <si>
    <t>Expiry date: 
08/10/2024</t>
  </si>
  <si>
    <t>CHE/ES/1930/T/337(NEW)/FCC/1/Amend</t>
  </si>
  <si>
    <t>CHE/ES/1930/T/337(NEW)/FCC/2/Amend</t>
  </si>
  <si>
    <r>
      <t xml:space="preserve">Wing A = Basement + Ground/Stilt + 1st to 10th Podium/Residential + 11th to 34th Floor
Wing B = Basement + Ground/Stilt + 1st to 10th Podium/Residential + 11th to 40th Floor
Wing C = Basement + Ground/Stilt + 1st to 10th Podium/Residential + 11th to 47th Floor
Wing D = Basement + Ground/Stilt + 1st to 43rd Floor.
</t>
    </r>
    <r>
      <rPr>
        <sz val="11"/>
        <color theme="1"/>
        <rFont val="Times New Roman"/>
        <family val="1"/>
      </rPr>
      <t>Wing E = Basement + Stilt + 1st to 37th Floor</t>
    </r>
    <r>
      <rPr>
        <sz val="11"/>
        <color rgb="FFFF0000"/>
        <rFont val="Times New Roman"/>
        <family val="1"/>
      </rPr>
      <t xml:space="preserve">.
</t>
    </r>
  </si>
  <si>
    <t>CHE/ES/1930/T/337(NEW)/OCC/3/New
Wing C = Basement + Ground/Stilt + 1st to 47th Floor</t>
  </si>
  <si>
    <t>Tower 4 = 31/03/2026
Tower 5 = 30/11/2028</t>
  </si>
  <si>
    <r>
      <rPr>
        <b/>
        <sz val="11"/>
        <color indexed="8"/>
        <rFont val="Times New Roman"/>
        <family val="1"/>
      </rPr>
      <t>Valid Up to:</t>
    </r>
    <r>
      <rPr>
        <sz val="11"/>
        <color indexed="8"/>
        <rFont val="Times New Roman"/>
        <family val="1"/>
      </rPr>
      <t xml:space="preserve"> Re-endorsement of full CC for </t>
    </r>
    <r>
      <rPr>
        <b/>
        <sz val="11"/>
        <color indexed="8"/>
        <rFont val="Times New Roman"/>
        <family val="1"/>
      </rPr>
      <t>wings C and D</t>
    </r>
    <r>
      <rPr>
        <sz val="11"/>
        <color indexed="8"/>
        <rFont val="Times New Roman"/>
        <family val="1"/>
      </rPr>
      <t xml:space="preserve"> and CC up to plinth level for </t>
    </r>
    <r>
      <rPr>
        <b/>
        <sz val="11"/>
        <color indexed="8"/>
        <rFont val="Times New Roman"/>
        <family val="1"/>
      </rPr>
      <t>wings E</t>
    </r>
    <r>
      <rPr>
        <sz val="11"/>
        <color indexed="8"/>
        <rFont val="Times New Roman"/>
        <family val="1"/>
      </rPr>
      <t xml:space="preserve"> and F and wing J (MLCP) and CC up to top of basement for the extended portion of basement beyond the building line as per last approved amended plans dtd. 26.09.2024</t>
    </r>
  </si>
  <si>
    <t>Tower 4 - D Wing - (Ravit)</t>
  </si>
  <si>
    <t>Tower 5 - Wing E (Raynav)</t>
  </si>
  <si>
    <t xml:space="preserve">Fire Noc No
Valid Up to: </t>
  </si>
  <si>
    <t>CHE/ES/1930/T/337(NEW)-CFO-7</t>
  </si>
  <si>
    <r>
      <t xml:space="preserve">Wing A - Basement + Ground/Stilt + 1st to 10th Podium/Residential + 11th to 34th Floor
Wing B - Basement + Ground/Stilt + 1st to 10th Podium/Residential + 11th to 40th Floor
Wing C - Basement + Ground/Stilt + 1st to 47th Floor
Wing D - Basement + Ground/Stilt + 1st to 43rd Floor
</t>
    </r>
    <r>
      <rPr>
        <sz val="11"/>
        <color theme="1"/>
        <rFont val="Times New Roman"/>
        <family val="1"/>
      </rPr>
      <t xml:space="preserve">Wing E = Basement + Ground/Stilt + 1st to 37th Floor
</t>
    </r>
    <r>
      <rPr>
        <sz val="11"/>
        <color rgb="FFFF0000"/>
        <rFont val="Times New Roman"/>
        <family val="1"/>
      </rPr>
      <t xml:space="preserve">
Wing F = Basement + Ground/Stilt + 1st to 37th Floor</t>
    </r>
  </si>
  <si>
    <t xml:space="preserve">Wing A = B + Gr/St + 1st to 10th Podium/Residential + 11th to 34th Floor (Height -106.50Mtrs)
Wing B = B + Gr/St + 1st to 10th Podium/Residential + 11th to 40th Floor (Height -125.10Mtrs)
Wing C = Basement + Ground/Stilt + 1st to 47th Floor  (Height -149.40 Mtrs)
Wing D = Basement + Ground/Stilt + 1st to 43rd Floor (Height -137 Mtrs)
Wing E = Basement + Ground/Stilt + 1st to 37th Floor (Height -118.40 Mtrs)
</t>
  </si>
  <si>
    <t xml:space="preserve">Airpot Noc No
Valid Up to: </t>
  </si>
  <si>
    <t>SNCR/WEST/B/101417/252106</t>
  </si>
  <si>
    <t xml:space="preserve">Valid upto Dated </t>
  </si>
  <si>
    <t>Site Elevation = 22.883 M
Permissible Top Elevation = 279.85 M</t>
  </si>
  <si>
    <t>5 Wings</t>
  </si>
  <si>
    <t>Site meet Contect Details ( Name &amp; Contect No.)</t>
  </si>
  <si>
    <t>Mr Badal CRM +919890241818 &amp; Mr Asrar Ansari (bank person) 9320702847</t>
  </si>
  <si>
    <t xml:space="preserve">Remarks:  
1. Wing A, B &amp; C = All work completed. OC Received.
   Wing D = All work Completed. Please provide OC.
   Wing E = Construction work is in the process.
2. We considered  Saleable area as per our calculations.
3. We have considered rate by verifying it from market inquire.
4. Tower 1 = Floor Numbering should be considered as per Builder letter. Please find below attached letter for reference.
5. Tower 1 &amp; 2 = Flats on Ground + First Floor are Duplex Flats but their Flat numbering are not confirmed.
6. Tower 1 = Builder has reduced Proposed no. of Floors (upto 45th Floor) and restrict upto 34th Floor. So, We have considered construction percentage as per restrict no of Floors (upto 34th Floor). Please find below attached letter.
7. C &amp; D Wing - We have updated approved floor plan &amp; C.C (on 20/08/2021).
8. A &amp; B Wing - We have updated approved floor plan &amp; C.C (on 30/11/2021).
9. A to D Wing - We have updated approved floor plan &amp; C.C (on 03/01/2022).
10. We have updated OC from MCGM sit for Wing A &amp; B (On 12/05/2023).
11. We have updated CC from MCGM site for wing C &amp; D (on 07/11/2023).
12. On site we met Mr Asrar Ansari bank person 9320702847.
13. As per New version of RERA portal project consist of  Wing F &amp; G
      As per Old version of RERA portal project consist of  Wing E &amp; G
14. Remark No.13 is solved. Builder revert on trial mail, which is share by bank official on the mail is attached below.
15. We have updated latest approved CC &amp; Fire Noc  from MCGM Site on 04/02/2025
16. We have updated approved OC for Wing C from MCGM site on 04/02/2025
17. We have updated Airport Noc from AAI site on 04/02/2025
18. We have added Tower 5 (Wing E) (On 04/02/2025).
19.We have Updated Approved Plans for Tower 3 (Wing C) &amp; Tower 4 (Wing D) (On 04/02/2025).
20. Please check for Environmental Clearance Certificate (EC) </t>
  </si>
  <si>
    <r>
      <rPr>
        <b/>
        <sz val="11"/>
        <color indexed="8"/>
        <rFont val="Times New Roman"/>
        <family val="1"/>
      </rPr>
      <t xml:space="preserve">Valid Up to: </t>
    </r>
    <r>
      <rPr>
        <sz val="11"/>
        <color indexed="8"/>
        <rFont val="Times New Roman"/>
        <family val="1"/>
      </rPr>
      <t>Further C.C. is granted for wing ‘E’ upto 35th floor and wing ‘G’ part as per amended approved plan dated 26.09.2024 subject to timely renewal of B.G, SWM NOC, Workmen’s compensation policy and taking all sorts of precautions during construction and for air pollution .</t>
    </r>
  </si>
  <si>
    <t>Expiry date: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</si>
</sst>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_);_(* \(#,##0\);_(* &quot;-&quot;??_);_(@_)"/>
    <numFmt numFmtId="166" formatCode="0.0"/>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b/>
      <sz val="12"/>
      <name val="Times New Roman"/>
      <family val="1"/>
    </font>
    <font>
      <b/>
      <sz val="12"/>
      <color indexed="8"/>
      <name val="Times New Roman"/>
      <family val="1"/>
    </font>
    <font>
      <b/>
      <sz val="12"/>
      <color theme="1"/>
      <name val="Times New Roman"/>
      <family val="1"/>
    </font>
    <font>
      <sz val="12"/>
      <color indexed="8"/>
      <name val="Times New Roman"/>
      <family val="1"/>
    </font>
    <font>
      <sz val="12"/>
      <name val="Times New Roman"/>
      <family val="1"/>
    </font>
    <font>
      <sz val="11"/>
      <color rgb="FFFF0000"/>
      <name val="Times New Roman"/>
      <family val="1"/>
    </font>
    <font>
      <b/>
      <sz val="12"/>
      <color rgb="FFFF0000"/>
      <name val="Times New Roman"/>
      <family val="1"/>
    </font>
    <font>
      <sz val="12"/>
      <color rgb="FFFF0000"/>
      <name val="Times New Roman"/>
      <family val="1"/>
    </font>
    <font>
      <b/>
      <sz val="14"/>
      <color rgb="FFFF0000"/>
      <name val="Times New Roman"/>
      <family val="1"/>
    </font>
    <font>
      <b/>
      <sz val="16"/>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0" fillId="0" borderId="0" applyNumberFormat="0" applyFill="0" applyBorder="0" applyAlignment="0" applyProtection="0"/>
    <xf numFmtId="0" fontId="9" fillId="0" borderId="0"/>
    <xf numFmtId="9" fontId="5" fillId="0" borderId="0" applyFont="0" applyFill="0" applyBorder="0" applyAlignment="0" applyProtection="0"/>
    <xf numFmtId="0" fontId="9" fillId="0" borderId="0"/>
  </cellStyleXfs>
  <cellXfs count="413">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2" borderId="2" xfId="0" applyFont="1" applyFill="1" applyBorder="1" applyAlignment="1">
      <alignment vertical="top"/>
    </xf>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0" fontId="13" fillId="0" borderId="0" xfId="0" applyFont="1"/>
    <xf numFmtId="0" fontId="4" fillId="0" borderId="2" xfId="0" applyFont="1" applyBorder="1" applyAlignment="1">
      <alignment horizontal="left" vertical="top"/>
    </xf>
    <xf numFmtId="0" fontId="14" fillId="0" borderId="2" xfId="0" applyFont="1" applyBorder="1"/>
    <xf numFmtId="0" fontId="14" fillId="0" borderId="0" xfId="0" applyFont="1"/>
    <xf numFmtId="0" fontId="14" fillId="3"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3" borderId="2" xfId="0" applyFont="1" applyFill="1" applyBorder="1" applyAlignment="1">
      <alignment horizontal="center"/>
    </xf>
    <xf numFmtId="9" fontId="14" fillId="0" borderId="0" xfId="6"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5" xfId="0" applyFont="1" applyBorder="1"/>
    <xf numFmtId="0" fontId="14" fillId="0" borderId="2" xfId="0" applyFont="1" applyBorder="1" applyAlignment="1">
      <alignment wrapText="1"/>
    </xf>
    <xf numFmtId="9" fontId="14" fillId="0" borderId="2" xfId="6" applyFont="1" applyBorder="1"/>
    <xf numFmtId="9" fontId="14" fillId="0" borderId="0" xfId="0" applyNumberFormat="1" applyFont="1"/>
    <xf numFmtId="0" fontId="16" fillId="0" borderId="0" xfId="0" applyFont="1"/>
    <xf numFmtId="0" fontId="4" fillId="0" borderId="0" xfId="2" applyFont="1"/>
    <xf numFmtId="0" fontId="16" fillId="0" borderId="0" xfId="0" applyFont="1" applyAlignment="1">
      <alignment vertical="top" wrapText="1"/>
    </xf>
    <xf numFmtId="0" fontId="1" fillId="0" borderId="0" xfId="3"/>
    <xf numFmtId="0" fontId="9" fillId="0" borderId="0" xfId="5"/>
    <xf numFmtId="0" fontId="11" fillId="0" borderId="2" xfId="5" applyFont="1" applyBorder="1" applyAlignment="1">
      <alignment horizontal="center" vertical="top" wrapText="1"/>
    </xf>
    <xf numFmtId="0" fontId="8" fillId="0" borderId="2" xfId="4" applyFont="1" applyBorder="1" applyAlignment="1">
      <alignment horizontal="center" vertical="top" wrapText="1"/>
    </xf>
    <xf numFmtId="0" fontId="9" fillId="0" borderId="2" xfId="5" applyBorder="1" applyAlignment="1">
      <alignment horizontal="left" vertical="center"/>
    </xf>
    <xf numFmtId="0" fontId="9" fillId="0" borderId="2" xfId="5" applyBorder="1" applyAlignment="1">
      <alignment horizontal="center" vertical="center"/>
    </xf>
    <xf numFmtId="1" fontId="9" fillId="0" borderId="2" xfId="5" applyNumberFormat="1" applyBorder="1" applyAlignment="1">
      <alignment horizontal="center" vertical="center"/>
    </xf>
    <xf numFmtId="165" fontId="9" fillId="0" borderId="2" xfId="1" applyNumberFormat="1" applyFont="1" applyBorder="1" applyAlignment="1">
      <alignment horizontal="right" vertical="center"/>
    </xf>
    <xf numFmtId="43" fontId="1" fillId="0" borderId="0" xfId="3" applyNumberFormat="1"/>
    <xf numFmtId="0" fontId="11" fillId="0" borderId="2" xfId="5" applyFont="1" applyBorder="1" applyAlignment="1">
      <alignment horizontal="center" vertical="center"/>
    </xf>
    <xf numFmtId="1" fontId="12" fillId="0" borderId="2" xfId="5"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1" fontId="1" fillId="0" borderId="0" xfId="3" applyNumberFormat="1"/>
    <xf numFmtId="0" fontId="1" fillId="0" borderId="0" xfId="3" applyAlignment="1">
      <alignment wrapText="1"/>
    </xf>
    <xf numFmtId="14" fontId="0" fillId="0" borderId="0" xfId="0" applyNumberFormat="1"/>
    <xf numFmtId="0" fontId="18" fillId="0" borderId="19" xfId="7" applyFont="1" applyBorder="1" applyProtection="1">
      <protection hidden="1"/>
    </xf>
    <xf numFmtId="0" fontId="18" fillId="0" borderId="20" xfId="7" applyFont="1" applyBorder="1" applyProtection="1">
      <protection hidden="1"/>
    </xf>
    <xf numFmtId="0" fontId="18" fillId="0" borderId="0" xfId="7" applyFont="1" applyProtection="1">
      <protection hidden="1"/>
    </xf>
    <xf numFmtId="0" fontId="18" fillId="0" borderId="23" xfId="7" applyFont="1" applyBorder="1" applyProtection="1">
      <protection hidden="1"/>
    </xf>
    <xf numFmtId="0" fontId="14" fillId="0" borderId="0" xfId="0" applyFont="1" applyProtection="1">
      <protection hidden="1"/>
    </xf>
    <xf numFmtId="0" fontId="18" fillId="0" borderId="23" xfId="7" applyFont="1" applyBorder="1"/>
    <xf numFmtId="0" fontId="14"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4" fillId="0" borderId="30" xfId="0" applyFont="1" applyBorder="1" applyProtection="1">
      <protection hidden="1"/>
    </xf>
    <xf numFmtId="1" fontId="0" fillId="0" borderId="31" xfId="0" applyNumberFormat="1" applyBorder="1"/>
    <xf numFmtId="0" fontId="21" fillId="0" borderId="2" xfId="0" applyFont="1" applyBorder="1" applyAlignment="1">
      <alignment horizontal="center" vertical="center"/>
    </xf>
    <xf numFmtId="1" fontId="20" fillId="0" borderId="2" xfId="7" applyNumberFormat="1" applyFont="1" applyBorder="1" applyAlignment="1">
      <alignment horizontal="center" vertical="top" wrapText="1"/>
    </xf>
    <xf numFmtId="1" fontId="3" fillId="0" borderId="2" xfId="7" applyNumberFormat="1" applyFont="1" applyBorder="1" applyAlignment="1">
      <alignment horizontal="center" vertical="top" wrapText="1"/>
    </xf>
    <xf numFmtId="1" fontId="22" fillId="0" borderId="2" xfId="7" applyNumberFormat="1" applyFont="1" applyBorder="1" applyAlignment="1">
      <alignment horizontal="center" vertical="center" wrapText="1"/>
    </xf>
    <xf numFmtId="1" fontId="18" fillId="0" borderId="2" xfId="0" applyNumberFormat="1" applyFont="1" applyBorder="1" applyAlignment="1">
      <alignment horizontal="center" vertical="center"/>
    </xf>
    <xf numFmtId="1" fontId="16" fillId="0" borderId="0" xfId="0" applyNumberFormat="1" applyFont="1"/>
    <xf numFmtId="0" fontId="23" fillId="0" borderId="21" xfId="7" applyFont="1" applyBorder="1" applyAlignment="1" applyProtection="1">
      <alignment horizontal="center" vertical="top"/>
      <protection locked="0"/>
    </xf>
    <xf numFmtId="0" fontId="23" fillId="0" borderId="2" xfId="7" applyFont="1" applyBorder="1" applyAlignment="1" applyProtection="1">
      <alignment horizontal="center" vertical="top"/>
      <protection locked="0"/>
    </xf>
    <xf numFmtId="0" fontId="23" fillId="0" borderId="2" xfId="7" applyFont="1" applyBorder="1" applyAlignment="1" applyProtection="1">
      <alignment horizontal="center" vertical="top" wrapText="1"/>
      <protection locked="0"/>
    </xf>
    <xf numFmtId="14" fontId="4" fillId="2" borderId="2" xfId="0" applyNumberFormat="1" applyFont="1" applyFill="1" applyBorder="1" applyAlignment="1">
      <alignment horizontal="left" vertical="top"/>
    </xf>
    <xf numFmtId="1" fontId="23" fillId="0" borderId="2" xfId="7" applyNumberFormat="1" applyFont="1" applyBorder="1" applyAlignment="1">
      <alignment horizontal="center" vertical="center" wrapText="1"/>
    </xf>
    <xf numFmtId="0" fontId="24" fillId="2" borderId="0" xfId="0" applyFont="1" applyFill="1"/>
    <xf numFmtId="0" fontId="16" fillId="2" borderId="0" xfId="0" applyFont="1" applyFill="1"/>
    <xf numFmtId="0" fontId="23" fillId="0" borderId="2" xfId="7" applyFont="1" applyBorder="1" applyAlignment="1" applyProtection="1">
      <alignment horizontal="center" wrapText="1"/>
      <protection locked="0"/>
    </xf>
    <xf numFmtId="1" fontId="23" fillId="0" borderId="2" xfId="7" applyNumberFormat="1" applyFont="1" applyBorder="1" applyAlignment="1" applyProtection="1">
      <alignment horizontal="center" wrapText="1"/>
      <protection locked="0"/>
    </xf>
    <xf numFmtId="0" fontId="23" fillId="0" borderId="26" xfId="7" applyFont="1" applyBorder="1" applyAlignment="1" applyProtection="1">
      <alignment horizontal="center" wrapText="1"/>
      <protection locked="0"/>
    </xf>
    <xf numFmtId="0" fontId="18" fillId="0" borderId="8" xfId="7" applyFont="1" applyBorder="1" applyProtection="1">
      <protection hidden="1"/>
    </xf>
    <xf numFmtId="0" fontId="18" fillId="0" borderId="25" xfId="7" applyFont="1" applyBorder="1" applyProtection="1">
      <protection hidden="1"/>
    </xf>
    <xf numFmtId="0" fontId="16" fillId="0" borderId="8" xfId="0" applyFont="1" applyBorder="1"/>
    <xf numFmtId="0" fontId="3" fillId="2" borderId="2" xfId="0" applyFont="1" applyFill="1" applyBorder="1" applyAlignment="1">
      <alignment vertical="top"/>
    </xf>
    <xf numFmtId="0" fontId="23" fillId="0" borderId="5" xfId="7" applyFont="1" applyBorder="1" applyAlignment="1" applyProtection="1">
      <alignment horizontal="center" wrapText="1"/>
      <protection locked="0"/>
    </xf>
    <xf numFmtId="0" fontId="13" fillId="0" borderId="8" xfId="0" applyFont="1" applyBorder="1"/>
    <xf numFmtId="0" fontId="18" fillId="0" borderId="0" xfId="7" applyFont="1" applyAlignment="1" applyProtection="1">
      <alignment horizontal="center" vertical="center"/>
      <protection hidden="1"/>
    </xf>
    <xf numFmtId="0" fontId="18" fillId="0" borderId="23" xfId="7" applyFont="1" applyBorder="1" applyAlignment="1" applyProtection="1">
      <alignment horizontal="center" vertical="center"/>
      <protection hidden="1"/>
    </xf>
    <xf numFmtId="0" fontId="16" fillId="0" borderId="0" xfId="0" applyFont="1" applyAlignment="1">
      <alignment horizontal="center" vertical="center"/>
    </xf>
    <xf numFmtId="0" fontId="23" fillId="0" borderId="44" xfId="7" applyFont="1" applyBorder="1" applyAlignment="1" applyProtection="1">
      <alignment horizontal="center" vertical="top" wrapText="1"/>
      <protection locked="0"/>
    </xf>
    <xf numFmtId="0" fontId="16" fillId="4" borderId="0" xfId="0" applyFont="1" applyFill="1"/>
    <xf numFmtId="0" fontId="10" fillId="0" borderId="0" xfId="4"/>
    <xf numFmtId="1" fontId="22" fillId="0" borderId="2" xfId="0" applyNumberFormat="1" applyFont="1" applyBorder="1" applyAlignment="1">
      <alignment horizontal="center" vertical="center" wrapText="1"/>
    </xf>
    <xf numFmtId="1" fontId="26" fillId="0" borderId="0" xfId="0" applyNumberFormat="1" applyFont="1" applyAlignment="1">
      <alignment horizontal="center" vertical="center" wrapText="1"/>
    </xf>
    <xf numFmtId="1" fontId="18" fillId="0" borderId="0" xfId="0" applyNumberFormat="1" applyFont="1" applyAlignment="1">
      <alignment horizontal="center" vertical="center"/>
    </xf>
    <xf numFmtId="1" fontId="18" fillId="0" borderId="0" xfId="0" applyNumberFormat="1" applyFont="1" applyAlignment="1">
      <alignment horizontal="center" vertical="top" wrapText="1"/>
    </xf>
    <xf numFmtId="0" fontId="27" fillId="0" borderId="0" xfId="0" applyFont="1"/>
    <xf numFmtId="0" fontId="28" fillId="0" borderId="0" xfId="0" applyFont="1"/>
    <xf numFmtId="1" fontId="26" fillId="0" borderId="2" xfId="0" applyNumberFormat="1" applyFont="1" applyBorder="1" applyAlignment="1">
      <alignment horizontal="center" vertical="center"/>
    </xf>
    <xf numFmtId="0" fontId="7" fillId="2" borderId="2" xfId="0" applyFont="1" applyFill="1" applyBorder="1" applyAlignment="1">
      <alignment vertical="top"/>
    </xf>
    <xf numFmtId="1" fontId="19" fillId="0" borderId="2" xfId="0" applyNumberFormat="1" applyFont="1" applyBorder="1" applyAlignment="1">
      <alignment horizontal="center" vertical="center"/>
    </xf>
    <xf numFmtId="1" fontId="26" fillId="0" borderId="2" xfId="7" applyNumberFormat="1" applyFont="1" applyBorder="1" applyAlignment="1">
      <alignment horizontal="center" vertical="center" wrapText="1"/>
    </xf>
    <xf numFmtId="0" fontId="4" fillId="2" borderId="2" xfId="0" applyFont="1" applyFill="1" applyBorder="1" applyAlignment="1">
      <alignment vertical="top" wrapText="1"/>
    </xf>
    <xf numFmtId="1" fontId="22" fillId="0" borderId="2" xfId="7" applyNumberFormat="1" applyFont="1" applyBorder="1" applyAlignment="1">
      <alignment horizontal="center" vertical="center"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6"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16" fillId="2" borderId="1" xfId="0" applyFont="1" applyFill="1" applyBorder="1" applyAlignment="1">
      <alignment horizontal="left" vertical="top"/>
    </xf>
    <xf numFmtId="0" fontId="16" fillId="2" borderId="4" xfId="0" applyFont="1" applyFill="1" applyBorder="1" applyAlignment="1">
      <alignment horizontal="left" vertical="top"/>
    </xf>
    <xf numFmtId="0" fontId="16" fillId="2" borderId="6" xfId="0" applyFont="1" applyFill="1" applyBorder="1" applyAlignment="1">
      <alignment horizontal="left" vertical="top"/>
    </xf>
    <xf numFmtId="14" fontId="16" fillId="2" borderId="1" xfId="0" applyNumberFormat="1" applyFont="1" applyFill="1" applyBorder="1" applyAlignment="1">
      <alignment horizontal="left" vertical="top"/>
    </xf>
    <xf numFmtId="14" fontId="16" fillId="2" borderId="4" xfId="0" applyNumberFormat="1" applyFont="1" applyFill="1" applyBorder="1" applyAlignment="1">
      <alignment horizontal="left" vertical="top"/>
    </xf>
    <xf numFmtId="14" fontId="16" fillId="2" borderId="6" xfId="0" applyNumberFormat="1" applyFont="1" applyFill="1" applyBorder="1" applyAlignment="1">
      <alignment horizontal="left" vertical="top"/>
    </xf>
    <xf numFmtId="1" fontId="22" fillId="0" borderId="1" xfId="7" applyNumberFormat="1" applyFont="1" applyBorder="1" applyAlignment="1">
      <alignment horizontal="center" vertical="center" wrapText="1"/>
    </xf>
    <xf numFmtId="1" fontId="22" fillId="0" borderId="6" xfId="7" applyNumberFormat="1" applyFont="1" applyBorder="1" applyAlignment="1">
      <alignment horizontal="center" vertical="center" wrapText="1"/>
    </xf>
    <xf numFmtId="1" fontId="22" fillId="0" borderId="4" xfId="7" applyNumberFormat="1" applyFont="1" applyBorder="1" applyAlignment="1">
      <alignment horizontal="center" vertical="center" wrapText="1"/>
    </xf>
    <xf numFmtId="1" fontId="20" fillId="0" borderId="1" xfId="7" applyNumberFormat="1" applyFont="1" applyBorder="1" applyAlignment="1">
      <alignment horizontal="center" vertical="center" wrapText="1"/>
    </xf>
    <xf numFmtId="1" fontId="20" fillId="0" borderId="4" xfId="7" applyNumberFormat="1" applyFont="1" applyBorder="1" applyAlignment="1">
      <alignment horizontal="center" vertical="center" wrapText="1"/>
    </xf>
    <xf numFmtId="1" fontId="20" fillId="0" borderId="6" xfId="7" applyNumberFormat="1" applyFont="1" applyBorder="1" applyAlignment="1">
      <alignment horizontal="center" vertical="center" wrapText="1"/>
    </xf>
    <xf numFmtId="1" fontId="22" fillId="0" borderId="7" xfId="7" applyNumberFormat="1" applyFont="1" applyBorder="1" applyAlignment="1">
      <alignment horizontal="center" vertical="center" wrapText="1"/>
    </xf>
    <xf numFmtId="1" fontId="22" fillId="0" borderId="8" xfId="7" applyNumberFormat="1" applyFont="1" applyBorder="1" applyAlignment="1">
      <alignment horizontal="center" vertical="center" wrapText="1"/>
    </xf>
    <xf numFmtId="1" fontId="22" fillId="0" borderId="9" xfId="7" applyNumberFormat="1" applyFont="1" applyBorder="1" applyAlignment="1">
      <alignment horizontal="center" vertical="center" wrapText="1"/>
    </xf>
    <xf numFmtId="1" fontId="22" fillId="0" borderId="12" xfId="7" applyNumberFormat="1" applyFont="1" applyBorder="1" applyAlignment="1">
      <alignment horizontal="center" vertical="center" wrapText="1"/>
    </xf>
    <xf numFmtId="1" fontId="22" fillId="0" borderId="0" xfId="7" applyNumberFormat="1" applyFont="1" applyAlignment="1">
      <alignment horizontal="center" vertical="center" wrapText="1"/>
    </xf>
    <xf numFmtId="1" fontId="22" fillId="0" borderId="13" xfId="7" applyNumberFormat="1" applyFont="1" applyBorder="1" applyAlignment="1">
      <alignment horizontal="center" vertical="center" wrapText="1"/>
    </xf>
    <xf numFmtId="1" fontId="22" fillId="0" borderId="10" xfId="7" applyNumberFormat="1" applyFont="1" applyBorder="1" applyAlignment="1">
      <alignment horizontal="center" vertical="center" wrapText="1"/>
    </xf>
    <xf numFmtId="1" fontId="22" fillId="0" borderId="3" xfId="7" applyNumberFormat="1" applyFont="1" applyBorder="1" applyAlignment="1">
      <alignment horizontal="center" vertical="center" wrapText="1"/>
    </xf>
    <xf numFmtId="1" fontId="22" fillId="0" borderId="11" xfId="7" applyNumberFormat="1" applyFont="1" applyBorder="1" applyAlignment="1">
      <alignment horizontal="center" vertical="center" wrapText="1"/>
    </xf>
    <xf numFmtId="1" fontId="21" fillId="0" borderId="1" xfId="7" applyNumberFormat="1" applyFont="1" applyBorder="1" applyAlignment="1">
      <alignment horizontal="center" vertical="center" wrapText="1"/>
    </xf>
    <xf numFmtId="1" fontId="21" fillId="0" borderId="4" xfId="7" applyNumberFormat="1" applyFont="1" applyBorder="1" applyAlignment="1">
      <alignment horizontal="center" vertical="center" wrapText="1"/>
    </xf>
    <xf numFmtId="1" fontId="21" fillId="0" borderId="6" xfId="7" applyNumberFormat="1" applyFont="1" applyBorder="1" applyAlignment="1">
      <alignment horizontal="center" vertical="center" wrapText="1"/>
    </xf>
    <xf numFmtId="1" fontId="25" fillId="0" borderId="1" xfId="7" applyNumberFormat="1" applyFont="1" applyBorder="1" applyAlignment="1">
      <alignment horizontal="center" vertical="center" wrapText="1"/>
    </xf>
    <xf numFmtId="1" fontId="25" fillId="0" borderId="4" xfId="7" applyNumberFormat="1" applyFont="1" applyBorder="1" applyAlignment="1">
      <alignment horizontal="center" vertical="center" wrapText="1"/>
    </xf>
    <xf numFmtId="1" fontId="25" fillId="0" borderId="6" xfId="7" applyNumberFormat="1" applyFont="1" applyBorder="1" applyAlignment="1">
      <alignment horizontal="center" vertical="center" wrapText="1"/>
    </xf>
    <xf numFmtId="1" fontId="26" fillId="0" borderId="1" xfId="7" applyNumberFormat="1" applyFont="1" applyBorder="1" applyAlignment="1">
      <alignment horizontal="center" vertical="center" wrapText="1"/>
    </xf>
    <xf numFmtId="1" fontId="26" fillId="0" borderId="6" xfId="7" applyNumberFormat="1" applyFont="1" applyBorder="1" applyAlignment="1">
      <alignment horizontal="center" vertical="center" wrapText="1"/>
    </xf>
    <xf numFmtId="1" fontId="26" fillId="0" borderId="7" xfId="7" applyNumberFormat="1" applyFont="1" applyBorder="1" applyAlignment="1">
      <alignment horizontal="center" vertical="center" wrapText="1"/>
    </xf>
    <xf numFmtId="1" fontId="26" fillId="0" borderId="8" xfId="7" applyNumberFormat="1" applyFont="1" applyBorder="1" applyAlignment="1">
      <alignment horizontal="center" vertical="center" wrapText="1"/>
    </xf>
    <xf numFmtId="1" fontId="26" fillId="0" borderId="9" xfId="7" applyNumberFormat="1" applyFont="1" applyBorder="1" applyAlignment="1">
      <alignment horizontal="center" vertical="center" wrapText="1"/>
    </xf>
    <xf numFmtId="1" fontId="26" fillId="0" borderId="12" xfId="7" applyNumberFormat="1" applyFont="1" applyBorder="1" applyAlignment="1">
      <alignment horizontal="center" vertical="center" wrapText="1"/>
    </xf>
    <xf numFmtId="1" fontId="26" fillId="0" borderId="0" xfId="7" applyNumberFormat="1" applyFont="1" applyAlignment="1">
      <alignment horizontal="center" vertical="center" wrapText="1"/>
    </xf>
    <xf numFmtId="1" fontId="26" fillId="0" borderId="13" xfId="7" applyNumberFormat="1" applyFont="1" applyBorder="1" applyAlignment="1">
      <alignment horizontal="center" vertical="center" wrapText="1"/>
    </xf>
    <xf numFmtId="1" fontId="26" fillId="0" borderId="10" xfId="7" applyNumberFormat="1" applyFont="1" applyBorder="1" applyAlignment="1">
      <alignment horizontal="center" vertical="center" wrapText="1"/>
    </xf>
    <xf numFmtId="1" fontId="26" fillId="0" borderId="3" xfId="7" applyNumberFormat="1" applyFont="1" applyBorder="1" applyAlignment="1">
      <alignment horizontal="center" vertical="center" wrapText="1"/>
    </xf>
    <xf numFmtId="1" fontId="26" fillId="0" borderId="11" xfId="7" applyNumberFormat="1" applyFont="1" applyBorder="1" applyAlignment="1">
      <alignment horizontal="center" vertical="center" wrapText="1"/>
    </xf>
    <xf numFmtId="1" fontId="20" fillId="5" borderId="1" xfId="7" applyNumberFormat="1" applyFont="1" applyFill="1" applyBorder="1" applyAlignment="1">
      <alignment horizontal="center" vertical="center" wrapText="1"/>
    </xf>
    <xf numFmtId="1" fontId="20" fillId="5" borderId="4" xfId="7" applyNumberFormat="1" applyFont="1" applyFill="1" applyBorder="1" applyAlignment="1">
      <alignment horizontal="center" vertical="center" wrapText="1"/>
    </xf>
    <xf numFmtId="1" fontId="20" fillId="5" borderId="6" xfId="7" applyNumberFormat="1" applyFont="1" applyFill="1" applyBorder="1" applyAlignment="1">
      <alignment horizontal="center" vertical="center" wrapText="1"/>
    </xf>
    <xf numFmtId="1" fontId="25" fillId="4" borderId="1" xfId="7" applyNumberFormat="1" applyFont="1" applyFill="1" applyBorder="1" applyAlignment="1">
      <alignment horizontal="center" vertical="center" wrapText="1"/>
    </xf>
    <xf numFmtId="1" fontId="25" fillId="4" borderId="4" xfId="7" applyNumberFormat="1" applyFont="1" applyFill="1" applyBorder="1" applyAlignment="1">
      <alignment horizontal="center" vertical="center" wrapText="1"/>
    </xf>
    <xf numFmtId="1" fontId="25" fillId="4" borderId="6" xfId="7" applyNumberFormat="1" applyFont="1" applyFill="1" applyBorder="1" applyAlignment="1">
      <alignment horizontal="center" vertical="center" wrapText="1"/>
    </xf>
    <xf numFmtId="1" fontId="26" fillId="0" borderId="4" xfId="7" applyNumberFormat="1" applyFont="1" applyBorder="1" applyAlignment="1">
      <alignment horizontal="center" vertical="center" wrapText="1"/>
    </xf>
    <xf numFmtId="1" fontId="23" fillId="0" borderId="1" xfId="7" applyNumberFormat="1" applyFont="1" applyBorder="1" applyAlignment="1">
      <alignment horizontal="center" vertical="center" wrapText="1"/>
    </xf>
    <xf numFmtId="1" fontId="23" fillId="0" borderId="6" xfId="7" applyNumberFormat="1" applyFont="1" applyBorder="1" applyAlignment="1">
      <alignment horizontal="center" vertical="center" wrapText="1"/>
    </xf>
    <xf numFmtId="1" fontId="19" fillId="0" borderId="1" xfId="7" applyNumberFormat="1" applyFont="1" applyBorder="1" applyAlignment="1">
      <alignment horizontal="center" vertical="center" wrapText="1"/>
    </xf>
    <xf numFmtId="1" fontId="19" fillId="0" borderId="4" xfId="7" applyNumberFormat="1" applyFont="1" applyBorder="1" applyAlignment="1">
      <alignment horizontal="center" vertical="center" wrapText="1"/>
    </xf>
    <xf numFmtId="1" fontId="19" fillId="0" borderId="6" xfId="7" applyNumberFormat="1" applyFont="1" applyBorder="1" applyAlignment="1">
      <alignment horizontal="center" vertical="center" wrapText="1"/>
    </xf>
    <xf numFmtId="1" fontId="23" fillId="0" borderId="4" xfId="7" applyNumberFormat="1" applyFont="1" applyBorder="1" applyAlignment="1">
      <alignment horizontal="center" vertical="center" wrapText="1"/>
    </xf>
    <xf numFmtId="1" fontId="23" fillId="0" borderId="7" xfId="7" applyNumberFormat="1" applyFont="1" applyBorder="1" applyAlignment="1">
      <alignment horizontal="center" vertical="center" wrapText="1"/>
    </xf>
    <xf numFmtId="1" fontId="23" fillId="0" borderId="8" xfId="7" applyNumberFormat="1" applyFont="1" applyBorder="1" applyAlignment="1">
      <alignment horizontal="center" vertical="center" wrapText="1"/>
    </xf>
    <xf numFmtId="1" fontId="23" fillId="0" borderId="9" xfId="7" applyNumberFormat="1" applyFont="1" applyBorder="1" applyAlignment="1">
      <alignment horizontal="center" vertical="center" wrapText="1"/>
    </xf>
    <xf numFmtId="1" fontId="23" fillId="0" borderId="12" xfId="7" applyNumberFormat="1" applyFont="1" applyBorder="1" applyAlignment="1">
      <alignment horizontal="center" vertical="center" wrapText="1"/>
    </xf>
    <xf numFmtId="1" fontId="23" fillId="0" borderId="0" xfId="7" applyNumberFormat="1" applyFont="1" applyAlignment="1">
      <alignment horizontal="center" vertical="center" wrapText="1"/>
    </xf>
    <xf numFmtId="1" fontId="23" fillId="0" borderId="13" xfId="7" applyNumberFormat="1" applyFont="1" applyBorder="1" applyAlignment="1">
      <alignment horizontal="center" vertical="center" wrapText="1"/>
    </xf>
    <xf numFmtId="1" fontId="21" fillId="5" borderId="1" xfId="7" applyNumberFormat="1" applyFont="1" applyFill="1" applyBorder="1" applyAlignment="1">
      <alignment horizontal="center" vertical="center" wrapText="1"/>
    </xf>
    <xf numFmtId="1" fontId="21" fillId="5" borderId="4" xfId="7" applyNumberFormat="1" applyFont="1" applyFill="1" applyBorder="1" applyAlignment="1">
      <alignment horizontal="center" vertical="center" wrapText="1"/>
    </xf>
    <xf numFmtId="1" fontId="21" fillId="5" borderId="6" xfId="7" applyNumberFormat="1" applyFont="1" applyFill="1" applyBorder="1" applyAlignment="1">
      <alignment horizontal="center" vertical="center" wrapText="1"/>
    </xf>
    <xf numFmtId="0" fontId="23" fillId="0" borderId="24" xfId="7" applyFont="1" applyBorder="1" applyAlignment="1" applyProtection="1">
      <alignment horizontal="center" vertical="top" wrapText="1"/>
      <protection locked="0"/>
    </xf>
    <xf numFmtId="0" fontId="23" fillId="0" borderId="6" xfId="7" applyFont="1" applyBorder="1" applyAlignment="1" applyProtection="1">
      <alignment horizontal="center" vertical="top" wrapText="1"/>
      <protection locked="0"/>
    </xf>
    <xf numFmtId="0" fontId="20" fillId="0" borderId="1" xfId="7" applyFont="1" applyBorder="1" applyAlignment="1">
      <alignment horizontal="center" vertical="top"/>
    </xf>
    <xf numFmtId="0" fontId="20" fillId="0" borderId="4" xfId="7" applyFont="1" applyBorder="1" applyAlignment="1">
      <alignment horizontal="center" vertical="top"/>
    </xf>
    <xf numFmtId="0" fontId="20" fillId="0" borderId="6" xfId="7" applyFont="1" applyBorder="1" applyAlignment="1">
      <alignment horizontal="center" vertical="top"/>
    </xf>
    <xf numFmtId="1" fontId="20" fillId="0" borderId="1" xfId="7" applyNumberFormat="1" applyFont="1" applyBorder="1" applyAlignment="1">
      <alignment horizontal="center" vertical="top" wrapText="1"/>
    </xf>
    <xf numFmtId="1" fontId="20" fillId="0" borderId="6" xfId="7" applyNumberFormat="1" applyFont="1" applyBorder="1" applyAlignment="1">
      <alignment horizontal="center" vertical="top" wrapText="1"/>
    </xf>
    <xf numFmtId="1" fontId="20" fillId="0" borderId="4" xfId="7" applyNumberFormat="1" applyFont="1" applyBorder="1" applyAlignment="1">
      <alignment horizontal="center" vertical="top" wrapText="1"/>
    </xf>
    <xf numFmtId="0" fontId="23" fillId="0" borderId="24" xfId="7" applyFont="1" applyBorder="1" applyAlignment="1" applyProtection="1">
      <alignment horizontal="center" vertical="top"/>
      <protection locked="0"/>
    </xf>
    <xf numFmtId="0" fontId="23" fillId="0" borderId="6" xfId="7" applyFont="1" applyBorder="1" applyAlignment="1" applyProtection="1">
      <alignment horizontal="center" vertical="top"/>
      <protection locked="0"/>
    </xf>
    <xf numFmtId="9" fontId="23" fillId="2" borderId="1" xfId="7" applyNumberFormat="1" applyFont="1" applyFill="1" applyBorder="1" applyAlignment="1" applyProtection="1">
      <alignment horizontal="center" vertical="center" wrapText="1"/>
      <protection hidden="1"/>
    </xf>
    <xf numFmtId="9" fontId="23" fillId="2" borderId="6" xfId="7" applyNumberFormat="1" applyFont="1" applyFill="1" applyBorder="1" applyAlignment="1" applyProtection="1">
      <alignment horizontal="center" vertical="center" wrapText="1"/>
      <protection hidden="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23" fillId="0" borderId="33" xfId="7" applyFont="1" applyBorder="1" applyAlignment="1" applyProtection="1">
      <alignment horizontal="center" vertical="top"/>
      <protection locked="0"/>
    </xf>
    <xf numFmtId="0" fontId="23" fillId="0" borderId="28" xfId="7" applyFont="1" applyBorder="1" applyAlignment="1" applyProtection="1">
      <alignment horizontal="center" vertical="top"/>
      <protection locked="0"/>
    </xf>
    <xf numFmtId="9" fontId="23" fillId="2" borderId="27" xfId="7" applyNumberFormat="1" applyFont="1" applyFill="1" applyBorder="1" applyAlignment="1" applyProtection="1">
      <alignment horizontal="center" vertical="center" wrapText="1"/>
      <protection hidden="1"/>
    </xf>
    <xf numFmtId="9" fontId="23" fillId="2" borderId="28" xfId="7" applyNumberFormat="1" applyFont="1" applyFill="1" applyBorder="1" applyAlignment="1" applyProtection="1">
      <alignment horizontal="center" vertical="center" wrapText="1"/>
      <protection hidden="1"/>
    </xf>
    <xf numFmtId="0" fontId="4" fillId="0" borderId="1" xfId="0" applyFont="1" applyBorder="1" applyAlignment="1">
      <alignment horizontal="left" vertical="top" wrapText="1"/>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1" fontId="18" fillId="0" borderId="1" xfId="0" applyNumberFormat="1" applyFont="1" applyBorder="1" applyAlignment="1">
      <alignment horizontal="center" vertical="top" wrapText="1"/>
    </xf>
    <xf numFmtId="1" fontId="18" fillId="0" borderId="4"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1" fontId="22" fillId="0" borderId="5" xfId="0" applyNumberFormat="1" applyFont="1" applyBorder="1" applyAlignment="1">
      <alignment horizontal="center" vertical="center" wrapText="1"/>
    </xf>
    <xf numFmtId="1" fontId="22" fillId="0" borderId="44" xfId="0" applyNumberFormat="1" applyFont="1" applyBorder="1" applyAlignment="1">
      <alignment horizontal="center" vertical="center" wrapText="1"/>
    </xf>
    <xf numFmtId="0" fontId="23" fillId="0" borderId="1" xfId="7" applyFont="1" applyBorder="1" applyAlignment="1" applyProtection="1">
      <alignment horizontal="center" vertical="top"/>
      <protection locked="0"/>
    </xf>
    <xf numFmtId="0" fontId="23" fillId="0" borderId="22" xfId="7" applyFont="1" applyBorder="1" applyAlignment="1" applyProtection="1">
      <alignment horizontal="center" vertical="top"/>
      <protection locked="0"/>
    </xf>
    <xf numFmtId="0" fontId="19" fillId="0" borderId="33" xfId="7" applyFont="1" applyBorder="1" applyAlignment="1" applyProtection="1">
      <alignment horizontal="left" vertical="top"/>
      <protection locked="0"/>
    </xf>
    <xf numFmtId="0" fontId="19" fillId="0" borderId="28" xfId="7" applyFont="1" applyBorder="1" applyAlignment="1" applyProtection="1">
      <alignment horizontal="left" vertical="top"/>
      <protection locked="0"/>
    </xf>
    <xf numFmtId="0" fontId="23" fillId="0" borderId="36" xfId="7" applyFont="1" applyBorder="1" applyAlignment="1" applyProtection="1">
      <alignment horizontal="center" vertical="top"/>
      <protection locked="0"/>
    </xf>
    <xf numFmtId="0" fontId="23" fillId="0" borderId="9" xfId="7" applyFont="1" applyBorder="1" applyAlignment="1" applyProtection="1">
      <alignment horizontal="center" vertical="top"/>
      <protection locked="0"/>
    </xf>
    <xf numFmtId="0" fontId="19" fillId="0" borderId="37" xfId="7" applyFont="1" applyBorder="1" applyAlignment="1" applyProtection="1">
      <alignment horizontal="left" vertical="top"/>
      <protection locked="0"/>
    </xf>
    <xf numFmtId="0" fontId="19" fillId="0" borderId="38" xfId="7" applyFont="1" applyBorder="1" applyAlignment="1" applyProtection="1">
      <alignment horizontal="left" vertical="top"/>
      <protection locked="0"/>
    </xf>
    <xf numFmtId="0" fontId="19" fillId="0" borderId="38" xfId="7" applyFont="1" applyBorder="1" applyAlignment="1" applyProtection="1">
      <alignment horizontal="left" vertical="top" wrapText="1"/>
      <protection locked="0"/>
    </xf>
    <xf numFmtId="0" fontId="19" fillId="0" borderId="39" xfId="7" applyFont="1" applyBorder="1" applyAlignment="1" applyProtection="1">
      <alignment horizontal="left" vertical="top" wrapText="1"/>
      <protection locked="0"/>
    </xf>
    <xf numFmtId="0" fontId="4" fillId="0" borderId="26" xfId="0" applyFont="1" applyBorder="1" applyAlignment="1">
      <alignment horizontal="left" vertical="top"/>
    </xf>
    <xf numFmtId="0" fontId="23" fillId="0" borderId="43" xfId="7" applyFont="1" applyBorder="1" applyAlignment="1" applyProtection="1">
      <alignment horizontal="center" vertical="top" wrapText="1"/>
      <protection locked="0"/>
    </xf>
    <xf numFmtId="0" fontId="23" fillId="0" borderId="44" xfId="7" applyFont="1" applyBorder="1" applyAlignment="1" applyProtection="1">
      <alignment horizontal="center" vertical="top" wrapText="1"/>
      <protection locked="0"/>
    </xf>
    <xf numFmtId="0" fontId="19" fillId="0" borderId="24" xfId="7" applyFont="1" applyBorder="1" applyAlignment="1" applyProtection="1">
      <alignment horizontal="center" vertical="top"/>
      <protection locked="0"/>
    </xf>
    <xf numFmtId="0" fontId="19" fillId="0" borderId="6" xfId="7" applyFont="1" applyBorder="1" applyAlignment="1" applyProtection="1">
      <alignment horizontal="center" vertical="top"/>
      <protection locked="0"/>
    </xf>
    <xf numFmtId="9" fontId="19" fillId="0" borderId="2" xfId="7" applyNumberFormat="1" applyFont="1" applyBorder="1" applyAlignment="1" applyProtection="1">
      <alignment horizontal="center" vertical="top"/>
      <protection locked="0"/>
    </xf>
    <xf numFmtId="0" fontId="19" fillId="0" borderId="2" xfId="7" applyFont="1" applyBorder="1" applyAlignment="1" applyProtection="1">
      <alignment horizontal="center" vertical="top"/>
      <protection locked="0"/>
    </xf>
    <xf numFmtId="0" fontId="19" fillId="0" borderId="40" xfId="7" applyFont="1" applyBorder="1" applyAlignment="1" applyProtection="1">
      <alignment horizontal="center" vertical="top"/>
      <protection locked="0"/>
    </xf>
    <xf numFmtId="9" fontId="23" fillId="2" borderId="26" xfId="7" applyNumberFormat="1" applyFont="1" applyFill="1" applyBorder="1" applyAlignment="1" applyProtection="1">
      <alignment horizontal="center" vertical="center" wrapText="1"/>
      <protection hidden="1"/>
    </xf>
    <xf numFmtId="0" fontId="23" fillId="0" borderId="21" xfId="7" applyFont="1" applyBorder="1" applyAlignment="1" applyProtection="1">
      <alignment horizontal="center" vertical="top"/>
      <protection locked="0"/>
    </xf>
    <xf numFmtId="0" fontId="23" fillId="0" borderId="2" xfId="7" applyFont="1" applyBorder="1" applyAlignment="1" applyProtection="1">
      <alignment horizontal="center" vertical="top"/>
      <protection locked="0"/>
    </xf>
    <xf numFmtId="9" fontId="23" fillId="2" borderId="2" xfId="7" applyNumberFormat="1" applyFont="1" applyFill="1" applyBorder="1" applyAlignment="1" applyProtection="1">
      <alignment horizontal="center" vertical="center" wrapText="1"/>
      <protection hidden="1"/>
    </xf>
    <xf numFmtId="0" fontId="23" fillId="0" borderId="45" xfId="7" applyFont="1" applyBorder="1" applyAlignment="1" applyProtection="1">
      <alignment horizontal="center" vertical="top" wrapText="1"/>
      <protection locked="0"/>
    </xf>
    <xf numFmtId="0" fontId="23" fillId="0" borderId="21" xfId="7" applyFont="1" applyBorder="1" applyAlignment="1" applyProtection="1">
      <alignment horizontal="center" vertical="top" wrapText="1"/>
      <protection locked="0"/>
    </xf>
    <xf numFmtId="0" fontId="23" fillId="0" borderId="2" xfId="7" applyFont="1" applyBorder="1" applyAlignment="1" applyProtection="1">
      <alignment horizontal="center" vertical="top" wrapText="1"/>
      <protection locked="0"/>
    </xf>
    <xf numFmtId="0" fontId="23" fillId="0" borderId="1" xfId="7" applyFont="1" applyBorder="1" applyAlignment="1" applyProtection="1">
      <alignment horizontal="center" vertical="top" wrapText="1"/>
      <protection locked="0"/>
    </xf>
    <xf numFmtId="0" fontId="23" fillId="0" borderId="4" xfId="7" applyFont="1" applyBorder="1" applyAlignment="1" applyProtection="1">
      <alignment horizontal="center" vertical="top" wrapText="1"/>
      <protection locked="0"/>
    </xf>
    <xf numFmtId="0" fontId="23" fillId="0" borderId="22" xfId="7" applyFont="1" applyBorder="1" applyAlignment="1" applyProtection="1">
      <alignment horizontal="center" vertical="top" wrapText="1"/>
      <protection locked="0"/>
    </xf>
    <xf numFmtId="9" fontId="23" fillId="2" borderId="40" xfId="7" applyNumberFormat="1" applyFont="1" applyFill="1" applyBorder="1" applyAlignment="1" applyProtection="1">
      <alignment horizontal="center" vertical="center" wrapText="1"/>
      <protection hidden="1"/>
    </xf>
    <xf numFmtId="9" fontId="23" fillId="2" borderId="42" xfId="7" applyNumberFormat="1" applyFont="1" applyFill="1" applyBorder="1" applyAlignment="1" applyProtection="1">
      <alignment horizontal="center" vertical="center" wrapText="1"/>
      <protection hidden="1"/>
    </xf>
    <xf numFmtId="0" fontId="23" fillId="0" borderId="10" xfId="7" applyFont="1" applyBorder="1" applyAlignment="1" applyProtection="1">
      <alignment horizontal="center" vertical="top" wrapText="1"/>
      <protection locked="0"/>
    </xf>
    <xf numFmtId="0" fontId="23" fillId="0" borderId="3" xfId="7" applyFont="1" applyBorder="1" applyAlignment="1" applyProtection="1">
      <alignment horizontal="center" vertical="top" wrapText="1"/>
      <protection locked="0"/>
    </xf>
    <xf numFmtId="0" fontId="23" fillId="0" borderId="34" xfId="7" applyFont="1" applyBorder="1" applyAlignment="1" applyProtection="1">
      <alignment horizontal="center" vertical="top" wrapText="1"/>
      <protection locked="0"/>
    </xf>
    <xf numFmtId="9" fontId="23" fillId="2" borderId="7" xfId="7" applyNumberFormat="1" applyFont="1" applyFill="1" applyBorder="1" applyAlignment="1" applyProtection="1">
      <alignment horizontal="center" vertical="center" wrapText="1"/>
      <protection hidden="1"/>
    </xf>
    <xf numFmtId="9" fontId="23" fillId="2" borderId="9" xfId="7" applyNumberFormat="1" applyFont="1" applyFill="1" applyBorder="1" applyAlignment="1" applyProtection="1">
      <alignment horizontal="center" vertical="center" wrapText="1"/>
      <protection hidden="1"/>
    </xf>
    <xf numFmtId="9" fontId="23" fillId="2" borderId="12" xfId="7" applyNumberFormat="1" applyFont="1" applyFill="1" applyBorder="1" applyAlignment="1" applyProtection="1">
      <alignment horizontal="center" vertical="center" wrapText="1"/>
      <protection hidden="1"/>
    </xf>
    <xf numFmtId="9" fontId="23" fillId="2" borderId="13" xfId="7" applyNumberFormat="1" applyFont="1" applyFill="1" applyBorder="1" applyAlignment="1" applyProtection="1">
      <alignment horizontal="center" vertical="center" wrapText="1"/>
      <protection hidden="1"/>
    </xf>
    <xf numFmtId="9" fontId="23" fillId="2" borderId="29" xfId="7" applyNumberFormat="1" applyFont="1" applyFill="1" applyBorder="1" applyAlignment="1" applyProtection="1">
      <alignment horizontal="center" vertical="center" wrapText="1"/>
      <protection hidden="1"/>
    </xf>
    <xf numFmtId="9" fontId="23" fillId="2" borderId="32" xfId="7" applyNumberFormat="1" applyFont="1" applyFill="1" applyBorder="1" applyAlignment="1" applyProtection="1">
      <alignment horizontal="center" vertical="center" wrapText="1"/>
      <protection hidden="1"/>
    </xf>
    <xf numFmtId="0" fontId="19" fillId="0" borderId="14" xfId="7" applyFont="1" applyBorder="1" applyAlignment="1" applyProtection="1">
      <alignment horizontal="left" vertical="top" wrapText="1"/>
      <protection locked="0"/>
    </xf>
    <xf numFmtId="0" fontId="19" fillId="0" borderId="15" xfId="7" applyFont="1" applyBorder="1" applyAlignment="1" applyProtection="1">
      <alignment horizontal="left" vertical="top" wrapText="1"/>
      <protection locked="0"/>
    </xf>
    <xf numFmtId="0" fontId="19" fillId="0" borderId="16" xfId="7" applyFont="1" applyBorder="1" applyAlignment="1" applyProtection="1">
      <alignment horizontal="left" vertical="top" wrapText="1"/>
      <protection locked="0"/>
    </xf>
    <xf numFmtId="0" fontId="19" fillId="0" borderId="17" xfId="7" applyFont="1" applyBorder="1" applyAlignment="1" applyProtection="1">
      <alignment horizontal="left" vertical="top" wrapText="1"/>
      <protection locked="0"/>
    </xf>
    <xf numFmtId="0" fontId="19" fillId="0" borderId="18" xfId="7" applyFont="1" applyBorder="1" applyAlignment="1" applyProtection="1">
      <alignment horizontal="left" vertical="top" wrapText="1"/>
      <protection locked="0"/>
    </xf>
    <xf numFmtId="0" fontId="13" fillId="0" borderId="1" xfId="0" applyFont="1" applyBorder="1" applyAlignment="1">
      <alignment horizontal="left" vertical="top"/>
    </xf>
    <xf numFmtId="0" fontId="13" fillId="0" borderId="6" xfId="0" applyFont="1" applyBorder="1" applyAlignment="1">
      <alignment horizontal="left" vertical="top"/>
    </xf>
    <xf numFmtId="0" fontId="19" fillId="0" borderId="36" xfId="7" applyFont="1" applyBorder="1" applyAlignment="1" applyProtection="1">
      <alignment horizontal="center" vertical="center"/>
      <protection locked="0"/>
    </xf>
    <xf numFmtId="0" fontId="19" fillId="0" borderId="9" xfId="7" applyFont="1" applyBorder="1" applyAlignment="1" applyProtection="1">
      <alignment horizontal="center" vertical="center"/>
      <protection locked="0"/>
    </xf>
    <xf numFmtId="0" fontId="19" fillId="0" borderId="46" xfId="7" applyFont="1" applyBorder="1" applyAlignment="1" applyProtection="1">
      <alignment horizontal="center" vertical="center"/>
      <protection locked="0"/>
    </xf>
    <xf numFmtId="0" fontId="19" fillId="0" borderId="32" xfId="7" applyFont="1" applyBorder="1" applyAlignment="1" applyProtection="1">
      <alignment horizontal="center" vertical="center"/>
      <protection locked="0"/>
    </xf>
    <xf numFmtId="9" fontId="19" fillId="0" borderId="7" xfId="7" applyNumberFormat="1" applyFont="1" applyBorder="1" applyAlignment="1" applyProtection="1">
      <alignment horizontal="center" vertical="center" wrapText="1"/>
      <protection locked="0"/>
    </xf>
    <xf numFmtId="0" fontId="19" fillId="0" borderId="8" xfId="7" applyFont="1" applyBorder="1" applyAlignment="1" applyProtection="1">
      <alignment horizontal="center" vertical="center" wrapText="1"/>
      <protection locked="0"/>
    </xf>
    <xf numFmtId="0" fontId="19" fillId="0" borderId="9" xfId="7" applyFont="1" applyBorder="1" applyAlignment="1" applyProtection="1">
      <alignment horizontal="center" vertical="center" wrapText="1"/>
      <protection locked="0"/>
    </xf>
    <xf numFmtId="0" fontId="19" fillId="0" borderId="29" xfId="7" applyFont="1" applyBorder="1" applyAlignment="1" applyProtection="1">
      <alignment horizontal="center" vertical="center" wrapText="1"/>
      <protection locked="0"/>
    </xf>
    <xf numFmtId="0" fontId="19" fillId="0" borderId="30" xfId="7" applyFont="1" applyBorder="1" applyAlignment="1" applyProtection="1">
      <alignment horizontal="center" vertical="center" wrapText="1"/>
      <protection locked="0"/>
    </xf>
    <xf numFmtId="0" fontId="19" fillId="0" borderId="32" xfId="7" applyFont="1" applyBorder="1" applyAlignment="1" applyProtection="1">
      <alignment horizontal="center" vertical="center" wrapText="1"/>
      <protection locked="0"/>
    </xf>
    <xf numFmtId="0" fontId="19" fillId="0" borderId="7" xfId="7" applyFont="1" applyBorder="1" applyAlignment="1" applyProtection="1">
      <alignment horizontal="center" vertical="center" wrapText="1"/>
      <protection locked="0"/>
    </xf>
    <xf numFmtId="0" fontId="19" fillId="0" borderId="25" xfId="7" applyFont="1" applyBorder="1" applyAlignment="1" applyProtection="1">
      <alignment horizontal="center" vertical="center" wrapText="1"/>
      <protection locked="0"/>
    </xf>
    <xf numFmtId="0" fontId="19" fillId="0" borderId="31" xfId="7" applyFont="1" applyBorder="1" applyAlignment="1" applyProtection="1">
      <alignment horizontal="center" vertical="center" wrapText="1"/>
      <protection locked="0"/>
    </xf>
    <xf numFmtId="0" fontId="19" fillId="0" borderId="14" xfId="7" applyFont="1" applyBorder="1" applyAlignment="1" applyProtection="1">
      <alignment horizontal="left" vertical="top"/>
      <protection locked="0"/>
    </xf>
    <xf numFmtId="0" fontId="19" fillId="0" borderId="15" xfId="7" applyFont="1" applyBorder="1" applyAlignment="1" applyProtection="1">
      <alignment horizontal="left" vertical="top"/>
      <protection locked="0"/>
    </xf>
    <xf numFmtId="0" fontId="23" fillId="0" borderId="11" xfId="7" applyFont="1" applyBorder="1" applyAlignment="1" applyProtection="1">
      <alignment horizontal="center" vertical="top" wrapText="1"/>
      <protection locked="0"/>
    </xf>
    <xf numFmtId="0" fontId="7" fillId="0" borderId="1"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9" fontId="23" fillId="2" borderId="8" xfId="7" applyNumberFormat="1" applyFont="1" applyFill="1" applyBorder="1" applyAlignment="1" applyProtection="1">
      <alignment horizontal="center" vertical="center" wrapText="1"/>
      <protection hidden="1"/>
    </xf>
    <xf numFmtId="9" fontId="23" fillId="2" borderId="25" xfId="7" applyNumberFormat="1" applyFont="1" applyFill="1" applyBorder="1" applyAlignment="1" applyProtection="1">
      <alignment horizontal="center" vertical="center" wrapText="1"/>
      <protection hidden="1"/>
    </xf>
    <xf numFmtId="9" fontId="23" fillId="2" borderId="0" xfId="7" applyNumberFormat="1" applyFont="1" applyFill="1" applyAlignment="1" applyProtection="1">
      <alignment horizontal="center" vertical="center" wrapText="1"/>
      <protection hidden="1"/>
    </xf>
    <xf numFmtId="9" fontId="23" fillId="2" borderId="23" xfId="7" applyNumberFormat="1" applyFont="1" applyFill="1" applyBorder="1" applyAlignment="1" applyProtection="1">
      <alignment horizontal="center" vertical="center" wrapText="1"/>
      <protection hidden="1"/>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0" xfId="0" applyFont="1" applyAlignment="1">
      <alignment vertical="top" wrapText="1"/>
    </xf>
    <xf numFmtId="0" fontId="6" fillId="0" borderId="13" xfId="0" applyFont="1" applyBorder="1" applyAlignment="1">
      <alignment vertical="top" wrapText="1"/>
    </xf>
    <xf numFmtId="0" fontId="23" fillId="0" borderId="40" xfId="7" applyFont="1" applyBorder="1" applyAlignment="1" applyProtection="1">
      <alignment horizontal="center" vertical="top"/>
      <protection locked="0"/>
    </xf>
    <xf numFmtId="0" fontId="19" fillId="0" borderId="2" xfId="7" applyFont="1" applyBorder="1" applyAlignment="1" applyProtection="1">
      <alignment horizontal="left" vertical="top" wrapText="1"/>
      <protection locked="0"/>
    </xf>
    <xf numFmtId="0" fontId="19" fillId="0" borderId="40" xfId="7" applyFont="1" applyBorder="1" applyAlignment="1" applyProtection="1">
      <alignment horizontal="left" vertical="top" wrapText="1"/>
      <protection locked="0"/>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8" xfId="0" applyFont="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4" fillId="0" borderId="2" xfId="0" applyFont="1" applyBorder="1" applyAlignment="1">
      <alignment horizontal="left" vertical="top"/>
    </xf>
    <xf numFmtId="166" fontId="7" fillId="0" borderId="1" xfId="0" applyNumberFormat="1" applyFont="1" applyBorder="1" applyAlignment="1">
      <alignment horizontal="left" vertical="top"/>
    </xf>
    <xf numFmtId="166" fontId="7" fillId="0" borderId="4" xfId="0" applyNumberFormat="1" applyFont="1" applyBorder="1" applyAlignment="1">
      <alignment horizontal="left" vertical="top"/>
    </xf>
    <xf numFmtId="166" fontId="7" fillId="0" borderId="6" xfId="0" applyNumberFormat="1" applyFont="1" applyBorder="1" applyAlignment="1">
      <alignment horizontal="left" vertical="top"/>
    </xf>
    <xf numFmtId="0" fontId="4" fillId="2" borderId="2" xfId="0" applyFont="1" applyFill="1" applyBorder="1" applyAlignment="1">
      <alignment horizontal="left" vertical="top" wrapText="1"/>
    </xf>
    <xf numFmtId="14" fontId="4" fillId="0" borderId="2" xfId="0" applyNumberFormat="1" applyFont="1" applyBorder="1" applyAlignment="1">
      <alignment horizontal="left" vertical="top" wrapText="1"/>
    </xf>
    <xf numFmtId="14" fontId="4" fillId="0" borderId="2" xfId="0" applyNumberFormat="1"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4" fillId="2" borderId="2" xfId="0" applyFont="1" applyFill="1" applyBorder="1" applyAlignment="1">
      <alignment horizontal="left" vertical="top"/>
    </xf>
    <xf numFmtId="0" fontId="4" fillId="0" borderId="3" xfId="0" applyFont="1" applyBorder="1" applyAlignment="1">
      <alignment horizontal="left" vertical="top"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3" fillId="0" borderId="1" xfId="0" applyFont="1" applyBorder="1" applyAlignment="1">
      <alignment horizontal="center" vertical="top"/>
    </xf>
    <xf numFmtId="0" fontId="3" fillId="0" borderId="6" xfId="0" applyFont="1" applyBorder="1" applyAlignment="1">
      <alignment horizontal="center" vertical="top"/>
    </xf>
    <xf numFmtId="0" fontId="7" fillId="0" borderId="1" xfId="0" applyFont="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14" fontId="3" fillId="2" borderId="1" xfId="0" applyNumberFormat="1" applyFont="1" applyFill="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4" fillId="0" borderId="2" xfId="0" applyFont="1" applyBorder="1" applyAlignment="1">
      <alignment horizontal="left" vertical="top" wrapText="1"/>
    </xf>
    <xf numFmtId="0" fontId="7" fillId="0" borderId="2" xfId="0" applyFont="1" applyBorder="1" applyAlignment="1">
      <alignment horizontal="left" vertical="top"/>
    </xf>
    <xf numFmtId="14" fontId="16" fillId="0" borderId="1" xfId="0" applyNumberFormat="1" applyFont="1" applyBorder="1" applyAlignment="1">
      <alignment horizontal="left" vertical="top"/>
    </xf>
    <xf numFmtId="14" fontId="16" fillId="0" borderId="4" xfId="0" applyNumberFormat="1" applyFont="1" applyBorder="1" applyAlignment="1">
      <alignment horizontal="left" vertical="top"/>
    </xf>
    <xf numFmtId="14" fontId="16" fillId="0" borderId="6" xfId="0" applyNumberFormat="1" applyFont="1" applyBorder="1" applyAlignment="1">
      <alignment horizontal="left" vertical="top"/>
    </xf>
    <xf numFmtId="0" fontId="6" fillId="0" borderId="2" xfId="2" applyFont="1" applyBorder="1" applyAlignment="1">
      <alignment horizontal="left" vertical="top" wrapText="1"/>
    </xf>
    <xf numFmtId="3" fontId="3" fillId="2" borderId="1" xfId="0" applyNumberFormat="1" applyFont="1" applyFill="1" applyBorder="1" applyAlignment="1">
      <alignment horizontal="left" vertical="top" wrapText="1"/>
    </xf>
    <xf numFmtId="0" fontId="19" fillId="0" borderId="1" xfId="7" applyFont="1" applyBorder="1" applyAlignment="1" applyProtection="1">
      <alignment horizontal="left" vertical="top" wrapText="1"/>
      <protection locked="0"/>
    </xf>
    <xf numFmtId="0" fontId="19" fillId="0" borderId="4" xfId="7" applyFont="1" applyBorder="1" applyAlignment="1" applyProtection="1">
      <alignment horizontal="left" vertical="top" wrapText="1"/>
      <protection locked="0"/>
    </xf>
    <xf numFmtId="0" fontId="19" fillId="0" borderId="22" xfId="7" applyFont="1" applyBorder="1" applyAlignment="1" applyProtection="1">
      <alignment horizontal="left" vertical="top" wrapText="1"/>
      <protection locked="0"/>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14" fontId="7" fillId="0" borderId="1" xfId="0" applyNumberFormat="1" applyFont="1" applyBorder="1" applyAlignment="1">
      <alignment horizontal="left" vertical="top" wrapText="1"/>
    </xf>
    <xf numFmtId="0" fontId="7" fillId="2" borderId="1" xfId="0" applyFont="1" applyFill="1" applyBorder="1" applyAlignment="1">
      <alignment horizontal="left" vertical="top"/>
    </xf>
    <xf numFmtId="0" fontId="7" fillId="2" borderId="4" xfId="0" applyFont="1" applyFill="1" applyBorder="1" applyAlignment="1">
      <alignment horizontal="left" vertical="top"/>
    </xf>
    <xf numFmtId="0" fontId="7" fillId="2" borderId="6" xfId="0" applyFont="1" applyFill="1" applyBorder="1" applyAlignment="1">
      <alignment horizontal="left" vertical="top"/>
    </xf>
    <xf numFmtId="0" fontId="7" fillId="0" borderId="2"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6" xfId="0" applyFont="1" applyFill="1" applyBorder="1" applyAlignment="1">
      <alignment horizontal="left" vertical="top" wrapText="1"/>
    </xf>
    <xf numFmtId="14" fontId="7" fillId="2" borderId="1" xfId="0" applyNumberFormat="1" applyFont="1" applyFill="1" applyBorder="1" applyAlignment="1">
      <alignment horizontal="left" vertical="top"/>
    </xf>
    <xf numFmtId="14" fontId="7" fillId="2" borderId="4" xfId="0" applyNumberFormat="1" applyFont="1" applyFill="1" applyBorder="1" applyAlignment="1">
      <alignment horizontal="left" vertical="top"/>
    </xf>
    <xf numFmtId="14" fontId="7" fillId="2" borderId="6" xfId="0" applyNumberFormat="1" applyFont="1" applyFill="1" applyBorder="1" applyAlignment="1">
      <alignment horizontal="left" vertical="top"/>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3" fillId="0" borderId="2" xfId="0" applyFont="1" applyBorder="1" applyAlignment="1">
      <alignment horizontal="center" vertical="top" wrapText="1"/>
    </xf>
    <xf numFmtId="0" fontId="4" fillId="0" borderId="2" xfId="0" applyFont="1" applyBorder="1" applyAlignment="1">
      <alignment horizontal="center" vertical="top" wrapText="1"/>
    </xf>
    <xf numFmtId="0" fontId="3" fillId="0" borderId="4"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19" fillId="0" borderId="27" xfId="7" applyFont="1" applyBorder="1" applyAlignment="1" applyProtection="1">
      <alignment horizontal="left" vertical="top" wrapText="1"/>
      <protection locked="0"/>
    </xf>
    <xf numFmtId="0" fontId="19" fillId="0" borderId="47" xfId="7" applyFont="1" applyBorder="1" applyAlignment="1" applyProtection="1">
      <alignment horizontal="left" vertical="top" wrapText="1"/>
      <protection locked="0"/>
    </xf>
    <xf numFmtId="0" fontId="19" fillId="0" borderId="48" xfId="7" applyFont="1" applyBorder="1" applyAlignment="1" applyProtection="1">
      <alignment horizontal="left" vertical="top" wrapText="1"/>
      <protection locked="0"/>
    </xf>
    <xf numFmtId="0" fontId="23" fillId="0" borderId="35" xfId="7" applyFont="1" applyBorder="1" applyAlignment="1" applyProtection="1">
      <alignment horizontal="center" vertical="top" wrapText="1"/>
      <protection locked="0"/>
    </xf>
    <xf numFmtId="9" fontId="23" fillId="2" borderId="30" xfId="7" applyNumberFormat="1" applyFont="1" applyFill="1" applyBorder="1" applyAlignment="1" applyProtection="1">
      <alignment horizontal="center" vertical="center" wrapText="1"/>
      <protection hidden="1"/>
    </xf>
    <xf numFmtId="9" fontId="23" fillId="2" borderId="31" xfId="7" applyNumberFormat="1" applyFont="1" applyFill="1" applyBorder="1" applyAlignment="1" applyProtection="1">
      <alignment horizontal="center" vertical="center" wrapText="1"/>
      <protection hidden="1"/>
    </xf>
    <xf numFmtId="0" fontId="20" fillId="0" borderId="2" xfId="7" applyFont="1" applyBorder="1" applyAlignment="1">
      <alignment horizontal="center" vertical="top" wrapText="1"/>
    </xf>
    <xf numFmtId="0" fontId="10" fillId="0" borderId="1" xfId="4" applyBorder="1" applyAlignment="1">
      <alignment horizontal="left" vertical="top"/>
    </xf>
    <xf numFmtId="1" fontId="22" fillId="0" borderId="1" xfId="0" applyNumberFormat="1" applyFont="1" applyBorder="1" applyAlignment="1">
      <alignment horizontal="center" vertical="center" wrapText="1"/>
    </xf>
    <xf numFmtId="1" fontId="22" fillId="0" borderId="6"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4"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1" fontId="20" fillId="0" borderId="4" xfId="0" applyNumberFormat="1" applyFont="1" applyBorder="1" applyAlignment="1">
      <alignment horizontal="center" vertical="center" wrapText="1"/>
    </xf>
    <xf numFmtId="1" fontId="19" fillId="0" borderId="1" xfId="0" applyNumberFormat="1" applyFont="1" applyBorder="1" applyAlignment="1">
      <alignment horizontal="center" vertical="top" wrapText="1"/>
    </xf>
    <xf numFmtId="1" fontId="19" fillId="0" borderId="4" xfId="0" applyNumberFormat="1" applyFont="1" applyBorder="1" applyAlignment="1">
      <alignment horizontal="center" vertical="top" wrapText="1"/>
    </xf>
    <xf numFmtId="1" fontId="19" fillId="0" borderId="6" xfId="0" applyNumberFormat="1" applyFont="1" applyBorder="1" applyAlignment="1">
      <alignment horizontal="center" vertical="top" wrapText="1"/>
    </xf>
    <xf numFmtId="1" fontId="26" fillId="0" borderId="1" xfId="0" applyNumberFormat="1" applyFont="1" applyBorder="1" applyAlignment="1">
      <alignment horizontal="center" vertical="center" wrapText="1"/>
    </xf>
    <xf numFmtId="1" fontId="26" fillId="0" borderId="6" xfId="0" applyNumberFormat="1" applyFont="1" applyBorder="1" applyAlignment="1">
      <alignment horizontal="center" vertical="center" wrapText="1"/>
    </xf>
    <xf numFmtId="1" fontId="26" fillId="0" borderId="1" xfId="0" applyNumberFormat="1" applyFont="1" applyBorder="1" applyAlignment="1">
      <alignment horizontal="center" vertical="top" wrapText="1"/>
    </xf>
    <xf numFmtId="1" fontId="26" fillId="0" borderId="4" xfId="0" applyNumberFormat="1" applyFont="1" applyBorder="1" applyAlignment="1">
      <alignment horizontal="center" vertical="top" wrapText="1"/>
    </xf>
    <xf numFmtId="1" fontId="26" fillId="0" borderId="6" xfId="0" applyNumberFormat="1" applyFont="1" applyBorder="1" applyAlignment="1">
      <alignment horizontal="center" vertical="top" wrapText="1"/>
    </xf>
    <xf numFmtId="1" fontId="18" fillId="0" borderId="1" xfId="7" applyNumberFormat="1" applyFont="1" applyBorder="1" applyAlignment="1">
      <alignment horizontal="center" vertical="center" wrapText="1"/>
    </xf>
    <xf numFmtId="1" fontId="18" fillId="0" borderId="6" xfId="7" applyNumberFormat="1" applyFont="1" applyBorder="1" applyAlignment="1">
      <alignment horizontal="center" vertical="center" wrapText="1"/>
    </xf>
    <xf numFmtId="0" fontId="19" fillId="0" borderId="24" xfId="7" applyFont="1" applyBorder="1" applyAlignment="1" applyProtection="1">
      <alignment horizontal="left" vertical="top"/>
      <protection locked="0"/>
    </xf>
    <xf numFmtId="0" fontId="19" fillId="0" borderId="6" xfId="7" applyFont="1" applyBorder="1" applyAlignment="1" applyProtection="1">
      <alignment horizontal="left" vertical="top"/>
      <protection locked="0"/>
    </xf>
    <xf numFmtId="1" fontId="20" fillId="0" borderId="6" xfId="0" applyNumberFormat="1" applyFont="1" applyBorder="1" applyAlignment="1">
      <alignment horizontal="center" vertical="center" wrapText="1"/>
    </xf>
    <xf numFmtId="1" fontId="20" fillId="0" borderId="1" xfId="0" applyNumberFormat="1" applyFont="1" applyBorder="1" applyAlignment="1">
      <alignment horizontal="center" vertical="top" wrapText="1"/>
    </xf>
    <xf numFmtId="1" fontId="20" fillId="0" borderId="6" xfId="0" applyNumberFormat="1" applyFont="1" applyBorder="1" applyAlignment="1">
      <alignment horizontal="center" vertical="top" wrapText="1"/>
    </xf>
    <xf numFmtId="0" fontId="21" fillId="0" borderId="1" xfId="0" applyFont="1" applyBorder="1" applyAlignment="1">
      <alignment horizontal="center" vertical="top" wrapText="1"/>
    </xf>
    <xf numFmtId="0" fontId="21" fillId="0" borderId="4" xfId="0" applyFont="1" applyBorder="1" applyAlignment="1">
      <alignment horizontal="center" vertical="top" wrapText="1"/>
    </xf>
    <xf numFmtId="0" fontId="21" fillId="0" borderId="6" xfId="0" applyFont="1" applyBorder="1" applyAlignment="1">
      <alignment horizontal="center" vertical="top" wrapText="1"/>
    </xf>
    <xf numFmtId="1" fontId="20" fillId="0" borderId="4" xfId="0" applyNumberFormat="1" applyFont="1" applyBorder="1" applyAlignment="1">
      <alignment horizontal="center" vertical="top" wrapText="1"/>
    </xf>
    <xf numFmtId="0" fontId="19" fillId="0" borderId="21" xfId="7" applyFont="1" applyBorder="1" applyAlignment="1" applyProtection="1">
      <alignment horizontal="left" vertical="top"/>
      <protection locked="0"/>
    </xf>
    <xf numFmtId="0" fontId="19" fillId="0" borderId="2" xfId="7" applyFont="1" applyBorder="1" applyAlignment="1" applyProtection="1">
      <alignment horizontal="left" vertical="top"/>
      <protection locked="0"/>
    </xf>
    <xf numFmtId="0" fontId="7" fillId="0" borderId="6" xfId="0" applyFont="1" applyBorder="1" applyAlignment="1">
      <alignment horizontal="left" wrapText="1"/>
    </xf>
    <xf numFmtId="0" fontId="23" fillId="0" borderId="41" xfId="7" applyFont="1" applyBorder="1" applyAlignment="1" applyProtection="1">
      <alignment horizontal="center" vertical="top"/>
      <protection locked="0"/>
    </xf>
    <xf numFmtId="0" fontId="23" fillId="0" borderId="26" xfId="7" applyFont="1" applyBorder="1" applyAlignment="1" applyProtection="1">
      <alignment horizontal="center" vertical="top"/>
      <protection locked="0"/>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25" fillId="0" borderId="16" xfId="7" applyFont="1" applyBorder="1" applyAlignment="1" applyProtection="1">
      <alignment horizontal="left" vertical="top" wrapText="1"/>
      <protection locked="0"/>
    </xf>
    <xf numFmtId="0" fontId="25" fillId="0" borderId="17" xfId="7" applyFont="1" applyBorder="1" applyAlignment="1" applyProtection="1">
      <alignment horizontal="left" vertical="top" wrapText="1"/>
      <protection locked="0"/>
    </xf>
    <xf numFmtId="0" fontId="25" fillId="0" borderId="18" xfId="7" applyFont="1" applyBorder="1" applyAlignment="1" applyProtection="1">
      <alignment horizontal="left" vertical="top" wrapText="1"/>
      <protection locked="0"/>
    </xf>
    <xf numFmtId="0" fontId="11" fillId="0" borderId="2" xfId="5" applyFont="1" applyBorder="1" applyAlignment="1">
      <alignment horizontal="left"/>
    </xf>
    <xf numFmtId="0" fontId="14" fillId="0" borderId="2" xfId="0" applyFont="1" applyBorder="1" applyAlignment="1">
      <alignment horizontal="left"/>
    </xf>
    <xf numFmtId="0" fontId="14" fillId="0" borderId="2" xfId="0" applyFont="1" applyBorder="1" applyAlignment="1">
      <alignment horizontal="center"/>
    </xf>
    <xf numFmtId="0" fontId="14" fillId="0" borderId="12" xfId="0" applyFont="1" applyBorder="1" applyAlignment="1">
      <alignment horizontal="center"/>
    </xf>
    <xf numFmtId="0" fontId="14" fillId="0" borderId="0" xfId="0" applyFont="1" applyAlignment="1">
      <alignment horizontal="center"/>
    </xf>
    <xf numFmtId="0" fontId="14" fillId="3" borderId="2" xfId="0" applyFont="1" applyFill="1" applyBorder="1" applyAlignment="1">
      <alignment horizontal="center"/>
    </xf>
    <xf numFmtId="0" fontId="15" fillId="0" borderId="2" xfId="0" applyFont="1" applyBorder="1" applyAlignment="1">
      <alignment horizontal="center"/>
    </xf>
    <xf numFmtId="0" fontId="0" fillId="3" borderId="2" xfId="0" applyFill="1" applyBorder="1" applyAlignment="1">
      <alignment horizontal="center" wrapText="1"/>
    </xf>
    <xf numFmtId="0" fontId="11" fillId="0" borderId="2" xfId="0" applyFont="1" applyBorder="1" applyAlignment="1">
      <alignment horizontal="center"/>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7" xr:uid="{00000000-0005-0000-0000-000005000000}"/>
    <cellStyle name="Normal 4" xfId="5" xr:uid="{00000000-0005-0000-0000-000006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8.png"/><Relationship Id="rId21" Type="http://schemas.openxmlformats.org/officeDocument/2006/relationships/image" Target="../media/image21.jpeg"/><Relationship Id="rId34" Type="http://schemas.openxmlformats.org/officeDocument/2006/relationships/image" Target="../media/image33.png"/><Relationship Id="rId42" Type="http://schemas.openxmlformats.org/officeDocument/2006/relationships/image" Target="../media/image41.jpeg"/><Relationship Id="rId47" Type="http://schemas.openxmlformats.org/officeDocument/2006/relationships/image" Target="../media/image46.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jpeg"/><Relationship Id="rId32" Type="http://schemas.microsoft.com/office/2007/relationships/hdphoto" Target="../media/hdphoto1.wdp"/><Relationship Id="rId37" Type="http://schemas.openxmlformats.org/officeDocument/2006/relationships/image" Target="../media/image36.png"/><Relationship Id="rId40" Type="http://schemas.openxmlformats.org/officeDocument/2006/relationships/image" Target="../media/image39.png"/><Relationship Id="rId45" Type="http://schemas.openxmlformats.org/officeDocument/2006/relationships/image" Target="../media/image4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5.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image" Target="../media/image43.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4.png"/><Relationship Id="rId43" Type="http://schemas.openxmlformats.org/officeDocument/2006/relationships/image" Target="../media/image42.jpeg"/><Relationship Id="rId48" Type="http://schemas.openxmlformats.org/officeDocument/2006/relationships/image" Target="../media/image47.jpe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2.png"/><Relationship Id="rId38" Type="http://schemas.openxmlformats.org/officeDocument/2006/relationships/image" Target="../media/image37.png"/><Relationship Id="rId46" Type="http://schemas.openxmlformats.org/officeDocument/2006/relationships/image" Target="../media/image45.jpeg"/><Relationship Id="rId20" Type="http://schemas.openxmlformats.org/officeDocument/2006/relationships/image" Target="../media/image20.jpeg"/><Relationship Id="rId41" Type="http://schemas.openxmlformats.org/officeDocument/2006/relationships/image" Target="../media/image40.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 Id="rId5" Type="http://schemas.openxmlformats.org/officeDocument/2006/relationships/image" Target="../media/image54.png"/><Relationship Id="rId4" Type="http://schemas.openxmlformats.org/officeDocument/2006/relationships/image" Target="../media/image5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6.jpeg"/><Relationship Id="rId1" Type="http://schemas.openxmlformats.org/officeDocument/2006/relationships/image" Target="../media/image5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1</xdr:col>
      <xdr:colOff>346822</xdr:colOff>
      <xdr:row>1154</xdr:row>
      <xdr:rowOff>96938</xdr:rowOff>
    </xdr:from>
    <xdr:to>
      <xdr:col>8</xdr:col>
      <xdr:colOff>280146</xdr:colOff>
      <xdr:row>1194</xdr:row>
      <xdr:rowOff>423</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18322" y="240429497"/>
          <a:ext cx="5088030" cy="7510784"/>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263387</xdr:colOff>
      <xdr:row>1196</xdr:row>
      <xdr:rowOff>29695</xdr:rowOff>
    </xdr:from>
    <xdr:to>
      <xdr:col>8</xdr:col>
      <xdr:colOff>253854</xdr:colOff>
      <xdr:row>1236</xdr:row>
      <xdr:rowOff>69160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34887" y="248775070"/>
          <a:ext cx="5153017" cy="7659464"/>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188868</xdr:colOff>
      <xdr:row>1238</xdr:row>
      <xdr:rowOff>101851</xdr:rowOff>
    </xdr:from>
    <xdr:to>
      <xdr:col>8</xdr:col>
      <xdr:colOff>180323</xdr:colOff>
      <xdr:row>1279</xdr:row>
      <xdr:rowOff>101851</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60368" y="260565047"/>
          <a:ext cx="5159803" cy="78105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391258</xdr:colOff>
      <xdr:row>1051</xdr:row>
      <xdr:rowOff>106239</xdr:rowOff>
    </xdr:from>
    <xdr:to>
      <xdr:col>10</xdr:col>
      <xdr:colOff>845527</xdr:colOff>
      <xdr:row>1052</xdr:row>
      <xdr:rowOff>157528</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792058" y="164583939"/>
          <a:ext cx="454269" cy="24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 - 1</a:t>
          </a:r>
        </a:p>
      </xdr:txBody>
    </xdr:sp>
    <xdr:clientData/>
  </xdr:twoCellAnchor>
  <xdr:twoCellAnchor>
    <xdr:from>
      <xdr:col>11</xdr:col>
      <xdr:colOff>57032</xdr:colOff>
      <xdr:row>1051</xdr:row>
      <xdr:rowOff>91586</xdr:rowOff>
    </xdr:from>
    <xdr:to>
      <xdr:col>11</xdr:col>
      <xdr:colOff>513499</xdr:colOff>
      <xdr:row>1052</xdr:row>
      <xdr:rowOff>142875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7677032" y="164569286"/>
          <a:ext cx="456467" cy="24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 - 3</a:t>
          </a:r>
        </a:p>
      </xdr:txBody>
    </xdr:sp>
    <xdr:clientData/>
  </xdr:twoCellAnchor>
  <xdr:twoCellAnchor>
    <xdr:from>
      <xdr:col>15</xdr:col>
      <xdr:colOff>26992</xdr:colOff>
      <xdr:row>1051</xdr:row>
      <xdr:rowOff>104775</xdr:rowOff>
    </xdr:from>
    <xdr:to>
      <xdr:col>15</xdr:col>
      <xdr:colOff>481994</xdr:colOff>
      <xdr:row>1052</xdr:row>
      <xdr:rowOff>156064</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0085392" y="164582475"/>
          <a:ext cx="455002" cy="24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 - 2</a:t>
          </a:r>
        </a:p>
      </xdr:txBody>
    </xdr:sp>
    <xdr:clientData/>
  </xdr:twoCellAnchor>
  <xdr:twoCellAnchor>
    <xdr:from>
      <xdr:col>11</xdr:col>
      <xdr:colOff>41527</xdr:colOff>
      <xdr:row>1064</xdr:row>
      <xdr:rowOff>36929</xdr:rowOff>
    </xdr:from>
    <xdr:to>
      <xdr:col>11</xdr:col>
      <xdr:colOff>497994</xdr:colOff>
      <xdr:row>1065</xdr:row>
      <xdr:rowOff>88218</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7661527" y="166991129"/>
          <a:ext cx="456467" cy="24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 - 2</a:t>
          </a:r>
        </a:p>
      </xdr:txBody>
    </xdr:sp>
    <xdr:clientData/>
  </xdr:twoCellAnchor>
  <xdr:twoCellAnchor>
    <xdr:from>
      <xdr:col>12</xdr:col>
      <xdr:colOff>59063</xdr:colOff>
      <xdr:row>1064</xdr:row>
      <xdr:rowOff>22275</xdr:rowOff>
    </xdr:from>
    <xdr:to>
      <xdr:col>12</xdr:col>
      <xdr:colOff>515530</xdr:colOff>
      <xdr:row>1065</xdr:row>
      <xdr:rowOff>73564</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8288663" y="166976475"/>
          <a:ext cx="456467" cy="24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T - 4</a:t>
          </a:r>
        </a:p>
      </xdr:txBody>
    </xdr:sp>
    <xdr:clientData/>
  </xdr:twoCellAnchor>
  <xdr:twoCellAnchor editAs="oneCell">
    <xdr:from>
      <xdr:col>19</xdr:col>
      <xdr:colOff>328809</xdr:colOff>
      <xdr:row>1076</xdr:row>
      <xdr:rowOff>28603</xdr:rowOff>
    </xdr:from>
    <xdr:to>
      <xdr:col>22</xdr:col>
      <xdr:colOff>443251</xdr:colOff>
      <xdr:row>1091</xdr:row>
      <xdr:rowOff>718</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3193162" y="221983515"/>
          <a:ext cx="1929796" cy="2823264"/>
        </a:xfrm>
        <a:prstGeom prst="rect">
          <a:avLst/>
        </a:prstGeom>
        <a:ln>
          <a:solidFill>
            <a:schemeClr val="tx1"/>
          </a:solidFill>
        </a:ln>
      </xdr:spPr>
    </xdr:pic>
    <xdr:clientData/>
  </xdr:twoCellAnchor>
  <xdr:twoCellAnchor editAs="oneCell">
    <xdr:from>
      <xdr:col>13</xdr:col>
      <xdr:colOff>44545</xdr:colOff>
      <xdr:row>1053</xdr:row>
      <xdr:rowOff>70970</xdr:rowOff>
    </xdr:from>
    <xdr:to>
      <xdr:col>17</xdr:col>
      <xdr:colOff>452947</xdr:colOff>
      <xdr:row>1075</xdr:row>
      <xdr:rowOff>86499</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278192" y="217644382"/>
          <a:ext cx="2828873" cy="4206529"/>
        </a:xfrm>
        <a:prstGeom prst="rect">
          <a:avLst/>
        </a:prstGeom>
        <a:ln>
          <a:solidFill>
            <a:schemeClr val="tx1"/>
          </a:solidFill>
        </a:ln>
      </xdr:spPr>
    </xdr:pic>
    <xdr:clientData/>
  </xdr:twoCellAnchor>
  <xdr:twoCellAnchor editAs="oneCell">
    <xdr:from>
      <xdr:col>12</xdr:col>
      <xdr:colOff>474383</xdr:colOff>
      <xdr:row>1076</xdr:row>
      <xdr:rowOff>28603</xdr:rowOff>
    </xdr:from>
    <xdr:to>
      <xdr:col>16</xdr:col>
      <xdr:colOff>2385</xdr:colOff>
      <xdr:row>1091</xdr:row>
      <xdr:rowOff>718</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102912" y="221983515"/>
          <a:ext cx="1948472" cy="2823264"/>
        </a:xfrm>
        <a:prstGeom prst="rect">
          <a:avLst/>
        </a:prstGeom>
        <a:ln>
          <a:solidFill>
            <a:schemeClr val="tx1"/>
          </a:solidFill>
        </a:ln>
      </xdr:spPr>
    </xdr:pic>
    <xdr:clientData/>
  </xdr:twoCellAnchor>
  <xdr:twoCellAnchor editAs="oneCell">
    <xdr:from>
      <xdr:col>17</xdr:col>
      <xdr:colOff>559930</xdr:colOff>
      <xdr:row>1053</xdr:row>
      <xdr:rowOff>70970</xdr:rowOff>
    </xdr:from>
    <xdr:to>
      <xdr:col>22</xdr:col>
      <xdr:colOff>348275</xdr:colOff>
      <xdr:row>1075</xdr:row>
      <xdr:rowOff>86499</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2214048" y="217644382"/>
          <a:ext cx="2813933" cy="4206529"/>
        </a:xfrm>
        <a:prstGeom prst="rect">
          <a:avLst/>
        </a:prstGeom>
        <a:ln>
          <a:solidFill>
            <a:schemeClr val="tx1"/>
          </a:solidFill>
        </a:ln>
      </xdr:spPr>
    </xdr:pic>
    <xdr:clientData/>
  </xdr:twoCellAnchor>
  <xdr:twoCellAnchor editAs="oneCell">
    <xdr:from>
      <xdr:col>16</xdr:col>
      <xdr:colOff>118021</xdr:colOff>
      <xdr:row>1076</xdr:row>
      <xdr:rowOff>28603</xdr:rowOff>
    </xdr:from>
    <xdr:to>
      <xdr:col>19</xdr:col>
      <xdr:colOff>203647</xdr:colOff>
      <xdr:row>1091</xdr:row>
      <xdr:rowOff>718</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1167021" y="221983515"/>
          <a:ext cx="1900979" cy="2823264"/>
        </a:xfrm>
        <a:prstGeom prst="rect">
          <a:avLst/>
        </a:prstGeom>
        <a:ln>
          <a:solidFill>
            <a:schemeClr val="tx1"/>
          </a:solidFill>
        </a:ln>
      </xdr:spPr>
    </xdr:pic>
    <xdr:clientData/>
  </xdr:twoCellAnchor>
  <xdr:twoCellAnchor editAs="oneCell">
    <xdr:from>
      <xdr:col>10</xdr:col>
      <xdr:colOff>231588</xdr:colOff>
      <xdr:row>7</xdr:row>
      <xdr:rowOff>119154</xdr:rowOff>
    </xdr:from>
    <xdr:to>
      <xdr:col>21</xdr:col>
      <xdr:colOff>110410</xdr:colOff>
      <xdr:row>8</xdr:row>
      <xdr:rowOff>482952</xdr:rowOff>
    </xdr:to>
    <xdr:pic>
      <xdr:nvPicPr>
        <xdr:cNvPr id="2" name="Picture 1">
          <a:extLst>
            <a:ext uri="{FF2B5EF4-FFF2-40B4-BE49-F238E27FC236}">
              <a16:creationId xmlns:a16="http://schemas.microsoft.com/office/drawing/2014/main" id="{4F13D710-5056-4A70-97EF-34C6CA859B3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7627470" y="1800036"/>
          <a:ext cx="7595940" cy="543092"/>
        </a:xfrm>
        <a:prstGeom prst="rect">
          <a:avLst/>
        </a:prstGeom>
        <a:ln>
          <a:solidFill>
            <a:schemeClr val="tx1"/>
          </a:solidFill>
        </a:ln>
      </xdr:spPr>
    </xdr:pic>
    <xdr:clientData/>
  </xdr:twoCellAnchor>
  <xdr:twoCellAnchor editAs="oneCell">
    <xdr:from>
      <xdr:col>10</xdr:col>
      <xdr:colOff>952500</xdr:colOff>
      <xdr:row>983</xdr:row>
      <xdr:rowOff>11207</xdr:rowOff>
    </xdr:from>
    <xdr:to>
      <xdr:col>15</xdr:col>
      <xdr:colOff>432406</xdr:colOff>
      <xdr:row>1046</xdr:row>
      <xdr:rowOff>1400825</xdr:rowOff>
    </xdr:to>
    <xdr:pic>
      <xdr:nvPicPr>
        <xdr:cNvPr id="3" name="Picture 2">
          <a:extLst>
            <a:ext uri="{FF2B5EF4-FFF2-40B4-BE49-F238E27FC236}">
              <a16:creationId xmlns:a16="http://schemas.microsoft.com/office/drawing/2014/main" id="{F989006A-317E-4E3B-A556-704C1837CEFB}"/>
            </a:ext>
          </a:extLst>
        </xdr:cNvPr>
        <xdr:cNvPicPr>
          <a:picLocks noChangeAspect="1"/>
        </xdr:cNvPicPr>
      </xdr:nvPicPr>
      <xdr:blipFill>
        <a:blip xmlns:r="http://schemas.openxmlformats.org/officeDocument/2006/relationships" r:embed="rId10"/>
        <a:stretch>
          <a:fillRect/>
        </a:stretch>
      </xdr:blipFill>
      <xdr:spPr>
        <a:xfrm>
          <a:off x="7743265" y="179540648"/>
          <a:ext cx="3133024" cy="2880000"/>
        </a:xfrm>
        <a:prstGeom prst="rect">
          <a:avLst/>
        </a:prstGeom>
        <a:ln>
          <a:solidFill>
            <a:schemeClr val="tx1"/>
          </a:solidFill>
        </a:ln>
      </xdr:spPr>
    </xdr:pic>
    <xdr:clientData/>
  </xdr:twoCellAnchor>
  <xdr:twoCellAnchor editAs="oneCell">
    <xdr:from>
      <xdr:col>15</xdr:col>
      <xdr:colOff>582707</xdr:colOff>
      <xdr:row>982</xdr:row>
      <xdr:rowOff>201705</xdr:rowOff>
    </xdr:from>
    <xdr:to>
      <xdr:col>21</xdr:col>
      <xdr:colOff>345105</xdr:colOff>
      <xdr:row>1046</xdr:row>
      <xdr:rowOff>1389618</xdr:rowOff>
    </xdr:to>
    <xdr:pic>
      <xdr:nvPicPr>
        <xdr:cNvPr id="4" name="Picture 3">
          <a:extLst>
            <a:ext uri="{FF2B5EF4-FFF2-40B4-BE49-F238E27FC236}">
              <a16:creationId xmlns:a16="http://schemas.microsoft.com/office/drawing/2014/main" id="{558DEB4D-C7CC-4DA9-8ABF-666358988BFB}"/>
            </a:ext>
          </a:extLst>
        </xdr:cNvPr>
        <xdr:cNvPicPr>
          <a:picLocks noChangeAspect="1"/>
        </xdr:cNvPicPr>
      </xdr:nvPicPr>
      <xdr:blipFill>
        <a:blip xmlns:r="http://schemas.openxmlformats.org/officeDocument/2006/relationships" r:embed="rId11"/>
        <a:stretch>
          <a:fillRect/>
        </a:stretch>
      </xdr:blipFill>
      <xdr:spPr>
        <a:xfrm>
          <a:off x="11026589" y="179529440"/>
          <a:ext cx="3393103" cy="2880000"/>
        </a:xfrm>
        <a:prstGeom prst="rect">
          <a:avLst/>
        </a:prstGeom>
        <a:ln>
          <a:solidFill>
            <a:schemeClr val="tx1"/>
          </a:solidFill>
        </a:ln>
      </xdr:spPr>
    </xdr:pic>
    <xdr:clientData/>
  </xdr:twoCellAnchor>
  <xdr:twoCellAnchor editAs="oneCell">
    <xdr:from>
      <xdr:col>10</xdr:col>
      <xdr:colOff>806824</xdr:colOff>
      <xdr:row>997</xdr:row>
      <xdr:rowOff>190499</xdr:rowOff>
    </xdr:from>
    <xdr:to>
      <xdr:col>15</xdr:col>
      <xdr:colOff>362683</xdr:colOff>
      <xdr:row>1046</xdr:row>
      <xdr:rowOff>2442619</xdr:rowOff>
    </xdr:to>
    <xdr:pic>
      <xdr:nvPicPr>
        <xdr:cNvPr id="5" name="Picture 4">
          <a:extLst>
            <a:ext uri="{FF2B5EF4-FFF2-40B4-BE49-F238E27FC236}">
              <a16:creationId xmlns:a16="http://schemas.microsoft.com/office/drawing/2014/main" id="{405DD3FA-C834-4463-8183-4C78253C9041}"/>
            </a:ext>
          </a:extLst>
        </xdr:cNvPr>
        <xdr:cNvPicPr>
          <a:picLocks noChangeAspect="1"/>
        </xdr:cNvPicPr>
      </xdr:nvPicPr>
      <xdr:blipFill>
        <a:blip xmlns:r="http://schemas.openxmlformats.org/officeDocument/2006/relationships" r:embed="rId12"/>
        <a:stretch>
          <a:fillRect/>
        </a:stretch>
      </xdr:blipFill>
      <xdr:spPr>
        <a:xfrm>
          <a:off x="7597589" y="182543823"/>
          <a:ext cx="3208977" cy="2790000"/>
        </a:xfrm>
        <a:prstGeom prst="rect">
          <a:avLst/>
        </a:prstGeom>
        <a:ln>
          <a:solidFill>
            <a:schemeClr val="tx1"/>
          </a:solidFill>
        </a:ln>
      </xdr:spPr>
    </xdr:pic>
    <xdr:clientData/>
  </xdr:twoCellAnchor>
  <xdr:twoCellAnchor editAs="oneCell">
    <xdr:from>
      <xdr:col>15</xdr:col>
      <xdr:colOff>459442</xdr:colOff>
      <xdr:row>997</xdr:row>
      <xdr:rowOff>190499</xdr:rowOff>
    </xdr:from>
    <xdr:to>
      <xdr:col>21</xdr:col>
      <xdr:colOff>106500</xdr:colOff>
      <xdr:row>1046</xdr:row>
      <xdr:rowOff>2442619</xdr:rowOff>
    </xdr:to>
    <xdr:pic>
      <xdr:nvPicPr>
        <xdr:cNvPr id="6" name="Picture 5">
          <a:extLst>
            <a:ext uri="{FF2B5EF4-FFF2-40B4-BE49-F238E27FC236}">
              <a16:creationId xmlns:a16="http://schemas.microsoft.com/office/drawing/2014/main" id="{78DC7BC4-A91D-4CCD-B4CD-1D4D6071020E}"/>
            </a:ext>
          </a:extLst>
        </xdr:cNvPr>
        <xdr:cNvPicPr>
          <a:picLocks noChangeAspect="1"/>
        </xdr:cNvPicPr>
      </xdr:nvPicPr>
      <xdr:blipFill>
        <a:blip xmlns:r="http://schemas.openxmlformats.org/officeDocument/2006/relationships" r:embed="rId13"/>
        <a:stretch>
          <a:fillRect/>
        </a:stretch>
      </xdr:blipFill>
      <xdr:spPr>
        <a:xfrm>
          <a:off x="10903324" y="182543823"/>
          <a:ext cx="3277763" cy="2790000"/>
        </a:xfrm>
        <a:prstGeom prst="rect">
          <a:avLst/>
        </a:prstGeom>
        <a:ln>
          <a:solidFill>
            <a:schemeClr val="tx1"/>
          </a:solidFill>
        </a:ln>
      </xdr:spPr>
    </xdr:pic>
    <xdr:clientData/>
  </xdr:twoCellAnchor>
  <xdr:twoCellAnchor editAs="oneCell">
    <xdr:from>
      <xdr:col>10</xdr:col>
      <xdr:colOff>694763</xdr:colOff>
      <xdr:row>1012</xdr:row>
      <xdr:rowOff>145676</xdr:rowOff>
    </xdr:from>
    <xdr:to>
      <xdr:col>16</xdr:col>
      <xdr:colOff>48389</xdr:colOff>
      <xdr:row>1046</xdr:row>
      <xdr:rowOff>2442615</xdr:rowOff>
    </xdr:to>
    <xdr:pic>
      <xdr:nvPicPr>
        <xdr:cNvPr id="7" name="Picture 6">
          <a:extLst>
            <a:ext uri="{FF2B5EF4-FFF2-40B4-BE49-F238E27FC236}">
              <a16:creationId xmlns:a16="http://schemas.microsoft.com/office/drawing/2014/main" id="{F8C4535D-1E4D-4DAF-AE41-5FFD9C6E62BF}"/>
            </a:ext>
          </a:extLst>
        </xdr:cNvPr>
        <xdr:cNvPicPr>
          <a:picLocks noChangeAspect="1"/>
        </xdr:cNvPicPr>
      </xdr:nvPicPr>
      <xdr:blipFill>
        <a:blip xmlns:r="http://schemas.openxmlformats.org/officeDocument/2006/relationships" r:embed="rId14"/>
        <a:stretch>
          <a:fillRect/>
        </a:stretch>
      </xdr:blipFill>
      <xdr:spPr>
        <a:xfrm>
          <a:off x="7485528" y="185524588"/>
          <a:ext cx="3611861" cy="2790000"/>
        </a:xfrm>
        <a:prstGeom prst="rect">
          <a:avLst/>
        </a:prstGeom>
        <a:ln>
          <a:solidFill>
            <a:schemeClr val="tx1"/>
          </a:solidFill>
        </a:ln>
      </xdr:spPr>
    </xdr:pic>
    <xdr:clientData/>
  </xdr:twoCellAnchor>
  <xdr:twoCellAnchor editAs="oneCell">
    <xdr:from>
      <xdr:col>16</xdr:col>
      <xdr:colOff>224118</xdr:colOff>
      <xdr:row>1013</xdr:row>
      <xdr:rowOff>0</xdr:rowOff>
    </xdr:from>
    <xdr:to>
      <xdr:col>21</xdr:col>
      <xdr:colOff>493768</xdr:colOff>
      <xdr:row>1046</xdr:row>
      <xdr:rowOff>2311441</xdr:rowOff>
    </xdr:to>
    <xdr:pic>
      <xdr:nvPicPr>
        <xdr:cNvPr id="13" name="Picture 12">
          <a:extLst>
            <a:ext uri="{FF2B5EF4-FFF2-40B4-BE49-F238E27FC236}">
              <a16:creationId xmlns:a16="http://schemas.microsoft.com/office/drawing/2014/main" id="{721C7878-6157-455B-85E1-AA0C90AB8C51}"/>
            </a:ext>
          </a:extLst>
        </xdr:cNvPr>
        <xdr:cNvPicPr>
          <a:picLocks noChangeAspect="1"/>
        </xdr:cNvPicPr>
      </xdr:nvPicPr>
      <xdr:blipFill>
        <a:blip xmlns:r="http://schemas.openxmlformats.org/officeDocument/2006/relationships" r:embed="rId15"/>
        <a:stretch>
          <a:fillRect/>
        </a:stretch>
      </xdr:blipFill>
      <xdr:spPr>
        <a:xfrm>
          <a:off x="11273118" y="185580618"/>
          <a:ext cx="3295238" cy="2647619"/>
        </a:xfrm>
        <a:prstGeom prst="rect">
          <a:avLst/>
        </a:prstGeom>
        <a:ln>
          <a:solidFill>
            <a:schemeClr val="tx1"/>
          </a:solidFill>
        </a:ln>
      </xdr:spPr>
    </xdr:pic>
    <xdr:clientData/>
  </xdr:twoCellAnchor>
  <xdr:twoCellAnchor editAs="oneCell">
    <xdr:from>
      <xdr:col>10</xdr:col>
      <xdr:colOff>762000</xdr:colOff>
      <xdr:row>1027</xdr:row>
      <xdr:rowOff>67236</xdr:rowOff>
    </xdr:from>
    <xdr:to>
      <xdr:col>15</xdr:col>
      <xdr:colOff>404120</xdr:colOff>
      <xdr:row>1046</xdr:row>
      <xdr:rowOff>2352948</xdr:rowOff>
    </xdr:to>
    <xdr:pic>
      <xdr:nvPicPr>
        <xdr:cNvPr id="14" name="Picture 13">
          <a:extLst>
            <a:ext uri="{FF2B5EF4-FFF2-40B4-BE49-F238E27FC236}">
              <a16:creationId xmlns:a16="http://schemas.microsoft.com/office/drawing/2014/main" id="{25AEACFF-6325-4431-BC50-33D6C3293105}"/>
            </a:ext>
          </a:extLst>
        </xdr:cNvPr>
        <xdr:cNvPicPr>
          <a:picLocks noChangeAspect="1"/>
        </xdr:cNvPicPr>
      </xdr:nvPicPr>
      <xdr:blipFill>
        <a:blip xmlns:r="http://schemas.openxmlformats.org/officeDocument/2006/relationships" r:embed="rId16"/>
        <a:stretch>
          <a:fillRect/>
        </a:stretch>
      </xdr:blipFill>
      <xdr:spPr>
        <a:xfrm>
          <a:off x="7552765" y="188471736"/>
          <a:ext cx="3295238" cy="2695238"/>
        </a:xfrm>
        <a:prstGeom prst="rect">
          <a:avLst/>
        </a:prstGeom>
        <a:ln>
          <a:solidFill>
            <a:schemeClr val="tx1"/>
          </a:solidFill>
        </a:ln>
      </xdr:spPr>
    </xdr:pic>
    <xdr:clientData/>
  </xdr:twoCellAnchor>
  <xdr:twoCellAnchor editAs="oneCell">
    <xdr:from>
      <xdr:col>16</xdr:col>
      <xdr:colOff>89647</xdr:colOff>
      <xdr:row>1027</xdr:row>
      <xdr:rowOff>78442</xdr:rowOff>
    </xdr:from>
    <xdr:to>
      <xdr:col>21</xdr:col>
      <xdr:colOff>597392</xdr:colOff>
      <xdr:row>1046</xdr:row>
      <xdr:rowOff>2352948</xdr:rowOff>
    </xdr:to>
    <xdr:pic>
      <xdr:nvPicPr>
        <xdr:cNvPr id="19" name="Picture 18">
          <a:extLst>
            <a:ext uri="{FF2B5EF4-FFF2-40B4-BE49-F238E27FC236}">
              <a16:creationId xmlns:a16="http://schemas.microsoft.com/office/drawing/2014/main" id="{F2419B25-11B1-452D-A0A7-469F348FF561}"/>
            </a:ext>
          </a:extLst>
        </xdr:cNvPr>
        <xdr:cNvPicPr>
          <a:picLocks noChangeAspect="1"/>
        </xdr:cNvPicPr>
      </xdr:nvPicPr>
      <xdr:blipFill>
        <a:blip xmlns:r="http://schemas.openxmlformats.org/officeDocument/2006/relationships" r:embed="rId17"/>
        <a:stretch>
          <a:fillRect/>
        </a:stretch>
      </xdr:blipFill>
      <xdr:spPr>
        <a:xfrm>
          <a:off x="11138647" y="188482942"/>
          <a:ext cx="3533333" cy="2695238"/>
        </a:xfrm>
        <a:prstGeom prst="rect">
          <a:avLst/>
        </a:prstGeom>
        <a:ln>
          <a:solidFill>
            <a:schemeClr val="tx1"/>
          </a:solidFill>
        </a:ln>
      </xdr:spPr>
    </xdr:pic>
    <xdr:clientData/>
  </xdr:twoCellAnchor>
  <xdr:twoCellAnchor editAs="oneCell">
    <xdr:from>
      <xdr:col>11</xdr:col>
      <xdr:colOff>91352</xdr:colOff>
      <xdr:row>160</xdr:row>
      <xdr:rowOff>31569</xdr:rowOff>
    </xdr:from>
    <xdr:to>
      <xdr:col>23</xdr:col>
      <xdr:colOff>42312</xdr:colOff>
      <xdr:row>172</xdr:row>
      <xdr:rowOff>130518</xdr:rowOff>
    </xdr:to>
    <xdr:pic>
      <xdr:nvPicPr>
        <xdr:cNvPr id="20" name="Picture 19">
          <a:extLst>
            <a:ext uri="{FF2B5EF4-FFF2-40B4-BE49-F238E27FC236}">
              <a16:creationId xmlns:a16="http://schemas.microsoft.com/office/drawing/2014/main" id="{AFE33ED3-F078-434E-8826-98BF54D9BDED}"/>
            </a:ext>
          </a:extLst>
        </xdr:cNvPr>
        <xdr:cNvPicPr>
          <a:picLocks noChangeAspect="1"/>
        </xdr:cNvPicPr>
      </xdr:nvPicPr>
      <xdr:blipFill>
        <a:blip xmlns:r="http://schemas.openxmlformats.org/officeDocument/2006/relationships" r:embed="rId18"/>
        <a:stretch>
          <a:fillRect/>
        </a:stretch>
      </xdr:blipFill>
      <xdr:spPr>
        <a:xfrm>
          <a:off x="8368577" y="34226319"/>
          <a:ext cx="7266160" cy="2753624"/>
        </a:xfrm>
        <a:prstGeom prst="rect">
          <a:avLst/>
        </a:prstGeom>
        <a:ln>
          <a:solidFill>
            <a:schemeClr val="tx1"/>
          </a:solidFill>
        </a:ln>
      </xdr:spPr>
    </xdr:pic>
    <xdr:clientData/>
  </xdr:twoCellAnchor>
  <xdr:twoCellAnchor>
    <xdr:from>
      <xdr:col>13</xdr:col>
      <xdr:colOff>1</xdr:colOff>
      <xdr:row>1061</xdr:row>
      <xdr:rowOff>112059</xdr:rowOff>
    </xdr:from>
    <xdr:to>
      <xdr:col>23</xdr:col>
      <xdr:colOff>41296</xdr:colOff>
      <xdr:row>1105</xdr:row>
      <xdr:rowOff>108986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9799984" y="208608511"/>
          <a:ext cx="6336077" cy="7577171"/>
          <a:chOff x="392206" y="212273030"/>
          <a:chExt cx="6092472" cy="8378927"/>
        </a:xfrm>
      </xdr:grpSpPr>
      <xdr:pic>
        <xdr:nvPicPr>
          <xdr:cNvPr id="27" name="Picture 26">
            <a:extLst>
              <a:ext uri="{FF2B5EF4-FFF2-40B4-BE49-F238E27FC236}">
                <a16:creationId xmlns:a16="http://schemas.microsoft.com/office/drawing/2014/main" id="{8462A4C7-D282-4C74-AF4F-3FA90351912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492290" y="216002346"/>
            <a:ext cx="1895272" cy="2520001"/>
          </a:xfrm>
          <a:prstGeom prst="rect">
            <a:avLst/>
          </a:prstGeom>
          <a:ln>
            <a:solidFill>
              <a:schemeClr val="tx1"/>
            </a:solidFill>
          </a:ln>
        </xdr:spPr>
      </xdr:pic>
      <xdr:pic>
        <xdr:nvPicPr>
          <xdr:cNvPr id="28" name="Picture 27">
            <a:extLst>
              <a:ext uri="{FF2B5EF4-FFF2-40B4-BE49-F238E27FC236}">
                <a16:creationId xmlns:a16="http://schemas.microsoft.com/office/drawing/2014/main" id="{19CFAC59-12FF-4AD6-B088-2D5DE13287AF}"/>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392206" y="216002346"/>
            <a:ext cx="1895272" cy="2520001"/>
          </a:xfrm>
          <a:prstGeom prst="rect">
            <a:avLst/>
          </a:prstGeom>
          <a:ln>
            <a:solidFill>
              <a:schemeClr val="tx1"/>
            </a:solidFill>
          </a:ln>
        </xdr:spPr>
      </xdr:pic>
      <xdr:pic>
        <xdr:nvPicPr>
          <xdr:cNvPr id="29" name="Picture 28">
            <a:extLst>
              <a:ext uri="{FF2B5EF4-FFF2-40B4-BE49-F238E27FC236}">
                <a16:creationId xmlns:a16="http://schemas.microsoft.com/office/drawing/2014/main" id="{41DA588D-7971-44DA-B9D6-4E93E6E13BD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4592374" y="216002346"/>
            <a:ext cx="1892304" cy="2520001"/>
          </a:xfrm>
          <a:prstGeom prst="rect">
            <a:avLst/>
          </a:prstGeom>
          <a:ln>
            <a:solidFill>
              <a:schemeClr val="tx1"/>
            </a:solidFill>
          </a:ln>
        </xdr:spPr>
      </xdr:pic>
      <xdr:pic>
        <xdr:nvPicPr>
          <xdr:cNvPr id="30" name="Picture 29">
            <a:extLst>
              <a:ext uri="{FF2B5EF4-FFF2-40B4-BE49-F238E27FC236}">
                <a16:creationId xmlns:a16="http://schemas.microsoft.com/office/drawing/2014/main" id="{E45F9A40-5F5F-4D53-973C-E3E88A51553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578136" y="212273030"/>
            <a:ext cx="2707531" cy="3600000"/>
          </a:xfrm>
          <a:prstGeom prst="rect">
            <a:avLst/>
          </a:prstGeom>
          <a:ln>
            <a:solidFill>
              <a:schemeClr val="tx1"/>
            </a:solidFill>
          </a:ln>
        </xdr:spPr>
      </xdr:pic>
      <xdr:pic>
        <xdr:nvPicPr>
          <xdr:cNvPr id="36" name="Picture 35">
            <a:extLst>
              <a:ext uri="{FF2B5EF4-FFF2-40B4-BE49-F238E27FC236}">
                <a16:creationId xmlns:a16="http://schemas.microsoft.com/office/drawing/2014/main" id="{AB6B56D1-AF7A-4B68-BC4C-6BC1FA2A67D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3439926" y="212273030"/>
            <a:ext cx="2703270" cy="3600000"/>
          </a:xfrm>
          <a:prstGeom prst="rect">
            <a:avLst/>
          </a:prstGeom>
          <a:ln>
            <a:solidFill>
              <a:schemeClr val="tx1"/>
            </a:solidFill>
          </a:ln>
        </xdr:spPr>
      </xdr:pic>
      <xdr:pic>
        <xdr:nvPicPr>
          <xdr:cNvPr id="37" name="Picture 36">
            <a:extLst>
              <a:ext uri="{FF2B5EF4-FFF2-40B4-BE49-F238E27FC236}">
                <a16:creationId xmlns:a16="http://schemas.microsoft.com/office/drawing/2014/main" id="{6EA7F170-6CAF-4F7D-9E6F-431B07BD5830}"/>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707544" y="218669179"/>
            <a:ext cx="1491232" cy="1982778"/>
          </a:xfrm>
          <a:prstGeom prst="rect">
            <a:avLst/>
          </a:prstGeom>
          <a:ln>
            <a:solidFill>
              <a:schemeClr val="tx1"/>
            </a:solidFill>
          </a:ln>
        </xdr:spPr>
      </xdr:pic>
      <xdr:pic>
        <xdr:nvPicPr>
          <xdr:cNvPr id="38" name="Picture 37">
            <a:extLst>
              <a:ext uri="{FF2B5EF4-FFF2-40B4-BE49-F238E27FC236}">
                <a16:creationId xmlns:a16="http://schemas.microsoft.com/office/drawing/2014/main" id="{974763A9-A8D2-433F-AEA3-5B6D0BBEA33A}"/>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338503" y="218669179"/>
            <a:ext cx="1491232" cy="1982778"/>
          </a:xfrm>
          <a:prstGeom prst="rect">
            <a:avLst/>
          </a:prstGeom>
          <a:ln>
            <a:solidFill>
              <a:schemeClr val="tx1"/>
            </a:solidFill>
          </a:ln>
        </xdr:spPr>
      </xdr:pic>
    </xdr:grpSp>
    <xdr:clientData/>
  </xdr:twoCellAnchor>
  <xdr:twoCellAnchor>
    <xdr:from>
      <xdr:col>10</xdr:col>
      <xdr:colOff>747410</xdr:colOff>
      <xdr:row>1069</xdr:row>
      <xdr:rowOff>142314</xdr:rowOff>
    </xdr:from>
    <xdr:to>
      <xdr:col>11</xdr:col>
      <xdr:colOff>453097</xdr:colOff>
      <xdr:row>1071</xdr:row>
      <xdr:rowOff>130646</xdr:rowOff>
    </xdr:to>
    <xdr:sp macro="" textlink="">
      <xdr:nvSpPr>
        <xdr:cNvPr id="39" name="TextBox 19">
          <a:extLst>
            <a:ext uri="{FF2B5EF4-FFF2-40B4-BE49-F238E27FC236}">
              <a16:creationId xmlns:a16="http://schemas.microsoft.com/office/drawing/2014/main" id="{0EDBE251-66EC-4E10-A2F7-1EEBE32360D4}"/>
            </a:ext>
          </a:extLst>
        </xdr:cNvPr>
        <xdr:cNvSpPr txBox="1"/>
      </xdr:nvSpPr>
      <xdr:spPr>
        <a:xfrm>
          <a:off x="7538175" y="223486755"/>
          <a:ext cx="938334" cy="3693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clientData/>
  </xdr:twoCellAnchor>
  <xdr:twoCellAnchor>
    <xdr:from>
      <xdr:col>19</xdr:col>
      <xdr:colOff>119939</xdr:colOff>
      <xdr:row>1068</xdr:row>
      <xdr:rowOff>77320</xdr:rowOff>
    </xdr:from>
    <xdr:to>
      <xdr:col>21</xdr:col>
      <xdr:colOff>83361</xdr:colOff>
      <xdr:row>1070</xdr:row>
      <xdr:rowOff>65652</xdr:rowOff>
    </xdr:to>
    <xdr:sp macro="" textlink="">
      <xdr:nvSpPr>
        <xdr:cNvPr id="40" name="TextBox 20">
          <a:extLst>
            <a:ext uri="{FF2B5EF4-FFF2-40B4-BE49-F238E27FC236}">
              <a16:creationId xmlns:a16="http://schemas.microsoft.com/office/drawing/2014/main" id="{8DAE8F79-6ADE-448F-B9CA-CD583C212128}"/>
            </a:ext>
          </a:extLst>
        </xdr:cNvPr>
        <xdr:cNvSpPr txBox="1"/>
      </xdr:nvSpPr>
      <xdr:spPr>
        <a:xfrm>
          <a:off x="13230821" y="213952791"/>
          <a:ext cx="1173658" cy="3693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clientData/>
  </xdr:twoCellAnchor>
  <xdr:twoCellAnchor>
    <xdr:from>
      <xdr:col>13</xdr:col>
      <xdr:colOff>590178</xdr:colOff>
      <xdr:row>1090</xdr:row>
      <xdr:rowOff>186499</xdr:rowOff>
    </xdr:from>
    <xdr:to>
      <xdr:col>15</xdr:col>
      <xdr:colOff>318276</xdr:colOff>
      <xdr:row>1091</xdr:row>
      <xdr:rowOff>99192</xdr:rowOff>
    </xdr:to>
    <xdr:sp macro="" textlink="">
      <xdr:nvSpPr>
        <xdr:cNvPr id="41" name="TextBox 21">
          <a:extLst>
            <a:ext uri="{FF2B5EF4-FFF2-40B4-BE49-F238E27FC236}">
              <a16:creationId xmlns:a16="http://schemas.microsoft.com/office/drawing/2014/main" id="{27651F48-F386-4AA7-BBA6-24D652150BE7}"/>
            </a:ext>
          </a:extLst>
        </xdr:cNvPr>
        <xdr:cNvSpPr txBox="1"/>
      </xdr:nvSpPr>
      <xdr:spPr>
        <a:xfrm>
          <a:off x="10070354" y="218252970"/>
          <a:ext cx="938334" cy="10319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clientData/>
  </xdr:twoCellAnchor>
  <xdr:twoCellAnchor>
    <xdr:from>
      <xdr:col>17</xdr:col>
      <xdr:colOff>158083</xdr:colOff>
      <xdr:row>1090</xdr:row>
      <xdr:rowOff>189222</xdr:rowOff>
    </xdr:from>
    <xdr:to>
      <xdr:col>18</xdr:col>
      <xdr:colOff>491299</xdr:colOff>
      <xdr:row>1091</xdr:row>
      <xdr:rowOff>92390</xdr:rowOff>
    </xdr:to>
    <xdr:sp macro="" textlink="">
      <xdr:nvSpPr>
        <xdr:cNvPr id="42" name="TextBox 22">
          <a:extLst>
            <a:ext uri="{FF2B5EF4-FFF2-40B4-BE49-F238E27FC236}">
              <a16:creationId xmlns:a16="http://schemas.microsoft.com/office/drawing/2014/main" id="{6DE795A0-C3B5-4454-ACF0-BB74A8381942}"/>
            </a:ext>
          </a:extLst>
        </xdr:cNvPr>
        <xdr:cNvSpPr txBox="1"/>
      </xdr:nvSpPr>
      <xdr:spPr>
        <a:xfrm>
          <a:off x="12058730" y="218255693"/>
          <a:ext cx="938334" cy="93668"/>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clientData/>
  </xdr:twoCellAnchor>
  <xdr:twoCellAnchor>
    <xdr:from>
      <xdr:col>21</xdr:col>
      <xdr:colOff>430481</xdr:colOff>
      <xdr:row>1090</xdr:row>
      <xdr:rowOff>187153</xdr:rowOff>
    </xdr:from>
    <xdr:to>
      <xdr:col>23</xdr:col>
      <xdr:colOff>169785</xdr:colOff>
      <xdr:row>1091</xdr:row>
      <xdr:rowOff>137946</xdr:rowOff>
    </xdr:to>
    <xdr:sp macro="" textlink="">
      <xdr:nvSpPr>
        <xdr:cNvPr id="43" name="TextBox 23">
          <a:extLst>
            <a:ext uri="{FF2B5EF4-FFF2-40B4-BE49-F238E27FC236}">
              <a16:creationId xmlns:a16="http://schemas.microsoft.com/office/drawing/2014/main" id="{260D3D48-95FF-418F-848A-2496119A5532}"/>
            </a:ext>
          </a:extLst>
        </xdr:cNvPr>
        <xdr:cNvSpPr txBox="1"/>
      </xdr:nvSpPr>
      <xdr:spPr>
        <a:xfrm>
          <a:off x="14751599" y="218253624"/>
          <a:ext cx="949539" cy="14129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3</a:t>
          </a:r>
          <a:endParaRPr lang="en-IN" b="1">
            <a:solidFill>
              <a:srgbClr val="FF0000"/>
            </a:solidFill>
          </a:endParaRPr>
        </a:p>
      </xdr:txBody>
    </xdr:sp>
    <xdr:clientData/>
  </xdr:twoCellAnchor>
  <xdr:twoCellAnchor>
    <xdr:from>
      <xdr:col>19</xdr:col>
      <xdr:colOff>534294</xdr:colOff>
      <xdr:row>1082</xdr:row>
      <xdr:rowOff>172801</xdr:rowOff>
    </xdr:from>
    <xdr:to>
      <xdr:col>21</xdr:col>
      <xdr:colOff>508922</xdr:colOff>
      <xdr:row>1084</xdr:row>
      <xdr:rowOff>161133</xdr:rowOff>
    </xdr:to>
    <xdr:sp macro="" textlink="">
      <xdr:nvSpPr>
        <xdr:cNvPr id="44" name="TextBox 24">
          <a:extLst>
            <a:ext uri="{FF2B5EF4-FFF2-40B4-BE49-F238E27FC236}">
              <a16:creationId xmlns:a16="http://schemas.microsoft.com/office/drawing/2014/main" id="{514FE443-8C8C-4109-8C63-6B5DDBD43315}"/>
            </a:ext>
          </a:extLst>
        </xdr:cNvPr>
        <xdr:cNvSpPr txBox="1"/>
      </xdr:nvSpPr>
      <xdr:spPr>
        <a:xfrm>
          <a:off x="13645176" y="216715272"/>
          <a:ext cx="1184864" cy="3693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clientData/>
  </xdr:twoCellAnchor>
  <xdr:twoCellAnchor editAs="oneCell">
    <xdr:from>
      <xdr:col>10</xdr:col>
      <xdr:colOff>1165022</xdr:colOff>
      <xdr:row>52</xdr:row>
      <xdr:rowOff>218837</xdr:rowOff>
    </xdr:from>
    <xdr:to>
      <xdr:col>21</xdr:col>
      <xdr:colOff>144213</xdr:colOff>
      <xdr:row>60</xdr:row>
      <xdr:rowOff>430570</xdr:rowOff>
    </xdr:to>
    <xdr:pic>
      <xdr:nvPicPr>
        <xdr:cNvPr id="22" name="Picture 21">
          <a:extLst>
            <a:ext uri="{FF2B5EF4-FFF2-40B4-BE49-F238E27FC236}">
              <a16:creationId xmlns:a16="http://schemas.microsoft.com/office/drawing/2014/main" id="{60899495-98D5-4F8D-8CC5-74264E3C8D21}"/>
            </a:ext>
          </a:extLst>
        </xdr:cNvPr>
        <xdr:cNvPicPr>
          <a:picLocks noChangeAspect="1"/>
        </xdr:cNvPicPr>
      </xdr:nvPicPr>
      <xdr:blipFill>
        <a:blip xmlns:r="http://schemas.openxmlformats.org/officeDocument/2006/relationships" r:embed="rId26"/>
        <a:stretch>
          <a:fillRect/>
        </a:stretch>
      </xdr:blipFill>
      <xdr:spPr>
        <a:xfrm>
          <a:off x="8440465" y="16459376"/>
          <a:ext cx="6539557" cy="4233768"/>
        </a:xfrm>
        <a:prstGeom prst="rect">
          <a:avLst/>
        </a:prstGeom>
        <a:ln>
          <a:solidFill>
            <a:schemeClr val="tx1"/>
          </a:solidFill>
        </a:ln>
      </xdr:spPr>
    </xdr:pic>
    <xdr:clientData/>
  </xdr:twoCellAnchor>
  <xdr:twoCellAnchor editAs="oneCell">
    <xdr:from>
      <xdr:col>0</xdr:col>
      <xdr:colOff>526675</xdr:colOff>
      <xdr:row>1109</xdr:row>
      <xdr:rowOff>78440</xdr:rowOff>
    </xdr:from>
    <xdr:to>
      <xdr:col>9</xdr:col>
      <xdr:colOff>266700</xdr:colOff>
      <xdr:row>1131</xdr:row>
      <xdr:rowOff>152400</xdr:rowOff>
    </xdr:to>
    <xdr:pic>
      <xdr:nvPicPr>
        <xdr:cNvPr id="47" name="Picture 46">
          <a:extLst>
            <a:ext uri="{FF2B5EF4-FFF2-40B4-BE49-F238E27FC236}">
              <a16:creationId xmlns:a16="http://schemas.microsoft.com/office/drawing/2014/main" id="{B39DCA4F-7619-4E09-A84E-528DB30A928A}"/>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526675" y="223801640"/>
          <a:ext cx="6178925" cy="4264960"/>
        </a:xfrm>
        <a:prstGeom prst="rect">
          <a:avLst/>
        </a:prstGeom>
      </xdr:spPr>
    </xdr:pic>
    <xdr:clientData/>
  </xdr:twoCellAnchor>
  <xdr:twoCellAnchor editAs="oneCell">
    <xdr:from>
      <xdr:col>1</xdr:col>
      <xdr:colOff>878541</xdr:colOff>
      <xdr:row>1132</xdr:row>
      <xdr:rowOff>156883</xdr:rowOff>
    </xdr:from>
    <xdr:to>
      <xdr:col>8</xdr:col>
      <xdr:colOff>17259</xdr:colOff>
      <xdr:row>1150</xdr:row>
      <xdr:rowOff>0</xdr:rowOff>
    </xdr:to>
    <xdr:pic>
      <xdr:nvPicPr>
        <xdr:cNvPr id="48" name="Picture 47">
          <a:extLst>
            <a:ext uri="{FF2B5EF4-FFF2-40B4-BE49-F238E27FC236}">
              <a16:creationId xmlns:a16="http://schemas.microsoft.com/office/drawing/2014/main" id="{168977DF-E12B-4AA3-9E22-3F54ADA49B1D}"/>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450041" y="228261583"/>
          <a:ext cx="4358418" cy="3272117"/>
        </a:xfrm>
        <a:prstGeom prst="rect">
          <a:avLst/>
        </a:prstGeom>
        <a:ln>
          <a:solidFill>
            <a:schemeClr val="tx1"/>
          </a:solidFill>
        </a:ln>
      </xdr:spPr>
    </xdr:pic>
    <xdr:clientData/>
  </xdr:twoCellAnchor>
  <xdr:oneCellAnchor>
    <xdr:from>
      <xdr:col>1</xdr:col>
      <xdr:colOff>687457</xdr:colOff>
      <xdr:row>1329</xdr:row>
      <xdr:rowOff>129289</xdr:rowOff>
    </xdr:from>
    <xdr:ext cx="4248225" cy="3144494"/>
    <xdr:pic>
      <xdr:nvPicPr>
        <xdr:cNvPr id="46" name="Picture 45">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a:ext>
          </a:extLst>
        </a:blip>
        <a:srcRect/>
        <a:stretch/>
      </xdr:blipFill>
      <xdr:spPr>
        <a:xfrm>
          <a:off x="1258957" y="244350289"/>
          <a:ext cx="4248225" cy="3144494"/>
        </a:xfrm>
        <a:prstGeom prst="rect">
          <a:avLst/>
        </a:prstGeom>
        <a:ln>
          <a:solidFill>
            <a:sysClr val="windowText" lastClr="000000"/>
          </a:solidFill>
        </a:ln>
      </xdr:spPr>
    </xdr:pic>
    <xdr:clientData/>
  </xdr:oneCellAnchor>
  <xdr:twoCellAnchor>
    <xdr:from>
      <xdr:col>0</xdr:col>
      <xdr:colOff>570446</xdr:colOff>
      <xdr:row>1348</xdr:row>
      <xdr:rowOff>124508</xdr:rowOff>
    </xdr:from>
    <xdr:to>
      <xdr:col>8</xdr:col>
      <xdr:colOff>551471</xdr:colOff>
      <xdr:row>1371</xdr:row>
      <xdr:rowOff>86859</xdr:rowOff>
    </xdr:to>
    <xdr:grpSp>
      <xdr:nvGrpSpPr>
        <xdr:cNvPr id="49" name="Group 48">
          <a:extLst>
            <a:ext uri="{FF2B5EF4-FFF2-40B4-BE49-F238E27FC236}">
              <a16:creationId xmlns:a16="http://schemas.microsoft.com/office/drawing/2014/main" id="{00000000-0008-0000-0000-000031000000}"/>
            </a:ext>
          </a:extLst>
        </xdr:cNvPr>
        <xdr:cNvGrpSpPr/>
      </xdr:nvGrpSpPr>
      <xdr:grpSpPr>
        <a:xfrm>
          <a:off x="570446" y="258064821"/>
          <a:ext cx="5898121" cy="3924751"/>
          <a:chOff x="745435" y="240203936"/>
          <a:chExt cx="5135219" cy="3851414"/>
        </a:xfrm>
      </xdr:grpSpPr>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0"/>
          <a:stretch>
            <a:fillRect/>
          </a:stretch>
        </xdr:blipFill>
        <xdr:spPr>
          <a:xfrm>
            <a:off x="745435" y="240203936"/>
            <a:ext cx="5135219" cy="3851414"/>
          </a:xfrm>
          <a:prstGeom prst="rect">
            <a:avLst/>
          </a:prstGeom>
          <a:ln>
            <a:solidFill>
              <a:sysClr val="windowText" lastClr="000000"/>
            </a:solidFill>
          </a:ln>
        </xdr:spPr>
      </xdr:pic>
      <xdr:sp macro="" textlink="">
        <xdr:nvSpPr>
          <xdr:cNvPr id="51" name="Rectangle 50">
            <a:extLst>
              <a:ext uri="{FF2B5EF4-FFF2-40B4-BE49-F238E27FC236}">
                <a16:creationId xmlns:a16="http://schemas.microsoft.com/office/drawing/2014/main" id="{00000000-0008-0000-0000-000033000000}"/>
              </a:ext>
            </a:extLst>
          </xdr:cNvPr>
          <xdr:cNvSpPr/>
        </xdr:nvSpPr>
        <xdr:spPr>
          <a:xfrm rot="1593905">
            <a:off x="2319131" y="241752784"/>
            <a:ext cx="1035326" cy="1399761"/>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134380</xdr:colOff>
      <xdr:row>1281</xdr:row>
      <xdr:rowOff>95477</xdr:rowOff>
    </xdr:from>
    <xdr:to>
      <xdr:col>9</xdr:col>
      <xdr:colOff>529899</xdr:colOff>
      <xdr:row>1301</xdr:row>
      <xdr:rowOff>66260</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sharpenSoften amount="50000"/>
                  </a14:imgEffect>
                  <a14:imgEffect>
                    <a14:brightnessContrast contrast="40000"/>
                  </a14:imgEffect>
                </a14:imgLayer>
              </a14:imgProps>
            </a:ext>
          </a:extLst>
        </a:blip>
        <a:stretch>
          <a:fillRect/>
        </a:stretch>
      </xdr:blipFill>
      <xdr:spPr>
        <a:xfrm>
          <a:off x="134380" y="262074390"/>
          <a:ext cx="6773128" cy="3780783"/>
        </a:xfrm>
        <a:prstGeom prst="rect">
          <a:avLst/>
        </a:prstGeom>
        <a:ln>
          <a:solidFill>
            <a:sysClr val="windowText" lastClr="000000"/>
          </a:solidFill>
        </a:ln>
      </xdr:spPr>
    </xdr:pic>
    <xdr:clientData/>
  </xdr:twoCellAnchor>
  <xdr:twoCellAnchor>
    <xdr:from>
      <xdr:col>10</xdr:col>
      <xdr:colOff>809211</xdr:colOff>
      <xdr:row>1055</xdr:row>
      <xdr:rowOff>41413</xdr:rowOff>
    </xdr:from>
    <xdr:to>
      <xdr:col>20</xdr:col>
      <xdr:colOff>228179</xdr:colOff>
      <xdr:row>1099</xdr:row>
      <xdr:rowOff>105437</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8084654" y="207504196"/>
          <a:ext cx="6349855" cy="7644267"/>
          <a:chOff x="438150" y="206222600"/>
          <a:chExt cx="6456977" cy="7892746"/>
        </a:xfrm>
      </xdr:grpSpPr>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2840013" y="211955346"/>
            <a:ext cx="1618313" cy="2160000"/>
          </a:xfrm>
          <a:prstGeom prst="rect">
            <a:avLst/>
          </a:prstGeom>
          <a:ln>
            <a:solidFill>
              <a:schemeClr val="tx1"/>
            </a:solidFill>
          </a:ln>
        </xdr:spPr>
      </xdr:pic>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2623170" y="206222600"/>
            <a:ext cx="2052000" cy="2736000"/>
          </a:xfrm>
          <a:prstGeom prst="rect">
            <a:avLst/>
          </a:prstGeom>
          <a:ln>
            <a:solidFill>
              <a:schemeClr val="tx1"/>
            </a:solidFill>
          </a:ln>
        </xdr:spPr>
      </xdr:pic>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4808190" y="209088973"/>
            <a:ext cx="2052000" cy="2736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438150" y="206222600"/>
            <a:ext cx="2052000" cy="2736000"/>
          </a:xfrm>
          <a:prstGeom prst="rect">
            <a:avLst/>
          </a:prstGeom>
          <a:ln>
            <a:solidFill>
              <a:schemeClr val="tx1"/>
            </a:solidFill>
          </a:ln>
        </xdr:spPr>
      </xdr:pic>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438150" y="209088973"/>
            <a:ext cx="2052000" cy="2736000"/>
          </a:xfrm>
          <a:prstGeom prst="rect">
            <a:avLst/>
          </a:prstGeom>
          <a:ln>
            <a:solidFill>
              <a:schemeClr val="tx1"/>
            </a:solidFill>
          </a:ln>
        </xdr:spPr>
      </xdr:pic>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2623170" y="209088973"/>
            <a:ext cx="2052000" cy="2736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4808190" y="206222600"/>
            <a:ext cx="2052000" cy="2736000"/>
          </a:xfrm>
          <a:prstGeom prst="rect">
            <a:avLst/>
          </a:prstGeom>
          <a:ln>
            <a:solidFill>
              <a:schemeClr val="tx1"/>
            </a:solidFill>
          </a:ln>
        </xdr:spPr>
      </xdr:pic>
      <xdr:sp macro="" textlink="">
        <xdr:nvSpPr>
          <xdr:cNvPr id="75" name="TextBox 19">
            <a:extLst>
              <a:ext uri="{FF2B5EF4-FFF2-40B4-BE49-F238E27FC236}">
                <a16:creationId xmlns:a16="http://schemas.microsoft.com/office/drawing/2014/main" id="{0EDBE251-66EC-4E10-A2F7-1EEBE32360D4}"/>
              </a:ext>
            </a:extLst>
          </xdr:cNvPr>
          <xdr:cNvSpPr txBox="1"/>
        </xdr:nvSpPr>
        <xdr:spPr>
          <a:xfrm>
            <a:off x="527050" y="206349600"/>
            <a:ext cx="994737" cy="3439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sp macro="" textlink="">
        <xdr:nvSpPr>
          <xdr:cNvPr id="76" name="TextBox 19">
            <a:extLst>
              <a:ext uri="{FF2B5EF4-FFF2-40B4-BE49-F238E27FC236}">
                <a16:creationId xmlns:a16="http://schemas.microsoft.com/office/drawing/2014/main" id="{0EDBE251-66EC-4E10-A2F7-1EEBE32360D4}"/>
              </a:ext>
            </a:extLst>
          </xdr:cNvPr>
          <xdr:cNvSpPr txBox="1"/>
        </xdr:nvSpPr>
        <xdr:spPr>
          <a:xfrm>
            <a:off x="5900390" y="206381350"/>
            <a:ext cx="994737" cy="374141"/>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grpSp>
    <xdr:clientData/>
  </xdr:twoCellAnchor>
  <xdr:twoCellAnchor editAs="oneCell">
    <xdr:from>
      <xdr:col>10</xdr:col>
      <xdr:colOff>271669</xdr:colOff>
      <xdr:row>51</xdr:row>
      <xdr:rowOff>1086679</xdr:rowOff>
    </xdr:from>
    <xdr:to>
      <xdr:col>15</xdr:col>
      <xdr:colOff>88173</xdr:colOff>
      <xdr:row>54</xdr:row>
      <xdr:rowOff>168301</xdr:rowOff>
    </xdr:to>
    <xdr:pic>
      <xdr:nvPicPr>
        <xdr:cNvPr id="23" name="Picture 22">
          <a:extLst>
            <a:ext uri="{FF2B5EF4-FFF2-40B4-BE49-F238E27FC236}">
              <a16:creationId xmlns:a16="http://schemas.microsoft.com/office/drawing/2014/main" id="{44C73ABF-8306-0A38-E4A0-47576DCF9A9F}"/>
            </a:ext>
          </a:extLst>
        </xdr:cNvPr>
        <xdr:cNvPicPr>
          <a:picLocks noChangeAspect="1"/>
        </xdr:cNvPicPr>
      </xdr:nvPicPr>
      <xdr:blipFill>
        <a:blip xmlns:r="http://schemas.openxmlformats.org/officeDocument/2006/relationships" r:embed="rId40"/>
        <a:stretch>
          <a:fillRect/>
        </a:stretch>
      </xdr:blipFill>
      <xdr:spPr>
        <a:xfrm>
          <a:off x="7547112" y="16101392"/>
          <a:ext cx="3600000" cy="1341118"/>
        </a:xfrm>
        <a:prstGeom prst="rect">
          <a:avLst/>
        </a:prstGeom>
      </xdr:spPr>
    </xdr:pic>
    <xdr:clientData/>
  </xdr:twoCellAnchor>
  <xdr:twoCellAnchor>
    <xdr:from>
      <xdr:col>0</xdr:col>
      <xdr:colOff>569842</xdr:colOff>
      <xdr:row>1060</xdr:row>
      <xdr:rowOff>26504</xdr:rowOff>
    </xdr:from>
    <xdr:to>
      <xdr:col>9</xdr:col>
      <xdr:colOff>113516</xdr:colOff>
      <xdr:row>1102</xdr:row>
      <xdr:rowOff>26097</xdr:rowOff>
    </xdr:to>
    <xdr:grpSp>
      <xdr:nvGrpSpPr>
        <xdr:cNvPr id="24" name="Group 23">
          <a:extLst>
            <a:ext uri="{FF2B5EF4-FFF2-40B4-BE49-F238E27FC236}">
              <a16:creationId xmlns:a16="http://schemas.microsoft.com/office/drawing/2014/main" id="{2C883538-74F6-F7D1-2A43-06718997D0C2}"/>
            </a:ext>
          </a:extLst>
        </xdr:cNvPr>
        <xdr:cNvGrpSpPr/>
      </xdr:nvGrpSpPr>
      <xdr:grpSpPr>
        <a:xfrm>
          <a:off x="569842" y="208350678"/>
          <a:ext cx="6116752" cy="7235280"/>
          <a:chOff x="187642" y="206850"/>
          <a:chExt cx="6116752" cy="7235280"/>
        </a:xfrm>
      </xdr:grpSpPr>
      <xdr:grpSp>
        <xdr:nvGrpSpPr>
          <xdr:cNvPr id="25" name="Group 24">
            <a:extLst>
              <a:ext uri="{FF2B5EF4-FFF2-40B4-BE49-F238E27FC236}">
                <a16:creationId xmlns:a16="http://schemas.microsoft.com/office/drawing/2014/main" id="{B5C5A9AA-1F57-1C24-C39A-75ECD3F17754}"/>
              </a:ext>
            </a:extLst>
          </xdr:cNvPr>
          <xdr:cNvGrpSpPr/>
        </xdr:nvGrpSpPr>
        <xdr:grpSpPr>
          <a:xfrm>
            <a:off x="1784518" y="5642130"/>
            <a:ext cx="2923000" cy="1800000"/>
            <a:chOff x="729148" y="5642130"/>
            <a:chExt cx="2923000" cy="1800000"/>
          </a:xfrm>
        </xdr:grpSpPr>
        <xdr:pic>
          <xdr:nvPicPr>
            <xdr:cNvPr id="58" name="Picture 57">
              <a:extLst>
                <a:ext uri="{FF2B5EF4-FFF2-40B4-BE49-F238E27FC236}">
                  <a16:creationId xmlns:a16="http://schemas.microsoft.com/office/drawing/2014/main" id="{E7E20396-E9A8-7DF1-E4A3-D61ED3B49877}"/>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298382" y="5642130"/>
              <a:ext cx="1353766" cy="1800000"/>
            </a:xfrm>
            <a:prstGeom prst="rect">
              <a:avLst/>
            </a:prstGeom>
            <a:ln>
              <a:solidFill>
                <a:schemeClr val="tx1"/>
              </a:solidFill>
            </a:ln>
          </xdr:spPr>
        </xdr:pic>
        <xdr:pic>
          <xdr:nvPicPr>
            <xdr:cNvPr id="59" name="Picture 58">
              <a:extLst>
                <a:ext uri="{FF2B5EF4-FFF2-40B4-BE49-F238E27FC236}">
                  <a16:creationId xmlns:a16="http://schemas.microsoft.com/office/drawing/2014/main" id="{FF00B045-1AB8-A450-F015-E3216F232C81}"/>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729148" y="5642130"/>
              <a:ext cx="1353766" cy="1800000"/>
            </a:xfrm>
            <a:prstGeom prst="rect">
              <a:avLst/>
            </a:prstGeom>
            <a:ln>
              <a:solidFill>
                <a:schemeClr val="tx1"/>
              </a:solidFill>
            </a:ln>
          </xdr:spPr>
        </xdr:pic>
      </xdr:grpSp>
      <xdr:grpSp>
        <xdr:nvGrpSpPr>
          <xdr:cNvPr id="26" name="Group 25">
            <a:extLst>
              <a:ext uri="{FF2B5EF4-FFF2-40B4-BE49-F238E27FC236}">
                <a16:creationId xmlns:a16="http://schemas.microsoft.com/office/drawing/2014/main" id="{50F347DB-6DC6-6CEB-332A-26DBE756061F}"/>
              </a:ext>
            </a:extLst>
          </xdr:cNvPr>
          <xdr:cNvGrpSpPr/>
        </xdr:nvGrpSpPr>
        <xdr:grpSpPr>
          <a:xfrm>
            <a:off x="187642" y="206850"/>
            <a:ext cx="6116752" cy="5237640"/>
            <a:chOff x="187642" y="206850"/>
            <a:chExt cx="6116752" cy="5237640"/>
          </a:xfrm>
        </xdr:grpSpPr>
        <xdr:pic>
          <xdr:nvPicPr>
            <xdr:cNvPr id="52" name="Picture 51">
              <a:extLst>
                <a:ext uri="{FF2B5EF4-FFF2-40B4-BE49-F238E27FC236}">
                  <a16:creationId xmlns:a16="http://schemas.microsoft.com/office/drawing/2014/main" id="{790ACD9E-FE05-3F1B-045B-A2A5ADBD4C37}"/>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409122" y="2924490"/>
              <a:ext cx="1895272" cy="2520000"/>
            </a:xfrm>
            <a:prstGeom prst="rect">
              <a:avLst/>
            </a:prstGeom>
            <a:ln>
              <a:solidFill>
                <a:schemeClr val="tx1"/>
              </a:solidFill>
            </a:ln>
          </xdr:spPr>
        </xdr:pic>
        <xdr:pic>
          <xdr:nvPicPr>
            <xdr:cNvPr id="53" name="Picture 52">
              <a:extLst>
                <a:ext uri="{FF2B5EF4-FFF2-40B4-BE49-F238E27FC236}">
                  <a16:creationId xmlns:a16="http://schemas.microsoft.com/office/drawing/2014/main" id="{6CBDAF9E-4C22-8312-0F01-E0871B5BC95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298382" y="206850"/>
              <a:ext cx="1895272" cy="2520000"/>
            </a:xfrm>
            <a:prstGeom prst="rect">
              <a:avLst/>
            </a:prstGeom>
            <a:ln>
              <a:solidFill>
                <a:schemeClr val="tx1"/>
              </a:solidFill>
            </a:ln>
          </xdr:spPr>
        </xdr:pic>
        <xdr:pic>
          <xdr:nvPicPr>
            <xdr:cNvPr id="54" name="Picture 53">
              <a:extLst>
                <a:ext uri="{FF2B5EF4-FFF2-40B4-BE49-F238E27FC236}">
                  <a16:creationId xmlns:a16="http://schemas.microsoft.com/office/drawing/2014/main" id="{3E45D9D5-EDDF-7F43-F270-7E4C101B0BD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87642" y="206850"/>
              <a:ext cx="1895272" cy="2520000"/>
            </a:xfrm>
            <a:prstGeom prst="rect">
              <a:avLst/>
            </a:prstGeom>
            <a:ln>
              <a:solidFill>
                <a:schemeClr val="tx1"/>
              </a:solidFill>
            </a:ln>
          </xdr:spPr>
        </xdr:pic>
        <xdr:pic>
          <xdr:nvPicPr>
            <xdr:cNvPr id="55" name="Picture 54">
              <a:extLst>
                <a:ext uri="{FF2B5EF4-FFF2-40B4-BE49-F238E27FC236}">
                  <a16:creationId xmlns:a16="http://schemas.microsoft.com/office/drawing/2014/main" id="{4F610D98-DF1F-A72E-2983-B3B9638021A2}"/>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409122" y="206850"/>
              <a:ext cx="1895272" cy="2520000"/>
            </a:xfrm>
            <a:prstGeom prst="rect">
              <a:avLst/>
            </a:prstGeom>
            <a:ln>
              <a:solidFill>
                <a:schemeClr val="tx1"/>
              </a:solidFill>
            </a:ln>
          </xdr:spPr>
        </xdr:pic>
        <xdr:pic>
          <xdr:nvPicPr>
            <xdr:cNvPr id="56" name="Picture 55">
              <a:extLst>
                <a:ext uri="{FF2B5EF4-FFF2-40B4-BE49-F238E27FC236}">
                  <a16:creationId xmlns:a16="http://schemas.microsoft.com/office/drawing/2014/main" id="{8C0C276E-C333-B907-5283-DB1E78D56B61}"/>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87642" y="2924490"/>
              <a:ext cx="1895272" cy="2520000"/>
            </a:xfrm>
            <a:prstGeom prst="rect">
              <a:avLst/>
            </a:prstGeom>
            <a:ln>
              <a:solidFill>
                <a:schemeClr val="tx1"/>
              </a:solidFill>
            </a:ln>
          </xdr:spPr>
        </xdr:pic>
        <xdr:pic>
          <xdr:nvPicPr>
            <xdr:cNvPr id="57" name="Picture 56">
              <a:extLst>
                <a:ext uri="{FF2B5EF4-FFF2-40B4-BE49-F238E27FC236}">
                  <a16:creationId xmlns:a16="http://schemas.microsoft.com/office/drawing/2014/main" id="{700602B9-43B3-5631-C6BB-1A1899303EA3}"/>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298382" y="2924490"/>
              <a:ext cx="1895272"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352425</xdr:colOff>
      <xdr:row>31</xdr:row>
      <xdr:rowOff>171450</xdr:rowOff>
    </xdr:to>
    <xdr:pic>
      <xdr:nvPicPr>
        <xdr:cNvPr id="6315" name="Picture 1">
          <a:extLst>
            <a:ext uri="{FF2B5EF4-FFF2-40B4-BE49-F238E27FC236}">
              <a16:creationId xmlns:a16="http://schemas.microsoft.com/office/drawing/2014/main" id="{00000000-0008-0000-0100-0000AB1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2476500"/>
          <a:ext cx="6753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33</xdr:row>
      <xdr:rowOff>38100</xdr:rowOff>
    </xdr:from>
    <xdr:to>
      <xdr:col>6</xdr:col>
      <xdr:colOff>352425</xdr:colOff>
      <xdr:row>52</xdr:row>
      <xdr:rowOff>19050</xdr:rowOff>
    </xdr:to>
    <xdr:pic>
      <xdr:nvPicPr>
        <xdr:cNvPr id="6316" name="Picture 2">
          <a:extLst>
            <a:ext uri="{FF2B5EF4-FFF2-40B4-BE49-F238E27FC236}">
              <a16:creationId xmlns:a16="http://schemas.microsoft.com/office/drawing/2014/main" id="{00000000-0008-0000-0100-0000AC1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81025" y="6324600"/>
          <a:ext cx="6753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609600</xdr:colOff>
      <xdr:row>13</xdr:row>
      <xdr:rowOff>0</xdr:rowOff>
    </xdr:from>
    <xdr:to>
      <xdr:col>16</xdr:col>
      <xdr:colOff>209550</xdr:colOff>
      <xdr:row>31</xdr:row>
      <xdr:rowOff>171450</xdr:rowOff>
    </xdr:to>
    <xdr:pic>
      <xdr:nvPicPr>
        <xdr:cNvPr id="6317" name="Picture 3">
          <a:extLst>
            <a:ext uri="{FF2B5EF4-FFF2-40B4-BE49-F238E27FC236}">
              <a16:creationId xmlns:a16="http://schemas.microsoft.com/office/drawing/2014/main" id="{00000000-0008-0000-0100-0000AD1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591425" y="2476500"/>
          <a:ext cx="6753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609600</xdr:colOff>
      <xdr:row>33</xdr:row>
      <xdr:rowOff>38100</xdr:rowOff>
    </xdr:from>
    <xdr:to>
      <xdr:col>16</xdr:col>
      <xdr:colOff>209550</xdr:colOff>
      <xdr:row>52</xdr:row>
      <xdr:rowOff>19050</xdr:rowOff>
    </xdr:to>
    <xdr:pic>
      <xdr:nvPicPr>
        <xdr:cNvPr id="6318" name="Picture 4">
          <a:extLst>
            <a:ext uri="{FF2B5EF4-FFF2-40B4-BE49-F238E27FC236}">
              <a16:creationId xmlns:a16="http://schemas.microsoft.com/office/drawing/2014/main" id="{00000000-0008-0000-0100-0000AE1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91425" y="6324600"/>
          <a:ext cx="6753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466725</xdr:colOff>
      <xdr:row>13</xdr:row>
      <xdr:rowOff>0</xdr:rowOff>
    </xdr:from>
    <xdr:to>
      <xdr:col>28</xdr:col>
      <xdr:colOff>247650</xdr:colOff>
      <xdr:row>31</xdr:row>
      <xdr:rowOff>171450</xdr:rowOff>
    </xdr:to>
    <xdr:pic>
      <xdr:nvPicPr>
        <xdr:cNvPr id="6319" name="Picture 5">
          <a:extLst>
            <a:ext uri="{FF2B5EF4-FFF2-40B4-BE49-F238E27FC236}">
              <a16:creationId xmlns:a16="http://schemas.microsoft.com/office/drawing/2014/main" id="{00000000-0008-0000-0100-0000AF18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4601825" y="2476500"/>
          <a:ext cx="6753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400050</xdr:colOff>
      <xdr:row>3</xdr:row>
      <xdr:rowOff>0</xdr:rowOff>
    </xdr:from>
    <xdr:to>
      <xdr:col>11</xdr:col>
      <xdr:colOff>57150</xdr:colOff>
      <xdr:row>22</xdr:row>
      <xdr:rowOff>123825</xdr:rowOff>
    </xdr:to>
    <xdr:pic>
      <xdr:nvPicPr>
        <xdr:cNvPr id="7205" name="Picture 1">
          <a:extLst>
            <a:ext uri="{FF2B5EF4-FFF2-40B4-BE49-F238E27FC236}">
              <a16:creationId xmlns:a16="http://schemas.microsoft.com/office/drawing/2014/main" id="{00000000-0008-0000-0200-0000251C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400550" y="571500"/>
          <a:ext cx="270510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6</xdr:col>
      <xdr:colOff>257175</xdr:colOff>
      <xdr:row>22</xdr:row>
      <xdr:rowOff>123825</xdr:rowOff>
    </xdr:to>
    <xdr:pic>
      <xdr:nvPicPr>
        <xdr:cNvPr id="7206" name="Picture 2">
          <a:extLst>
            <a:ext uri="{FF2B5EF4-FFF2-40B4-BE49-F238E27FC236}">
              <a16:creationId xmlns:a16="http://schemas.microsoft.com/office/drawing/2014/main" id="{00000000-0008-0000-0200-0000261C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62100" y="571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60" name="Picture 1">
          <a:extLst>
            <a:ext uri="{FF2B5EF4-FFF2-40B4-BE49-F238E27FC236}">
              <a16:creationId xmlns:a16="http://schemas.microsoft.com/office/drawing/2014/main" id="{00000000-0008-0000-0500-00007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iramalrealty.com/project-revanta" TargetMode="External"/><Relationship Id="rId1" Type="http://schemas.openxmlformats.org/officeDocument/2006/relationships/hyperlink" Target="https://goo.gl/maps/nmV8W74xPFtabyuC6"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328"/>
  <sheetViews>
    <sheetView tabSelected="1" showWhiteSpace="0" view="pageBreakPreview" zoomScale="115" zoomScaleNormal="85" zoomScaleSheetLayoutView="115" zoomScalePageLayoutView="115" workbookViewId="0">
      <selection activeCell="K6" sqref="K6"/>
    </sheetView>
  </sheetViews>
  <sheetFormatPr defaultColWidth="9.21875" defaultRowHeight="13.8" x14ac:dyDescent="0.25"/>
  <cols>
    <col min="1" max="1" width="8.5546875" style="26" customWidth="1"/>
    <col min="2" max="2" width="13.5546875" style="26" customWidth="1"/>
    <col min="3" max="3" width="14.44140625" style="26" customWidth="1"/>
    <col min="4" max="4" width="7.44140625" style="26" customWidth="1"/>
    <col min="5" max="5" width="10.21875" style="26" customWidth="1"/>
    <col min="6" max="6" width="10.5546875" style="26" customWidth="1"/>
    <col min="7" max="7" width="10.21875" style="26" customWidth="1"/>
    <col min="8" max="8" width="11.21875" style="26" customWidth="1"/>
    <col min="9" max="9" width="9.5546875" style="26" customWidth="1"/>
    <col min="10" max="10" width="10.21875" style="26" customWidth="1"/>
    <col min="11" max="11" width="18.44140625" style="26" customWidth="1"/>
    <col min="12" max="16384" width="9.21875" style="26"/>
  </cols>
  <sheetData>
    <row r="1" spans="1:11" ht="44.1" customHeight="1" x14ac:dyDescent="0.35">
      <c r="A1" s="329" t="s">
        <v>314</v>
      </c>
      <c r="B1" s="330"/>
      <c r="C1" s="330"/>
      <c r="D1" s="330"/>
      <c r="E1" s="330"/>
      <c r="F1" s="330"/>
      <c r="G1" s="330"/>
      <c r="H1" s="330"/>
      <c r="I1" s="330"/>
      <c r="J1" s="331"/>
      <c r="K1" s="89" t="s">
        <v>371</v>
      </c>
    </row>
    <row r="2" spans="1:11" x14ac:dyDescent="0.25">
      <c r="A2" s="305" t="s">
        <v>37</v>
      </c>
      <c r="B2" s="350"/>
      <c r="C2" s="350"/>
      <c r="D2" s="350"/>
      <c r="E2" s="350"/>
      <c r="F2" s="350"/>
      <c r="G2" s="350"/>
      <c r="H2" s="350"/>
      <c r="I2" s="350"/>
      <c r="J2" s="306"/>
    </row>
    <row r="3" spans="1:11" x14ac:dyDescent="0.25">
      <c r="A3" s="177" t="s">
        <v>0</v>
      </c>
      <c r="B3" s="178"/>
      <c r="C3" s="178"/>
      <c r="D3" s="178"/>
      <c r="E3" s="179"/>
      <c r="F3" s="351" t="str">
        <f ca="1">TEXT(TODAY(),"DD/MM/YYYY")</f>
        <v>16/08/2025</v>
      </c>
      <c r="G3" s="352"/>
      <c r="H3" s="352"/>
      <c r="I3" s="352"/>
      <c r="J3" s="353"/>
    </row>
    <row r="4" spans="1:11" x14ac:dyDescent="0.25">
      <c r="A4" s="177" t="s">
        <v>1</v>
      </c>
      <c r="B4" s="178"/>
      <c r="C4" s="178"/>
      <c r="D4" s="178"/>
      <c r="E4" s="179"/>
      <c r="F4" s="177" t="s">
        <v>97</v>
      </c>
      <c r="G4" s="178"/>
      <c r="H4" s="178"/>
      <c r="I4" s="178"/>
      <c r="J4" s="179"/>
    </row>
    <row r="5" spans="1:11" x14ac:dyDescent="0.25">
      <c r="A5" s="177" t="s">
        <v>2</v>
      </c>
      <c r="B5" s="178"/>
      <c r="C5" s="178"/>
      <c r="D5" s="178"/>
      <c r="E5" s="179"/>
      <c r="F5" s="321">
        <v>45882</v>
      </c>
      <c r="G5" s="322"/>
      <c r="H5" s="322"/>
      <c r="I5" s="322"/>
      <c r="J5" s="323"/>
    </row>
    <row r="6" spans="1:11" ht="16.5" customHeight="1" x14ac:dyDescent="0.25">
      <c r="A6" s="177" t="s">
        <v>3</v>
      </c>
      <c r="B6" s="178"/>
      <c r="C6" s="178"/>
      <c r="D6" s="178"/>
      <c r="E6" s="179"/>
      <c r="F6" s="258" t="s">
        <v>147</v>
      </c>
      <c r="G6" s="259"/>
      <c r="H6" s="259"/>
      <c r="I6" s="259"/>
      <c r="J6" s="260"/>
    </row>
    <row r="7" spans="1:11" ht="15" customHeight="1" x14ac:dyDescent="0.25">
      <c r="A7" s="177" t="s">
        <v>4</v>
      </c>
      <c r="B7" s="178"/>
      <c r="C7" s="178"/>
      <c r="D7" s="178"/>
      <c r="E7" s="179"/>
      <c r="F7" s="258" t="str">
        <f>F6</f>
        <v xml:space="preserve">M/s. PRL Developers Pvt Ltd </v>
      </c>
      <c r="G7" s="259"/>
      <c r="H7" s="259"/>
      <c r="I7" s="259"/>
      <c r="J7" s="260"/>
    </row>
    <row r="8" spans="1:11" x14ac:dyDescent="0.25">
      <c r="A8" s="177" t="s">
        <v>5</v>
      </c>
      <c r="B8" s="178"/>
      <c r="C8" s="178"/>
      <c r="D8" s="178"/>
      <c r="E8" s="179"/>
      <c r="F8" s="316" t="s">
        <v>318</v>
      </c>
      <c r="G8" s="317"/>
      <c r="H8" s="317"/>
      <c r="I8" s="317"/>
      <c r="J8" s="318"/>
    </row>
    <row r="9" spans="1:11" ht="73.95" customHeight="1" x14ac:dyDescent="0.3">
      <c r="A9" s="177" t="s">
        <v>149</v>
      </c>
      <c r="B9" s="178"/>
      <c r="C9" s="178"/>
      <c r="D9" s="178"/>
      <c r="E9" s="179"/>
      <c r="F9" s="258" t="s">
        <v>320</v>
      </c>
      <c r="G9" s="299"/>
      <c r="H9" s="299"/>
      <c r="I9" s="299"/>
      <c r="J9" s="300"/>
      <c r="K9" s="83" t="s">
        <v>321</v>
      </c>
    </row>
    <row r="10" spans="1:11" ht="31.5" customHeight="1" x14ac:dyDescent="0.25">
      <c r="A10" s="177" t="s">
        <v>96</v>
      </c>
      <c r="B10" s="178"/>
      <c r="C10" s="178"/>
      <c r="D10" s="178"/>
      <c r="E10" s="179"/>
      <c r="F10" s="258" t="s">
        <v>305</v>
      </c>
      <c r="G10" s="299"/>
      <c r="H10" s="299"/>
      <c r="I10" s="299"/>
      <c r="J10" s="300"/>
    </row>
    <row r="11" spans="1:11" ht="31.5" customHeight="1" x14ac:dyDescent="0.25">
      <c r="A11" s="177" t="s">
        <v>413</v>
      </c>
      <c r="B11" s="178"/>
      <c r="C11" s="178"/>
      <c r="D11" s="178"/>
      <c r="E11" s="179"/>
      <c r="F11" s="258" t="s">
        <v>414</v>
      </c>
      <c r="G11" s="299"/>
      <c r="H11" s="299"/>
      <c r="I11" s="299"/>
      <c r="J11" s="300"/>
    </row>
    <row r="12" spans="1:11" ht="60.75" customHeight="1" x14ac:dyDescent="0.25">
      <c r="A12" s="283" t="s">
        <v>373</v>
      </c>
      <c r="B12" s="284"/>
      <c r="C12" s="284"/>
      <c r="D12" s="284"/>
      <c r="E12" s="285"/>
      <c r="F12" s="184" t="s">
        <v>374</v>
      </c>
      <c r="G12" s="261"/>
      <c r="H12" s="261"/>
      <c r="I12" s="261"/>
      <c r="J12" s="101"/>
    </row>
    <row r="13" spans="1:11" ht="33.75" customHeight="1" x14ac:dyDescent="0.25">
      <c r="A13" s="345"/>
      <c r="B13" s="346"/>
      <c r="C13" s="346"/>
      <c r="D13" s="346"/>
      <c r="E13" s="347"/>
      <c r="F13" s="342" t="s">
        <v>375</v>
      </c>
      <c r="G13" s="343"/>
      <c r="H13" s="343"/>
      <c r="I13" s="343"/>
      <c r="J13" s="344"/>
    </row>
    <row r="14" spans="1:11" ht="33.75" customHeight="1" x14ac:dyDescent="0.25">
      <c r="A14" s="345"/>
      <c r="B14" s="346"/>
      <c r="C14" s="346"/>
      <c r="D14" s="346"/>
      <c r="E14" s="347"/>
      <c r="F14" s="348" t="s">
        <v>376</v>
      </c>
      <c r="G14" s="348"/>
      <c r="H14" s="348"/>
      <c r="I14" s="348" t="s">
        <v>377</v>
      </c>
      <c r="J14" s="348"/>
    </row>
    <row r="15" spans="1:11" x14ac:dyDescent="0.25">
      <c r="A15" s="271"/>
      <c r="B15" s="272"/>
      <c r="C15" s="272"/>
      <c r="D15" s="272"/>
      <c r="E15" s="273"/>
      <c r="F15" s="349" t="s">
        <v>379</v>
      </c>
      <c r="G15" s="349"/>
      <c r="H15" s="349"/>
      <c r="I15" s="349" t="s">
        <v>378</v>
      </c>
      <c r="J15" s="349"/>
    </row>
    <row r="16" spans="1:11" x14ac:dyDescent="0.25">
      <c r="A16" s="177" t="s">
        <v>6</v>
      </c>
      <c r="B16" s="178"/>
      <c r="C16" s="178"/>
      <c r="D16" s="178"/>
      <c r="E16" s="179"/>
      <c r="F16" s="292" t="s">
        <v>239</v>
      </c>
      <c r="G16" s="292"/>
      <c r="H16" s="292"/>
      <c r="I16" s="292"/>
      <c r="J16" s="292"/>
    </row>
    <row r="17" spans="1:10" ht="45.75" customHeight="1" x14ac:dyDescent="0.25">
      <c r="A17" s="292" t="s">
        <v>53</v>
      </c>
      <c r="B17" s="292"/>
      <c r="C17" s="184" t="s">
        <v>248</v>
      </c>
      <c r="D17" s="261"/>
      <c r="E17" s="261"/>
      <c r="F17" s="261"/>
      <c r="G17" s="261"/>
      <c r="H17" s="261"/>
      <c r="I17" s="261"/>
      <c r="J17" s="101"/>
    </row>
    <row r="18" spans="1:10" ht="32.25" customHeight="1" x14ac:dyDescent="0.25">
      <c r="A18" s="1" t="s">
        <v>144</v>
      </c>
      <c r="B18" s="184" t="s">
        <v>238</v>
      </c>
      <c r="C18" s="261"/>
      <c r="D18" s="261"/>
      <c r="E18" s="101"/>
      <c r="F18" s="10" t="s">
        <v>54</v>
      </c>
      <c r="G18" s="184" t="s">
        <v>150</v>
      </c>
      <c r="H18" s="261"/>
      <c r="I18" s="261"/>
      <c r="J18" s="101"/>
    </row>
    <row r="19" spans="1:10" x14ac:dyDescent="0.25">
      <c r="A19" s="1" t="s">
        <v>7</v>
      </c>
      <c r="B19" s="177" t="s">
        <v>153</v>
      </c>
      <c r="C19" s="178"/>
      <c r="D19" s="178"/>
      <c r="E19" s="179"/>
      <c r="F19" s="2" t="s">
        <v>55</v>
      </c>
      <c r="G19" s="177" t="s">
        <v>151</v>
      </c>
      <c r="H19" s="178"/>
      <c r="I19" s="178"/>
      <c r="J19" s="179"/>
    </row>
    <row r="20" spans="1:10" x14ac:dyDescent="0.25">
      <c r="A20" s="1" t="s">
        <v>8</v>
      </c>
      <c r="B20" s="177" t="s">
        <v>154</v>
      </c>
      <c r="C20" s="178"/>
      <c r="D20" s="178"/>
      <c r="E20" s="179"/>
      <c r="F20" s="2" t="s">
        <v>56</v>
      </c>
      <c r="G20" s="177">
        <v>400080</v>
      </c>
      <c r="H20" s="178"/>
      <c r="I20" s="178"/>
      <c r="J20" s="179"/>
    </row>
    <row r="21" spans="1:10" ht="31.5" customHeight="1" x14ac:dyDescent="0.25">
      <c r="A21" s="320" t="s">
        <v>57</v>
      </c>
      <c r="B21" s="320"/>
      <c r="C21" s="296" t="s">
        <v>155</v>
      </c>
      <c r="D21" s="301"/>
      <c r="E21" s="301"/>
      <c r="F21" s="319" t="s">
        <v>43</v>
      </c>
      <c r="G21" s="319"/>
      <c r="H21" s="261" t="s">
        <v>304</v>
      </c>
      <c r="I21" s="261"/>
      <c r="J21" s="101"/>
    </row>
    <row r="22" spans="1:10" ht="15" customHeight="1" x14ac:dyDescent="0.25">
      <c r="A22" s="96" t="s">
        <v>45</v>
      </c>
      <c r="B22" s="286"/>
      <c r="C22" s="286"/>
      <c r="D22" s="286"/>
      <c r="E22" s="97"/>
      <c r="F22" s="283" t="s">
        <v>51</v>
      </c>
      <c r="G22" s="284"/>
      <c r="H22" s="284"/>
      <c r="I22" s="284"/>
      <c r="J22" s="285"/>
    </row>
    <row r="23" spans="1:10" x14ac:dyDescent="0.25">
      <c r="A23" s="98"/>
      <c r="B23" s="302"/>
      <c r="C23" s="302"/>
      <c r="D23" s="302"/>
      <c r="E23" s="99"/>
      <c r="F23" s="271"/>
      <c r="G23" s="272"/>
      <c r="H23" s="272"/>
      <c r="I23" s="272"/>
      <c r="J23" s="273"/>
    </row>
    <row r="24" spans="1:10" ht="15" customHeight="1" x14ac:dyDescent="0.25">
      <c r="A24" s="96" t="s">
        <v>9</v>
      </c>
      <c r="B24" s="286"/>
      <c r="C24" s="286"/>
      <c r="D24" s="286"/>
      <c r="E24" s="97"/>
      <c r="F24" s="96" t="s">
        <v>38</v>
      </c>
      <c r="G24" s="286"/>
      <c r="H24" s="286"/>
      <c r="I24" s="286"/>
      <c r="J24" s="97"/>
    </row>
    <row r="25" spans="1:10" x14ac:dyDescent="0.25">
      <c r="A25" s="177" t="s">
        <v>10</v>
      </c>
      <c r="B25" s="178"/>
      <c r="C25" s="178"/>
      <c r="D25" s="178"/>
      <c r="E25" s="179"/>
      <c r="F25" s="262" t="s">
        <v>156</v>
      </c>
      <c r="G25" s="263"/>
      <c r="H25" s="263"/>
      <c r="I25" s="263"/>
      <c r="J25" s="264"/>
    </row>
    <row r="26" spans="1:10" x14ac:dyDescent="0.25">
      <c r="A26" s="177" t="s">
        <v>11</v>
      </c>
      <c r="B26" s="178"/>
      <c r="C26" s="178"/>
      <c r="D26" s="178"/>
      <c r="E26" s="179"/>
      <c r="F26" s="262" t="s">
        <v>44</v>
      </c>
      <c r="G26" s="263"/>
      <c r="H26" s="263"/>
      <c r="I26" s="263"/>
      <c r="J26" s="264"/>
    </row>
    <row r="27" spans="1:10" x14ac:dyDescent="0.25">
      <c r="A27" s="177" t="s">
        <v>12</v>
      </c>
      <c r="B27" s="178"/>
      <c r="C27" s="178"/>
      <c r="D27" s="178"/>
      <c r="E27" s="179"/>
      <c r="F27" s="262" t="s">
        <v>157</v>
      </c>
      <c r="G27" s="263"/>
      <c r="H27" s="263"/>
      <c r="I27" s="263"/>
      <c r="J27" s="264"/>
    </row>
    <row r="28" spans="1:10" x14ac:dyDescent="0.25">
      <c r="A28" s="177" t="s">
        <v>27</v>
      </c>
      <c r="B28" s="178"/>
      <c r="C28" s="178"/>
      <c r="D28" s="178"/>
      <c r="E28" s="179"/>
      <c r="F28" s="262" t="s">
        <v>58</v>
      </c>
      <c r="G28" s="263"/>
      <c r="H28" s="263"/>
      <c r="I28" s="263"/>
      <c r="J28" s="264"/>
    </row>
    <row r="29" spans="1:10" x14ac:dyDescent="0.25">
      <c r="A29" s="305" t="s">
        <v>13</v>
      </c>
      <c r="B29" s="306"/>
      <c r="C29" s="305" t="s">
        <v>14</v>
      </c>
      <c r="D29" s="306"/>
      <c r="E29" s="305" t="s">
        <v>15</v>
      </c>
      <c r="F29" s="306"/>
      <c r="G29" s="305" t="s">
        <v>42</v>
      </c>
      <c r="H29" s="306"/>
      <c r="I29" s="305" t="s">
        <v>16</v>
      </c>
      <c r="J29" s="306"/>
    </row>
    <row r="30" spans="1:10" ht="30.75" customHeight="1" x14ac:dyDescent="0.25">
      <c r="A30" s="290" t="s">
        <v>365</v>
      </c>
      <c r="B30" s="291"/>
      <c r="C30" s="303" t="s">
        <v>368</v>
      </c>
      <c r="D30" s="304"/>
      <c r="E30" s="265" t="s">
        <v>366</v>
      </c>
      <c r="F30" s="266"/>
      <c r="G30" s="265" t="s">
        <v>367</v>
      </c>
      <c r="H30" s="266"/>
      <c r="I30" s="303" t="s">
        <v>368</v>
      </c>
      <c r="J30" s="304"/>
    </row>
    <row r="31" spans="1:10" x14ac:dyDescent="0.25">
      <c r="A31" s="313" t="s">
        <v>17</v>
      </c>
      <c r="B31" s="314"/>
      <c r="C31" s="308" t="s">
        <v>159</v>
      </c>
      <c r="D31" s="309"/>
      <c r="E31" s="308" t="s">
        <v>160</v>
      </c>
      <c r="F31" s="309"/>
      <c r="G31" s="308" t="s">
        <v>158</v>
      </c>
      <c r="H31" s="309"/>
      <c r="I31" s="308" t="s">
        <v>158</v>
      </c>
      <c r="J31" s="309"/>
    </row>
    <row r="32" spans="1:10" x14ac:dyDescent="0.25">
      <c r="A32" s="177" t="s">
        <v>50</v>
      </c>
      <c r="B32" s="178"/>
      <c r="C32" s="178"/>
      <c r="D32" s="178"/>
      <c r="E32" s="178"/>
      <c r="F32" s="178"/>
      <c r="G32" s="178"/>
      <c r="H32" s="178"/>
      <c r="I32" s="178"/>
      <c r="J32" s="179"/>
    </row>
    <row r="33" spans="1:10" x14ac:dyDescent="0.25">
      <c r="A33" s="177" t="s">
        <v>39</v>
      </c>
      <c r="B33" s="178"/>
      <c r="C33" s="178"/>
      <c r="D33" s="178"/>
      <c r="E33" s="178"/>
      <c r="F33" s="178"/>
      <c r="G33" s="178"/>
      <c r="H33" s="178"/>
      <c r="I33" s="178"/>
      <c r="J33" s="179"/>
    </row>
    <row r="34" spans="1:10" x14ac:dyDescent="0.25">
      <c r="A34" s="188" t="s">
        <v>34</v>
      </c>
      <c r="B34" s="190"/>
      <c r="C34" s="177" t="s">
        <v>310</v>
      </c>
      <c r="D34" s="178"/>
      <c r="E34" s="178"/>
      <c r="F34" s="178"/>
      <c r="G34" s="178"/>
      <c r="H34" s="178"/>
      <c r="I34" s="178"/>
      <c r="J34" s="179"/>
    </row>
    <row r="35" spans="1:10" ht="14.4" x14ac:dyDescent="0.25">
      <c r="A35" s="188" t="s">
        <v>309</v>
      </c>
      <c r="B35" s="190"/>
      <c r="C35" s="361" t="s">
        <v>311</v>
      </c>
      <c r="D35" s="178"/>
      <c r="E35" s="178"/>
      <c r="F35" s="178"/>
      <c r="G35" s="178"/>
      <c r="H35" s="178"/>
      <c r="I35" s="178"/>
      <c r="J35" s="179"/>
    </row>
    <row r="36" spans="1:10" x14ac:dyDescent="0.25">
      <c r="A36" s="188" t="s">
        <v>18</v>
      </c>
      <c r="B36" s="189"/>
      <c r="C36" s="189"/>
      <c r="D36" s="189"/>
      <c r="E36" s="189"/>
      <c r="F36" s="189"/>
      <c r="G36" s="189"/>
      <c r="H36" s="189"/>
      <c r="I36" s="189"/>
      <c r="J36" s="190"/>
    </row>
    <row r="37" spans="1:10" ht="15" customHeight="1" x14ac:dyDescent="0.25">
      <c r="A37" s="96" t="s">
        <v>146</v>
      </c>
      <c r="B37" s="286"/>
      <c r="C37" s="286"/>
      <c r="D37" s="286"/>
      <c r="E37" s="286"/>
      <c r="F37" s="286"/>
      <c r="G37" s="286"/>
      <c r="H37" s="286"/>
      <c r="I37" s="286"/>
      <c r="J37" s="97"/>
    </row>
    <row r="38" spans="1:10" x14ac:dyDescent="0.25">
      <c r="A38" s="98"/>
      <c r="B38" s="302"/>
      <c r="C38" s="302"/>
      <c r="D38" s="302"/>
      <c r="E38" s="302"/>
      <c r="F38" s="302"/>
      <c r="G38" s="302"/>
      <c r="H38" s="302"/>
      <c r="I38" s="302"/>
      <c r="J38" s="99"/>
    </row>
    <row r="39" spans="1:10" ht="16.5" customHeight="1" x14ac:dyDescent="0.25">
      <c r="A39" s="177" t="s">
        <v>59</v>
      </c>
      <c r="B39" s="178"/>
      <c r="C39" s="178"/>
      <c r="D39" s="178"/>
      <c r="E39" s="179"/>
      <c r="F39" s="258">
        <v>42117.11</v>
      </c>
      <c r="G39" s="259"/>
      <c r="H39" s="259"/>
      <c r="I39" s="259"/>
      <c r="J39" s="260"/>
    </row>
    <row r="40" spans="1:10" x14ac:dyDescent="0.25">
      <c r="A40" s="177" t="s">
        <v>19</v>
      </c>
      <c r="B40" s="178"/>
      <c r="C40" s="178"/>
      <c r="D40" s="178"/>
      <c r="E40" s="179"/>
      <c r="F40" s="293">
        <v>1</v>
      </c>
      <c r="G40" s="294"/>
      <c r="H40" s="294"/>
      <c r="I40" s="294"/>
      <c r="J40" s="295"/>
    </row>
    <row r="41" spans="1:10" x14ac:dyDescent="0.25">
      <c r="A41" s="177" t="s">
        <v>20</v>
      </c>
      <c r="B41" s="178"/>
      <c r="C41" s="178"/>
      <c r="D41" s="178"/>
      <c r="E41" s="179"/>
      <c r="F41" s="293">
        <f>F43/F39-F40</f>
        <v>1.9587154721679623</v>
      </c>
      <c r="G41" s="294"/>
      <c r="H41" s="294"/>
      <c r="I41" s="294"/>
      <c r="J41" s="295"/>
    </row>
    <row r="42" spans="1:10" x14ac:dyDescent="0.25">
      <c r="A42" s="177" t="s">
        <v>21</v>
      </c>
      <c r="B42" s="178"/>
      <c r="C42" s="178"/>
      <c r="D42" s="178"/>
      <c r="E42" s="179"/>
      <c r="F42" s="293">
        <f>F40+F41</f>
        <v>2.9587154721679623</v>
      </c>
      <c r="G42" s="294"/>
      <c r="H42" s="294"/>
      <c r="I42" s="294"/>
      <c r="J42" s="295"/>
    </row>
    <row r="43" spans="1:10" x14ac:dyDescent="0.25">
      <c r="A43" s="177" t="s">
        <v>60</v>
      </c>
      <c r="B43" s="178"/>
      <c r="C43" s="178"/>
      <c r="D43" s="178"/>
      <c r="E43" s="179"/>
      <c r="F43" s="307">
        <v>124612.545</v>
      </c>
      <c r="G43" s="299"/>
      <c r="H43" s="299"/>
      <c r="I43" s="299"/>
      <c r="J43" s="300"/>
    </row>
    <row r="44" spans="1:10" x14ac:dyDescent="0.25">
      <c r="A44" s="177" t="s">
        <v>22</v>
      </c>
      <c r="B44" s="178"/>
      <c r="C44" s="178"/>
      <c r="D44" s="178"/>
      <c r="E44" s="179"/>
      <c r="F44" s="307" t="s">
        <v>412</v>
      </c>
      <c r="G44" s="299"/>
      <c r="H44" s="299"/>
      <c r="I44" s="299"/>
      <c r="J44" s="300"/>
    </row>
    <row r="45" spans="1:10" x14ac:dyDescent="0.25">
      <c r="A45" s="188" t="s">
        <v>62</v>
      </c>
      <c r="B45" s="189"/>
      <c r="C45" s="189"/>
      <c r="D45" s="189"/>
      <c r="E45" s="189"/>
      <c r="F45" s="189"/>
      <c r="G45" s="189"/>
      <c r="H45" s="189"/>
      <c r="I45" s="189"/>
      <c r="J45" s="190"/>
    </row>
    <row r="46" spans="1:10" s="82" customFormat="1" ht="16.5" customHeight="1" x14ac:dyDescent="0.25">
      <c r="A46" s="296" t="s">
        <v>61</v>
      </c>
      <c r="B46" s="296"/>
      <c r="C46" s="105" t="s">
        <v>319</v>
      </c>
      <c r="D46" s="106"/>
      <c r="E46" s="106"/>
      <c r="F46" s="107"/>
      <c r="G46" s="3" t="s">
        <v>52</v>
      </c>
      <c r="H46" s="108">
        <v>45561</v>
      </c>
      <c r="I46" s="106"/>
      <c r="J46" s="107"/>
    </row>
    <row r="47" spans="1:10" s="82" customFormat="1" ht="45.75" customHeight="1" x14ac:dyDescent="0.25">
      <c r="A47" s="102" t="s">
        <v>380</v>
      </c>
      <c r="B47" s="104"/>
      <c r="C47" s="105" t="s">
        <v>381</v>
      </c>
      <c r="D47" s="106"/>
      <c r="E47" s="106"/>
      <c r="F47" s="107"/>
      <c r="G47" s="3" t="s">
        <v>52</v>
      </c>
      <c r="H47" s="108">
        <v>44554</v>
      </c>
      <c r="I47" s="109"/>
      <c r="J47" s="110"/>
    </row>
    <row r="48" spans="1:10" s="82" customFormat="1" ht="45" customHeight="1" x14ac:dyDescent="0.25">
      <c r="A48" s="337" t="s">
        <v>382</v>
      </c>
      <c r="B48" s="338"/>
      <c r="C48" s="333" t="str">
        <f>C46</f>
        <v>CHE/ES/1930/T/337(NEW)/337/16/Amend</v>
      </c>
      <c r="D48" s="334"/>
      <c r="E48" s="334"/>
      <c r="F48" s="335"/>
      <c r="G48" s="91" t="s">
        <v>52</v>
      </c>
      <c r="H48" s="339">
        <f>H46</f>
        <v>45561</v>
      </c>
      <c r="I48" s="340"/>
      <c r="J48" s="341"/>
    </row>
    <row r="49" spans="1:12" s="82" customFormat="1" ht="30.75" customHeight="1" x14ac:dyDescent="0.25">
      <c r="A49" s="96" t="s">
        <v>63</v>
      </c>
      <c r="B49" s="97"/>
      <c r="C49" s="105" t="s">
        <v>390</v>
      </c>
      <c r="D49" s="106"/>
      <c r="E49" s="106"/>
      <c r="F49" s="107"/>
      <c r="G49" s="3" t="s">
        <v>52</v>
      </c>
      <c r="H49" s="65">
        <v>44986</v>
      </c>
      <c r="I49" s="184" t="s">
        <v>389</v>
      </c>
      <c r="J49" s="101"/>
    </row>
    <row r="50" spans="1:12" ht="94.5" customHeight="1" x14ac:dyDescent="0.25">
      <c r="A50" s="393"/>
      <c r="B50" s="394"/>
      <c r="C50" s="102" t="s">
        <v>392</v>
      </c>
      <c r="D50" s="103"/>
      <c r="E50" s="103"/>
      <c r="F50" s="103"/>
      <c r="G50" s="103"/>
      <c r="H50" s="103"/>
      <c r="I50" s="103"/>
      <c r="J50" s="104"/>
    </row>
    <row r="51" spans="1:12" ht="30" customHeight="1" x14ac:dyDescent="0.25">
      <c r="A51" s="393"/>
      <c r="B51" s="394"/>
      <c r="C51" s="102" t="s">
        <v>391</v>
      </c>
      <c r="D51" s="103"/>
      <c r="E51" s="103"/>
      <c r="F51" s="104"/>
      <c r="G51" s="3" t="s">
        <v>52</v>
      </c>
      <c r="H51" s="65">
        <v>45204</v>
      </c>
      <c r="I51" s="184" t="s">
        <v>393</v>
      </c>
      <c r="J51" s="101"/>
    </row>
    <row r="52" spans="1:12" ht="96.75" customHeight="1" x14ac:dyDescent="0.25">
      <c r="A52" s="393"/>
      <c r="B52" s="394"/>
      <c r="C52" s="102" t="s">
        <v>394</v>
      </c>
      <c r="D52" s="103"/>
      <c r="E52" s="103"/>
      <c r="F52" s="103"/>
      <c r="G52" s="103"/>
      <c r="H52" s="103"/>
      <c r="I52" s="103"/>
      <c r="J52" s="104"/>
    </row>
    <row r="53" spans="1:12" ht="33.75" customHeight="1" x14ac:dyDescent="0.25">
      <c r="A53" s="393"/>
      <c r="B53" s="394"/>
      <c r="C53" s="102" t="s">
        <v>396</v>
      </c>
      <c r="D53" s="103"/>
      <c r="E53" s="103"/>
      <c r="F53" s="104"/>
      <c r="G53" s="3" t="s">
        <v>52</v>
      </c>
      <c r="H53" s="65">
        <v>45605</v>
      </c>
      <c r="I53" s="184" t="s">
        <v>395</v>
      </c>
      <c r="J53" s="101"/>
    </row>
    <row r="54" spans="1:12" ht="48" customHeight="1" x14ac:dyDescent="0.25">
      <c r="A54" s="393"/>
      <c r="B54" s="394"/>
      <c r="C54" s="102" t="s">
        <v>401</v>
      </c>
      <c r="D54" s="103"/>
      <c r="E54" s="103"/>
      <c r="F54" s="103"/>
      <c r="G54" s="103"/>
      <c r="H54" s="103"/>
      <c r="I54" s="103"/>
      <c r="J54" s="104"/>
    </row>
    <row r="55" spans="1:12" ht="34.5" customHeight="1" x14ac:dyDescent="0.25">
      <c r="A55" s="393"/>
      <c r="B55" s="394"/>
      <c r="C55" s="102" t="s">
        <v>397</v>
      </c>
      <c r="D55" s="103"/>
      <c r="E55" s="103"/>
      <c r="F55" s="104"/>
      <c r="G55" s="3" t="s">
        <v>52</v>
      </c>
      <c r="H55" s="65">
        <v>45623</v>
      </c>
      <c r="I55" s="184" t="s">
        <v>417</v>
      </c>
      <c r="J55" s="101"/>
    </row>
    <row r="56" spans="1:12" ht="58.5" customHeight="1" x14ac:dyDescent="0.25">
      <c r="A56" s="98"/>
      <c r="B56" s="99"/>
      <c r="C56" s="102" t="s">
        <v>416</v>
      </c>
      <c r="D56" s="103"/>
      <c r="E56" s="103"/>
      <c r="F56" s="103"/>
      <c r="G56" s="103"/>
      <c r="H56" s="103"/>
      <c r="I56" s="103"/>
      <c r="J56" s="104"/>
    </row>
    <row r="57" spans="1:12" x14ac:dyDescent="0.25">
      <c r="A57" s="96" t="s">
        <v>404</v>
      </c>
      <c r="B57" s="97"/>
      <c r="C57" s="102" t="s">
        <v>405</v>
      </c>
      <c r="D57" s="103"/>
      <c r="E57" s="103"/>
      <c r="F57" s="103"/>
      <c r="G57" s="104"/>
      <c r="H57" s="3" t="s">
        <v>52</v>
      </c>
      <c r="I57" s="100">
        <v>45686</v>
      </c>
      <c r="J57" s="101"/>
    </row>
    <row r="58" spans="1:12" ht="78" customHeight="1" x14ac:dyDescent="0.25">
      <c r="A58" s="98"/>
      <c r="B58" s="99"/>
      <c r="C58" s="102" t="s">
        <v>407</v>
      </c>
      <c r="D58" s="103"/>
      <c r="E58" s="103"/>
      <c r="F58" s="103"/>
      <c r="G58" s="103"/>
      <c r="H58" s="103"/>
      <c r="I58" s="103"/>
      <c r="J58" s="104"/>
    </row>
    <row r="59" spans="1:12" x14ac:dyDescent="0.25">
      <c r="A59" s="96" t="s">
        <v>408</v>
      </c>
      <c r="B59" s="97"/>
      <c r="C59" s="102" t="s">
        <v>409</v>
      </c>
      <c r="D59" s="103"/>
      <c r="E59" s="103"/>
      <c r="F59" s="103"/>
      <c r="G59" s="104"/>
      <c r="H59" s="3" t="s">
        <v>52</v>
      </c>
      <c r="I59" s="100">
        <v>45686</v>
      </c>
      <c r="J59" s="101"/>
    </row>
    <row r="60" spans="1:12" ht="37.5" customHeight="1" x14ac:dyDescent="0.25">
      <c r="A60" s="98"/>
      <c r="B60" s="99"/>
      <c r="C60" s="102" t="s">
        <v>411</v>
      </c>
      <c r="D60" s="103"/>
      <c r="E60" s="103"/>
      <c r="F60" s="103"/>
      <c r="G60" s="103"/>
      <c r="H60" s="94" t="s">
        <v>410</v>
      </c>
      <c r="I60" s="100">
        <v>46080</v>
      </c>
      <c r="J60" s="101"/>
      <c r="K60" s="26">
        <f>279.85-22.883</f>
        <v>256.96700000000004</v>
      </c>
    </row>
    <row r="61" spans="1:12" ht="48" customHeight="1" x14ac:dyDescent="0.25">
      <c r="A61" s="395" t="s">
        <v>94</v>
      </c>
      <c r="B61" s="396"/>
      <c r="C61" s="310" t="s">
        <v>312</v>
      </c>
      <c r="D61" s="311"/>
      <c r="E61" s="311"/>
      <c r="F61" s="312" t="s">
        <v>95</v>
      </c>
      <c r="G61" s="75" t="s">
        <v>52</v>
      </c>
      <c r="H61" s="315">
        <v>45013</v>
      </c>
      <c r="I61" s="311" t="s">
        <v>46</v>
      </c>
      <c r="J61" s="312"/>
    </row>
    <row r="62" spans="1:12" ht="45.75" customHeight="1" x14ac:dyDescent="0.25">
      <c r="A62" s="397"/>
      <c r="B62" s="398"/>
      <c r="C62" s="310" t="s">
        <v>313</v>
      </c>
      <c r="D62" s="311"/>
      <c r="E62" s="311"/>
      <c r="F62" s="312" t="s">
        <v>95</v>
      </c>
      <c r="G62" s="75" t="s">
        <v>52</v>
      </c>
      <c r="H62" s="315">
        <v>45056</v>
      </c>
      <c r="I62" s="311" t="s">
        <v>46</v>
      </c>
      <c r="J62" s="312"/>
    </row>
    <row r="63" spans="1:12" ht="45" customHeight="1" x14ac:dyDescent="0.25">
      <c r="A63" s="399"/>
      <c r="B63" s="400"/>
      <c r="C63" s="310" t="s">
        <v>399</v>
      </c>
      <c r="D63" s="311"/>
      <c r="E63" s="311"/>
      <c r="F63" s="312" t="s">
        <v>95</v>
      </c>
      <c r="G63" s="75" t="s">
        <v>52</v>
      </c>
      <c r="H63" s="315">
        <v>45667</v>
      </c>
      <c r="I63" s="311" t="s">
        <v>46</v>
      </c>
      <c r="J63" s="312"/>
    </row>
    <row r="64" spans="1:12" s="74" customFormat="1" ht="42" customHeight="1" x14ac:dyDescent="0.3">
      <c r="A64" s="292" t="s">
        <v>68</v>
      </c>
      <c r="B64" s="292"/>
      <c r="C64" s="292"/>
      <c r="D64" s="297" t="s">
        <v>383</v>
      </c>
      <c r="E64" s="298"/>
      <c r="F64" s="258" t="s">
        <v>64</v>
      </c>
      <c r="G64" s="390"/>
      <c r="H64" s="332" t="s">
        <v>400</v>
      </c>
      <c r="I64" s="299"/>
      <c r="J64" s="300"/>
      <c r="K64" s="72" t="str">
        <f ca="1">(IF(F75&gt;99%,"All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","0")))&amp;(IF(C76=0%,"",IF(C76=L70,"Footing work is process",IF(C76=L71,"Footing work Completed",IF(C76=L72,"1st Basement Completed",IF(C76=L73,"1st &amp; 2nd Basement Completed",IF(C76=L74,"1st to 3rd Basement Completed",IF(C76=L75,"1st to 4th Basement Completed",IF(C76=L76,"Plinth work is process",IF(C76=L77,"Plinth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All work completed. Please provide OC.</v>
      </c>
      <c r="L64" s="73"/>
    </row>
    <row r="65" spans="1:12" ht="15.6" x14ac:dyDescent="0.3">
      <c r="A65" s="287" t="s">
        <v>23</v>
      </c>
      <c r="B65" s="288"/>
      <c r="C65" s="288"/>
      <c r="D65" s="288"/>
      <c r="E65" s="288"/>
      <c r="F65" s="288"/>
      <c r="G65" s="288"/>
      <c r="H65" s="288"/>
      <c r="I65" s="288"/>
      <c r="J65" s="289"/>
      <c r="K65" s="47"/>
      <c r="L65" s="48"/>
    </row>
    <row r="66" spans="1:12" ht="15.6" x14ac:dyDescent="0.3">
      <c r="A66" s="177" t="s">
        <v>93</v>
      </c>
      <c r="B66" s="178"/>
      <c r="C66" s="179"/>
      <c r="D66" s="308">
        <f>19017.696+191.839</f>
        <v>19209.535</v>
      </c>
      <c r="E66" s="309"/>
      <c r="F66" s="336" t="s">
        <v>65</v>
      </c>
      <c r="G66" s="336"/>
      <c r="H66" s="336"/>
      <c r="I66" s="336" t="s">
        <v>387</v>
      </c>
      <c r="J66" s="336"/>
      <c r="K66" s="47" t="s">
        <v>189</v>
      </c>
      <c r="L66" s="48"/>
    </row>
    <row r="67" spans="1:12" ht="80.25" customHeight="1" x14ac:dyDescent="0.3">
      <c r="A67" s="188" t="s">
        <v>66</v>
      </c>
      <c r="B67" s="190"/>
      <c r="C67" s="258" t="s">
        <v>398</v>
      </c>
      <c r="D67" s="259"/>
      <c r="E67" s="259"/>
      <c r="F67" s="259"/>
      <c r="G67" s="259"/>
      <c r="H67" s="259"/>
      <c r="I67" s="259"/>
      <c r="J67" s="260"/>
      <c r="K67" s="49" t="s">
        <v>194</v>
      </c>
      <c r="L67" s="50">
        <f ca="1">I72*25%</f>
        <v>8.5</v>
      </c>
    </row>
    <row r="68" spans="1:12" ht="80.25" customHeight="1" x14ac:dyDescent="0.25">
      <c r="A68" s="240" t="s">
        <v>145</v>
      </c>
      <c r="B68" s="241"/>
      <c r="C68" s="258" t="s">
        <v>406</v>
      </c>
      <c r="D68" s="259"/>
      <c r="E68" s="259"/>
      <c r="F68" s="259"/>
      <c r="G68" s="259"/>
      <c r="H68" s="259"/>
      <c r="I68" s="259"/>
      <c r="J68" s="260"/>
      <c r="K68" s="49" t="s">
        <v>136</v>
      </c>
      <c r="L68" s="51">
        <f ca="1">I72*50%</f>
        <v>17</v>
      </c>
    </row>
    <row r="69" spans="1:12" ht="35.25" customHeight="1" x14ac:dyDescent="0.25">
      <c r="A69" s="177" t="s">
        <v>40</v>
      </c>
      <c r="B69" s="178"/>
      <c r="C69" s="178"/>
      <c r="D69" s="178"/>
      <c r="E69" s="179"/>
      <c r="F69" s="184" t="s">
        <v>47</v>
      </c>
      <c r="G69" s="261"/>
      <c r="H69" s="261"/>
      <c r="I69" s="261"/>
      <c r="J69" s="101"/>
      <c r="K69" s="49" t="s">
        <v>139</v>
      </c>
      <c r="L69" s="51">
        <f ca="1">I72</f>
        <v>34</v>
      </c>
    </row>
    <row r="70" spans="1:12" ht="20.25" customHeight="1" thickBot="1" x14ac:dyDescent="0.35">
      <c r="A70" s="206" t="s">
        <v>48</v>
      </c>
      <c r="B70" s="206"/>
      <c r="C70" s="206"/>
      <c r="D70" s="206"/>
      <c r="E70" s="206"/>
      <c r="F70" s="206"/>
      <c r="G70" s="206"/>
      <c r="H70" s="206"/>
      <c r="I70" s="206"/>
      <c r="J70" s="206"/>
      <c r="K70" s="49" t="s">
        <v>140</v>
      </c>
      <c r="L70" s="52">
        <f ca="1">(IF(B72&gt;1,(I72/(B72+2)),I72/4))</f>
        <v>8.5</v>
      </c>
    </row>
    <row r="71" spans="1:12" ht="40.5" hidden="1" customHeight="1" x14ac:dyDescent="0.3">
      <c r="A71" s="235" t="s">
        <v>186</v>
      </c>
      <c r="B71" s="236"/>
      <c r="C71" s="237" t="s">
        <v>251</v>
      </c>
      <c r="D71" s="238"/>
      <c r="E71" s="238"/>
      <c r="F71" s="238"/>
      <c r="G71" s="238"/>
      <c r="H71" s="238"/>
      <c r="I71" s="238"/>
      <c r="J71" s="239"/>
      <c r="K71" s="49" t="s">
        <v>141</v>
      </c>
      <c r="L71" s="52">
        <f ca="1">(IF(B72&gt;1,(I72/(B72+2)+L70),I72/4+L70))</f>
        <v>17</v>
      </c>
    </row>
    <row r="72" spans="1:12" ht="20.25" hidden="1" customHeight="1" x14ac:dyDescent="0.3">
      <c r="A72" s="62" t="s">
        <v>114</v>
      </c>
      <c r="B72" s="63">
        <v>1</v>
      </c>
      <c r="C72" s="63" t="s">
        <v>116</v>
      </c>
      <c r="D72" s="63">
        <v>1</v>
      </c>
      <c r="E72" s="196" t="s">
        <v>115</v>
      </c>
      <c r="F72" s="174"/>
      <c r="G72" s="63">
        <v>0</v>
      </c>
      <c r="H72" s="63" t="s">
        <v>187</v>
      </c>
      <c r="I72" s="196">
        <f ca="1">--TRIM(RIGHT(SUBSTITUTE(LEFT(C71,_xlfn.AGGREGATE(16,6,FIND({0,1,2,3,4,5,6,7,8,9},C71,ROW(INDIRECT("1:"&amp;LEN(C71)))),1))," ",REPT(" ",LEN(C71))),LEN(C71)))</f>
        <v>34</v>
      </c>
      <c r="J72" s="197"/>
      <c r="K72" s="49" t="s">
        <v>200</v>
      </c>
      <c r="L72" s="52">
        <f>(IF(B72&gt;1,(I72/(B72+2)+L71),0))</f>
        <v>0</v>
      </c>
    </row>
    <row r="73" spans="1:12" ht="20.25" hidden="1" customHeight="1" x14ac:dyDescent="0.3">
      <c r="A73" s="379" t="s">
        <v>188</v>
      </c>
      <c r="B73" s="380"/>
      <c r="C73" s="326" t="str">
        <f>K66</f>
        <v>All work Completed. OC Received.</v>
      </c>
      <c r="D73" s="327"/>
      <c r="E73" s="327"/>
      <c r="F73" s="327"/>
      <c r="G73" s="327"/>
      <c r="H73" s="327"/>
      <c r="I73" s="327"/>
      <c r="J73" s="328"/>
      <c r="K73" s="49" t="s">
        <v>203</v>
      </c>
      <c r="L73" s="52">
        <f>(IF(B72&gt;2,(I72/(B72+2)+L72),0))</f>
        <v>0</v>
      </c>
    </row>
    <row r="74" spans="1:12" ht="20.25" hidden="1" customHeight="1" x14ac:dyDescent="0.3">
      <c r="A74" s="165" t="s">
        <v>29</v>
      </c>
      <c r="B74" s="166"/>
      <c r="C74" s="64" t="s">
        <v>190</v>
      </c>
      <c r="D74" s="221" t="s">
        <v>191</v>
      </c>
      <c r="E74" s="166"/>
      <c r="F74" s="221" t="s">
        <v>192</v>
      </c>
      <c r="G74" s="166"/>
      <c r="H74" s="221" t="s">
        <v>193</v>
      </c>
      <c r="I74" s="222"/>
      <c r="J74" s="223"/>
      <c r="K74" s="49" t="s">
        <v>205</v>
      </c>
      <c r="L74" s="53">
        <f>(IF(B72&gt;3,(I72/(B72+2)+L73),0))</f>
        <v>0</v>
      </c>
    </row>
    <row r="75" spans="1:12" ht="20.25" hidden="1" customHeight="1" x14ac:dyDescent="0.3">
      <c r="A75" s="165" t="s">
        <v>195</v>
      </c>
      <c r="B75" s="166"/>
      <c r="C75" s="69">
        <f ca="1">L69</f>
        <v>34</v>
      </c>
      <c r="D75" s="175">
        <f ca="1">((100/I72)*C75)/100</f>
        <v>1</v>
      </c>
      <c r="E75" s="176"/>
      <c r="F75" s="229">
        <f ca="1">(((C76/I72*10)+(40/(D72+G72+I72)*C77)+(7.5/(I72)*C78)+(7.5/(I72)*C79)+(10/I72*C80)+(10/I72*C81)+(5/I72*C82)+(5/I72*C83)+(5/I72*C84))/100)</f>
        <v>1</v>
      </c>
      <c r="G75" s="230"/>
      <c r="H75" s="229">
        <f ca="1">((((C75/I72)*20)+((C76/I72)*25)+(30/(I72+G72+D72)*C77)+(5/I72*C78)+(5/I72*C79)+(5/I72*C80)+(5/I72*C81)+(0/I72*C82)+(0/I72*C83)+(5/I72*C84))/100)</f>
        <v>1</v>
      </c>
      <c r="I75" s="267"/>
      <c r="J75" s="268"/>
      <c r="K75" s="49" t="s">
        <v>207</v>
      </c>
      <c r="L75" s="52">
        <f>(IF(B72&gt;4,(I72/(B72+2)+L74),0))</f>
        <v>0</v>
      </c>
    </row>
    <row r="76" spans="1:12" ht="20.25" hidden="1" customHeight="1" x14ac:dyDescent="0.3">
      <c r="A76" s="165" t="s">
        <v>30</v>
      </c>
      <c r="B76" s="166"/>
      <c r="C76" s="70">
        <f ca="1">L77</f>
        <v>34</v>
      </c>
      <c r="D76" s="175">
        <f ca="1">((100/I72)*C76)/100</f>
        <v>1</v>
      </c>
      <c r="E76" s="176"/>
      <c r="F76" s="231"/>
      <c r="G76" s="232"/>
      <c r="H76" s="231"/>
      <c r="I76" s="269"/>
      <c r="J76" s="270"/>
      <c r="K76" s="49" t="s">
        <v>142</v>
      </c>
      <c r="L76" s="52">
        <f ca="1">(IF(B72=1,(I72/(B72+3)+L71),IF(B72=0,(I72/4+L71),IF(B72&gt;1,0))))</f>
        <v>25.5</v>
      </c>
    </row>
    <row r="77" spans="1:12" ht="20.25" hidden="1" customHeight="1" thickBot="1" x14ac:dyDescent="0.35">
      <c r="A77" s="173" t="s">
        <v>196</v>
      </c>
      <c r="B77" s="174"/>
      <c r="C77" s="70">
        <f ca="1">D72+I72</f>
        <v>35</v>
      </c>
      <c r="D77" s="175">
        <f ca="1">((100/(D72+G72+I72))*C77)/100</f>
        <v>1</v>
      </c>
      <c r="E77" s="176"/>
      <c r="F77" s="231"/>
      <c r="G77" s="232"/>
      <c r="H77" s="231"/>
      <c r="I77" s="269"/>
      <c r="J77" s="270"/>
      <c r="K77" s="54" t="s">
        <v>143</v>
      </c>
      <c r="L77" s="55">
        <f ca="1">(IF(B72&gt;1.5,(I72/(B72+2)+L71+MAX(0,L72-L71)+MAX(0,L73-L72)+MAX(0,L74-L73)+MAX(0,L75-L74)+MAX(0,L76-L75)),IF(B72=1,(I72/(B72+3)+L76),IF(B72=0,I72/4+L76))))</f>
        <v>34</v>
      </c>
    </row>
    <row r="78" spans="1:12" ht="20.25" hidden="1" customHeight="1" x14ac:dyDescent="0.3">
      <c r="A78" s="173" t="s">
        <v>197</v>
      </c>
      <c r="B78" s="174" t="s">
        <v>198</v>
      </c>
      <c r="C78" s="69">
        <v>34</v>
      </c>
      <c r="D78" s="175">
        <f ca="1">((100/I72)*C78)/100</f>
        <v>1</v>
      </c>
      <c r="E78" s="176"/>
      <c r="F78" s="231"/>
      <c r="G78" s="232"/>
      <c r="H78" s="231"/>
      <c r="I78" s="269"/>
      <c r="J78" s="270"/>
      <c r="K78" s="45"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","0")))&amp;(IF(C92=0%,"",IF(C92=L86,"Footing work is process",IF(C92=L87,"Footing work Completed",IF(C92=L88,"1st Basement Completed",IF(C92=L89,"1st &amp; 2nd Basement Completed",IF(C92=L90,"1st to 3rd Basement Completed",IF(C92=L91,"1st to 4th Basement Completed",IF(C92=L92,"Plinth work is process",IF(C92=L93,"Plinth work completed","0")))))))))))&amp;(IF(C93=(D86+G86+I86),", RCC Slab",IF(C93&gt;0,", RCC upto "&amp;C93&amp;" Slab",""))&amp;(IF(C94=I86,", Brickwork",IF(C94&gt;0,", Brickwork upto "&amp;C94&amp;" Floor",""))&amp;(IF(C95=I86,", Internal Plaster",IF(C95&gt;0,", Internal Plaster upto "&amp;C95&amp;" Floor",""))&amp;(IF(C96=I86,", External Plaster",IF(C96&gt;0,", External Plaster upto "&amp;C96&amp;" Floor",""))&amp;(IF(C97=I86,", Flooring",IF(C97&gt;0,", Flooring upto "&amp;C97&amp;" Floor",""))&amp;(IF(C98=I86,", Painting",IF(C98&gt;0,", Painting upto "&amp;C98&amp;" Floor",""))&amp;(IF(C99&gt;0,", Finishing upto "&amp;C99&amp;" Floor","")&amp;(IF(C93&gt;0.5," Completed",""))))))))))))))</f>
        <v>All work completed. Please provide OC.</v>
      </c>
      <c r="L78" s="46"/>
    </row>
    <row r="79" spans="1:12" ht="20.25" hidden="1" customHeight="1" x14ac:dyDescent="0.3">
      <c r="A79" s="173" t="s">
        <v>199</v>
      </c>
      <c r="B79" s="174" t="s">
        <v>198</v>
      </c>
      <c r="C79" s="69">
        <v>34</v>
      </c>
      <c r="D79" s="175">
        <f ca="1">((100/I72)*C79)/100</f>
        <v>1</v>
      </c>
      <c r="E79" s="176"/>
      <c r="F79" s="231"/>
      <c r="G79" s="232"/>
      <c r="H79" s="231"/>
      <c r="I79" s="269"/>
      <c r="J79" s="270"/>
      <c r="K79" s="47"/>
      <c r="L79" s="48"/>
    </row>
    <row r="80" spans="1:12" ht="20.25" hidden="1" customHeight="1" x14ac:dyDescent="0.3">
      <c r="A80" s="173" t="s">
        <v>201</v>
      </c>
      <c r="B80" s="174" t="s">
        <v>202</v>
      </c>
      <c r="C80" s="69">
        <v>34</v>
      </c>
      <c r="D80" s="175">
        <f ca="1">((100/(I72))*C80)/100</f>
        <v>1</v>
      </c>
      <c r="E80" s="176"/>
      <c r="F80" s="231"/>
      <c r="G80" s="232"/>
      <c r="H80" s="231"/>
      <c r="I80" s="269"/>
      <c r="J80" s="270"/>
      <c r="K80" s="47" t="s">
        <v>189</v>
      </c>
      <c r="L80" s="48"/>
    </row>
    <row r="81" spans="1:12" s="80" customFormat="1" ht="15.6" hidden="1" x14ac:dyDescent="0.3">
      <c r="A81" s="173" t="s">
        <v>204</v>
      </c>
      <c r="B81" s="174" t="s">
        <v>204</v>
      </c>
      <c r="C81" s="69">
        <v>34</v>
      </c>
      <c r="D81" s="175">
        <f ca="1">((100/I72)*C81)/100</f>
        <v>1</v>
      </c>
      <c r="E81" s="176"/>
      <c r="F81" s="231"/>
      <c r="G81" s="232"/>
      <c r="H81" s="231"/>
      <c r="I81" s="269"/>
      <c r="J81" s="270"/>
      <c r="K81" s="78"/>
      <c r="L81" s="79"/>
    </row>
    <row r="82" spans="1:12" s="80" customFormat="1" ht="15.6" hidden="1" x14ac:dyDescent="0.3">
      <c r="A82" s="173" t="s">
        <v>206</v>
      </c>
      <c r="B82" s="174"/>
      <c r="C82" s="69">
        <v>34</v>
      </c>
      <c r="D82" s="175">
        <f ca="1">((100/I72)*C82)/100</f>
        <v>1</v>
      </c>
      <c r="E82" s="176"/>
      <c r="F82" s="231"/>
      <c r="G82" s="232"/>
      <c r="H82" s="231"/>
      <c r="I82" s="269"/>
      <c r="J82" s="270"/>
      <c r="K82" s="78"/>
      <c r="L82" s="79"/>
    </row>
    <row r="83" spans="1:12" ht="15.6" hidden="1" x14ac:dyDescent="0.3">
      <c r="A83" s="165" t="s">
        <v>208</v>
      </c>
      <c r="B83" s="166" t="s">
        <v>208</v>
      </c>
      <c r="C83" s="69">
        <v>34</v>
      </c>
      <c r="D83" s="175">
        <f ca="1">((100/(I72))*C83)/100</f>
        <v>1</v>
      </c>
      <c r="E83" s="176"/>
      <c r="F83" s="231"/>
      <c r="G83" s="232"/>
      <c r="H83" s="231"/>
      <c r="I83" s="269"/>
      <c r="J83" s="270"/>
      <c r="K83" s="49" t="s">
        <v>194</v>
      </c>
      <c r="L83" s="50">
        <f ca="1">I86*25%</f>
        <v>10</v>
      </c>
    </row>
    <row r="84" spans="1:12" ht="15.75" hidden="1" customHeight="1" thickBot="1" x14ac:dyDescent="0.35">
      <c r="A84" s="200" t="s">
        <v>209</v>
      </c>
      <c r="B84" s="201"/>
      <c r="C84" s="76">
        <v>34</v>
      </c>
      <c r="D84" s="229">
        <f ca="1">((100/(I72))*C84)/100</f>
        <v>1</v>
      </c>
      <c r="E84" s="230"/>
      <c r="F84" s="231"/>
      <c r="G84" s="232"/>
      <c r="H84" s="231"/>
      <c r="I84" s="269"/>
      <c r="J84" s="270"/>
      <c r="K84" s="49" t="s">
        <v>136</v>
      </c>
      <c r="L84" s="51">
        <f ca="1">I86*50%</f>
        <v>20</v>
      </c>
    </row>
    <row r="85" spans="1:12" ht="69.75" customHeight="1" x14ac:dyDescent="0.25">
      <c r="A85" s="202" t="s">
        <v>186</v>
      </c>
      <c r="B85" s="203"/>
      <c r="C85" s="204" t="s">
        <v>317</v>
      </c>
      <c r="D85" s="204"/>
      <c r="E85" s="204"/>
      <c r="F85" s="204"/>
      <c r="G85" s="204"/>
      <c r="H85" s="204"/>
      <c r="I85" s="204"/>
      <c r="J85" s="205"/>
      <c r="K85" s="49" t="s">
        <v>139</v>
      </c>
      <c r="L85" s="51">
        <f ca="1">I86</f>
        <v>40</v>
      </c>
    </row>
    <row r="86" spans="1:12" ht="15.6" hidden="1" x14ac:dyDescent="0.3">
      <c r="A86" s="62" t="s">
        <v>114</v>
      </c>
      <c r="B86" s="63">
        <v>1</v>
      </c>
      <c r="C86" s="63" t="s">
        <v>116</v>
      </c>
      <c r="D86" s="63">
        <v>1</v>
      </c>
      <c r="E86" s="216" t="s">
        <v>115</v>
      </c>
      <c r="F86" s="216"/>
      <c r="G86" s="63">
        <v>0</v>
      </c>
      <c r="H86" s="63" t="s">
        <v>187</v>
      </c>
      <c r="I86" s="216">
        <f ca="1">--TRIM(RIGHT(SUBSTITUTE(LEFT(C85,_xlfn.AGGREGATE(16,6,FIND({0,1,2,3,4,5,6,7,8,9},C85,ROW(INDIRECT("1:"&amp;LEN(C85)))),1))," ",REPT(" ",LEN(C85))),LEN(C85)))</f>
        <v>40</v>
      </c>
      <c r="J86" s="280"/>
      <c r="K86" s="49" t="s">
        <v>140</v>
      </c>
      <c r="L86" s="52">
        <f ca="1">(IF(B86&gt;1,(I86/(B86+2)),I86/4))</f>
        <v>10</v>
      </c>
    </row>
    <row r="87" spans="1:12" ht="15.75" customHeight="1" x14ac:dyDescent="0.3">
      <c r="A87" s="388" t="s">
        <v>188</v>
      </c>
      <c r="B87" s="389"/>
      <c r="C87" s="281" t="str">
        <f>K80</f>
        <v>All work Completed. OC Received.</v>
      </c>
      <c r="D87" s="281"/>
      <c r="E87" s="281"/>
      <c r="F87" s="281"/>
      <c r="G87" s="281"/>
      <c r="H87" s="281"/>
      <c r="I87" s="281"/>
      <c r="J87" s="282"/>
      <c r="K87" s="49" t="s">
        <v>141</v>
      </c>
      <c r="L87" s="52">
        <f ca="1">(IF(B86&gt;1,(I86/(B86+2)+L86),I86/4+L86))</f>
        <v>20</v>
      </c>
    </row>
    <row r="88" spans="1:12" ht="15" customHeight="1" x14ac:dyDescent="0.3">
      <c r="A88" s="242" t="s">
        <v>192</v>
      </c>
      <c r="B88" s="243"/>
      <c r="C88" s="246">
        <v>1</v>
      </c>
      <c r="D88" s="247"/>
      <c r="E88" s="248"/>
      <c r="F88" s="252" t="s">
        <v>193</v>
      </c>
      <c r="G88" s="248"/>
      <c r="H88" s="246">
        <v>1</v>
      </c>
      <c r="I88" s="247"/>
      <c r="J88" s="253"/>
      <c r="K88" s="49" t="s">
        <v>200</v>
      </c>
      <c r="L88" s="52">
        <f>(IF(B86&gt;1,(I86/(B86+2)+L87),0))</f>
        <v>0</v>
      </c>
    </row>
    <row r="89" spans="1:12" ht="15" thickBot="1" x14ac:dyDescent="0.35">
      <c r="A89" s="244"/>
      <c r="B89" s="245"/>
      <c r="C89" s="249"/>
      <c r="D89" s="250"/>
      <c r="E89" s="251"/>
      <c r="F89" s="249"/>
      <c r="G89" s="251"/>
      <c r="H89" s="249"/>
      <c r="I89" s="250"/>
      <c r="J89" s="254"/>
      <c r="K89" s="49" t="s">
        <v>203</v>
      </c>
      <c r="L89" s="52">
        <f>(IF(B86&gt;2,(I86/(B86+2)+L88),0))</f>
        <v>0</v>
      </c>
    </row>
    <row r="90" spans="1:12" ht="15.75" hidden="1" customHeight="1" x14ac:dyDescent="0.3">
      <c r="A90" s="207" t="s">
        <v>29</v>
      </c>
      <c r="B90" s="208"/>
      <c r="C90" s="81" t="s">
        <v>190</v>
      </c>
      <c r="D90" s="208" t="s">
        <v>191</v>
      </c>
      <c r="E90" s="208"/>
      <c r="F90" s="208" t="s">
        <v>192</v>
      </c>
      <c r="G90" s="208"/>
      <c r="H90" s="208" t="s">
        <v>193</v>
      </c>
      <c r="I90" s="208"/>
      <c r="J90" s="218"/>
      <c r="K90" s="49" t="s">
        <v>205</v>
      </c>
      <c r="L90" s="53">
        <f>(IF(B86&gt;3,(I86/(B86+2)+L89),0))</f>
        <v>0</v>
      </c>
    </row>
    <row r="91" spans="1:12" ht="15" hidden="1" customHeight="1" x14ac:dyDescent="0.3">
      <c r="A91" s="219" t="s">
        <v>195</v>
      </c>
      <c r="B91" s="220"/>
      <c r="C91" s="69">
        <f ca="1">L85</f>
        <v>40</v>
      </c>
      <c r="D91" s="217">
        <f ca="1">((100/I86)*C91)/100</f>
        <v>1</v>
      </c>
      <c r="E91" s="217"/>
      <c r="F91" s="217">
        <f ca="1">(((C92/I86*10)+(40/(D86+G86+I86)*C93)+(7.5/(I86)*C94)+(7.5/(I86)*C95)+(10/I86*C96)+(10/I86*C97)+(5/I86*C98)+(5/I86*C99)+(5/I86*C100))/100)</f>
        <v>1</v>
      </c>
      <c r="G91" s="217"/>
      <c r="H91" s="217">
        <f ca="1">((((C91/I86)*20)+((C92/I86)*25)+(30/(I86+G86+D86)*C93)+(5/I86*C94)+(5/I86*C95)+(5/I86*C96)+(5/I86*C97)+(0/I86*C98)+(0/I86*C99)+(5/I86*C100))/100)</f>
        <v>1</v>
      </c>
      <c r="I91" s="217"/>
      <c r="J91" s="224"/>
      <c r="K91" s="49" t="s">
        <v>207</v>
      </c>
      <c r="L91" s="52">
        <f>(IF(B86&gt;4,(I86/(B86+2)+L90),0))</f>
        <v>0</v>
      </c>
    </row>
    <row r="92" spans="1:12" ht="15.75" hidden="1" customHeight="1" x14ac:dyDescent="0.3">
      <c r="A92" s="219" t="s">
        <v>30</v>
      </c>
      <c r="B92" s="220"/>
      <c r="C92" s="70">
        <f ca="1">L93</f>
        <v>40</v>
      </c>
      <c r="D92" s="217">
        <f ca="1">((100/I86)*C92)/100</f>
        <v>1</v>
      </c>
      <c r="E92" s="217"/>
      <c r="F92" s="217"/>
      <c r="G92" s="217"/>
      <c r="H92" s="217"/>
      <c r="I92" s="217"/>
      <c r="J92" s="224"/>
      <c r="K92" s="49" t="s">
        <v>142</v>
      </c>
      <c r="L92" s="52">
        <f ca="1">(IF(B86=1,(I86/(B86+3)+L87),IF(B86=0,(I86/4+L87),IF(B86&gt;1,0))))</f>
        <v>30</v>
      </c>
    </row>
    <row r="93" spans="1:12" ht="16.5" hidden="1" customHeight="1" thickBot="1" x14ac:dyDescent="0.35">
      <c r="A93" s="215" t="s">
        <v>196</v>
      </c>
      <c r="B93" s="216"/>
      <c r="C93" s="70">
        <v>41</v>
      </c>
      <c r="D93" s="217">
        <f ca="1">((100/(D86+G86+I86))*C93)/100</f>
        <v>1</v>
      </c>
      <c r="E93" s="217"/>
      <c r="F93" s="217"/>
      <c r="G93" s="217"/>
      <c r="H93" s="217"/>
      <c r="I93" s="217"/>
      <c r="J93" s="224"/>
      <c r="K93" s="54" t="s">
        <v>143</v>
      </c>
      <c r="L93" s="55">
        <f ca="1">(IF(B86&gt;1.5,(I86/(B86+2)+L87+MAX(0,L88-L87)+MAX(0,L89-L88)+MAX(0,L90-L89)+MAX(0,L91-L90)+MAX(0,L92-L91)),IF(B86=1,(I86/(B86+3)+L92),IF(B86=0,I86/4+L92))))</f>
        <v>40</v>
      </c>
    </row>
    <row r="94" spans="1:12" ht="15.75" hidden="1" customHeight="1" x14ac:dyDescent="0.3">
      <c r="A94" s="215" t="s">
        <v>197</v>
      </c>
      <c r="B94" s="216" t="s">
        <v>198</v>
      </c>
      <c r="C94" s="69">
        <v>40</v>
      </c>
      <c r="D94" s="217">
        <f ca="1">((100/I86)*C94)/100</f>
        <v>1</v>
      </c>
      <c r="E94" s="217"/>
      <c r="F94" s="217"/>
      <c r="G94" s="217"/>
      <c r="H94" s="217"/>
      <c r="I94" s="217"/>
      <c r="J94" s="224"/>
      <c r="K94" s="45" t="str">
        <f ca="1">(IF(F106&gt;99%,"All work completed. Please provide OC.",IF(F106&gt;89.8%,"Plinth, RCC, Brick, Plaster, Flooring, Painting work Completed. Finishing work is in process.",IF(F106&lt;94%,(IF(C106=0,"Work not yet Started.",IF(D106=25%,"Piling work in process",IF(D106=50%,"Excavation work in process",IF(D106=100%,"Excavation work Completed. ","0")))&amp;(IF(C107=0%,"",IF(C107=L100,"Footing work is process",IF(C107=L101,"Footing work Completed",IF(C107=L102,"1st Basement Completed",IF(C107=L104,"1st &amp; 2nd Basement Completed",IF(C107=L105,"1st to 3rd Basement Completed",IF(C107=L106,"1st to 4th Basement Completed",IF(C107=L107,"Plinth work is process",IF(C107=L108,"Plinth work completed","0")))))))))))&amp;(IF(C108=(D102+G102+I102),", RCC Slab",IF(C108&gt;0,", RCC upto "&amp;C108&amp;" Slab",""))&amp;(IF(C109=I102,", Brickwork",IF(C109&gt;0,", Brickwork upto "&amp;C109&amp;" Floor",""))&amp;(IF(C110=I102,", Internal Plaster",IF(C110&gt;0,", Internal Plaster upto "&amp;C110&amp;" Floor",""))&amp;(IF(C111=I102,", External Plaster",IF(C111&gt;0,", External Plaster upto "&amp;C111&amp;" Floor",""))&amp;(IF(C112=I102,", Flooring",IF(C112&gt;0,", Flooring upto "&amp;C112&amp;" Floor",""))&amp;(IF(C113=I102,", Painting",IF(C113&gt;0,", Painting upto "&amp;C113&amp;" Floor",""))&amp;(IF(C114&gt;0,", Finishing upto "&amp;C114&amp;" Floor","")&amp;(IF(C108&gt;0.5," Completed",""))))))))))))))</f>
        <v>All work completed. Please provide OC.</v>
      </c>
      <c r="L94" s="46"/>
    </row>
    <row r="95" spans="1:12" ht="15.6" hidden="1" x14ac:dyDescent="0.3">
      <c r="A95" s="215" t="s">
        <v>199</v>
      </c>
      <c r="B95" s="216" t="s">
        <v>198</v>
      </c>
      <c r="C95" s="69">
        <v>40</v>
      </c>
      <c r="D95" s="217">
        <f ca="1">((100/I86)*C95)/100</f>
        <v>1</v>
      </c>
      <c r="E95" s="217"/>
      <c r="F95" s="217"/>
      <c r="G95" s="217"/>
      <c r="H95" s="217"/>
      <c r="I95" s="217"/>
      <c r="J95" s="224"/>
      <c r="K95" s="47"/>
      <c r="L95" s="48"/>
    </row>
    <row r="96" spans="1:12" ht="15.6" hidden="1" x14ac:dyDescent="0.3">
      <c r="A96" s="215" t="s">
        <v>201</v>
      </c>
      <c r="B96" s="216" t="s">
        <v>202</v>
      </c>
      <c r="C96" s="69">
        <v>40</v>
      </c>
      <c r="D96" s="217">
        <f ca="1">((100/(I86))*C96)/100</f>
        <v>1</v>
      </c>
      <c r="E96" s="217"/>
      <c r="F96" s="217"/>
      <c r="G96" s="217"/>
      <c r="H96" s="217"/>
      <c r="I96" s="217"/>
      <c r="J96" s="224"/>
      <c r="K96" s="47" t="s">
        <v>189</v>
      </c>
      <c r="L96" s="48"/>
    </row>
    <row r="97" spans="1:12" ht="15.75" hidden="1" customHeight="1" x14ac:dyDescent="0.3">
      <c r="A97" s="215" t="s">
        <v>204</v>
      </c>
      <c r="B97" s="216" t="s">
        <v>204</v>
      </c>
      <c r="C97" s="69">
        <v>40</v>
      </c>
      <c r="D97" s="217">
        <f ca="1">((100/I86)*C97)/100</f>
        <v>1</v>
      </c>
      <c r="E97" s="217"/>
      <c r="F97" s="217"/>
      <c r="G97" s="217"/>
      <c r="H97" s="217"/>
      <c r="I97" s="217"/>
      <c r="J97" s="224"/>
      <c r="K97" s="49" t="s">
        <v>194</v>
      </c>
      <c r="L97" s="50">
        <f ca="1">I102*25%</f>
        <v>11.75</v>
      </c>
    </row>
    <row r="98" spans="1:12" ht="15.75" hidden="1" customHeight="1" x14ac:dyDescent="0.3">
      <c r="A98" s="215" t="s">
        <v>206</v>
      </c>
      <c r="B98" s="216"/>
      <c r="C98" s="69">
        <v>40</v>
      </c>
      <c r="D98" s="217">
        <f ca="1">((100/I86)*C98)/100</f>
        <v>1</v>
      </c>
      <c r="E98" s="217"/>
      <c r="F98" s="217"/>
      <c r="G98" s="217"/>
      <c r="H98" s="217"/>
      <c r="I98" s="217"/>
      <c r="J98" s="224"/>
      <c r="K98" s="49" t="s">
        <v>136</v>
      </c>
      <c r="L98" s="51">
        <f ca="1">I102*50%</f>
        <v>23.5</v>
      </c>
    </row>
    <row r="99" spans="1:12" ht="15.6" hidden="1" x14ac:dyDescent="0.3">
      <c r="A99" s="219" t="s">
        <v>208</v>
      </c>
      <c r="B99" s="220" t="s">
        <v>208</v>
      </c>
      <c r="C99" s="69">
        <v>40</v>
      </c>
      <c r="D99" s="217">
        <f ca="1">((100/(I86))*C99)/100</f>
        <v>1</v>
      </c>
      <c r="E99" s="217"/>
      <c r="F99" s="217"/>
      <c r="G99" s="217"/>
      <c r="H99" s="217"/>
      <c r="I99" s="217"/>
      <c r="J99" s="224"/>
      <c r="K99" s="49" t="s">
        <v>139</v>
      </c>
      <c r="L99" s="51">
        <f ca="1">I102</f>
        <v>47</v>
      </c>
    </row>
    <row r="100" spans="1:12" ht="16.2" hidden="1" thickBot="1" x14ac:dyDescent="0.35">
      <c r="A100" s="391" t="s">
        <v>209</v>
      </c>
      <c r="B100" s="392"/>
      <c r="C100" s="71">
        <v>40</v>
      </c>
      <c r="D100" s="214">
        <f ca="1">((100/(I86))*C100)/100</f>
        <v>1</v>
      </c>
      <c r="E100" s="214"/>
      <c r="F100" s="214"/>
      <c r="G100" s="214"/>
      <c r="H100" s="214"/>
      <c r="I100" s="214"/>
      <c r="J100" s="225"/>
      <c r="K100" s="49" t="s">
        <v>140</v>
      </c>
      <c r="L100" s="52">
        <f ca="1">(IF(B102&gt;1,(I102/(B102+2)),I102/4))</f>
        <v>11.75</v>
      </c>
    </row>
    <row r="101" spans="1:12" ht="15.6" x14ac:dyDescent="0.3">
      <c r="A101" s="255" t="s">
        <v>186</v>
      </c>
      <c r="B101" s="256"/>
      <c r="C101" s="237" t="s">
        <v>307</v>
      </c>
      <c r="D101" s="238"/>
      <c r="E101" s="238"/>
      <c r="F101" s="238"/>
      <c r="G101" s="238"/>
      <c r="H101" s="238"/>
      <c r="I101" s="238"/>
      <c r="J101" s="239"/>
      <c r="K101" s="49" t="s">
        <v>141</v>
      </c>
      <c r="L101" s="52">
        <f ca="1">(IF(B102&gt;1,(I102/(B102+2)+L100),I102/4+L100))</f>
        <v>23.5</v>
      </c>
    </row>
    <row r="102" spans="1:12" ht="15" customHeight="1" x14ac:dyDescent="0.3">
      <c r="A102" s="62" t="s">
        <v>114</v>
      </c>
      <c r="B102" s="63">
        <v>1</v>
      </c>
      <c r="C102" s="63" t="s">
        <v>116</v>
      </c>
      <c r="D102" s="63">
        <v>1</v>
      </c>
      <c r="E102" s="196" t="s">
        <v>115</v>
      </c>
      <c r="F102" s="174"/>
      <c r="G102" s="63">
        <v>0</v>
      </c>
      <c r="H102" s="63" t="s">
        <v>187</v>
      </c>
      <c r="I102" s="196">
        <f ca="1">--TRIM(RIGHT(SUBSTITUTE(LEFT(C101,_xlfn.AGGREGATE(16,6,FIND({0,1,2,3,4,5,6,7,8,9},C101,ROW(INDIRECT("1:"&amp;LEN(C101)))),1))," ",REPT(" ",LEN(C101))),LEN(C101)))</f>
        <v>47</v>
      </c>
      <c r="J102" s="197"/>
      <c r="K102" s="49" t="s">
        <v>200</v>
      </c>
      <c r="L102" s="52">
        <f>(IF(B102&gt;1,(I102/(B102+2)+L101),0))</f>
        <v>0</v>
      </c>
    </row>
    <row r="103" spans="1:12" ht="15" customHeight="1" x14ac:dyDescent="0.3">
      <c r="A103" s="209" t="s">
        <v>192</v>
      </c>
      <c r="B103" s="210"/>
      <c r="C103" s="211">
        <v>1</v>
      </c>
      <c r="D103" s="212"/>
      <c r="E103" s="212"/>
      <c r="F103" s="212" t="s">
        <v>193</v>
      </c>
      <c r="G103" s="212"/>
      <c r="H103" s="211">
        <v>1</v>
      </c>
      <c r="I103" s="212"/>
      <c r="J103" s="213"/>
      <c r="K103" s="49"/>
      <c r="L103" s="52"/>
    </row>
    <row r="104" spans="1:12" ht="16.2" thickBot="1" x14ac:dyDescent="0.35">
      <c r="A104" s="198" t="s">
        <v>188</v>
      </c>
      <c r="B104" s="199"/>
      <c r="C104" s="354" t="str">
        <f>K111</f>
        <v>All work Completed. OC Received.</v>
      </c>
      <c r="D104" s="355"/>
      <c r="E104" s="355"/>
      <c r="F104" s="355"/>
      <c r="G104" s="355"/>
      <c r="H104" s="355"/>
      <c r="I104" s="355"/>
      <c r="J104" s="356"/>
      <c r="K104" s="49" t="s">
        <v>203</v>
      </c>
      <c r="L104" s="52">
        <f>(IF(B102&gt;2,(I102/(B102+2)+L102),0))</f>
        <v>0</v>
      </c>
    </row>
    <row r="105" spans="1:12" ht="15.75" hidden="1" customHeight="1" x14ac:dyDescent="0.3">
      <c r="A105" s="357" t="s">
        <v>29</v>
      </c>
      <c r="B105" s="257"/>
      <c r="C105" s="81" t="s">
        <v>190</v>
      </c>
      <c r="D105" s="226" t="s">
        <v>191</v>
      </c>
      <c r="E105" s="257"/>
      <c r="F105" s="226" t="s">
        <v>192</v>
      </c>
      <c r="G105" s="257"/>
      <c r="H105" s="226" t="s">
        <v>193</v>
      </c>
      <c r="I105" s="227"/>
      <c r="J105" s="228"/>
      <c r="K105" s="49" t="s">
        <v>205</v>
      </c>
      <c r="L105" s="53">
        <f>(IF(B102&gt;3,(I102/(B102+2)+L104),0))</f>
        <v>0</v>
      </c>
    </row>
    <row r="106" spans="1:12" ht="15" hidden="1" customHeight="1" x14ac:dyDescent="0.3">
      <c r="A106" s="165" t="s">
        <v>195</v>
      </c>
      <c r="B106" s="166"/>
      <c r="C106" s="69">
        <f ca="1">L99</f>
        <v>47</v>
      </c>
      <c r="D106" s="175">
        <f ca="1">((100/I102)*C106)/100</f>
        <v>1</v>
      </c>
      <c r="E106" s="176"/>
      <c r="F106" s="229">
        <f ca="1">(((C107/I102*10)+(40/(D102+G102+I102)*C108)+(7.5/(I102)*C109)+(7.5/(I102)*C110)+(10/I102*C111)+(10/I102*C112)+(5/I102*C113)+(5/I102*C114)+(5/I102*C115))/100)</f>
        <v>1</v>
      </c>
      <c r="G106" s="230"/>
      <c r="H106" s="229">
        <f ca="1">((((C106/I102)*20)+((C107/I102)*25)+(30/(I102+G102+D102)*C108)+(5/I102*C109)+(5/I102*C110)+(5/I102*C111)+(5/I102*C112)+(0/I102*C113)+(0/I102*C114)+(5/I102*C115))/100)</f>
        <v>1</v>
      </c>
      <c r="I106" s="267"/>
      <c r="J106" s="268"/>
      <c r="K106" s="49" t="s">
        <v>207</v>
      </c>
      <c r="L106" s="52">
        <f>(IF(B102&gt;4,(I102/(B102+2)+L105),0))</f>
        <v>0</v>
      </c>
    </row>
    <row r="107" spans="1:12" ht="15.75" hidden="1" customHeight="1" x14ac:dyDescent="0.3">
      <c r="A107" s="165" t="s">
        <v>30</v>
      </c>
      <c r="B107" s="166"/>
      <c r="C107" s="70">
        <v>47</v>
      </c>
      <c r="D107" s="175">
        <f ca="1">((100/I102)*C107)/100</f>
        <v>1</v>
      </c>
      <c r="E107" s="176"/>
      <c r="F107" s="231"/>
      <c r="G107" s="232"/>
      <c r="H107" s="231"/>
      <c r="I107" s="269"/>
      <c r="J107" s="270"/>
      <c r="K107" s="49" t="s">
        <v>142</v>
      </c>
      <c r="L107" s="52">
        <f ca="1">(IF(B102=1,(I102/(B102+3)+L101),IF(B102=0,(I102/4+L101),IF(B102&gt;1,0))))</f>
        <v>35.25</v>
      </c>
    </row>
    <row r="108" spans="1:12" ht="16.5" hidden="1" customHeight="1" thickBot="1" x14ac:dyDescent="0.35">
      <c r="A108" s="173" t="s">
        <v>196</v>
      </c>
      <c r="B108" s="174"/>
      <c r="C108" s="70">
        <v>48</v>
      </c>
      <c r="D108" s="175">
        <f ca="1">((100/(D102+G102+I102))*C108)/100</f>
        <v>1</v>
      </c>
      <c r="E108" s="176"/>
      <c r="F108" s="231"/>
      <c r="G108" s="232"/>
      <c r="H108" s="231"/>
      <c r="I108" s="269"/>
      <c r="J108" s="270"/>
      <c r="K108" s="54" t="s">
        <v>143</v>
      </c>
      <c r="L108" s="55">
        <f ca="1">(IF(B102&gt;1.5,(I102/(B102+2)+L101+MAX(0,L102-L101)+MAX(0,L104-L102)+MAX(0,L105-L104)+MAX(0,L106-L105)+MAX(0,L107-L106)),IF(B102=1,(I102/(B102+3)+L107),IF(B102=0,I102/4+L107))))</f>
        <v>47</v>
      </c>
    </row>
    <row r="109" spans="1:12" ht="15.6" hidden="1" x14ac:dyDescent="0.3">
      <c r="A109" s="173" t="s">
        <v>197</v>
      </c>
      <c r="B109" s="174" t="s">
        <v>198</v>
      </c>
      <c r="C109" s="70">
        <f>C108-1</f>
        <v>47</v>
      </c>
      <c r="D109" s="175">
        <f ca="1">((100/I102)*C109)/100</f>
        <v>1</v>
      </c>
      <c r="E109" s="176"/>
      <c r="F109" s="231"/>
      <c r="G109" s="232"/>
      <c r="H109" s="231"/>
      <c r="I109" s="269"/>
      <c r="J109" s="270"/>
      <c r="K109" s="45" t="str">
        <f ca="1">(IF(F120&gt;99%,"All work completed. Please provide OC.",IF(F120&gt;89.8%,"Plinth, RCC, Brick, Plaster, Flooring, Painting work Completed. Finishing work is in process.",IF(F120&lt;94%,(IF(C120=0,"Work not yet Started.",IF(D120=25%,"Piling work in process",IF(D120=50%,"Excavation work in process",IF(D120=100%,"Excavation work Completed. ","0")))&amp;(IF(C121=0%,"",IF(C121=L115,"Footing work is process",IF(C121=L116,"Footing work Completed",IF(C121=L117,"1st Basement Completed",IF(C121=L118,"1st &amp; 2nd Basement Completed",IF(C121=L119,"1st to 3rd Basement Completed",IF(C121=L120,"1st to 4th Basement Completed",IF(C121=L121,"Plinth work is process",IF(C121=L122,"Plinth work completed","0")))))))))))&amp;(IF(C122=(D117+G117+I117),", RCC Slab",IF(C122&gt;0,", RCC upto "&amp;C122&amp;" Slab",""))&amp;(IF(C123=I117,", Brickwork",IF(C123&gt;0,", Brickwork upto "&amp;C123&amp;" Floor",""))&amp;(IF(C124=I117,", Internal Plaster",IF(C124&gt;0,", Internal Plaster upto "&amp;C124&amp;" Floor",""))&amp;(IF(C125=I117,", External Plaster",IF(C125&gt;0,", External Plaster upto "&amp;C125&amp;" Floor",""))&amp;(IF(C126=I117,", Flooring",IF(C126&gt;0,", Flooring upto "&amp;C126&amp;" Floor",""))&amp;(IF(C127=I117,", Painting",IF(C127&gt;0,", Painting upto "&amp;C127&amp;" Floor",""))&amp;(IF(C128&gt;0,", Finishing upto "&amp;C128&amp;" Floor","")&amp;(IF(C122&gt;0.5," Completed",""))))))))))))))</f>
        <v>All work completed. Please provide OC.</v>
      </c>
      <c r="L109" s="46"/>
    </row>
    <row r="110" spans="1:12" ht="15.6" hidden="1" x14ac:dyDescent="0.3">
      <c r="A110" s="173" t="s">
        <v>199</v>
      </c>
      <c r="B110" s="174" t="s">
        <v>198</v>
      </c>
      <c r="C110" s="70">
        <v>47</v>
      </c>
      <c r="D110" s="175">
        <f ca="1">((100/I102)*C110)/100</f>
        <v>1</v>
      </c>
      <c r="E110" s="176"/>
      <c r="F110" s="231"/>
      <c r="G110" s="232"/>
      <c r="H110" s="231"/>
      <c r="I110" s="269"/>
      <c r="J110" s="270"/>
      <c r="K110" s="47"/>
      <c r="L110" s="48"/>
    </row>
    <row r="111" spans="1:12" ht="15.6" hidden="1" x14ac:dyDescent="0.3">
      <c r="A111" s="173" t="s">
        <v>201</v>
      </c>
      <c r="B111" s="174" t="s">
        <v>202</v>
      </c>
      <c r="C111" s="70">
        <v>47</v>
      </c>
      <c r="D111" s="175">
        <f ca="1">((100/(I102))*C111)/100</f>
        <v>1</v>
      </c>
      <c r="E111" s="176"/>
      <c r="F111" s="231"/>
      <c r="G111" s="232"/>
      <c r="H111" s="231"/>
      <c r="I111" s="269"/>
      <c r="J111" s="270"/>
      <c r="K111" s="47" t="s">
        <v>189</v>
      </c>
      <c r="L111" s="48"/>
    </row>
    <row r="112" spans="1:12" ht="15.75" hidden="1" customHeight="1" x14ac:dyDescent="0.3">
      <c r="A112" s="173" t="s">
        <v>204</v>
      </c>
      <c r="B112" s="174" t="s">
        <v>204</v>
      </c>
      <c r="C112" s="69">
        <v>47</v>
      </c>
      <c r="D112" s="175">
        <f ca="1">((100/I102)*C112)/100</f>
        <v>1</v>
      </c>
      <c r="E112" s="176"/>
      <c r="F112" s="231"/>
      <c r="G112" s="232"/>
      <c r="H112" s="231"/>
      <c r="I112" s="269"/>
      <c r="J112" s="270"/>
      <c r="K112" s="49" t="s">
        <v>194</v>
      </c>
      <c r="L112" s="50">
        <f ca="1">I117*25%</f>
        <v>10.75</v>
      </c>
    </row>
    <row r="113" spans="1:12" ht="15.75" hidden="1" customHeight="1" x14ac:dyDescent="0.3">
      <c r="A113" s="173" t="s">
        <v>206</v>
      </c>
      <c r="B113" s="174"/>
      <c r="C113" s="69">
        <v>47</v>
      </c>
      <c r="D113" s="175">
        <f ca="1">((100/I102)*C113)/100</f>
        <v>1</v>
      </c>
      <c r="E113" s="176"/>
      <c r="F113" s="231"/>
      <c r="G113" s="232"/>
      <c r="H113" s="231"/>
      <c r="I113" s="269"/>
      <c r="J113" s="270"/>
      <c r="K113" s="49" t="s">
        <v>136</v>
      </c>
      <c r="L113" s="51">
        <f ca="1">I117*50%</f>
        <v>21.5</v>
      </c>
    </row>
    <row r="114" spans="1:12" ht="15.6" hidden="1" x14ac:dyDescent="0.3">
      <c r="A114" s="165" t="s">
        <v>208</v>
      </c>
      <c r="B114" s="166" t="s">
        <v>208</v>
      </c>
      <c r="C114" s="69">
        <v>47</v>
      </c>
      <c r="D114" s="175">
        <f ca="1">((100/(I102))*C114)/100</f>
        <v>1</v>
      </c>
      <c r="E114" s="176"/>
      <c r="F114" s="231"/>
      <c r="G114" s="232"/>
      <c r="H114" s="231"/>
      <c r="I114" s="269"/>
      <c r="J114" s="270"/>
      <c r="K114" s="49" t="s">
        <v>139</v>
      </c>
      <c r="L114" s="51">
        <f ca="1">I117</f>
        <v>43</v>
      </c>
    </row>
    <row r="115" spans="1:12" ht="16.2" hidden="1" thickBot="1" x14ac:dyDescent="0.35">
      <c r="A115" s="180" t="s">
        <v>209</v>
      </c>
      <c r="B115" s="181"/>
      <c r="C115" s="71">
        <v>47</v>
      </c>
      <c r="D115" s="182">
        <f ca="1">((100/(I102))*C115)/100</f>
        <v>1</v>
      </c>
      <c r="E115" s="183"/>
      <c r="F115" s="233"/>
      <c r="G115" s="234"/>
      <c r="H115" s="233"/>
      <c r="I115" s="358"/>
      <c r="J115" s="359"/>
      <c r="K115" s="49" t="s">
        <v>140</v>
      </c>
      <c r="L115" s="52">
        <f ca="1">(IF(B117&gt;1,(I117/(B117+2)),I117/4))</f>
        <v>10.75</v>
      </c>
    </row>
    <row r="116" spans="1:12" ht="15.6" x14ac:dyDescent="0.3">
      <c r="A116" s="255" t="s">
        <v>186</v>
      </c>
      <c r="B116" s="256"/>
      <c r="C116" s="237" t="s">
        <v>308</v>
      </c>
      <c r="D116" s="238"/>
      <c r="E116" s="238"/>
      <c r="F116" s="238"/>
      <c r="G116" s="238"/>
      <c r="H116" s="238"/>
      <c r="I116" s="238"/>
      <c r="J116" s="239"/>
      <c r="K116" s="49" t="s">
        <v>141</v>
      </c>
      <c r="L116" s="52">
        <f ca="1">(IF(B117&gt;1,(I117/(B117+2)+L115),I117/4+L115))</f>
        <v>21.5</v>
      </c>
    </row>
    <row r="117" spans="1:12" ht="15" customHeight="1" x14ac:dyDescent="0.3">
      <c r="A117" s="62" t="s">
        <v>114</v>
      </c>
      <c r="B117" s="63">
        <v>1</v>
      </c>
      <c r="C117" s="63" t="s">
        <v>116</v>
      </c>
      <c r="D117" s="63">
        <v>1</v>
      </c>
      <c r="E117" s="196" t="s">
        <v>115</v>
      </c>
      <c r="F117" s="174"/>
      <c r="G117" s="63">
        <v>0</v>
      </c>
      <c r="H117" s="63" t="s">
        <v>187</v>
      </c>
      <c r="I117" s="196">
        <f ca="1">--TRIM(RIGHT(SUBSTITUTE(LEFT(C116,_xlfn.AGGREGATE(16,6,FIND({0,1,2,3,4,5,6,7,8,9},C116,ROW(INDIRECT("1:"&amp;LEN(C116)))),1))," ",REPT(" ",LEN(C116))),LEN(C116)))</f>
        <v>43</v>
      </c>
      <c r="J117" s="197"/>
      <c r="K117" s="49" t="s">
        <v>200</v>
      </c>
      <c r="L117" s="52">
        <f>(IF(B117&gt;1,(I117/(B117+2)+L116),0))</f>
        <v>0</v>
      </c>
    </row>
    <row r="118" spans="1:12" ht="15.6" x14ac:dyDescent="0.3">
      <c r="A118" s="379" t="s">
        <v>188</v>
      </c>
      <c r="B118" s="380"/>
      <c r="C118" s="326" t="str">
        <f ca="1">K109</f>
        <v>All work completed. Please provide OC.</v>
      </c>
      <c r="D118" s="327"/>
      <c r="E118" s="327"/>
      <c r="F118" s="327"/>
      <c r="G118" s="327"/>
      <c r="H118" s="327"/>
      <c r="I118" s="327"/>
      <c r="J118" s="328"/>
      <c r="K118" s="49" t="s">
        <v>203</v>
      </c>
      <c r="L118" s="52">
        <f>(IF(B117&gt;2,(I117/(B117+2)+L117),0))</f>
        <v>0</v>
      </c>
    </row>
    <row r="119" spans="1:12" ht="15.75" customHeight="1" x14ac:dyDescent="0.3">
      <c r="A119" s="165" t="s">
        <v>29</v>
      </c>
      <c r="B119" s="166"/>
      <c r="C119" s="64" t="s">
        <v>190</v>
      </c>
      <c r="D119" s="221" t="s">
        <v>191</v>
      </c>
      <c r="E119" s="166"/>
      <c r="F119" s="221" t="s">
        <v>192</v>
      </c>
      <c r="G119" s="166"/>
      <c r="H119" s="221" t="s">
        <v>193</v>
      </c>
      <c r="I119" s="222"/>
      <c r="J119" s="223"/>
      <c r="K119" s="49" t="s">
        <v>205</v>
      </c>
      <c r="L119" s="53">
        <f>(IF(B117&gt;3,(I117/(B117+2)+L118),0))</f>
        <v>0</v>
      </c>
    </row>
    <row r="120" spans="1:12" ht="15" customHeight="1" x14ac:dyDescent="0.3">
      <c r="A120" s="165" t="s">
        <v>195</v>
      </c>
      <c r="B120" s="166"/>
      <c r="C120" s="69">
        <f ca="1">L114</f>
        <v>43</v>
      </c>
      <c r="D120" s="175">
        <f ca="1">((100/I117)*C120)/100</f>
        <v>1</v>
      </c>
      <c r="E120" s="176"/>
      <c r="F120" s="229">
        <f ca="1">(((C121/I117*10)+(40/(D117+G117+I117)*C122)+(7.5/(I117)*C123)+(7.5/(I117)*C124)+(10/I117*C125)+(10/I117*C126)+(5/I117*C127)+(5/I117*C128)+(5/I117*C129))/100)</f>
        <v>1</v>
      </c>
      <c r="G120" s="230"/>
      <c r="H120" s="229">
        <f ca="1">((((C120/I117)*20)+((C121/I117)*25)+(30/(I117+G117+D117)*C122)+(5/I117*C123)+(5/I117*C124)+(5/I117*C125)+(5/I117*C126)+(0/I117*C127)+(0/I117*C128)+(5/I117*C129))/100)</f>
        <v>1</v>
      </c>
      <c r="I120" s="267"/>
      <c r="J120" s="268"/>
      <c r="K120" s="49" t="s">
        <v>207</v>
      </c>
      <c r="L120" s="52">
        <f>(IF(B117&gt;4,(I117/(B117+2)+L119),0))</f>
        <v>0</v>
      </c>
    </row>
    <row r="121" spans="1:12" ht="15.75" customHeight="1" x14ac:dyDescent="0.3">
      <c r="A121" s="165" t="s">
        <v>30</v>
      </c>
      <c r="B121" s="166"/>
      <c r="C121" s="70">
        <f ca="1">L122</f>
        <v>43</v>
      </c>
      <c r="D121" s="175">
        <f ca="1">((100/I117)*C121)/100</f>
        <v>1</v>
      </c>
      <c r="E121" s="176"/>
      <c r="F121" s="231"/>
      <c r="G121" s="232"/>
      <c r="H121" s="231"/>
      <c r="I121" s="269"/>
      <c r="J121" s="270"/>
      <c r="K121" s="49" t="s">
        <v>142</v>
      </c>
      <c r="L121" s="52">
        <f ca="1">(IF(B117=1,(I117/(B117+3)+L116),IF(B117=0,(I117/4+L116),IF(B117&gt;1,0))))</f>
        <v>32.25</v>
      </c>
    </row>
    <row r="122" spans="1:12" ht="16.5" customHeight="1" thickBot="1" x14ac:dyDescent="0.35">
      <c r="A122" s="173" t="s">
        <v>196</v>
      </c>
      <c r="B122" s="174"/>
      <c r="C122" s="70">
        <v>44</v>
      </c>
      <c r="D122" s="175">
        <f ca="1">((100/(D117+G117+I117))*C122)/100</f>
        <v>1.0000000000000002</v>
      </c>
      <c r="E122" s="176"/>
      <c r="F122" s="231"/>
      <c r="G122" s="232"/>
      <c r="H122" s="231"/>
      <c r="I122" s="269"/>
      <c r="J122" s="270"/>
      <c r="K122" s="54" t="s">
        <v>143</v>
      </c>
      <c r="L122" s="55">
        <f ca="1">(IF(B117&gt;1.5,(I117/(B117+2)+L116+MAX(0,L117-L116)+MAX(0,L118-L117)+MAX(0,L119-L118)+MAX(0,L120-L119)+MAX(0,L121-L120)),IF(B117=1,(I117/(B117+3)+L121),IF(B117=0,I117/4+L121))))</f>
        <v>43</v>
      </c>
    </row>
    <row r="123" spans="1:12" ht="15.6" x14ac:dyDescent="0.3">
      <c r="A123" s="173" t="s">
        <v>197</v>
      </c>
      <c r="B123" s="174" t="s">
        <v>198</v>
      </c>
      <c r="C123" s="70">
        <v>43</v>
      </c>
      <c r="D123" s="175">
        <f ca="1">((100/I117)*C123)/100</f>
        <v>1</v>
      </c>
      <c r="E123" s="176"/>
      <c r="F123" s="231"/>
      <c r="G123" s="232"/>
      <c r="H123" s="231"/>
      <c r="I123" s="269"/>
      <c r="J123" s="270"/>
      <c r="K123" s="45" t="str">
        <f ca="1">(IF(F134&gt;99%,"All work completed. Please provide OC.",IF(F134&gt;89.8%,"Plinth, RCC, Brick, Plaster, Flooring, Painting work Completed. Finishing work is in process.",IF(F134&lt;94%,(IF(C134=0,"Work not yet Started.",IF(D134=25%,"Piling work in process",IF(D134=50%,"Excavation work in process",IF(D134=100%,"Excavation work Completed. ","0")))&amp;(IF(C135=0%,"",IF(C135=L129,"Footing work is process",IF(C135=L130,"Footing work Completed",IF(C135=L131,"1st Basement Completed",IF(C135=L132,"1st &amp; 2nd Basement Completed",IF(C135=L133,"1st to 3rd Basement Completed",IF(C135=L134,"1st to 4th Basement Completed",IF(C135=L135,"Plinth work is process",IF(C135=L136,"Plinth work completed","0")))))))))))&amp;(IF(C136=(D131+G131+I131),", RCC Slab",IF(C136&gt;0,", RCC upto "&amp;C136&amp;" Slab",""))&amp;(IF(C137=I131,", Brickwork",IF(C137&gt;0,", Brickwork upto "&amp;C137&amp;" Floor",""))&amp;(IF(C138=I131,", Internal Plaster",IF(C138&gt;0,", Internal Plaster upto "&amp;C138&amp;" Floor",""))&amp;(IF(C139=I131,", External Plaster",IF(C139&gt;0,", External Plaster upto "&amp;C139&amp;" Floor",""))&amp;(IF(C140=I131,", Flooring",IF(C140&gt;0,", Flooring upto "&amp;C140&amp;" Floor",""))&amp;(IF(C141=I131,", Painting",IF(C141&gt;0,", Painting upto "&amp;C141&amp;" Floor",""))&amp;(IF(C142&gt;0,", Finishing upto "&amp;C142&amp;" Floor","")&amp;(IF(C136&gt;0.5," Completed",""))))))))))))))</f>
        <v>Excavation work Completed. Plinth work completed, RCC upto 10 Slab, Brickwork upto 9 Floor, Internal Plaster upto 6.75 Floor, External Plaster upto 5.85 Floor Completed</v>
      </c>
      <c r="L123" s="46"/>
    </row>
    <row r="124" spans="1:12" ht="15.6" x14ac:dyDescent="0.3">
      <c r="A124" s="173" t="s">
        <v>199</v>
      </c>
      <c r="B124" s="174" t="s">
        <v>198</v>
      </c>
      <c r="C124" s="70">
        <v>43</v>
      </c>
      <c r="D124" s="175">
        <f ca="1">((100/I117)*C124)/100</f>
        <v>1</v>
      </c>
      <c r="E124" s="176"/>
      <c r="F124" s="231"/>
      <c r="G124" s="232"/>
      <c r="H124" s="231"/>
      <c r="I124" s="269"/>
      <c r="J124" s="270"/>
      <c r="K124" s="47"/>
      <c r="L124" s="48"/>
    </row>
    <row r="125" spans="1:12" ht="15.6" x14ac:dyDescent="0.3">
      <c r="A125" s="173" t="s">
        <v>201</v>
      </c>
      <c r="B125" s="174" t="s">
        <v>202</v>
      </c>
      <c r="C125" s="70">
        <v>43</v>
      </c>
      <c r="D125" s="175">
        <f ca="1">((100/(I117))*C125)/100</f>
        <v>1</v>
      </c>
      <c r="E125" s="176"/>
      <c r="F125" s="231"/>
      <c r="G125" s="232"/>
      <c r="H125" s="231"/>
      <c r="I125" s="269"/>
      <c r="J125" s="270"/>
      <c r="K125" s="47" t="s">
        <v>189</v>
      </c>
      <c r="L125" s="48"/>
    </row>
    <row r="126" spans="1:12" ht="15.75" customHeight="1" x14ac:dyDescent="0.3">
      <c r="A126" s="173" t="s">
        <v>204</v>
      </c>
      <c r="B126" s="174" t="s">
        <v>204</v>
      </c>
      <c r="C126" s="69">
        <v>43</v>
      </c>
      <c r="D126" s="175">
        <f ca="1">((100/I117)*C126)/100</f>
        <v>1</v>
      </c>
      <c r="E126" s="176"/>
      <c r="F126" s="231"/>
      <c r="G126" s="232"/>
      <c r="H126" s="231"/>
      <c r="I126" s="269"/>
      <c r="J126" s="270"/>
      <c r="K126" s="49" t="s">
        <v>194</v>
      </c>
      <c r="L126" s="50">
        <f ca="1">I131*25%</f>
        <v>9.25</v>
      </c>
    </row>
    <row r="127" spans="1:12" ht="15.75" customHeight="1" x14ac:dyDescent="0.3">
      <c r="A127" s="173" t="s">
        <v>206</v>
      </c>
      <c r="B127" s="174"/>
      <c r="C127" s="69">
        <v>43</v>
      </c>
      <c r="D127" s="175">
        <f ca="1">((100/I117)*C127)/100</f>
        <v>1</v>
      </c>
      <c r="E127" s="176"/>
      <c r="F127" s="231"/>
      <c r="G127" s="232"/>
      <c r="H127" s="231"/>
      <c r="I127" s="269"/>
      <c r="J127" s="270"/>
      <c r="K127" s="49" t="s">
        <v>136</v>
      </c>
      <c r="L127" s="51">
        <f ca="1">I131*50%</f>
        <v>18.5</v>
      </c>
    </row>
    <row r="128" spans="1:12" ht="15.6" x14ac:dyDescent="0.3">
      <c r="A128" s="165" t="s">
        <v>208</v>
      </c>
      <c r="B128" s="166" t="s">
        <v>208</v>
      </c>
      <c r="C128" s="69">
        <v>43</v>
      </c>
      <c r="D128" s="175">
        <f ca="1">((100/(I117))*C128)/100</f>
        <v>1</v>
      </c>
      <c r="E128" s="176"/>
      <c r="F128" s="231"/>
      <c r="G128" s="232"/>
      <c r="H128" s="231"/>
      <c r="I128" s="269"/>
      <c r="J128" s="270"/>
      <c r="K128" s="49" t="s">
        <v>139</v>
      </c>
      <c r="L128" s="51">
        <f ca="1">I131</f>
        <v>37</v>
      </c>
    </row>
    <row r="129" spans="1:12" ht="16.2" thickBot="1" x14ac:dyDescent="0.35">
      <c r="A129" s="180" t="s">
        <v>209</v>
      </c>
      <c r="B129" s="181"/>
      <c r="C129" s="71">
        <v>43</v>
      </c>
      <c r="D129" s="182">
        <f ca="1">((100/(I117))*C129)/100</f>
        <v>1</v>
      </c>
      <c r="E129" s="183"/>
      <c r="F129" s="233"/>
      <c r="G129" s="234"/>
      <c r="H129" s="233"/>
      <c r="I129" s="358"/>
      <c r="J129" s="359"/>
      <c r="K129" s="49" t="s">
        <v>140</v>
      </c>
      <c r="L129" s="52">
        <f ca="1">(IF(B131&gt;1,(I131/(B131+2)),I131/4))</f>
        <v>9.25</v>
      </c>
    </row>
    <row r="130" spans="1:12" ht="15.75" customHeight="1" x14ac:dyDescent="0.3">
      <c r="A130" s="235" t="s">
        <v>186</v>
      </c>
      <c r="B130" s="236"/>
      <c r="C130" s="237" t="s">
        <v>369</v>
      </c>
      <c r="D130" s="238"/>
      <c r="E130" s="238"/>
      <c r="F130" s="238"/>
      <c r="G130" s="238"/>
      <c r="H130" s="238"/>
      <c r="I130" s="238"/>
      <c r="J130" s="239"/>
      <c r="K130" s="49" t="s">
        <v>141</v>
      </c>
      <c r="L130" s="52">
        <f ca="1">(IF(B131&gt;1,(I131/(B131+2)+L129),I131/4+L129))</f>
        <v>18.5</v>
      </c>
    </row>
    <row r="131" spans="1:12" ht="15" customHeight="1" x14ac:dyDescent="0.3">
      <c r="A131" s="62" t="s">
        <v>114</v>
      </c>
      <c r="B131" s="63">
        <v>1</v>
      </c>
      <c r="C131" s="63" t="s">
        <v>116</v>
      </c>
      <c r="D131" s="63">
        <v>1</v>
      </c>
      <c r="E131" s="196" t="s">
        <v>115</v>
      </c>
      <c r="F131" s="174"/>
      <c r="G131" s="63">
        <v>0</v>
      </c>
      <c r="H131" s="63" t="s">
        <v>187</v>
      </c>
      <c r="I131" s="196">
        <f ca="1">--TRIM(RIGHT(SUBSTITUTE(LEFT(C130,_xlfn.AGGREGATE(16,6,FIND({0,1,2,3,4,5,6,7,8,9},C130,ROW(INDIRECT("1:"&amp;LEN(C130)))),1))," ",REPT(" ",LEN(C130))),LEN(C130)))</f>
        <v>37</v>
      </c>
      <c r="J131" s="197"/>
      <c r="K131" s="49" t="s">
        <v>200</v>
      </c>
      <c r="L131" s="52">
        <f>(IF(B131&gt;1,(I131/(B131+2)+L130),0))</f>
        <v>0</v>
      </c>
    </row>
    <row r="132" spans="1:12" ht="34.5" customHeight="1" x14ac:dyDescent="0.3">
      <c r="A132" s="379" t="s">
        <v>188</v>
      </c>
      <c r="B132" s="380"/>
      <c r="C132" s="326" t="str">
        <f ca="1">K123</f>
        <v>Excavation work Completed. Plinth work completed, RCC upto 10 Slab, Brickwork upto 9 Floor, Internal Plaster upto 6.75 Floor, External Plaster upto 5.85 Floor Completed</v>
      </c>
      <c r="D132" s="327"/>
      <c r="E132" s="327"/>
      <c r="F132" s="327"/>
      <c r="G132" s="327"/>
      <c r="H132" s="327"/>
      <c r="I132" s="327"/>
      <c r="J132" s="328"/>
      <c r="K132" s="49" t="s">
        <v>203</v>
      </c>
      <c r="L132" s="52">
        <f>(IF(B131&gt;2,(I131/(B131+2)+L131),0))</f>
        <v>0</v>
      </c>
    </row>
    <row r="133" spans="1:12" ht="15.75" customHeight="1" x14ac:dyDescent="0.3">
      <c r="A133" s="165" t="s">
        <v>29</v>
      </c>
      <c r="B133" s="166"/>
      <c r="C133" s="64" t="s">
        <v>190</v>
      </c>
      <c r="D133" s="221" t="s">
        <v>191</v>
      </c>
      <c r="E133" s="166"/>
      <c r="F133" s="221" t="s">
        <v>192</v>
      </c>
      <c r="G133" s="166"/>
      <c r="H133" s="221" t="s">
        <v>193</v>
      </c>
      <c r="I133" s="222"/>
      <c r="J133" s="223"/>
      <c r="K133" s="49" t="s">
        <v>205</v>
      </c>
      <c r="L133" s="53">
        <f>(IF(B131&gt;3,(I131/(B131+2)+L132),0))</f>
        <v>0</v>
      </c>
    </row>
    <row r="134" spans="1:12" ht="15" customHeight="1" x14ac:dyDescent="0.3">
      <c r="A134" s="165" t="s">
        <v>195</v>
      </c>
      <c r="B134" s="166"/>
      <c r="C134" s="69">
        <f ca="1">L128</f>
        <v>37</v>
      </c>
      <c r="D134" s="175">
        <f ca="1">((100/I131)*C134)/100</f>
        <v>1</v>
      </c>
      <c r="E134" s="176"/>
      <c r="F134" s="229">
        <f ca="1">(((C135/I131*10)+(40/(D131+G131+I131)*C136)+(7.5/(I131)*C137)+(7.5/(I131)*C138)+(10/I131*C139)+(10/I131*C140)+(5/I131*C141)+(5/I131*C142)+(5/I131*C143))/100)</f>
        <v>0.2529996443812233</v>
      </c>
      <c r="G134" s="230"/>
      <c r="H134" s="229">
        <f ca="1">((((C134/I131)*20)+((C135/I131)*25)+(30/(I131+G131+D131)*C136)+(5/I131*C137)+(5/I131*C138)+(5/I131*C139)+(5/I131*C140)+(0/I131*C141)+(0/I131*C142)+(5/I131*C143))/100)</f>
        <v>0.55813655761024183</v>
      </c>
      <c r="I134" s="267"/>
      <c r="J134" s="268"/>
      <c r="K134" s="49" t="s">
        <v>207</v>
      </c>
      <c r="L134" s="52">
        <f>(IF(B131&gt;4,(I131/(B131+2)+L133),0))</f>
        <v>0</v>
      </c>
    </row>
    <row r="135" spans="1:12" ht="15.75" customHeight="1" x14ac:dyDescent="0.3">
      <c r="A135" s="165" t="s">
        <v>30</v>
      </c>
      <c r="B135" s="166"/>
      <c r="C135" s="70">
        <f ca="1">L136</f>
        <v>37</v>
      </c>
      <c r="D135" s="175">
        <f ca="1">((100/I131)*C135)/100</f>
        <v>1</v>
      </c>
      <c r="E135" s="176"/>
      <c r="F135" s="231"/>
      <c r="G135" s="232"/>
      <c r="H135" s="231"/>
      <c r="I135" s="269"/>
      <c r="J135" s="270"/>
      <c r="K135" s="49" t="s">
        <v>142</v>
      </c>
      <c r="L135" s="52">
        <f ca="1">(IF(B131=1,(I131/(B131+3)+L130),IF(B131=0,(I131/4+L130),IF(B131&gt;1,0))))</f>
        <v>27.75</v>
      </c>
    </row>
    <row r="136" spans="1:12" ht="16.5" customHeight="1" thickBot="1" x14ac:dyDescent="0.35">
      <c r="A136" s="173" t="s">
        <v>196</v>
      </c>
      <c r="B136" s="174"/>
      <c r="C136" s="70">
        <v>10</v>
      </c>
      <c r="D136" s="175">
        <f ca="1">((100/(D131+G131+I131))*C136)/100</f>
        <v>0.26315789473684215</v>
      </c>
      <c r="E136" s="176"/>
      <c r="F136" s="231"/>
      <c r="G136" s="232"/>
      <c r="H136" s="231"/>
      <c r="I136" s="269"/>
      <c r="J136" s="270"/>
      <c r="K136" s="54" t="s">
        <v>143</v>
      </c>
      <c r="L136" s="55">
        <f ca="1">(IF(B131&gt;1.5,(I131/(B131+2)+L130+MAX(0,L131-L130)+MAX(0,L132-L131)+MAX(0,L133-L132)+MAX(0,L134-L133)+MAX(0,L135-L134)),IF(B131=1,(I131/(B131+3)+L135),IF(B131=0,I131/4+L135))))</f>
        <v>37</v>
      </c>
    </row>
    <row r="137" spans="1:12" ht="15.6" x14ac:dyDescent="0.3">
      <c r="A137" s="173" t="s">
        <v>197</v>
      </c>
      <c r="B137" s="174" t="s">
        <v>198</v>
      </c>
      <c r="C137" s="70">
        <f>C136-D131</f>
        <v>9</v>
      </c>
      <c r="D137" s="175">
        <f ca="1">((100/I131)*C137)/100</f>
        <v>0.24324324324324323</v>
      </c>
      <c r="E137" s="176"/>
      <c r="F137" s="231"/>
      <c r="G137" s="232"/>
      <c r="H137" s="231"/>
      <c r="I137" s="269"/>
      <c r="J137" s="270"/>
      <c r="K137" s="45" t="str">
        <f ca="1">(IF(F148&gt;99%,"All work completed. Please provide OC.",IF(F148&gt;89.8%,"Plinth, RCC, Brick, Plaster, Flooring, Painting work Completed. Finishing work is in process.",IF(F148&lt;94%,(IF(C148=0,"Work not yet Started.",IF(D148=25%,"Piling work in process",IF(D148=50%,"Excavation work in process",IF(D148=100%,"Excavation work Completed. ","0")))&amp;(IF(C149=0%,"",IF(C149=L143,"Footing work is process",IF(C149=L144,"Footing work Completed",IF(C149=L145,"1st Basement Completed",IF(C149=L146,"1st &amp; 2nd Basement Completed",IF(C149=L147,"1st to 3rd Basement Completed",IF(C149=L148,"1st to 4th Basement Completed",IF(C149=L149,"Plinth work is process",IF(C149=L150,"Plinth work completed","0")))))))))))&amp;(IF(C150=(D145+G145+I145),", RCC Slab",IF(C150&gt;0,", RCC upto "&amp;C150&amp;" Slab",""))&amp;(IF(C151=I145,", Brickwork",IF(C151&gt;0,", Brickwork upto "&amp;C151&amp;" Floor",""))&amp;(IF(C152=I145,", Internal Plaster",IF(C152&gt;0,", Internal Plaster upto "&amp;C152&amp;" Floor",""))&amp;(IF(C153=I145,", External Plaster",IF(C153&gt;0,", External Plaster upto "&amp;C153&amp;" Floor",""))&amp;(IF(C154=I145,", Flooring",IF(C154&gt;0,", Flooring upto "&amp;C154&amp;" Floor",""))&amp;(IF(C155=I145,", Painting",IF(C155&gt;0,", Painting upto "&amp;C155&amp;" Floor",""))&amp;(IF(C156&gt;0,", Finishing upto "&amp;C156&amp;" Floor","")&amp;(IF(C150&gt;0.5," Completed",""))))))))))))))</f>
        <v>Excavation work Completed. Footing work Completed</v>
      </c>
      <c r="L137" s="46"/>
    </row>
    <row r="138" spans="1:12" ht="15.6" x14ac:dyDescent="0.3">
      <c r="A138" s="173" t="s">
        <v>199</v>
      </c>
      <c r="B138" s="174" t="s">
        <v>198</v>
      </c>
      <c r="C138" s="70">
        <f>C137*0.75</f>
        <v>6.75</v>
      </c>
      <c r="D138" s="175">
        <f ca="1">((100/I131)*C138)/100</f>
        <v>0.18243243243243243</v>
      </c>
      <c r="E138" s="176"/>
      <c r="F138" s="231"/>
      <c r="G138" s="232"/>
      <c r="H138" s="231"/>
      <c r="I138" s="269"/>
      <c r="J138" s="270"/>
      <c r="K138" s="47"/>
      <c r="L138" s="48"/>
    </row>
    <row r="139" spans="1:12" ht="15.6" x14ac:dyDescent="0.3">
      <c r="A139" s="173" t="s">
        <v>201</v>
      </c>
      <c r="B139" s="174" t="s">
        <v>202</v>
      </c>
      <c r="C139" s="70">
        <f>C137*0.65</f>
        <v>5.8500000000000005</v>
      </c>
      <c r="D139" s="175">
        <f ca="1">((100/(I131))*C139)/100</f>
        <v>0.15810810810810813</v>
      </c>
      <c r="E139" s="176"/>
      <c r="F139" s="231"/>
      <c r="G139" s="232"/>
      <c r="H139" s="231"/>
      <c r="I139" s="269"/>
      <c r="J139" s="270"/>
      <c r="K139" s="47" t="s">
        <v>189</v>
      </c>
      <c r="L139" s="48"/>
    </row>
    <row r="140" spans="1:12" ht="15.75" customHeight="1" x14ac:dyDescent="0.3">
      <c r="A140" s="173" t="s">
        <v>204</v>
      </c>
      <c r="B140" s="174" t="s">
        <v>204</v>
      </c>
      <c r="C140" s="69">
        <v>0</v>
      </c>
      <c r="D140" s="175">
        <f ca="1">((100/I131)*C140)/100</f>
        <v>0</v>
      </c>
      <c r="E140" s="176"/>
      <c r="F140" s="231"/>
      <c r="G140" s="232"/>
      <c r="H140" s="231"/>
      <c r="I140" s="269"/>
      <c r="J140" s="270"/>
      <c r="K140" s="49" t="s">
        <v>194</v>
      </c>
      <c r="L140" s="50">
        <f ca="1">I145*25%</f>
        <v>9.25</v>
      </c>
    </row>
    <row r="141" spans="1:12" ht="15.75" customHeight="1" x14ac:dyDescent="0.3">
      <c r="A141" s="173" t="s">
        <v>206</v>
      </c>
      <c r="B141" s="174"/>
      <c r="C141" s="69">
        <v>0</v>
      </c>
      <c r="D141" s="175">
        <f ca="1">((100/I131)*C141)/100</f>
        <v>0</v>
      </c>
      <c r="E141" s="176"/>
      <c r="F141" s="231"/>
      <c r="G141" s="232"/>
      <c r="H141" s="231"/>
      <c r="I141" s="269"/>
      <c r="J141" s="270"/>
      <c r="K141" s="49" t="s">
        <v>136</v>
      </c>
      <c r="L141" s="51">
        <f ca="1">I145*50%</f>
        <v>18.5</v>
      </c>
    </row>
    <row r="142" spans="1:12" ht="15.6" x14ac:dyDescent="0.3">
      <c r="A142" s="165" t="s">
        <v>208</v>
      </c>
      <c r="B142" s="166" t="s">
        <v>208</v>
      </c>
      <c r="C142" s="69">
        <v>0</v>
      </c>
      <c r="D142" s="175">
        <f ca="1">((100/(I131))*C142)/100</f>
        <v>0</v>
      </c>
      <c r="E142" s="176"/>
      <c r="F142" s="231"/>
      <c r="G142" s="232"/>
      <c r="H142" s="231"/>
      <c r="I142" s="269"/>
      <c r="J142" s="270"/>
      <c r="K142" s="49" t="s">
        <v>139</v>
      </c>
      <c r="L142" s="51">
        <f ca="1">I145</f>
        <v>37</v>
      </c>
    </row>
    <row r="143" spans="1:12" ht="16.2" thickBot="1" x14ac:dyDescent="0.35">
      <c r="A143" s="180" t="s">
        <v>209</v>
      </c>
      <c r="B143" s="181"/>
      <c r="C143" s="71">
        <v>0</v>
      </c>
      <c r="D143" s="182">
        <f ca="1">((100/(I131))*C143)/100</f>
        <v>0</v>
      </c>
      <c r="E143" s="183"/>
      <c r="F143" s="233"/>
      <c r="G143" s="234"/>
      <c r="H143" s="233"/>
      <c r="I143" s="358"/>
      <c r="J143" s="359"/>
      <c r="K143" s="49" t="s">
        <v>140</v>
      </c>
      <c r="L143" s="52">
        <f ca="1">(IF(B145&gt;1,(I145/(B145+2)),I145/4))</f>
        <v>9.25</v>
      </c>
    </row>
    <row r="144" spans="1:12" ht="15.75" hidden="1" customHeight="1" x14ac:dyDescent="0.3">
      <c r="A144" s="235" t="s">
        <v>186</v>
      </c>
      <c r="B144" s="236"/>
      <c r="C144" s="401" t="s">
        <v>372</v>
      </c>
      <c r="D144" s="402"/>
      <c r="E144" s="402"/>
      <c r="F144" s="402"/>
      <c r="G144" s="402"/>
      <c r="H144" s="402"/>
      <c r="I144" s="402"/>
      <c r="J144" s="403"/>
      <c r="K144" s="49" t="s">
        <v>141</v>
      </c>
      <c r="L144" s="52">
        <f ca="1">(IF(B145&gt;1,(I145/(B145+2)+L143),I145/4+L143))</f>
        <v>18.5</v>
      </c>
    </row>
    <row r="145" spans="1:15" ht="15" hidden="1" customHeight="1" x14ac:dyDescent="0.3">
      <c r="A145" s="62" t="s">
        <v>114</v>
      </c>
      <c r="B145" s="63">
        <v>1</v>
      </c>
      <c r="C145" s="63" t="s">
        <v>116</v>
      </c>
      <c r="D145" s="63">
        <v>1</v>
      </c>
      <c r="E145" s="196" t="s">
        <v>115</v>
      </c>
      <c r="F145" s="174"/>
      <c r="G145" s="63">
        <v>0</v>
      </c>
      <c r="H145" s="63" t="s">
        <v>187</v>
      </c>
      <c r="I145" s="196">
        <f ca="1">--TRIM(RIGHT(SUBSTITUTE(LEFT(C144,_xlfn.AGGREGATE(16,6,FIND({0,1,2,3,4,5,6,7,8,9},C144,ROW(INDIRECT("1:"&amp;LEN(C144)))),1))," ",REPT(" ",LEN(C144))),LEN(C144)))</f>
        <v>37</v>
      </c>
      <c r="J145" s="197"/>
      <c r="K145" s="49" t="s">
        <v>200</v>
      </c>
      <c r="L145" s="52">
        <f>(IF(B145&gt;1,(I145/(B145+2)+L144),0))</f>
        <v>0</v>
      </c>
    </row>
    <row r="146" spans="1:15" ht="15.6" hidden="1" x14ac:dyDescent="0.3">
      <c r="A146" s="379" t="s">
        <v>188</v>
      </c>
      <c r="B146" s="380"/>
      <c r="C146" s="326" t="str">
        <f ca="1">K137</f>
        <v>Excavation work Completed. Footing work Completed</v>
      </c>
      <c r="D146" s="327"/>
      <c r="E146" s="327"/>
      <c r="F146" s="327"/>
      <c r="G146" s="327"/>
      <c r="H146" s="327"/>
      <c r="I146" s="327"/>
      <c r="J146" s="328"/>
      <c r="K146" s="49" t="s">
        <v>203</v>
      </c>
      <c r="L146" s="52">
        <f>(IF(B145&gt;2,(I145/(B145+2)+L145),0))</f>
        <v>0</v>
      </c>
    </row>
    <row r="147" spans="1:15" ht="15.75" hidden="1" customHeight="1" x14ac:dyDescent="0.3">
      <c r="A147" s="165" t="s">
        <v>29</v>
      </c>
      <c r="B147" s="166"/>
      <c r="C147" s="64" t="s">
        <v>190</v>
      </c>
      <c r="D147" s="221" t="s">
        <v>191</v>
      </c>
      <c r="E147" s="166"/>
      <c r="F147" s="221" t="s">
        <v>192</v>
      </c>
      <c r="G147" s="166"/>
      <c r="H147" s="221" t="s">
        <v>193</v>
      </c>
      <c r="I147" s="222"/>
      <c r="J147" s="223"/>
      <c r="K147" s="49" t="s">
        <v>205</v>
      </c>
      <c r="L147" s="53">
        <f>(IF(B145&gt;3,(I145/(B145+2)+L146),0))</f>
        <v>0</v>
      </c>
    </row>
    <row r="148" spans="1:15" ht="15" hidden="1" customHeight="1" x14ac:dyDescent="0.3">
      <c r="A148" s="165" t="s">
        <v>195</v>
      </c>
      <c r="B148" s="166"/>
      <c r="C148" s="69">
        <f ca="1">L142</f>
        <v>37</v>
      </c>
      <c r="D148" s="175">
        <f ca="1">((100/I145)*C148)/100</f>
        <v>1</v>
      </c>
      <c r="E148" s="176"/>
      <c r="F148" s="229">
        <f ca="1">(((C149/I145*10)+(40/(D145+G145+I145)*C150)+(7.5/(I145)*C151)+(7.5/(I145)*C152)+(10/I145*C153)+(10/I145*C154)+(5/I145*C155)+(5/I145*C156)+(5/I145*C157))/100)</f>
        <v>0.05</v>
      </c>
      <c r="G148" s="230"/>
      <c r="H148" s="229">
        <f ca="1">((((C148/I145)*20)+((C149/I145)*25)+(30/(I145+G145+D145)*C150)+(5/I145*C151)+(5/I145*C152)+(5/I145*C153)+(5/I145*C154)+(0/I145*C155)+(0/I145*C156)+(5/I145*C157))/100)</f>
        <v>0.32500000000000001</v>
      </c>
      <c r="I148" s="267"/>
      <c r="J148" s="268"/>
      <c r="K148" s="49" t="s">
        <v>207</v>
      </c>
      <c r="L148" s="52">
        <f>(IF(B145&gt;4,(I145/(B145+2)+L147),0))</f>
        <v>0</v>
      </c>
    </row>
    <row r="149" spans="1:15" ht="15.75" hidden="1" customHeight="1" x14ac:dyDescent="0.3">
      <c r="A149" s="165" t="s">
        <v>30</v>
      </c>
      <c r="B149" s="166"/>
      <c r="C149" s="70">
        <f ca="1">L144</f>
        <v>18.5</v>
      </c>
      <c r="D149" s="175">
        <f ca="1">((100/I145)*C149)/100</f>
        <v>0.5</v>
      </c>
      <c r="E149" s="176"/>
      <c r="F149" s="231"/>
      <c r="G149" s="232"/>
      <c r="H149" s="231"/>
      <c r="I149" s="269"/>
      <c r="J149" s="270"/>
      <c r="K149" s="49" t="s">
        <v>142</v>
      </c>
      <c r="L149" s="52">
        <f ca="1">(IF(B145=1,(I145/(B145+3)+L144),IF(B145=0,(I145/4+L144),IF(B145&gt;1,0))))</f>
        <v>27.75</v>
      </c>
    </row>
    <row r="150" spans="1:15" ht="16.5" hidden="1" customHeight="1" thickBot="1" x14ac:dyDescent="0.35">
      <c r="A150" s="173" t="s">
        <v>196</v>
      </c>
      <c r="B150" s="174"/>
      <c r="C150" s="70">
        <v>0</v>
      </c>
      <c r="D150" s="175">
        <f ca="1">((100/(D145+G145+I145))*C150)/100</f>
        <v>0</v>
      </c>
      <c r="E150" s="176"/>
      <c r="F150" s="231"/>
      <c r="G150" s="232"/>
      <c r="H150" s="231"/>
      <c r="I150" s="269"/>
      <c r="J150" s="270"/>
      <c r="K150" s="54" t="s">
        <v>143</v>
      </c>
      <c r="L150" s="55">
        <f ca="1">(IF(B145&gt;1.5,(I145/(B145+2)+L144+MAX(0,L145-L144)+MAX(0,L146-L145)+MAX(0,L147-L146)+MAX(0,L148-L147)+MAX(0,L149-L148)),IF(B145=1,(I145/(B145+3)+L149),IF(B145=0,I145/4+L149))))</f>
        <v>37</v>
      </c>
    </row>
    <row r="151" spans="1:15" ht="15.6" hidden="1" x14ac:dyDescent="0.3">
      <c r="A151" s="173" t="s">
        <v>197</v>
      </c>
      <c r="B151" s="174" t="s">
        <v>198</v>
      </c>
      <c r="C151" s="70">
        <v>0</v>
      </c>
      <c r="D151" s="175">
        <f ca="1">((100/I145)*C151)/100</f>
        <v>0</v>
      </c>
      <c r="E151" s="176"/>
      <c r="F151" s="231"/>
      <c r="G151" s="232"/>
      <c r="H151" s="231"/>
      <c r="I151" s="269"/>
      <c r="J151" s="270"/>
    </row>
    <row r="152" spans="1:15" ht="15.6" hidden="1" x14ac:dyDescent="0.3">
      <c r="A152" s="173" t="s">
        <v>199</v>
      </c>
      <c r="B152" s="174" t="s">
        <v>198</v>
      </c>
      <c r="C152" s="70">
        <v>0</v>
      </c>
      <c r="D152" s="175">
        <f ca="1">((100/I145)*C152)/100</f>
        <v>0</v>
      </c>
      <c r="E152" s="176"/>
      <c r="F152" s="231"/>
      <c r="G152" s="232"/>
      <c r="H152" s="231"/>
      <c r="I152" s="269"/>
      <c r="J152" s="270"/>
    </row>
    <row r="153" spans="1:15" ht="15" hidden="1" customHeight="1" x14ac:dyDescent="0.3">
      <c r="A153" s="173" t="s">
        <v>201</v>
      </c>
      <c r="B153" s="174" t="s">
        <v>202</v>
      </c>
      <c r="C153" s="70">
        <v>0</v>
      </c>
      <c r="D153" s="175">
        <f ca="1">((100/(I145))*C153)/100</f>
        <v>0</v>
      </c>
      <c r="E153" s="176"/>
      <c r="F153" s="231"/>
      <c r="G153" s="232"/>
      <c r="H153" s="231"/>
      <c r="I153" s="269"/>
      <c r="J153" s="270"/>
    </row>
    <row r="154" spans="1:15" ht="15.6" hidden="1" x14ac:dyDescent="0.3">
      <c r="A154" s="173" t="s">
        <v>204</v>
      </c>
      <c r="B154" s="174" t="s">
        <v>204</v>
      </c>
      <c r="C154" s="69">
        <v>0</v>
      </c>
      <c r="D154" s="175">
        <f ca="1">((100/I145)*C154)/100</f>
        <v>0</v>
      </c>
      <c r="E154" s="176"/>
      <c r="F154" s="231"/>
      <c r="G154" s="232"/>
      <c r="H154" s="231"/>
      <c r="I154" s="269"/>
      <c r="J154" s="270"/>
    </row>
    <row r="155" spans="1:15" ht="15.6" hidden="1" x14ac:dyDescent="0.3">
      <c r="A155" s="173" t="s">
        <v>206</v>
      </c>
      <c r="B155" s="174"/>
      <c r="C155" s="69">
        <v>0</v>
      </c>
      <c r="D155" s="175">
        <f ca="1">((100/I145)*C155)/100</f>
        <v>0</v>
      </c>
      <c r="E155" s="176"/>
      <c r="F155" s="231"/>
      <c r="G155" s="232"/>
      <c r="H155" s="231"/>
      <c r="I155" s="269"/>
      <c r="J155" s="270"/>
    </row>
    <row r="156" spans="1:15" ht="15.6" hidden="1" x14ac:dyDescent="0.3">
      <c r="A156" s="165" t="s">
        <v>208</v>
      </c>
      <c r="B156" s="166" t="s">
        <v>208</v>
      </c>
      <c r="C156" s="69">
        <v>0</v>
      </c>
      <c r="D156" s="175">
        <f ca="1">((100/(I145))*C156)/100</f>
        <v>0</v>
      </c>
      <c r="E156" s="176"/>
      <c r="F156" s="231"/>
      <c r="G156" s="232"/>
      <c r="H156" s="231"/>
      <c r="I156" s="269"/>
      <c r="J156" s="270"/>
      <c r="L156" s="28"/>
      <c r="M156" s="28"/>
      <c r="N156" s="28"/>
      <c r="O156" s="28"/>
    </row>
    <row r="157" spans="1:15" ht="16.2" hidden="1" thickBot="1" x14ac:dyDescent="0.35">
      <c r="A157" s="180" t="s">
        <v>209</v>
      </c>
      <c r="B157" s="181"/>
      <c r="C157" s="71">
        <v>0</v>
      </c>
      <c r="D157" s="182">
        <f ca="1">((100/(I145))*C157)/100</f>
        <v>0</v>
      </c>
      <c r="E157" s="183"/>
      <c r="F157" s="233"/>
      <c r="G157" s="234"/>
      <c r="H157" s="233"/>
      <c r="I157" s="358"/>
      <c r="J157" s="359"/>
      <c r="L157" s="28"/>
      <c r="M157" s="28"/>
      <c r="N157" s="28"/>
      <c r="O157" s="28"/>
    </row>
    <row r="158" spans="1:15" x14ac:dyDescent="0.25">
      <c r="A158" s="271" t="s">
        <v>49</v>
      </c>
      <c r="B158" s="272"/>
      <c r="C158" s="272"/>
      <c r="D158" s="272"/>
      <c r="E158" s="272"/>
      <c r="F158" s="272"/>
      <c r="G158" s="272"/>
      <c r="H158" s="272"/>
      <c r="I158" s="272"/>
      <c r="J158" s="273"/>
    </row>
    <row r="159" spans="1:15" x14ac:dyDescent="0.25">
      <c r="A159" s="177" t="s">
        <v>41</v>
      </c>
      <c r="B159" s="178"/>
      <c r="C159" s="178"/>
      <c r="D159" s="178"/>
      <c r="E159" s="178"/>
      <c r="F159" s="178"/>
      <c r="G159" s="178"/>
      <c r="H159" s="178"/>
      <c r="I159" s="178"/>
      <c r="J159" s="179"/>
    </row>
    <row r="160" spans="1:15" x14ac:dyDescent="0.25">
      <c r="A160" s="274" t="s">
        <v>152</v>
      </c>
      <c r="B160" s="275"/>
      <c r="C160" s="275"/>
      <c r="D160" s="275"/>
      <c r="E160" s="275"/>
      <c r="F160" s="275"/>
      <c r="G160" s="275"/>
      <c r="H160" s="275"/>
      <c r="I160" s="275"/>
      <c r="J160" s="276"/>
      <c r="L160" s="26">
        <f>8.79/1.6</f>
        <v>5.4937499999999995</v>
      </c>
    </row>
    <row r="161" spans="1:21" x14ac:dyDescent="0.25">
      <c r="A161" s="277"/>
      <c r="B161" s="278"/>
      <c r="C161" s="278"/>
      <c r="D161" s="278"/>
      <c r="E161" s="278"/>
      <c r="F161" s="278"/>
      <c r="G161" s="278"/>
      <c r="H161" s="278"/>
      <c r="I161" s="278"/>
      <c r="J161" s="279"/>
    </row>
    <row r="162" spans="1:21" x14ac:dyDescent="0.25">
      <c r="A162" s="188" t="s">
        <v>24</v>
      </c>
      <c r="B162" s="189"/>
      <c r="C162" s="189"/>
      <c r="D162" s="189"/>
      <c r="E162" s="189"/>
      <c r="F162" s="189"/>
      <c r="G162" s="189"/>
      <c r="H162" s="189"/>
      <c r="I162" s="189"/>
      <c r="J162" s="190"/>
    </row>
    <row r="163" spans="1:21" ht="29.25" customHeight="1" x14ac:dyDescent="0.25">
      <c r="A163" s="184" t="s">
        <v>252</v>
      </c>
      <c r="B163" s="178"/>
      <c r="C163" s="178"/>
      <c r="D163" s="178"/>
      <c r="E163" s="178"/>
      <c r="F163" s="179"/>
      <c r="G163" s="325" t="s">
        <v>253</v>
      </c>
      <c r="H163" s="311"/>
      <c r="I163" s="311"/>
      <c r="J163" s="312"/>
    </row>
    <row r="164" spans="1:21" s="27" customFormat="1" ht="29.25" customHeight="1" x14ac:dyDescent="0.25">
      <c r="A164" s="184" t="s">
        <v>254</v>
      </c>
      <c r="B164" s="178"/>
      <c r="C164" s="178"/>
      <c r="D164" s="178"/>
      <c r="E164" s="178"/>
      <c r="F164" s="179"/>
      <c r="G164" s="102" t="s">
        <v>255</v>
      </c>
      <c r="H164" s="103"/>
      <c r="I164" s="103"/>
      <c r="J164" s="104"/>
    </row>
    <row r="165" spans="1:21" x14ac:dyDescent="0.25">
      <c r="A165" s="177" t="s">
        <v>247</v>
      </c>
      <c r="B165" s="178"/>
      <c r="C165" s="178"/>
      <c r="D165" s="178"/>
      <c r="E165" s="178"/>
      <c r="F165" s="179"/>
      <c r="G165" s="102" t="s">
        <v>246</v>
      </c>
      <c r="H165" s="103"/>
      <c r="I165" s="103"/>
      <c r="J165" s="104"/>
    </row>
    <row r="166" spans="1:21" x14ac:dyDescent="0.25">
      <c r="A166" s="177" t="s">
        <v>161</v>
      </c>
      <c r="B166" s="178"/>
      <c r="C166" s="178"/>
      <c r="D166" s="178"/>
      <c r="E166" s="178"/>
      <c r="F166" s="179"/>
      <c r="G166" s="102" t="s">
        <v>162</v>
      </c>
      <c r="H166" s="103"/>
      <c r="I166" s="103"/>
      <c r="J166" s="104"/>
    </row>
    <row r="167" spans="1:21" x14ac:dyDescent="0.25">
      <c r="A167" s="177" t="s">
        <v>163</v>
      </c>
      <c r="B167" s="178"/>
      <c r="C167" s="178"/>
      <c r="D167" s="178"/>
      <c r="E167" s="178"/>
      <c r="F167" s="179"/>
      <c r="G167" s="102" t="s">
        <v>164</v>
      </c>
      <c r="H167" s="103"/>
      <c r="I167" s="103"/>
      <c r="J167" s="104"/>
    </row>
    <row r="168" spans="1:21" x14ac:dyDescent="0.25">
      <c r="A168" s="177" t="s">
        <v>165</v>
      </c>
      <c r="B168" s="178"/>
      <c r="C168" s="178"/>
      <c r="D168" s="178"/>
      <c r="E168" s="178"/>
      <c r="F168" s="179"/>
      <c r="G168" s="102" t="s">
        <v>166</v>
      </c>
      <c r="H168" s="103"/>
      <c r="I168" s="103"/>
      <c r="J168" s="104"/>
    </row>
    <row r="169" spans="1:21" x14ac:dyDescent="0.25">
      <c r="A169" s="184" t="s">
        <v>249</v>
      </c>
      <c r="B169" s="178"/>
      <c r="C169" s="178"/>
      <c r="D169" s="178"/>
      <c r="E169" s="178"/>
      <c r="F169" s="179"/>
      <c r="G169" s="102" t="s">
        <v>250</v>
      </c>
      <c r="H169" s="103"/>
      <c r="I169" s="103"/>
      <c r="J169" s="104"/>
    </row>
    <row r="170" spans="1:21" x14ac:dyDescent="0.25">
      <c r="A170" s="184" t="s">
        <v>244</v>
      </c>
      <c r="B170" s="178"/>
      <c r="C170" s="178"/>
      <c r="D170" s="178"/>
      <c r="E170" s="178"/>
      <c r="F170" s="179"/>
      <c r="G170" s="102" t="s">
        <v>245</v>
      </c>
      <c r="H170" s="103"/>
      <c r="I170" s="103"/>
      <c r="J170" s="104"/>
    </row>
    <row r="171" spans="1:21" x14ac:dyDescent="0.25">
      <c r="A171" s="188" t="s">
        <v>67</v>
      </c>
      <c r="B171" s="189"/>
      <c r="C171" s="189"/>
      <c r="D171" s="189"/>
      <c r="E171" s="189"/>
      <c r="F171" s="190"/>
      <c r="G171" s="185">
        <f>15000*0.8</f>
        <v>12000</v>
      </c>
      <c r="H171" s="186"/>
      <c r="I171" s="186"/>
      <c r="J171" s="187"/>
    </row>
    <row r="172" spans="1:21" ht="15.6" x14ac:dyDescent="0.25">
      <c r="A172" s="367" t="s">
        <v>210</v>
      </c>
      <c r="B172" s="368"/>
      <c r="C172" s="368"/>
      <c r="D172" s="368"/>
      <c r="E172" s="368"/>
      <c r="F172" s="368"/>
      <c r="G172" s="368"/>
      <c r="H172" s="368"/>
      <c r="I172" s="368"/>
      <c r="J172" s="381"/>
      <c r="L172" s="372"/>
      <c r="M172" s="373"/>
      <c r="N172" s="60"/>
      <c r="O172" s="191"/>
      <c r="P172" s="192"/>
      <c r="Q172" s="193"/>
      <c r="R172" s="191"/>
      <c r="S172" s="192"/>
      <c r="T172" s="192"/>
      <c r="U172" s="193"/>
    </row>
    <row r="173" spans="1:21" ht="17.399999999999999" x14ac:dyDescent="0.3">
      <c r="A173" s="382" t="s">
        <v>211</v>
      </c>
      <c r="B173" s="383"/>
      <c r="C173" s="56" t="s">
        <v>212</v>
      </c>
      <c r="D173" s="384" t="s">
        <v>213</v>
      </c>
      <c r="E173" s="385"/>
      <c r="F173" s="386"/>
      <c r="G173" s="382" t="s">
        <v>214</v>
      </c>
      <c r="H173" s="387"/>
      <c r="I173" s="387"/>
      <c r="J173" s="383"/>
      <c r="K173" s="88" t="s">
        <v>371</v>
      </c>
      <c r="L173" s="85"/>
      <c r="M173" s="85"/>
      <c r="N173" s="86"/>
      <c r="O173" s="87"/>
      <c r="P173" s="87"/>
      <c r="Q173" s="87"/>
      <c r="R173" s="87"/>
      <c r="S173" s="87"/>
      <c r="T173" s="87"/>
      <c r="U173" s="87"/>
    </row>
    <row r="174" spans="1:21" ht="15.6" x14ac:dyDescent="0.25">
      <c r="A174" s="362" t="s">
        <v>295</v>
      </c>
      <c r="B174" s="363"/>
      <c r="C174" s="60">
        <f>COUNT(D188:E189)+COUNT(D191:E192)+COUNT(D196:E198,D200:E203)+COUNT(D205:E207,D209:E212)+COUNT(D214:E216,D218:E221)+COUNT(D223:E225,D227:E230)+COUNT(D232:E234,D236:E239)+COUNT(D241:E243,D245:E248)+COUNT(D250:E252,D257)+COUNT(D259:E261,D263:E266)+COUNT(D268:E270,D272:E275)+COUNT(D277:E284)*4+COUNT(D286:E289,D293)*2+COUNT(D295:E302)+COUNT(D304:E311)*5+COUNT(D315:E322)*2+COUNT(D324:E331)*7+COUNT(D333:E336,D340)</f>
        <v>231</v>
      </c>
      <c r="D174" s="364">
        <f>SUM(D188:E189)+SUM(D191:E192)+SUM(D196:E198,D200:E203)+SUM(D205:E207,D209:E212)+SUM(D214:E216,D218:E221)+SUM(D223:E225,D227:E230)+SUM(D232:E234,D236:E239)+SUM(D241:E243,D245:E248)+SUM(D250:E252,D257)+SUM(D259:E261,D263:E266)+SUM(D268:E270,D272:E275)+SUM(D277:E284)*4+SUM(D286:E289,D293)*2+SUM(D295:E302)+SUM(D304:E311)*5+SUM(D315:E322)*2+SUM(D324:E331)*7+SUM(D333:E336,D340)</f>
        <v>197778.63436343998</v>
      </c>
      <c r="E174" s="365"/>
      <c r="F174" s="366"/>
      <c r="G174" s="364">
        <f>SUM(G188:H189)+SUM(G191:H192)+SUM(G196:H198,G200:H203)+SUM(G205:H207,G209:H212)+SUM(G214:H216,G218:H221)+SUM(G223:H225,G227:H230)+SUM(G232:H234,G236:H239)+SUM(G241:H243,G245:H248)+SUM(G250:H252,G257)+SUM(G259:H261,G263:H266)+SUM(G268:H270,G272:H275)+SUM(G277:H284)*4+SUM(G286:H289,G293)*2+SUM(G295:H302)+SUM(G304:H311)*5+SUM(G315:H322)*2+SUM(G324:H331)*7+SUM(G333:H336,G340)</f>
        <v>316567.06336850399</v>
      </c>
      <c r="H174" s="365"/>
      <c r="I174" s="365"/>
      <c r="J174" s="366"/>
    </row>
    <row r="175" spans="1:21" ht="15.6" x14ac:dyDescent="0.25">
      <c r="A175" s="194" t="s">
        <v>296</v>
      </c>
      <c r="B175" s="84" t="s">
        <v>349</v>
      </c>
      <c r="C175" s="60">
        <f>COUNT(D344:E345)+COUNT(D349)+COUNT(D352:E353,D355,D360)+COUNT(D363:E364,D366,D371)+COUNT(D374:E375,D377,D382)+COUNT(D385:E386,D388,D393)+COUNT(D396:E397,D399,D404)+COUNT(D407:E408,D410,D415)+COUNT(D421,D426)+COUNT(D429:E430,D432,D437)+COUNT(D440:E441,D443,D448)+COUNT(D451:E452,D454:E455,D458:E459)*7+COUNT(D465:E466,D469:E470)+COUNT(D473:E474,D476:E477,D479:E480)+COUNT(D483:E484,D486:E487,D489:E490)+COUNT(D493:E494,D496:E497,D499:E500)+COUNT(D508:E509,D512:E513)+COUNT(D516:E517,D519:E520,D523:E524)+COUNT(D527:E528,D530:E533)*5+COUNT(D539:E542)+COUNT(D545:E546,D548:E551)+COUNT(D554:E555,D557:E558,D560:E561)*2+COUNT(D564:E565,D567:E570)*4+COUNT(D574,D576:E579)+COUNT(D582:E583,D585:E586,D588:E589)</f>
        <v>198</v>
      </c>
      <c r="D175" s="191">
        <f>SUM(D344:E345)+SUM(D349)+SUM(D352:E353,D360)+SUM(D363:E364,D366,D371)+SUM(D374:E375,D377,D382)+SUM(D385:E386,D388,D393)+SUM(D396:E397,D399,D404)+SUM(D407:E408,D410,D415)+SUM(D421,D426)+SUM(D429:E430,D432,D437)+SUM(D440:E441,D443,D448)+SUM(D451:E452,D454:E455,D458:E459)*7+SUM(D465:E466,D469:E470)+SUM(D473:E474,D476:E477,D479:E480)+SUM(D483:E484,D486:E487,D489:E490)+SUM(D493:E494,D496:E497,D499:E500)+SUM(D508:E509,D512:E513)+SUM(D516:E517,D519:E520,D523:E524)+SUM(D527:E528,D530:E533)*5+SUM(D539:E542)+SUM(D545:E546,D548:E551)+SUM(D554:E555,D557:E558,D560:E561)*2+SUM(D564:E565,D567:E570)*4+SUM(D574,D576:E579)+SUM(D582:E583,D585:E586,D588:E589)</f>
        <v>184741.82496665997</v>
      </c>
      <c r="E175" s="192"/>
      <c r="F175" s="193"/>
      <c r="G175" s="191">
        <f>SUM(G344:G345)+SUM(G349)+SUM(G352:G353,G360)+SUM(G363:G364,G366,G371)+SUM(G374:G375,G377,G382)+SUM(G385:G386,G388,G393)+SUM(G396:G397,G399,G404)+SUM(G407:G408,G410,G415)+SUM(G421,G426)+SUM(G429:G430,G432,G437)+SUM(G440:G441,G443,G448)+SUM(G451:G452,G454:G455,G458:G459)*7+SUM(G465:G466,G469:G470)+SUM(G473:G474,G476:G477,G479:G480)+SUM(G483:G484,G486:G487,G489:G490)+SUM(G493:G494,G496:G497,G499:G500)+SUM(G508:G509,G512:G513)+SUM(G516:G517,G519:G520,G523:G524)+SUM(G527:G528,G530:G533)*5+SUM(G539:G542)+SUM(G545:G546,G548:G551)+SUM(G554:G555,G557:G558,G560:G561)*2+SUM(G564:G565,G567:G570)*4+SUM(G574,G576:G579)+SUM(G582:G583,G585:G586,G588:G589)</f>
        <v>295586.91994665598</v>
      </c>
      <c r="H175" s="192"/>
      <c r="I175" s="192"/>
      <c r="J175" s="193"/>
    </row>
    <row r="176" spans="1:21" ht="15.6" x14ac:dyDescent="0.25">
      <c r="A176" s="195"/>
      <c r="B176" s="84" t="s">
        <v>350</v>
      </c>
      <c r="C176" s="60">
        <f>COUNT(D351,D354)+COUNT(D362,D365)+COUNT(D373,D376)+COUNT(D384,D387)+COUNT(D395,D398)+COUNT(D406,D409)+COUNT(D428,D431)+COUNT(D439,D442)+COUNT(D450,D453,D456:E457)*7+COUNT(D467:E468)+COUNT(D472,D475,D478)+COUNT(D482,D485,D488)+COUNT(D492,D495,D498)+COUNT(D510:E511)+COUNT(D515,D518,D521:E522)+COUNT(D526,D529)*5+COUNT(D544,D547)+COUNT(D553,D556,D559)*2+COUNT(D563,D566)*4+COUNT(D572,D575)+COUNT(D581,D584,D587)</f>
        <v>92</v>
      </c>
      <c r="D176" s="191">
        <f>SUM(D351,D354)+SUM(D362,D365)+SUM(D373,D376)+SUM(D384,D387)+SUM(D395,D398)+SUM(D406,D409)+SUM(D428,D431)+SUM(D439,D442)+SUM(D450,D453,D456:E457)*7+SUM(D467:E468)+SUM(D472,D475,D478)+SUM(D482,D485,D488)+SUM(D492,D495,D498)+SUM(D510:E511)+SUM(D515,D518,D521:E522)+SUM(D526,D529)*5+SUM(D544,D547)+SUM(D553,D556,D559)*2+SUM(D563,D566)*4+SUM(D572,D575)+SUM(D581,D584,D587)</f>
        <v>27523.601819999993</v>
      </c>
      <c r="E176" s="192"/>
      <c r="F176" s="193"/>
      <c r="G176" s="191">
        <f>SUM(G351,G354)+SUM(G362,G365)+SUM(G373,G376)+SUM(G384,G387)+SUM(G395,G398)+SUM(G406,G409)+SUM(G428,G431)+SUM(G439,G442)+SUM(G450,G453,G456:G457)*7+SUM(G467:G468)+SUM(G472,G475,G478)+SUM(G482,G485,G488)+SUM(G492,G495,G498)+SUM(G510:G511)+SUM(G515,G518,G521:G522)+SUM(G526,G529)*5+SUM(G544,G547)+SUM(G553,G556,G559)*2+SUM(G563,G566)*4+SUM(G572,G575)+SUM(G581,G584,G587)</f>
        <v>44037.762911999998</v>
      </c>
      <c r="H176" s="192"/>
      <c r="I176" s="192"/>
      <c r="J176" s="193"/>
    </row>
    <row r="177" spans="1:15" ht="15.6" x14ac:dyDescent="0.25">
      <c r="A177" s="362" t="s">
        <v>224</v>
      </c>
      <c r="B177" s="363"/>
      <c r="C177" s="60">
        <f>COUNT(D593:E596)+COUNT(D598:E601)+COUNT(D603:E608)+COUNT(D610:E615)+COUNT(D617:E622)+COUNT(D624:E629)+COUNT(D631:E636)+COUNT(D638:E643)+COUNT(D647:E650)+COUNT(D652:E657)+COUNT(D659:E666)+COUNT(D668:E674)*8+COUNT(D678:E682)+COUNT(D684:E690)*8+COUNT(D694:E698)*3+COUNT(D700:E706)*7+COUNT(D708:E713)*2+COUNT(D715:E719)*6+COUNT(D723:E726)+COUNT(D728:E733)</f>
        <v>295</v>
      </c>
      <c r="D177" s="191">
        <f>SUM(D593:E596)+SUM(D598:E601)+SUM(D603:E608)+SUM(D610:E615)+SUM(D617:E622)+SUM(D624:E629)+SUM(D631:E636)+SUM(D638:E643)+SUM(D647:E650)+SUM(D652:E657)+SUM(D659:E666)+SUM(D668:E674)*8+SUM(D678:E682)+SUM(D684:E690)*8+SUM(D694:E698)*3+SUM(D700:E706)*7+SUM(D708:E713)*2+SUM(D715:E719)*6+SUM(D723:E726)+SUM(D728:E733)</f>
        <v>188085.45877289996</v>
      </c>
      <c r="E177" s="192"/>
      <c r="F177" s="193"/>
      <c r="G177" s="191">
        <f>SUM(G593:G596)+SUM(G598:G601)+SUM(G603:G608)+SUM(G610:G615)+SUM(G617:G622)+SUM(G624:G629)+SUM(G631:G636)+SUM(G638:G643)+SUM(G647:G650)+SUM(G652:G657)+SUM(G659:G666)+SUM(G668:G674)*8+SUM(G678:G682)+SUM(G684:G690)*8+SUM(G694:G698)*3+SUM(G700:G706)*7+SUM(G708:G713)*2+SUM(G715:G719)*6+SUM(G723:G726)+SUM(G728:G733)</f>
        <v>300936.73403664003</v>
      </c>
      <c r="H177" s="192"/>
      <c r="I177" s="192"/>
      <c r="J177" s="193"/>
    </row>
    <row r="178" spans="1:15" ht="15.6" x14ac:dyDescent="0.25">
      <c r="A178" s="362" t="s">
        <v>225</v>
      </c>
      <c r="B178" s="363"/>
      <c r="C178" s="60">
        <f>COUNT(D737:E739)+COUNT(D741:E746)+COUNT(D748:E755)+COUNT(D757:E764)*6+COUNT(D768:E773)+COUNT(D775:E781)*9+COUNT(D785:E789)+COUNT(D791:E797)*5+COUNT(D801:E805)+COUNT(D807:E814)*3+COUNT(D818:E823)+COUNT(D825:E832)*12+COUNT(D836:E841)+COUNT(D844:E850)</f>
        <v>318</v>
      </c>
      <c r="D178" s="191">
        <f>SUM(D737:E739)+SUM(D741:E746)+SUM(D748:E755)+SUM(D757:E764)*6+SUM(D768:E773)+SUM(D775:E781)*9+SUM(D785:E789)+SUM(D791:E797)*5+SUM(D801:E805)+SUM(D807:E814)*3+SUM(D818:E823)+SUM(D825:E832)*12+SUM(D836:E841)+SUM(D844:E850)</f>
        <v>185217.47129050002</v>
      </c>
      <c r="E178" s="192"/>
      <c r="F178" s="193"/>
      <c r="G178" s="191">
        <f>SUM(G737:G739)+SUM(G741:G746)+SUM(G748:G755)+SUM(G757:G764)*6+SUM(G768:G773)+SUM(G775:G781)*9+SUM(G785:G789)+SUM(G791:G797)*5+SUM(G801:G805)+SUM(G807:G814)*3+SUM(G818:G823)+SUM(G825:G832)*12+SUM(G836:G841)+SUM(G844:G850)</f>
        <v>296347.9540648</v>
      </c>
      <c r="H178" s="192"/>
      <c r="I178" s="192"/>
      <c r="J178" s="193"/>
    </row>
    <row r="179" spans="1:15" ht="15.6" x14ac:dyDescent="0.25">
      <c r="A179" s="364" t="s">
        <v>345</v>
      </c>
      <c r="B179" s="366"/>
      <c r="C179" s="60">
        <f>COUNT(D854:E855,D858:E861)+COUNT(D863:E864,D867:E870)+COUNT(D872:E873,D876:E879)*2+COUNT(D881:E882,D885:E888)+COUNT(D890:E897)+COUNT(D899:E906)*8+COUNT(D908:E911,D914:E915)*2+COUNT(D917:E924)*2+COUNT(D926:E933)*9+COUNT(D935:E938,D941:E942)+COUNT(D944:E951)+COUNT(D953:E956,D959:E960)+COUNT(D962:E969)+COUNT(D971:E978)*5+COUNT(D980:E981,D983:E984)+COUNT(D986:E989)</f>
        <v>278</v>
      </c>
      <c r="D179" s="191">
        <f>SUM(D854:E855,D858:E861)+SUM(D863:E864,D867:E870)+SUM(D872:E873,D876:E879)*2+SUM(D881:E882,D885:E888)+SUM(D890:E897)+SUM(D899:E906)*8+SUM(D908:E911,D914:E915)*2+SUM(D917:E924)*2+SUM(D926:E933)*9+SUM(D935:E938,D941:E942)+SUM(D944:E951)+SUM(D953:E956,D959:E960)+SUM(D962:E969)+SUM(D971:E978)*5+SUM(D980:E981,D983:E984)+SUM(D986:E989)</f>
        <v>325906.28881199996</v>
      </c>
      <c r="E179" s="192"/>
      <c r="F179" s="193"/>
      <c r="G179" s="191">
        <f>SUM(G854:G855,G858:G861)+SUM(G863:G864,G867:G870)+SUM(G872:G873,G876:G879)*2+SUM(G881:G882,G885:G888)+SUM(G890:H897)+SUM(G899:G906)*8+SUM(G908:G911,G914:G915)*2+SUM(G917:G924)*2+SUM(G926:G933)*9+SUM(G935:G938,G941:G942)+SUM(G944:G951)+SUM(G953:G956,G959:G960)+SUM(G962:G969)+SUM(G971:G978)*5+SUM(G980:G981,G983:G984)+SUM(G986:G989)</f>
        <v>521726.50852920004</v>
      </c>
      <c r="H179" s="192"/>
      <c r="I179" s="192"/>
      <c r="J179" s="193"/>
    </row>
    <row r="180" spans="1:15" ht="15.6" hidden="1" x14ac:dyDescent="0.25">
      <c r="A180" s="372" t="s">
        <v>346</v>
      </c>
      <c r="B180" s="373"/>
      <c r="C180" s="90">
        <f>COUNT(D993:E998)+COUNT(D1002:E1007)+COUNT(D1011:E1016)+COUNT(D1020:E1025)+COUNT(D1029:E1034)+COUNT(D1038:E1045)</f>
        <v>38</v>
      </c>
      <c r="D180" s="374">
        <f>SUM(D993:E998)+SUM(D1002:E1007)+SUM(D1011:E1016)+SUM(D1020:E1025)+SUM(D1029:E1034)+SUM(D1038:E1045)</f>
        <v>46161.946817999997</v>
      </c>
      <c r="E180" s="375"/>
      <c r="F180" s="376"/>
      <c r="G180" s="374">
        <f>SUM(G993:G998)+SUM(G1002:G1007)+SUM(G1011:G1016)+SUM(G1020:G1025)+SUM(G1029:G1034)+SUM(G1038:G1045)</f>
        <v>74119.76516879999</v>
      </c>
      <c r="H180" s="375"/>
      <c r="I180" s="375"/>
      <c r="J180" s="376"/>
    </row>
    <row r="181" spans="1:15" ht="15.6" x14ac:dyDescent="0.25">
      <c r="A181" s="367" t="s">
        <v>87</v>
      </c>
      <c r="B181" s="368"/>
      <c r="C181" s="92">
        <f>SUM(C174:C179)</f>
        <v>1412</v>
      </c>
      <c r="D181" s="369">
        <f>SUM(D174:F179)</f>
        <v>1109253.2800254999</v>
      </c>
      <c r="E181" s="370"/>
      <c r="F181" s="371"/>
      <c r="G181" s="369">
        <f>SUM(G174:J179)</f>
        <v>1775202.9428578001</v>
      </c>
      <c r="H181" s="370"/>
      <c r="I181" s="370"/>
      <c r="J181" s="371"/>
      <c r="L181" s="61">
        <f>25000/1.6</f>
        <v>15625</v>
      </c>
      <c r="M181" s="61">
        <f>150000+5000+5.5*G188*24</f>
        <v>765545.22840396792</v>
      </c>
      <c r="N181" s="61">
        <f>M181/G188</f>
        <v>165.51103087560716</v>
      </c>
      <c r="O181" s="61">
        <f>L181+N181</f>
        <v>15790.511030875607</v>
      </c>
    </row>
    <row r="182" spans="1:15" ht="15.6" x14ac:dyDescent="0.25">
      <c r="A182" s="167" t="s">
        <v>215</v>
      </c>
      <c r="B182" s="168"/>
      <c r="C182" s="168"/>
      <c r="D182" s="168"/>
      <c r="E182" s="168"/>
      <c r="F182" s="168"/>
      <c r="G182" s="168"/>
      <c r="H182" s="168"/>
      <c r="I182" s="168"/>
      <c r="J182" s="169"/>
    </row>
    <row r="183" spans="1:15" ht="15.6" x14ac:dyDescent="0.25">
      <c r="A183" s="167" t="s">
        <v>384</v>
      </c>
      <c r="B183" s="168"/>
      <c r="C183" s="168"/>
      <c r="D183" s="168"/>
      <c r="E183" s="168"/>
      <c r="F183" s="168"/>
      <c r="G183" s="168"/>
      <c r="H183" s="168"/>
      <c r="I183" s="168"/>
      <c r="J183" s="169"/>
    </row>
    <row r="184" spans="1:15" ht="46.8" x14ac:dyDescent="0.25">
      <c r="A184" s="170" t="s">
        <v>216</v>
      </c>
      <c r="B184" s="171"/>
      <c r="C184" s="57" t="s">
        <v>217</v>
      </c>
      <c r="D184" s="170" t="s">
        <v>218</v>
      </c>
      <c r="E184" s="171"/>
      <c r="F184" s="58" t="s">
        <v>219</v>
      </c>
      <c r="G184" s="57" t="s">
        <v>242</v>
      </c>
      <c r="H184" s="170" t="s">
        <v>220</v>
      </c>
      <c r="I184" s="172"/>
      <c r="J184" s="171"/>
      <c r="L184" s="61">
        <f>25000/1.6</f>
        <v>15625</v>
      </c>
      <c r="M184" s="61">
        <f>150000+5000+5.5*G191*24</f>
        <v>270463.79187199997</v>
      </c>
      <c r="N184" s="61">
        <f>M184/G191</f>
        <v>309.19840712213397</v>
      </c>
      <c r="O184" s="61">
        <f>L184+N184</f>
        <v>15934.198407122134</v>
      </c>
    </row>
    <row r="185" spans="1:15" ht="15.6" x14ac:dyDescent="0.25">
      <c r="A185" s="143" t="s">
        <v>256</v>
      </c>
      <c r="B185" s="144"/>
      <c r="C185" s="144"/>
      <c r="D185" s="144"/>
      <c r="E185" s="144"/>
      <c r="F185" s="144"/>
      <c r="G185" s="144"/>
      <c r="H185" s="144"/>
      <c r="I185" s="144"/>
      <c r="J185" s="145"/>
    </row>
    <row r="186" spans="1:15" ht="15.6" x14ac:dyDescent="0.25">
      <c r="A186" s="114" t="s">
        <v>221</v>
      </c>
      <c r="B186" s="115"/>
      <c r="C186" s="115"/>
      <c r="D186" s="115"/>
      <c r="E186" s="115"/>
      <c r="F186" s="115"/>
      <c r="G186" s="115"/>
      <c r="H186" s="115"/>
      <c r="I186" s="115"/>
      <c r="J186" s="116"/>
      <c r="L186" s="61">
        <f>25000/1.6</f>
        <v>15625</v>
      </c>
      <c r="M186" s="61">
        <f>150000+5000+5.5*G193*24</f>
        <v>155000</v>
      </c>
      <c r="N186" s="61" t="e">
        <f>M186/G193</f>
        <v>#DIV/0!</v>
      </c>
      <c r="O186" s="61" t="e">
        <f>L186+N186</f>
        <v>#DIV/0!</v>
      </c>
    </row>
    <row r="187" spans="1:15" ht="15.6" x14ac:dyDescent="0.25">
      <c r="A187" s="114" t="s">
        <v>222</v>
      </c>
      <c r="B187" s="115"/>
      <c r="C187" s="115"/>
      <c r="D187" s="115"/>
      <c r="E187" s="115"/>
      <c r="F187" s="115"/>
      <c r="G187" s="115"/>
      <c r="H187" s="115"/>
      <c r="I187" s="115"/>
      <c r="J187" s="116"/>
    </row>
    <row r="188" spans="1:15" ht="48" customHeight="1" x14ac:dyDescent="0.25">
      <c r="A188" s="111">
        <v>5</v>
      </c>
      <c r="B188" s="112"/>
      <c r="C188" s="59" t="s">
        <v>306</v>
      </c>
      <c r="D188" s="111">
        <f>(249.767+3.41*1.201+3.11*1.21+2.4*1.1+1.36*3.8+1.16*2.7)*10.764</f>
        <v>2890.8391496399995</v>
      </c>
      <c r="E188" s="112"/>
      <c r="F188" s="59">
        <v>0</v>
      </c>
      <c r="G188" s="59">
        <f>D188*1.6+F188</f>
        <v>4625.3426394239996</v>
      </c>
      <c r="H188" s="117" t="str">
        <f>A187</f>
        <v>Ground Floor for Residential &amp; Parking</v>
      </c>
      <c r="I188" s="118"/>
      <c r="J188" s="119"/>
    </row>
    <row r="189" spans="1:15" ht="41.25" customHeight="1" x14ac:dyDescent="0.25">
      <c r="A189" s="111">
        <v>8</v>
      </c>
      <c r="B189" s="112"/>
      <c r="C189" s="59" t="s">
        <v>277</v>
      </c>
      <c r="D189" s="111">
        <f>(208.315+1.42*1.15+1.42*1.15)*10.764</f>
        <v>2277.4578839999999</v>
      </c>
      <c r="E189" s="112"/>
      <c r="F189" s="59">
        <v>0</v>
      </c>
      <c r="G189" s="59">
        <f t="shared" ref="G189" si="0">D189*1.6+F189</f>
        <v>3643.9326144000001</v>
      </c>
      <c r="H189" s="120"/>
      <c r="I189" s="121"/>
      <c r="J189" s="122"/>
    </row>
    <row r="190" spans="1:15" ht="15.6" x14ac:dyDescent="0.25">
      <c r="A190" s="114" t="s">
        <v>257</v>
      </c>
      <c r="B190" s="115"/>
      <c r="C190" s="115"/>
      <c r="D190" s="115"/>
      <c r="E190" s="115"/>
      <c r="F190" s="115"/>
      <c r="G190" s="115"/>
      <c r="H190" s="115"/>
      <c r="I190" s="115"/>
      <c r="J190" s="116"/>
      <c r="L190" s="61">
        <f>25000/1.6</f>
        <v>15625</v>
      </c>
      <c r="M190" s="61">
        <f>150000+5000+5.5*G196*24</f>
        <v>335205.81083648</v>
      </c>
      <c r="N190" s="61">
        <f>M190/G196</f>
        <v>245.53684936700267</v>
      </c>
      <c r="O190" s="61">
        <f>L190+N190</f>
        <v>15870.536849367003</v>
      </c>
    </row>
    <row r="191" spans="1:15" ht="15.6" x14ac:dyDescent="0.25">
      <c r="A191" s="111">
        <v>2</v>
      </c>
      <c r="B191" s="112"/>
      <c r="C191" s="59" t="s">
        <v>176</v>
      </c>
      <c r="D191" s="111">
        <f t="shared" ref="D191:D192" si="1">(48.33+1*2.46)*10.764</f>
        <v>546.70355999999992</v>
      </c>
      <c r="E191" s="112"/>
      <c r="F191" s="59">
        <v>0</v>
      </c>
      <c r="G191" s="59">
        <f>D191*1.6+F191</f>
        <v>874.72569599999997</v>
      </c>
      <c r="H191" s="117" t="str">
        <f>A190</f>
        <v xml:space="preserve">1st Floor </v>
      </c>
      <c r="I191" s="118"/>
      <c r="J191" s="119"/>
    </row>
    <row r="192" spans="1:15" ht="15.6" x14ac:dyDescent="0.25">
      <c r="A192" s="111">
        <v>3</v>
      </c>
      <c r="B192" s="112"/>
      <c r="C192" s="59" t="s">
        <v>176</v>
      </c>
      <c r="D192" s="111">
        <f t="shared" si="1"/>
        <v>546.70355999999992</v>
      </c>
      <c r="E192" s="112"/>
      <c r="F192" s="59">
        <v>0</v>
      </c>
      <c r="G192" s="59">
        <f t="shared" ref="G192" si="2">D192*1.6+F192</f>
        <v>874.72569599999997</v>
      </c>
      <c r="H192" s="120"/>
      <c r="I192" s="121"/>
      <c r="J192" s="122"/>
    </row>
    <row r="193" spans="1:15" ht="15.6" x14ac:dyDescent="0.25">
      <c r="A193" s="111">
        <v>5</v>
      </c>
      <c r="B193" s="112"/>
      <c r="C193" s="111" t="s">
        <v>258</v>
      </c>
      <c r="D193" s="113"/>
      <c r="E193" s="113"/>
      <c r="F193" s="113"/>
      <c r="G193" s="112"/>
      <c r="H193" s="120"/>
      <c r="I193" s="121"/>
      <c r="J193" s="122"/>
    </row>
    <row r="194" spans="1:15" ht="15.6" x14ac:dyDescent="0.25">
      <c r="A194" s="111">
        <v>8</v>
      </c>
      <c r="B194" s="112"/>
      <c r="C194" s="111" t="s">
        <v>258</v>
      </c>
      <c r="D194" s="113"/>
      <c r="E194" s="113"/>
      <c r="F194" s="113"/>
      <c r="G194" s="112"/>
      <c r="H194" s="123"/>
      <c r="I194" s="124"/>
      <c r="J194" s="125"/>
      <c r="L194" s="61">
        <f>25000/1.6</f>
        <v>15625</v>
      </c>
      <c r="M194" s="61">
        <f>150000+5000+5.5*G200*24</f>
        <v>446538.00406016002</v>
      </c>
      <c r="N194" s="61">
        <f>M194/G200</f>
        <v>202.17952964985656</v>
      </c>
      <c r="O194" s="61">
        <f>L194+N194</f>
        <v>15827.179529649857</v>
      </c>
    </row>
    <row r="195" spans="1:15" ht="15.6" x14ac:dyDescent="0.25">
      <c r="A195" s="114" t="s">
        <v>259</v>
      </c>
      <c r="B195" s="115"/>
      <c r="C195" s="115"/>
      <c r="D195" s="115"/>
      <c r="E195" s="115"/>
      <c r="F195" s="115"/>
      <c r="G195" s="115"/>
      <c r="H195" s="115"/>
      <c r="I195" s="115"/>
      <c r="J195" s="116"/>
    </row>
    <row r="196" spans="1:15" ht="15.6" x14ac:dyDescent="0.25">
      <c r="A196" s="111">
        <v>1</v>
      </c>
      <c r="B196" s="112"/>
      <c r="C196" s="59" t="s">
        <v>177</v>
      </c>
      <c r="D196" s="111">
        <f>(76.195+1.36*2.26)*10.764</f>
        <v>853.24721039999986</v>
      </c>
      <c r="E196" s="112"/>
      <c r="F196" s="59">
        <v>0</v>
      </c>
      <c r="G196" s="59">
        <f>D196*1.6+F196</f>
        <v>1365.1955366399998</v>
      </c>
      <c r="H196" s="117" t="str">
        <f>A195</f>
        <v xml:space="preserve">2nd Floor </v>
      </c>
      <c r="I196" s="118"/>
      <c r="J196" s="119"/>
    </row>
    <row r="197" spans="1:15" ht="15.6" x14ac:dyDescent="0.25">
      <c r="A197" s="111">
        <v>2</v>
      </c>
      <c r="B197" s="112"/>
      <c r="C197" s="59" t="s">
        <v>176</v>
      </c>
      <c r="D197" s="111">
        <f>(48.33+1*2.46)*10.764</f>
        <v>546.70355999999992</v>
      </c>
      <c r="E197" s="112"/>
      <c r="F197" s="59">
        <v>0</v>
      </c>
      <c r="G197" s="59">
        <f t="shared" ref="G197:G198" si="3">D197*1.6+F197</f>
        <v>874.72569599999997</v>
      </c>
      <c r="H197" s="120"/>
      <c r="I197" s="121"/>
      <c r="J197" s="122"/>
    </row>
    <row r="198" spans="1:15" ht="15.6" x14ac:dyDescent="0.25">
      <c r="A198" s="111">
        <v>3</v>
      </c>
      <c r="B198" s="112"/>
      <c r="C198" s="59" t="s">
        <v>176</v>
      </c>
      <c r="D198" s="111">
        <f>(48.33+1*2.46)*10.764</f>
        <v>546.70355999999992</v>
      </c>
      <c r="E198" s="112"/>
      <c r="F198" s="59">
        <v>0</v>
      </c>
      <c r="G198" s="59">
        <f t="shared" si="3"/>
        <v>874.72569599999997</v>
      </c>
      <c r="H198" s="120"/>
      <c r="I198" s="121"/>
      <c r="J198" s="122"/>
    </row>
    <row r="199" spans="1:15" ht="15.6" x14ac:dyDescent="0.25">
      <c r="A199" s="111">
        <v>4</v>
      </c>
      <c r="B199" s="112"/>
      <c r="C199" s="111" t="s">
        <v>119</v>
      </c>
      <c r="D199" s="113"/>
      <c r="E199" s="113"/>
      <c r="F199" s="113"/>
      <c r="G199" s="112"/>
      <c r="H199" s="120"/>
      <c r="I199" s="121"/>
      <c r="J199" s="122"/>
      <c r="L199" s="61">
        <f>25000/1.6</f>
        <v>15625</v>
      </c>
      <c r="M199" s="61">
        <f>150000+5000+5.5*G205*24</f>
        <v>334126.87569919997</v>
      </c>
      <c r="N199" s="61">
        <f>M199/G205</f>
        <v>246.22071601559998</v>
      </c>
      <c r="O199" s="61">
        <f>L199+N199</f>
        <v>15871.220716015599</v>
      </c>
    </row>
    <row r="200" spans="1:15" ht="15.6" x14ac:dyDescent="0.25">
      <c r="A200" s="111">
        <v>5</v>
      </c>
      <c r="B200" s="112"/>
      <c r="C200" s="59" t="s">
        <v>178</v>
      </c>
      <c r="D200" s="111">
        <f>(114.706+1.36*3.51+1.16*2.51+0.9*3.1+0.9*3.4)*10.764</f>
        <v>1380.3882767999999</v>
      </c>
      <c r="E200" s="112"/>
      <c r="F200" s="59">
        <v>0</v>
      </c>
      <c r="G200" s="59">
        <f>D200*1.6+F200</f>
        <v>2208.62124288</v>
      </c>
      <c r="H200" s="120"/>
      <c r="I200" s="121"/>
      <c r="J200" s="122"/>
    </row>
    <row r="201" spans="1:15" ht="15.6" x14ac:dyDescent="0.25">
      <c r="A201" s="111">
        <v>6</v>
      </c>
      <c r="B201" s="112"/>
      <c r="C201" s="59" t="s">
        <v>177</v>
      </c>
      <c r="D201" s="111">
        <f>(71.02+1.15*3.2+1.1*2.51+0.92*3.41)*10.764</f>
        <v>867.55902479999986</v>
      </c>
      <c r="E201" s="112"/>
      <c r="F201" s="59">
        <v>0</v>
      </c>
      <c r="G201" s="59">
        <f t="shared" ref="G201:G203" si="4">D201*1.6+F201</f>
        <v>1388.0944396799998</v>
      </c>
      <c r="H201" s="120"/>
      <c r="I201" s="121"/>
      <c r="J201" s="122"/>
    </row>
    <row r="202" spans="1:15" ht="15.6" x14ac:dyDescent="0.25">
      <c r="A202" s="111">
        <v>7</v>
      </c>
      <c r="B202" s="112"/>
      <c r="C202" s="59" t="s">
        <v>177</v>
      </c>
      <c r="D202" s="111">
        <f>(70.403+1.15*3.2+1.1*2.46)*10.764</f>
        <v>826.55679599999996</v>
      </c>
      <c r="E202" s="112"/>
      <c r="F202" s="59">
        <v>0</v>
      </c>
      <c r="G202" s="59">
        <f t="shared" si="4"/>
        <v>1322.4908736</v>
      </c>
      <c r="H202" s="120"/>
      <c r="I202" s="121"/>
      <c r="J202" s="122"/>
    </row>
    <row r="203" spans="1:15" ht="15.6" x14ac:dyDescent="0.25">
      <c r="A203" s="111">
        <v>8</v>
      </c>
      <c r="B203" s="112"/>
      <c r="C203" s="59" t="s">
        <v>178</v>
      </c>
      <c r="D203" s="111">
        <f>(112.878+1.3*1.6)*10.764</f>
        <v>1237.4079119999999</v>
      </c>
      <c r="E203" s="112"/>
      <c r="F203" s="59">
        <v>0</v>
      </c>
      <c r="G203" s="59">
        <f t="shared" si="4"/>
        <v>1979.8526591999998</v>
      </c>
      <c r="H203" s="123"/>
      <c r="I203" s="124"/>
      <c r="J203" s="125"/>
      <c r="L203" s="61">
        <f>25000/1.6</f>
        <v>15625</v>
      </c>
      <c r="M203" s="61">
        <f>150000+5000+5.5*G209*24</f>
        <v>430861.84491007996</v>
      </c>
      <c r="N203" s="61">
        <f>M203/G209</f>
        <v>206.1675602389636</v>
      </c>
      <c r="O203" s="61">
        <f>L203+N203</f>
        <v>15831.167560238964</v>
      </c>
    </row>
    <row r="204" spans="1:15" ht="15.6" x14ac:dyDescent="0.25">
      <c r="A204" s="114" t="s">
        <v>261</v>
      </c>
      <c r="B204" s="115"/>
      <c r="C204" s="115"/>
      <c r="D204" s="115"/>
      <c r="E204" s="115"/>
      <c r="F204" s="115"/>
      <c r="G204" s="115"/>
      <c r="H204" s="115"/>
      <c r="I204" s="115"/>
      <c r="J204" s="116"/>
    </row>
    <row r="205" spans="1:15" ht="15.6" x14ac:dyDescent="0.25">
      <c r="A205" s="111">
        <v>1</v>
      </c>
      <c r="B205" s="112"/>
      <c r="C205" s="59" t="s">
        <v>177</v>
      </c>
      <c r="D205" s="111">
        <f>(76.195+1.15*2.26)*10.764</f>
        <v>848.13861599999996</v>
      </c>
      <c r="E205" s="112"/>
      <c r="F205" s="59">
        <v>0</v>
      </c>
      <c r="G205" s="59">
        <f>D205*1.6+F205</f>
        <v>1357.0217855999999</v>
      </c>
      <c r="H205" s="117" t="str">
        <f>A204</f>
        <v>3rd Floor</v>
      </c>
      <c r="I205" s="118"/>
      <c r="J205" s="119"/>
    </row>
    <row r="206" spans="1:15" ht="15.6" x14ac:dyDescent="0.25">
      <c r="A206" s="111">
        <v>2</v>
      </c>
      <c r="B206" s="112"/>
      <c r="C206" s="59" t="s">
        <v>176</v>
      </c>
      <c r="D206" s="111">
        <f>(48.33+1*2.2)*10.764</f>
        <v>543.90491999999995</v>
      </c>
      <c r="E206" s="112"/>
      <c r="F206" s="59">
        <v>0</v>
      </c>
      <c r="G206" s="59">
        <f t="shared" ref="G206:G207" si="5">D206*1.6+F206</f>
        <v>870.24787199999992</v>
      </c>
      <c r="H206" s="120"/>
      <c r="I206" s="121"/>
      <c r="J206" s="122"/>
    </row>
    <row r="207" spans="1:15" ht="15.6" x14ac:dyDescent="0.25">
      <c r="A207" s="111">
        <v>3</v>
      </c>
      <c r="B207" s="112"/>
      <c r="C207" s="59" t="s">
        <v>176</v>
      </c>
      <c r="D207" s="111">
        <f>(48.33+1*2.2)*10.764</f>
        <v>543.90491999999995</v>
      </c>
      <c r="E207" s="112"/>
      <c r="F207" s="59">
        <v>0</v>
      </c>
      <c r="G207" s="59">
        <f t="shared" si="5"/>
        <v>870.24787199999992</v>
      </c>
      <c r="H207" s="120"/>
      <c r="I207" s="121"/>
      <c r="J207" s="122"/>
    </row>
    <row r="208" spans="1:15" ht="15.6" x14ac:dyDescent="0.25">
      <c r="A208" s="111">
        <v>4</v>
      </c>
      <c r="B208" s="112"/>
      <c r="C208" s="111" t="s">
        <v>119</v>
      </c>
      <c r="D208" s="113"/>
      <c r="E208" s="113"/>
      <c r="F208" s="113"/>
      <c r="G208" s="112"/>
      <c r="H208" s="120"/>
      <c r="I208" s="121"/>
      <c r="J208" s="122"/>
      <c r="L208" s="61">
        <f>25000/1.6</f>
        <v>15625</v>
      </c>
      <c r="M208" s="61">
        <f>150000+5000+5.5*G214*24</f>
        <v>333970.01407999999</v>
      </c>
      <c r="N208" s="61">
        <f>M208/G214</f>
        <v>246.32082690038979</v>
      </c>
      <c r="O208" s="61">
        <f>L208+N208</f>
        <v>15871.32082690039</v>
      </c>
    </row>
    <row r="209" spans="1:15" ht="15.6" x14ac:dyDescent="0.25">
      <c r="A209" s="111">
        <v>5</v>
      </c>
      <c r="B209" s="112"/>
      <c r="C209" s="59" t="s">
        <v>178</v>
      </c>
      <c r="D209" s="111">
        <f>(113.674+1.36*3.5+1.16*2.51)*10.764</f>
        <v>1306.1640384</v>
      </c>
      <c r="E209" s="112"/>
      <c r="F209" s="59">
        <v>0</v>
      </c>
      <c r="G209" s="59">
        <f>D209*1.6+F209</f>
        <v>2089.8624614400001</v>
      </c>
      <c r="H209" s="120"/>
      <c r="I209" s="121"/>
      <c r="J209" s="122"/>
    </row>
    <row r="210" spans="1:15" ht="15.6" x14ac:dyDescent="0.25">
      <c r="A210" s="111">
        <v>6</v>
      </c>
      <c r="B210" s="112"/>
      <c r="C210" s="59" t="s">
        <v>177</v>
      </c>
      <c r="D210" s="150">
        <f>(69.891+1.1*2.5)*10.764</f>
        <v>781.90772400000003</v>
      </c>
      <c r="E210" s="151"/>
      <c r="F210" s="59">
        <v>0</v>
      </c>
      <c r="G210" s="59">
        <f t="shared" ref="G210:G212" si="6">D210*1.6+F210</f>
        <v>1251.0523584000002</v>
      </c>
      <c r="H210" s="120"/>
      <c r="I210" s="121"/>
      <c r="J210" s="122"/>
    </row>
    <row r="211" spans="1:15" ht="15.6" x14ac:dyDescent="0.25">
      <c r="A211" s="111">
        <v>7</v>
      </c>
      <c r="B211" s="112"/>
      <c r="C211" s="59" t="s">
        <v>177</v>
      </c>
      <c r="D211" s="111">
        <f>(69.92+1.105*2.51)*10.764</f>
        <v>782.47337219999997</v>
      </c>
      <c r="E211" s="112"/>
      <c r="F211" s="59">
        <v>0</v>
      </c>
      <c r="G211" s="59">
        <f t="shared" si="6"/>
        <v>1251.9573955200001</v>
      </c>
      <c r="H211" s="120"/>
      <c r="I211" s="121"/>
      <c r="J211" s="122"/>
    </row>
    <row r="212" spans="1:15" ht="15.6" x14ac:dyDescent="0.25">
      <c r="A212" s="111">
        <v>8</v>
      </c>
      <c r="B212" s="112"/>
      <c r="C212" s="59" t="s">
        <v>178</v>
      </c>
      <c r="D212" s="111">
        <f>(112.878+1.3*1.67)*10.764</f>
        <v>1238.387436</v>
      </c>
      <c r="E212" s="112"/>
      <c r="F212" s="59">
        <v>0</v>
      </c>
      <c r="G212" s="59">
        <f t="shared" si="6"/>
        <v>1981.4198976</v>
      </c>
      <c r="H212" s="123"/>
      <c r="I212" s="124"/>
      <c r="J212" s="125"/>
      <c r="L212" s="61">
        <f>25000/1.6</f>
        <v>15625</v>
      </c>
      <c r="M212" s="61">
        <f>150000+5000+5.5*G218*24</f>
        <v>428924.4902451199</v>
      </c>
      <c r="N212" s="61">
        <f>M212/G218</f>
        <v>206.69211672783061</v>
      </c>
      <c r="O212" s="61">
        <f>L212+N212</f>
        <v>15831.692116727831</v>
      </c>
    </row>
    <row r="213" spans="1:15" ht="15.6" x14ac:dyDescent="0.25">
      <c r="A213" s="114" t="s">
        <v>262</v>
      </c>
      <c r="B213" s="115"/>
      <c r="C213" s="115"/>
      <c r="D213" s="115"/>
      <c r="E213" s="115"/>
      <c r="F213" s="115"/>
      <c r="G213" s="115"/>
      <c r="H213" s="115"/>
      <c r="I213" s="115"/>
      <c r="J213" s="116"/>
    </row>
    <row r="214" spans="1:15" ht="15.6" x14ac:dyDescent="0.25">
      <c r="A214" s="111">
        <v>1</v>
      </c>
      <c r="B214" s="112"/>
      <c r="C214" s="59" t="s">
        <v>177</v>
      </c>
      <c r="D214" s="111">
        <f>(76.195+1.15*2.2)*10.764</f>
        <v>847.39589999999987</v>
      </c>
      <c r="E214" s="112"/>
      <c r="F214" s="59">
        <v>0</v>
      </c>
      <c r="G214" s="59">
        <f>D214*1.6+F214</f>
        <v>1355.8334399999999</v>
      </c>
      <c r="H214" s="117" t="str">
        <f>A213</f>
        <v>4th Floor</v>
      </c>
      <c r="I214" s="118"/>
      <c r="J214" s="119"/>
    </row>
    <row r="215" spans="1:15" ht="15.6" x14ac:dyDescent="0.25">
      <c r="A215" s="111">
        <v>2</v>
      </c>
      <c r="B215" s="112"/>
      <c r="C215" s="59" t="s">
        <v>176</v>
      </c>
      <c r="D215" s="111">
        <f>(48.33+1*2.2)*10.764</f>
        <v>543.90491999999995</v>
      </c>
      <c r="E215" s="112"/>
      <c r="F215" s="59">
        <v>0</v>
      </c>
      <c r="G215" s="59">
        <f t="shared" ref="G215:G216" si="7">D215*1.6+F215</f>
        <v>870.24787199999992</v>
      </c>
      <c r="H215" s="120"/>
      <c r="I215" s="121"/>
      <c r="J215" s="122"/>
    </row>
    <row r="216" spans="1:15" ht="15.6" x14ac:dyDescent="0.25">
      <c r="A216" s="111">
        <v>3</v>
      </c>
      <c r="B216" s="112"/>
      <c r="C216" s="59" t="s">
        <v>176</v>
      </c>
      <c r="D216" s="111">
        <f>(48.33+1*2.2)*10.764</f>
        <v>543.90491999999995</v>
      </c>
      <c r="E216" s="112"/>
      <c r="F216" s="59">
        <v>0</v>
      </c>
      <c r="G216" s="59">
        <f t="shared" si="7"/>
        <v>870.24787199999992</v>
      </c>
      <c r="H216" s="120"/>
      <c r="I216" s="121"/>
      <c r="J216" s="122"/>
    </row>
    <row r="217" spans="1:15" ht="15.6" x14ac:dyDescent="0.25">
      <c r="A217" s="111">
        <v>4</v>
      </c>
      <c r="B217" s="112"/>
      <c r="C217" s="111" t="s">
        <v>119</v>
      </c>
      <c r="D217" s="113"/>
      <c r="E217" s="113"/>
      <c r="F217" s="113"/>
      <c r="G217" s="112"/>
      <c r="H217" s="120"/>
      <c r="I217" s="121"/>
      <c r="J217" s="122"/>
      <c r="L217" s="61">
        <f>25000/1.6</f>
        <v>15625</v>
      </c>
      <c r="M217" s="61">
        <f>150000+5000+5.5*G223*24</f>
        <v>333719.94483200001</v>
      </c>
      <c r="N217" s="61">
        <f>M217/G223</f>
        <v>246.4807873527086</v>
      </c>
      <c r="O217" s="61">
        <f>L217+N217</f>
        <v>15871.480787352708</v>
      </c>
    </row>
    <row r="218" spans="1:15" ht="15.6" x14ac:dyDescent="0.25">
      <c r="A218" s="111">
        <v>5</v>
      </c>
      <c r="B218" s="112"/>
      <c r="C218" s="59" t="s">
        <v>178</v>
      </c>
      <c r="D218" s="111">
        <f>(113.674+3.3*1.2+1.16*2.465)*10.764</f>
        <v>1296.9909575999998</v>
      </c>
      <c r="E218" s="112"/>
      <c r="F218" s="59">
        <v>0</v>
      </c>
      <c r="G218" s="59">
        <f>D218*1.6+F218</f>
        <v>2075.1855321599996</v>
      </c>
      <c r="H218" s="120"/>
      <c r="I218" s="121"/>
      <c r="J218" s="122"/>
    </row>
    <row r="219" spans="1:15" ht="15.6" x14ac:dyDescent="0.25">
      <c r="A219" s="111">
        <v>6</v>
      </c>
      <c r="B219" s="112"/>
      <c r="C219" s="59" t="s">
        <v>177</v>
      </c>
      <c r="D219" s="111">
        <f>(70.478+1.105*2.26)*10.764</f>
        <v>785.5061291999998</v>
      </c>
      <c r="E219" s="112"/>
      <c r="F219" s="59">
        <v>0</v>
      </c>
      <c r="G219" s="59">
        <f t="shared" ref="G219:G221" si="8">D219*1.6+F219</f>
        <v>1256.8098067199999</v>
      </c>
      <c r="H219" s="120"/>
      <c r="I219" s="121"/>
      <c r="J219" s="122"/>
    </row>
    <row r="220" spans="1:15" ht="15.6" x14ac:dyDescent="0.25">
      <c r="A220" s="111">
        <v>7</v>
      </c>
      <c r="B220" s="112"/>
      <c r="C220" s="59" t="s">
        <v>177</v>
      </c>
      <c r="D220" s="111">
        <f>(69.27+1.105*2.2)*10.764</f>
        <v>771.78956399999993</v>
      </c>
      <c r="E220" s="112"/>
      <c r="F220" s="59">
        <v>0</v>
      </c>
      <c r="G220" s="59">
        <f t="shared" si="8"/>
        <v>1234.8633024000001</v>
      </c>
      <c r="H220" s="120"/>
      <c r="I220" s="121"/>
      <c r="J220" s="122"/>
    </row>
    <row r="221" spans="1:15" ht="15.6" x14ac:dyDescent="0.25">
      <c r="A221" s="111">
        <v>8</v>
      </c>
      <c r="B221" s="112"/>
      <c r="C221" s="59" t="s">
        <v>178</v>
      </c>
      <c r="D221" s="111">
        <f>(113.664+1.42*1.15)*10.764</f>
        <v>1241.0569079999998</v>
      </c>
      <c r="E221" s="112"/>
      <c r="F221" s="59">
        <v>0</v>
      </c>
      <c r="G221" s="59">
        <f t="shared" si="8"/>
        <v>1985.6910527999999</v>
      </c>
      <c r="H221" s="123"/>
      <c r="I221" s="124"/>
      <c r="J221" s="125"/>
      <c r="L221" s="61">
        <f>25000/1.6</f>
        <v>15625</v>
      </c>
      <c r="M221" s="61">
        <f>150000+5000+5.5*G227*24</f>
        <v>429194.11036159995</v>
      </c>
      <c r="N221" s="61">
        <f>M221/G227</f>
        <v>206.6186705944117</v>
      </c>
      <c r="O221" s="61">
        <f>L221+N221</f>
        <v>15831.618670594411</v>
      </c>
    </row>
    <row r="222" spans="1:15" ht="15.6" x14ac:dyDescent="0.25">
      <c r="A222" s="114" t="s">
        <v>263</v>
      </c>
      <c r="B222" s="115"/>
      <c r="C222" s="115"/>
      <c r="D222" s="115"/>
      <c r="E222" s="115"/>
      <c r="F222" s="115"/>
      <c r="G222" s="115"/>
      <c r="H222" s="115"/>
      <c r="I222" s="115"/>
      <c r="J222" s="116"/>
      <c r="K222" s="26">
        <f>21546307/G229</f>
        <v>17327.742051580572</v>
      </c>
    </row>
    <row r="223" spans="1:15" ht="15.6" x14ac:dyDescent="0.25">
      <c r="A223" s="111">
        <v>1</v>
      </c>
      <c r="B223" s="112"/>
      <c r="C223" s="59" t="s">
        <v>177</v>
      </c>
      <c r="D223" s="111">
        <f>(76.195+1.1*2.2)*10.764</f>
        <v>846.21185999999989</v>
      </c>
      <c r="E223" s="112"/>
      <c r="F223" s="59">
        <v>0</v>
      </c>
      <c r="G223" s="59">
        <f>D223*1.6+F223</f>
        <v>1353.9389759999999</v>
      </c>
      <c r="H223" s="117" t="str">
        <f>A222</f>
        <v>5th Floor</v>
      </c>
      <c r="I223" s="118"/>
      <c r="J223" s="119"/>
    </row>
    <row r="224" spans="1:15" ht="15.6" x14ac:dyDescent="0.25">
      <c r="A224" s="111">
        <v>2</v>
      </c>
      <c r="B224" s="112"/>
      <c r="C224" s="59" t="s">
        <v>176</v>
      </c>
      <c r="D224" s="111">
        <f>(48.33+2.2*1)*10.764</f>
        <v>543.90491999999995</v>
      </c>
      <c r="E224" s="112"/>
      <c r="F224" s="59">
        <v>0</v>
      </c>
      <c r="G224" s="59">
        <f t="shared" ref="G224:G225" si="9">D224*1.6+F224</f>
        <v>870.24787199999992</v>
      </c>
      <c r="H224" s="120"/>
      <c r="I224" s="121"/>
      <c r="J224" s="122"/>
    </row>
    <row r="225" spans="1:15" ht="15.6" x14ac:dyDescent="0.25">
      <c r="A225" s="111">
        <v>3</v>
      </c>
      <c r="B225" s="112"/>
      <c r="C225" s="59" t="s">
        <v>176</v>
      </c>
      <c r="D225" s="111">
        <f>(48.33+1*2.2)*10.764</f>
        <v>543.90491999999995</v>
      </c>
      <c r="E225" s="112"/>
      <c r="F225" s="59">
        <v>0</v>
      </c>
      <c r="G225" s="59">
        <f t="shared" si="9"/>
        <v>870.24787199999992</v>
      </c>
      <c r="H225" s="120"/>
      <c r="I225" s="121"/>
      <c r="J225" s="122"/>
    </row>
    <row r="226" spans="1:15" ht="15.6" x14ac:dyDescent="0.25">
      <c r="A226" s="111">
        <v>4</v>
      </c>
      <c r="B226" s="112"/>
      <c r="C226" s="111" t="s">
        <v>119</v>
      </c>
      <c r="D226" s="113"/>
      <c r="E226" s="113"/>
      <c r="F226" s="113"/>
      <c r="G226" s="112"/>
      <c r="H226" s="120"/>
      <c r="I226" s="121"/>
      <c r="J226" s="122"/>
      <c r="L226" s="61">
        <f>25000/1.6</f>
        <v>15625</v>
      </c>
      <c r="M226" s="61">
        <f>150000+5000+5.5*G232*24</f>
        <v>333970.01407999999</v>
      </c>
      <c r="N226" s="61">
        <f>M226/G232</f>
        <v>246.32082690038979</v>
      </c>
      <c r="O226" s="61">
        <f>L226+N226</f>
        <v>15871.32082690039</v>
      </c>
    </row>
    <row r="227" spans="1:15" ht="15.6" x14ac:dyDescent="0.25">
      <c r="A227" s="111">
        <v>5</v>
      </c>
      <c r="B227" s="112"/>
      <c r="C227" s="59" t="s">
        <v>178</v>
      </c>
      <c r="D227" s="111">
        <f>(113.674+3.365*1.2+1.16*2.5)*10.764</f>
        <v>1298.267568</v>
      </c>
      <c r="E227" s="112"/>
      <c r="F227" s="59">
        <v>0</v>
      </c>
      <c r="G227" s="59">
        <f>D227*1.6+F227</f>
        <v>2077.2281088</v>
      </c>
      <c r="H227" s="120"/>
      <c r="I227" s="121"/>
      <c r="J227" s="122"/>
    </row>
    <row r="228" spans="1:15" ht="15.6" x14ac:dyDescent="0.25">
      <c r="A228" s="111">
        <v>6</v>
      </c>
      <c r="B228" s="112"/>
      <c r="C228" s="59" t="s">
        <v>177</v>
      </c>
      <c r="D228" s="150">
        <f>(70.681+1.105*2.2)*10.764</f>
        <v>786.97756799999991</v>
      </c>
      <c r="E228" s="151"/>
      <c r="F228" s="59">
        <v>0</v>
      </c>
      <c r="G228" s="59">
        <f t="shared" ref="G228:G230" si="10">D228*1.6+F228</f>
        <v>1259.1641087999999</v>
      </c>
      <c r="H228" s="120"/>
      <c r="I228" s="121"/>
      <c r="J228" s="122"/>
    </row>
    <row r="229" spans="1:15" ht="15.6" x14ac:dyDescent="0.25">
      <c r="A229" s="111">
        <v>7</v>
      </c>
      <c r="B229" s="112"/>
      <c r="C229" s="59" t="s">
        <v>177</v>
      </c>
      <c r="D229" s="111">
        <f>(69.78+1.1*2.2)*10.764</f>
        <v>777.16079999999999</v>
      </c>
      <c r="E229" s="112"/>
      <c r="F229" s="59">
        <v>0</v>
      </c>
      <c r="G229" s="59">
        <f t="shared" si="10"/>
        <v>1243.4572800000001</v>
      </c>
      <c r="H229" s="120"/>
      <c r="I229" s="121"/>
      <c r="J229" s="122"/>
    </row>
    <row r="230" spans="1:15" ht="15.6" x14ac:dyDescent="0.25">
      <c r="A230" s="111">
        <v>8</v>
      </c>
      <c r="B230" s="112"/>
      <c r="C230" s="59" t="s">
        <v>178</v>
      </c>
      <c r="D230" s="111">
        <f>(113.664+1.42*1.15)*10.764</f>
        <v>1241.0569079999998</v>
      </c>
      <c r="E230" s="112"/>
      <c r="F230" s="59">
        <v>0</v>
      </c>
      <c r="G230" s="59">
        <f t="shared" si="10"/>
        <v>1985.6910527999999</v>
      </c>
      <c r="H230" s="123"/>
      <c r="I230" s="124"/>
      <c r="J230" s="125"/>
      <c r="L230" s="61">
        <f>25000/1.6</f>
        <v>15625</v>
      </c>
      <c r="M230" s="61">
        <f>150000+5000+5.5*G236*24</f>
        <v>430044.34580479999</v>
      </c>
      <c r="N230" s="61">
        <f>M230/G236</f>
        <v>206.38800437846677</v>
      </c>
      <c r="O230" s="61">
        <f>L230+N230</f>
        <v>15831.388004378467</v>
      </c>
    </row>
    <row r="231" spans="1:15" ht="15.6" x14ac:dyDescent="0.25">
      <c r="A231" s="114" t="s">
        <v>264</v>
      </c>
      <c r="B231" s="115"/>
      <c r="C231" s="115"/>
      <c r="D231" s="115"/>
      <c r="E231" s="115"/>
      <c r="F231" s="115"/>
      <c r="G231" s="115"/>
      <c r="H231" s="115"/>
      <c r="I231" s="115"/>
      <c r="J231" s="116"/>
    </row>
    <row r="232" spans="1:15" ht="15.6" x14ac:dyDescent="0.25">
      <c r="A232" s="111">
        <v>1</v>
      </c>
      <c r="B232" s="112"/>
      <c r="C232" s="59" t="s">
        <v>177</v>
      </c>
      <c r="D232" s="111">
        <f>(76.195+1.15*2.2)*10.764</f>
        <v>847.39589999999987</v>
      </c>
      <c r="E232" s="112"/>
      <c r="F232" s="59">
        <v>0</v>
      </c>
      <c r="G232" s="59">
        <f>D232*1.6+F232</f>
        <v>1355.8334399999999</v>
      </c>
      <c r="H232" s="117" t="str">
        <f>A231</f>
        <v>6th Floor</v>
      </c>
      <c r="I232" s="118"/>
      <c r="J232" s="119"/>
    </row>
    <row r="233" spans="1:15" ht="15.6" x14ac:dyDescent="0.25">
      <c r="A233" s="111">
        <v>2</v>
      </c>
      <c r="B233" s="112"/>
      <c r="C233" s="59" t="s">
        <v>176</v>
      </c>
      <c r="D233" s="111">
        <f>(48.33+1*2.2)*10.764</f>
        <v>543.90491999999995</v>
      </c>
      <c r="E233" s="112"/>
      <c r="F233" s="59">
        <v>0</v>
      </c>
      <c r="G233" s="59">
        <f t="shared" ref="G233:G234" si="11">D233*1.6+F233</f>
        <v>870.24787199999992</v>
      </c>
      <c r="H233" s="120"/>
      <c r="I233" s="121"/>
      <c r="J233" s="122"/>
    </row>
    <row r="234" spans="1:15" ht="15.6" x14ac:dyDescent="0.25">
      <c r="A234" s="111">
        <v>3</v>
      </c>
      <c r="B234" s="112"/>
      <c r="C234" s="59" t="s">
        <v>176</v>
      </c>
      <c r="D234" s="111">
        <f>(48.33+1*2.2)*10.764</f>
        <v>543.90491999999995</v>
      </c>
      <c r="E234" s="112"/>
      <c r="F234" s="59">
        <v>0</v>
      </c>
      <c r="G234" s="59">
        <f t="shared" si="11"/>
        <v>870.24787199999992</v>
      </c>
      <c r="H234" s="120"/>
      <c r="I234" s="121"/>
      <c r="J234" s="122"/>
    </row>
    <row r="235" spans="1:15" ht="15.6" x14ac:dyDescent="0.25">
      <c r="A235" s="111">
        <v>4</v>
      </c>
      <c r="B235" s="112"/>
      <c r="C235" s="111" t="s">
        <v>119</v>
      </c>
      <c r="D235" s="113"/>
      <c r="E235" s="113"/>
      <c r="F235" s="113"/>
      <c r="G235" s="112"/>
      <c r="H235" s="120"/>
      <c r="I235" s="121"/>
      <c r="J235" s="122"/>
      <c r="L235" s="61">
        <f>25000/1.6</f>
        <v>15625</v>
      </c>
      <c r="M235" s="61">
        <f>150000+5000+5.5*G241*24</f>
        <v>333995.02100479999</v>
      </c>
      <c r="N235" s="61">
        <f>M235/G241</f>
        <v>246.30485543757857</v>
      </c>
      <c r="O235" s="61">
        <f>L235+N235</f>
        <v>15871.304855437578</v>
      </c>
    </row>
    <row r="236" spans="1:15" ht="15.6" x14ac:dyDescent="0.25">
      <c r="A236" s="111">
        <v>5</v>
      </c>
      <c r="B236" s="112"/>
      <c r="C236" s="59" t="s">
        <v>178</v>
      </c>
      <c r="D236" s="111">
        <f>(113.674+1.16*2.2+1.36*3.5)*10.764</f>
        <v>1302.293304</v>
      </c>
      <c r="E236" s="112"/>
      <c r="F236" s="59">
        <v>0</v>
      </c>
      <c r="G236" s="59">
        <f>D236*1.6+F236</f>
        <v>2083.6692864000001</v>
      </c>
      <c r="H236" s="120"/>
      <c r="I236" s="121"/>
      <c r="J236" s="122"/>
    </row>
    <row r="237" spans="1:15" ht="15.6" x14ac:dyDescent="0.25">
      <c r="A237" s="111">
        <v>6</v>
      </c>
      <c r="B237" s="112"/>
      <c r="C237" s="59" t="s">
        <v>177</v>
      </c>
      <c r="D237" s="150">
        <f>(70.681+1.105*2.5)*10.764</f>
        <v>790.5458339999999</v>
      </c>
      <c r="E237" s="151"/>
      <c r="F237" s="59">
        <v>0</v>
      </c>
      <c r="G237" s="59">
        <f t="shared" ref="G237:G239" si="12">D237*1.6+F237</f>
        <v>1264.8733344</v>
      </c>
      <c r="H237" s="120"/>
      <c r="I237" s="121"/>
      <c r="J237" s="122"/>
    </row>
    <row r="238" spans="1:15" ht="15.6" x14ac:dyDescent="0.25">
      <c r="A238" s="111">
        <v>7</v>
      </c>
      <c r="B238" s="112"/>
      <c r="C238" s="59" t="s">
        <v>177</v>
      </c>
      <c r="D238" s="111">
        <f>(69.78+1.105*2.4)*10.764</f>
        <v>779.65804800000001</v>
      </c>
      <c r="E238" s="112"/>
      <c r="F238" s="59">
        <v>0</v>
      </c>
      <c r="G238" s="59">
        <f t="shared" si="12"/>
        <v>1247.4528768</v>
      </c>
      <c r="H238" s="120"/>
      <c r="I238" s="121"/>
      <c r="J238" s="122"/>
    </row>
    <row r="239" spans="1:15" ht="15.6" x14ac:dyDescent="0.25">
      <c r="A239" s="111">
        <v>8</v>
      </c>
      <c r="B239" s="112"/>
      <c r="C239" s="59" t="s">
        <v>178</v>
      </c>
      <c r="D239" s="111">
        <f>(113.664+1.425*1.15)*10.764</f>
        <v>1241.1188009999998</v>
      </c>
      <c r="E239" s="112"/>
      <c r="F239" s="59">
        <v>0</v>
      </c>
      <c r="G239" s="59">
        <f t="shared" si="12"/>
        <v>1985.7900815999999</v>
      </c>
      <c r="H239" s="123"/>
      <c r="I239" s="124"/>
      <c r="J239" s="125"/>
      <c r="L239" s="61">
        <f>25000/1.6</f>
        <v>15625</v>
      </c>
      <c r="M239" s="61">
        <f>150000+5000+5.5*G245*24</f>
        <v>430835.47397120006</v>
      </c>
      <c r="N239" s="61">
        <f>M239/G245</f>
        <v>206.17465094477382</v>
      </c>
      <c r="O239" s="61">
        <f>L239+N239</f>
        <v>15831.174650944773</v>
      </c>
    </row>
    <row r="240" spans="1:15" ht="15.6" x14ac:dyDescent="0.25">
      <c r="A240" s="114" t="s">
        <v>265</v>
      </c>
      <c r="B240" s="115"/>
      <c r="C240" s="115"/>
      <c r="D240" s="115"/>
      <c r="E240" s="115"/>
      <c r="F240" s="115"/>
      <c r="G240" s="115"/>
      <c r="H240" s="115"/>
      <c r="I240" s="115"/>
      <c r="J240" s="116"/>
    </row>
    <row r="241" spans="1:15" ht="15.6" x14ac:dyDescent="0.25">
      <c r="A241" s="111">
        <v>1</v>
      </c>
      <c r="B241" s="112"/>
      <c r="C241" s="59" t="s">
        <v>177</v>
      </c>
      <c r="D241" s="111">
        <f>(76.195+1.155*2.2)*10.764</f>
        <v>847.51430399999981</v>
      </c>
      <c r="E241" s="112"/>
      <c r="F241" s="59">
        <v>0</v>
      </c>
      <c r="G241" s="59">
        <f>D241*1.6+F241</f>
        <v>1356.0228863999998</v>
      </c>
      <c r="H241" s="117" t="str">
        <f>A240</f>
        <v>7th Floor</v>
      </c>
      <c r="I241" s="118"/>
      <c r="J241" s="119"/>
    </row>
    <row r="242" spans="1:15" ht="15.6" x14ac:dyDescent="0.25">
      <c r="A242" s="111">
        <v>2</v>
      </c>
      <c r="B242" s="112"/>
      <c r="C242" s="59" t="s">
        <v>176</v>
      </c>
      <c r="D242" s="111">
        <f>(48.33+1*2.2)*10.764</f>
        <v>543.90491999999995</v>
      </c>
      <c r="E242" s="112"/>
      <c r="F242" s="59">
        <v>0</v>
      </c>
      <c r="G242" s="59">
        <f t="shared" ref="G242:G243" si="13">D242*1.6+F242</f>
        <v>870.24787199999992</v>
      </c>
      <c r="H242" s="120"/>
      <c r="I242" s="121"/>
      <c r="J242" s="122"/>
    </row>
    <row r="243" spans="1:15" ht="15.6" x14ac:dyDescent="0.25">
      <c r="A243" s="111">
        <v>3</v>
      </c>
      <c r="B243" s="112"/>
      <c r="C243" s="59" t="s">
        <v>176</v>
      </c>
      <c r="D243" s="111">
        <f>(48.33+1*2.2)*10.764</f>
        <v>543.90491999999995</v>
      </c>
      <c r="E243" s="112"/>
      <c r="F243" s="59">
        <v>0</v>
      </c>
      <c r="G243" s="59">
        <f t="shared" si="13"/>
        <v>870.24787199999992</v>
      </c>
      <c r="H243" s="120"/>
      <c r="I243" s="121"/>
      <c r="J243" s="122"/>
    </row>
    <row r="244" spans="1:15" ht="15.6" x14ac:dyDescent="0.25">
      <c r="A244" s="111">
        <v>4</v>
      </c>
      <c r="B244" s="112"/>
      <c r="C244" s="111" t="s">
        <v>119</v>
      </c>
      <c r="D244" s="113"/>
      <c r="E244" s="113"/>
      <c r="F244" s="113"/>
      <c r="G244" s="112"/>
      <c r="H244" s="120"/>
      <c r="I244" s="121"/>
      <c r="J244" s="122"/>
      <c r="L244" s="61">
        <f>25000/1.6</f>
        <v>15625</v>
      </c>
      <c r="M244" s="61">
        <f>150000+5000+5.5*G250*24</f>
        <v>333494.88250880002</v>
      </c>
      <c r="N244" s="61">
        <f>M244/G250</f>
        <v>246.62513497545962</v>
      </c>
      <c r="O244" s="61">
        <f>L244+N244</f>
        <v>15871.62513497546</v>
      </c>
    </row>
    <row r="245" spans="1:15" ht="15.6" x14ac:dyDescent="0.25">
      <c r="A245" s="111">
        <v>5</v>
      </c>
      <c r="B245" s="112"/>
      <c r="C245" s="59" t="s">
        <v>178</v>
      </c>
      <c r="D245" s="111">
        <f>(113.674+1.36*3.5+1.16*2.5)*10.764</f>
        <v>1306.039176</v>
      </c>
      <c r="E245" s="112"/>
      <c r="F245" s="59">
        <v>0</v>
      </c>
      <c r="G245" s="59">
        <f>D245*1.6+F245</f>
        <v>2089.6626816000003</v>
      </c>
      <c r="H245" s="120"/>
      <c r="I245" s="121"/>
      <c r="J245" s="122"/>
    </row>
    <row r="246" spans="1:15" ht="15.6" x14ac:dyDescent="0.25">
      <c r="A246" s="111">
        <v>6</v>
      </c>
      <c r="B246" s="112"/>
      <c r="C246" s="59" t="s">
        <v>177</v>
      </c>
      <c r="D246" s="150">
        <f>(70.681+1.1*2.4)*10.764</f>
        <v>789.22724399999993</v>
      </c>
      <c r="E246" s="151"/>
      <c r="F246" s="59">
        <v>0</v>
      </c>
      <c r="G246" s="59">
        <f t="shared" ref="G246:G248" si="14">D246*1.6+F246</f>
        <v>1262.7635903999999</v>
      </c>
      <c r="H246" s="120"/>
      <c r="I246" s="121"/>
      <c r="J246" s="122"/>
    </row>
    <row r="247" spans="1:15" ht="15.6" x14ac:dyDescent="0.25">
      <c r="A247" s="111">
        <v>7</v>
      </c>
      <c r="B247" s="112"/>
      <c r="C247" s="59" t="s">
        <v>177</v>
      </c>
      <c r="D247" s="111">
        <f>(69.78+1.1*2.4)*10.764</f>
        <v>779.52887999999996</v>
      </c>
      <c r="E247" s="112"/>
      <c r="F247" s="59">
        <v>0</v>
      </c>
      <c r="G247" s="59">
        <f t="shared" si="14"/>
        <v>1247.246208</v>
      </c>
      <c r="H247" s="120"/>
      <c r="I247" s="121"/>
      <c r="J247" s="122"/>
    </row>
    <row r="248" spans="1:15" ht="15.6" x14ac:dyDescent="0.25">
      <c r="A248" s="111">
        <v>8</v>
      </c>
      <c r="B248" s="112"/>
      <c r="C248" s="59" t="s">
        <v>178</v>
      </c>
      <c r="D248" s="111">
        <f>(113.664+1.675*1.15)*10.764</f>
        <v>1244.2134509999998</v>
      </c>
      <c r="E248" s="112"/>
      <c r="F248" s="59">
        <v>0</v>
      </c>
      <c r="G248" s="59">
        <f t="shared" si="14"/>
        <v>1990.7415215999999</v>
      </c>
      <c r="H248" s="123"/>
      <c r="I248" s="124"/>
      <c r="J248" s="125"/>
      <c r="L248" s="61">
        <f>25000/1.6</f>
        <v>15625</v>
      </c>
      <c r="M248" s="61">
        <f>150000+5000+5.5*G254*24</f>
        <v>155000</v>
      </c>
      <c r="N248" s="61" t="e">
        <f>M248/G254</f>
        <v>#DIV/0!</v>
      </c>
      <c r="O248" s="61" t="e">
        <f>L248+N248</f>
        <v>#DIV/0!</v>
      </c>
    </row>
    <row r="249" spans="1:15" ht="15.6" x14ac:dyDescent="0.25">
      <c r="A249" s="114" t="s">
        <v>266</v>
      </c>
      <c r="B249" s="115"/>
      <c r="C249" s="115"/>
      <c r="D249" s="115"/>
      <c r="E249" s="115"/>
      <c r="F249" s="115"/>
      <c r="G249" s="115"/>
      <c r="H249" s="115"/>
      <c r="I249" s="115"/>
      <c r="J249" s="116"/>
    </row>
    <row r="250" spans="1:15" ht="15.6" x14ac:dyDescent="0.25">
      <c r="A250" s="111">
        <v>1</v>
      </c>
      <c r="B250" s="112"/>
      <c r="C250" s="59" t="s">
        <v>177</v>
      </c>
      <c r="D250" s="111">
        <f>(76.195+1.055*2.2)*10.764</f>
        <v>845.14622399999985</v>
      </c>
      <c r="E250" s="112"/>
      <c r="F250" s="59">
        <v>0</v>
      </c>
      <c r="G250" s="59">
        <f>D250*1.6+F250</f>
        <v>1352.2339583999999</v>
      </c>
      <c r="H250" s="117" t="str">
        <f>A249</f>
        <v>8th Floor (Part Refuge Area)</v>
      </c>
      <c r="I250" s="118"/>
      <c r="J250" s="119"/>
    </row>
    <row r="251" spans="1:15" ht="15.6" x14ac:dyDescent="0.25">
      <c r="A251" s="111">
        <v>2</v>
      </c>
      <c r="B251" s="112"/>
      <c r="C251" s="59" t="s">
        <v>176</v>
      </c>
      <c r="D251" s="111">
        <f>(48.33+1*2.2)*10.764</f>
        <v>543.90491999999995</v>
      </c>
      <c r="E251" s="112"/>
      <c r="F251" s="59">
        <v>0</v>
      </c>
      <c r="G251" s="59">
        <f t="shared" ref="G251:G252" si="15">D251*1.6+F251</f>
        <v>870.24787199999992</v>
      </c>
      <c r="H251" s="120"/>
      <c r="I251" s="121"/>
      <c r="J251" s="122"/>
    </row>
    <row r="252" spans="1:15" ht="15.6" x14ac:dyDescent="0.25">
      <c r="A252" s="111">
        <v>3</v>
      </c>
      <c r="B252" s="112"/>
      <c r="C252" s="59" t="s">
        <v>176</v>
      </c>
      <c r="D252" s="111">
        <f>(48.33+1*2.2)*10.764</f>
        <v>543.90491999999995</v>
      </c>
      <c r="E252" s="112"/>
      <c r="F252" s="59">
        <v>0</v>
      </c>
      <c r="G252" s="59">
        <f t="shared" si="15"/>
        <v>870.24787199999992</v>
      </c>
      <c r="H252" s="120"/>
      <c r="I252" s="121"/>
      <c r="J252" s="122"/>
    </row>
    <row r="253" spans="1:15" ht="15.6" x14ac:dyDescent="0.25">
      <c r="A253" s="111">
        <v>4</v>
      </c>
      <c r="B253" s="112"/>
      <c r="C253" s="117" t="s">
        <v>223</v>
      </c>
      <c r="D253" s="118"/>
      <c r="E253" s="118"/>
      <c r="F253" s="118"/>
      <c r="G253" s="119"/>
      <c r="H253" s="120"/>
      <c r="I253" s="121"/>
      <c r="J253" s="122"/>
      <c r="L253" s="61">
        <f>25000/1.6</f>
        <v>15625</v>
      </c>
      <c r="M253" s="61">
        <f>150000+5000+5.5*G259*24</f>
        <v>333469.87558400002</v>
      </c>
      <c r="N253" s="61">
        <f>M253/G259</f>
        <v>246.64119607328433</v>
      </c>
      <c r="O253" s="61">
        <f>L253+N253</f>
        <v>15871.641196073284</v>
      </c>
    </row>
    <row r="254" spans="1:15" ht="15.6" x14ac:dyDescent="0.25">
      <c r="A254" s="111">
        <v>5</v>
      </c>
      <c r="B254" s="112"/>
      <c r="C254" s="120"/>
      <c r="D254" s="121"/>
      <c r="E254" s="121"/>
      <c r="F254" s="121"/>
      <c r="G254" s="122"/>
      <c r="H254" s="120"/>
      <c r="I254" s="121"/>
      <c r="J254" s="122"/>
    </row>
    <row r="255" spans="1:15" ht="15.6" x14ac:dyDescent="0.25">
      <c r="A255" s="111">
        <v>6</v>
      </c>
      <c r="B255" s="112"/>
      <c r="C255" s="120"/>
      <c r="D255" s="121"/>
      <c r="E255" s="121"/>
      <c r="F255" s="121"/>
      <c r="G255" s="122"/>
      <c r="H255" s="120"/>
      <c r="I255" s="121"/>
      <c r="J255" s="122"/>
    </row>
    <row r="256" spans="1:15" ht="15.6" x14ac:dyDescent="0.25">
      <c r="A256" s="111">
        <v>7</v>
      </c>
      <c r="B256" s="112"/>
      <c r="C256" s="123"/>
      <c r="D256" s="124"/>
      <c r="E256" s="124"/>
      <c r="F256" s="124"/>
      <c r="G256" s="125"/>
      <c r="H256" s="120"/>
      <c r="I256" s="121"/>
      <c r="J256" s="122"/>
    </row>
    <row r="257" spans="1:15" ht="15.6" x14ac:dyDescent="0.25">
      <c r="A257" s="111">
        <v>8</v>
      </c>
      <c r="B257" s="112"/>
      <c r="C257" s="59" t="s">
        <v>260</v>
      </c>
      <c r="D257" s="111">
        <f>(131.209+1.67*1.51)*10.764</f>
        <v>1439.4772548000001</v>
      </c>
      <c r="E257" s="112"/>
      <c r="F257" s="59">
        <v>0</v>
      </c>
      <c r="G257" s="59">
        <f t="shared" ref="G257" si="16">D257*1.6+F257</f>
        <v>2303.16360768</v>
      </c>
      <c r="H257" s="123"/>
      <c r="I257" s="124"/>
      <c r="J257" s="125"/>
      <c r="L257" s="61">
        <f>25000/1.6</f>
        <v>15625</v>
      </c>
      <c r="M257" s="61">
        <f>150000+5000+5.5*G263*24</f>
        <v>444155.07146240002</v>
      </c>
      <c r="N257" s="61">
        <f>M257/G263</f>
        <v>202.75788052591878</v>
      </c>
      <c r="O257" s="61">
        <f>L257+N257</f>
        <v>15827.757880525918</v>
      </c>
    </row>
    <row r="258" spans="1:15" ht="15.6" x14ac:dyDescent="0.25">
      <c r="A258" s="114" t="s">
        <v>282</v>
      </c>
      <c r="B258" s="115"/>
      <c r="C258" s="115"/>
      <c r="D258" s="115"/>
      <c r="E258" s="115"/>
      <c r="F258" s="115"/>
      <c r="G258" s="115"/>
      <c r="H258" s="115"/>
      <c r="I258" s="115"/>
      <c r="J258" s="116"/>
    </row>
    <row r="259" spans="1:15" ht="15.6" x14ac:dyDescent="0.25">
      <c r="A259" s="111">
        <v>1</v>
      </c>
      <c r="B259" s="112"/>
      <c r="C259" s="59" t="s">
        <v>177</v>
      </c>
      <c r="D259" s="111">
        <f>(76.195+2.2*1.05)*10.764</f>
        <v>845.02781999999991</v>
      </c>
      <c r="E259" s="112"/>
      <c r="F259" s="59">
        <v>0</v>
      </c>
      <c r="G259" s="59">
        <f>D259*1.6+F259</f>
        <v>1352.0445119999999</v>
      </c>
      <c r="H259" s="117" t="str">
        <f>A258</f>
        <v>9th Floor</v>
      </c>
      <c r="I259" s="118"/>
      <c r="J259" s="119"/>
    </row>
    <row r="260" spans="1:15" ht="15.6" x14ac:dyDescent="0.25">
      <c r="A260" s="111">
        <v>2</v>
      </c>
      <c r="B260" s="112"/>
      <c r="C260" s="59" t="s">
        <v>176</v>
      </c>
      <c r="D260" s="111">
        <f>(48.33+1.15*2.21)*10.764</f>
        <v>547.58082599999989</v>
      </c>
      <c r="E260" s="112"/>
      <c r="F260" s="59">
        <v>0</v>
      </c>
      <c r="G260" s="59">
        <f t="shared" ref="G260:G261" si="17">D260*1.6+F260</f>
        <v>876.12932159999991</v>
      </c>
      <c r="H260" s="120"/>
      <c r="I260" s="121"/>
      <c r="J260" s="122"/>
    </row>
    <row r="261" spans="1:15" ht="15.6" x14ac:dyDescent="0.25">
      <c r="A261" s="111">
        <v>3</v>
      </c>
      <c r="B261" s="112"/>
      <c r="C261" s="59" t="s">
        <v>176</v>
      </c>
      <c r="D261" s="111">
        <f>(48.33+1*2.2)*10.764</f>
        <v>543.90491999999995</v>
      </c>
      <c r="E261" s="112"/>
      <c r="F261" s="59">
        <v>0</v>
      </c>
      <c r="G261" s="59">
        <f t="shared" si="17"/>
        <v>870.24787199999992</v>
      </c>
      <c r="H261" s="120"/>
      <c r="I261" s="121"/>
      <c r="J261" s="122"/>
    </row>
    <row r="262" spans="1:15" ht="15.6" x14ac:dyDescent="0.25">
      <c r="A262" s="111">
        <v>4</v>
      </c>
      <c r="B262" s="112"/>
      <c r="C262" s="111" t="s">
        <v>119</v>
      </c>
      <c r="D262" s="113"/>
      <c r="E262" s="113"/>
      <c r="F262" s="113"/>
      <c r="G262" s="112"/>
      <c r="H262" s="120"/>
      <c r="I262" s="121"/>
      <c r="J262" s="122"/>
      <c r="L262" s="61">
        <f>25000/1.6</f>
        <v>15625</v>
      </c>
      <c r="M262" s="61">
        <f>150000+5000+5.5*G268*24</f>
        <v>334945.28414719994</v>
      </c>
      <c r="N262" s="61">
        <f>M262/G268</f>
        <v>245.70122922067341</v>
      </c>
      <c r="O262" s="61">
        <f>L262+N262</f>
        <v>15870.701229220673</v>
      </c>
    </row>
    <row r="263" spans="1:15" ht="15.6" x14ac:dyDescent="0.25">
      <c r="A263" s="111">
        <v>5</v>
      </c>
      <c r="B263" s="112"/>
      <c r="C263" s="59" t="s">
        <v>178</v>
      </c>
      <c r="D263" s="111">
        <f>(113.674+1.36*3.5+1.16*2.5+0.9*(3.11+3.4))*10.764</f>
        <v>1369.105452</v>
      </c>
      <c r="E263" s="112"/>
      <c r="F263" s="59">
        <v>0</v>
      </c>
      <c r="G263" s="59">
        <f>D263*1.6+F263</f>
        <v>2190.5687232</v>
      </c>
      <c r="H263" s="120"/>
      <c r="I263" s="121"/>
      <c r="J263" s="122"/>
    </row>
    <row r="264" spans="1:15" ht="15.6" x14ac:dyDescent="0.25">
      <c r="A264" s="111">
        <v>6</v>
      </c>
      <c r="B264" s="112"/>
      <c r="C264" s="59" t="s">
        <v>177</v>
      </c>
      <c r="D264" s="111">
        <f>(70.681+1.105*2.46+1.15*3.265+0.925*3.415)*10.764</f>
        <v>864.48832469999991</v>
      </c>
      <c r="E264" s="112"/>
      <c r="F264" s="59">
        <v>0</v>
      </c>
      <c r="G264" s="59">
        <f t="shared" ref="G264:G266" si="18">D264*1.6+F264</f>
        <v>1383.18131952</v>
      </c>
      <c r="H264" s="120"/>
      <c r="I264" s="121"/>
      <c r="J264" s="122"/>
    </row>
    <row r="265" spans="1:15" ht="15.6" x14ac:dyDescent="0.25">
      <c r="A265" s="111">
        <v>7</v>
      </c>
      <c r="B265" s="112"/>
      <c r="C265" s="59" t="s">
        <v>177</v>
      </c>
      <c r="D265" s="111">
        <f>(70.097+1.105*2.4+1.15*3.265)*10.764</f>
        <v>823.48636499999986</v>
      </c>
      <c r="E265" s="112"/>
      <c r="F265" s="59">
        <v>0</v>
      </c>
      <c r="G265" s="59">
        <f t="shared" si="18"/>
        <v>1317.578184</v>
      </c>
      <c r="H265" s="120"/>
      <c r="I265" s="121"/>
      <c r="J265" s="122"/>
    </row>
    <row r="266" spans="1:15" ht="15.6" x14ac:dyDescent="0.25">
      <c r="A266" s="111">
        <v>8</v>
      </c>
      <c r="B266" s="112"/>
      <c r="C266" s="59" t="s">
        <v>178</v>
      </c>
      <c r="D266" s="111">
        <f>(113.664+1.675*1.15)*10.764</f>
        <v>1244.2134509999998</v>
      </c>
      <c r="E266" s="112"/>
      <c r="F266" s="59">
        <v>0</v>
      </c>
      <c r="G266" s="59">
        <f t="shared" si="18"/>
        <v>1990.7415215999999</v>
      </c>
      <c r="H266" s="123"/>
      <c r="I266" s="124"/>
      <c r="J266" s="125"/>
      <c r="L266" s="61">
        <f>25000/1.6</f>
        <v>15625</v>
      </c>
      <c r="M266" s="61">
        <f>150000+5000+5.5*G272*24</f>
        <v>430835.47397120006</v>
      </c>
      <c r="N266" s="61">
        <f>M266/G272</f>
        <v>206.17465094477382</v>
      </c>
      <c r="O266" s="61">
        <f>L266+N266</f>
        <v>15831.174650944773</v>
      </c>
    </row>
    <row r="267" spans="1:15" ht="15.6" x14ac:dyDescent="0.25">
      <c r="A267" s="114" t="s">
        <v>234</v>
      </c>
      <c r="B267" s="115"/>
      <c r="C267" s="115"/>
      <c r="D267" s="115"/>
      <c r="E267" s="115"/>
      <c r="F267" s="115"/>
      <c r="G267" s="115"/>
      <c r="H267" s="115"/>
      <c r="I267" s="115"/>
      <c r="J267" s="116"/>
    </row>
    <row r="268" spans="1:15" ht="15.6" x14ac:dyDescent="0.25">
      <c r="A268" s="111">
        <v>1</v>
      </c>
      <c r="B268" s="112"/>
      <c r="C268" s="59" t="s">
        <v>177</v>
      </c>
      <c r="D268" s="111">
        <f>(76.624+1.15*2.2)*10.764</f>
        <v>852.01365599999986</v>
      </c>
      <c r="E268" s="112"/>
      <c r="F268" s="59">
        <v>0</v>
      </c>
      <c r="G268" s="59">
        <f>D268*1.6+F268</f>
        <v>1363.2218495999998</v>
      </c>
      <c r="H268" s="117" t="str">
        <f>A267</f>
        <v>10th Floor</v>
      </c>
      <c r="I268" s="118"/>
      <c r="J268" s="119"/>
    </row>
    <row r="269" spans="1:15" ht="15.6" x14ac:dyDescent="0.25">
      <c r="A269" s="111">
        <v>2</v>
      </c>
      <c r="B269" s="112"/>
      <c r="C269" s="59" t="s">
        <v>176</v>
      </c>
      <c r="D269" s="111">
        <f>(42.426+1*2.2)*10.764</f>
        <v>480.354264</v>
      </c>
      <c r="E269" s="112"/>
      <c r="F269" s="59">
        <f>(3.265*1.725)*10.764</f>
        <v>60.624193499999997</v>
      </c>
      <c r="G269" s="59">
        <f t="shared" ref="G269:G270" si="19">D269*1.6+F269</f>
        <v>829.19101590000014</v>
      </c>
      <c r="H269" s="120"/>
      <c r="I269" s="121"/>
      <c r="J269" s="122"/>
    </row>
    <row r="270" spans="1:15" ht="15.6" x14ac:dyDescent="0.25">
      <c r="A270" s="111">
        <v>3</v>
      </c>
      <c r="B270" s="112"/>
      <c r="C270" s="59" t="s">
        <v>176</v>
      </c>
      <c r="D270" s="111">
        <f>(42.426+1*2.2)*10.764</f>
        <v>480.354264</v>
      </c>
      <c r="E270" s="112"/>
      <c r="F270" s="59">
        <f>(3.265*1.725)*10.764</f>
        <v>60.624193499999997</v>
      </c>
      <c r="G270" s="59">
        <f t="shared" si="19"/>
        <v>829.19101590000014</v>
      </c>
      <c r="H270" s="120"/>
      <c r="I270" s="121"/>
      <c r="J270" s="122"/>
    </row>
    <row r="271" spans="1:15" ht="15.6" x14ac:dyDescent="0.25">
      <c r="A271" s="111">
        <v>4</v>
      </c>
      <c r="B271" s="112"/>
      <c r="C271" s="111" t="s">
        <v>119</v>
      </c>
      <c r="D271" s="113"/>
      <c r="E271" s="113"/>
      <c r="F271" s="113"/>
      <c r="G271" s="112"/>
      <c r="H271" s="120"/>
      <c r="I271" s="121"/>
      <c r="J271" s="122"/>
      <c r="L271" s="61">
        <f>25000/1.6</f>
        <v>15625</v>
      </c>
      <c r="M271" s="61">
        <f>150000+5000+5.5*G277*24</f>
        <v>333249.35997440002</v>
      </c>
      <c r="N271" s="61">
        <f>M271/G277</f>
        <v>246.78302083630734</v>
      </c>
      <c r="O271" s="61">
        <f>L271+N271</f>
        <v>15871.783020836307</v>
      </c>
    </row>
    <row r="272" spans="1:15" ht="15.6" x14ac:dyDescent="0.25">
      <c r="A272" s="111">
        <v>5</v>
      </c>
      <c r="B272" s="112"/>
      <c r="C272" s="59" t="s">
        <v>178</v>
      </c>
      <c r="D272" s="111">
        <f>(113.674+1.36*3.5+1.16*2.5)*10.764</f>
        <v>1306.039176</v>
      </c>
      <c r="E272" s="112"/>
      <c r="F272" s="59">
        <v>0</v>
      </c>
      <c r="G272" s="59">
        <f>D272*1.6+F272</f>
        <v>2089.6626816000003</v>
      </c>
      <c r="H272" s="120"/>
      <c r="I272" s="121"/>
      <c r="J272" s="122"/>
    </row>
    <row r="273" spans="1:15" ht="15.6" x14ac:dyDescent="0.25">
      <c r="A273" s="111">
        <v>6</v>
      </c>
      <c r="B273" s="112"/>
      <c r="C273" s="59" t="s">
        <v>177</v>
      </c>
      <c r="D273" s="150">
        <f>(70.681+1.105*2.4)*10.764</f>
        <v>789.35641199999998</v>
      </c>
      <c r="E273" s="151"/>
      <c r="F273" s="59">
        <v>0</v>
      </c>
      <c r="G273" s="59">
        <f t="shared" ref="G273:G275" si="20">D273*1.6+F273</f>
        <v>1262.9702592000001</v>
      </c>
      <c r="H273" s="120"/>
      <c r="I273" s="121"/>
      <c r="J273" s="122"/>
    </row>
    <row r="274" spans="1:15" ht="15.6" x14ac:dyDescent="0.25">
      <c r="A274" s="111">
        <v>7</v>
      </c>
      <c r="B274" s="112"/>
      <c r="C274" s="59" t="s">
        <v>177</v>
      </c>
      <c r="D274" s="150">
        <f>(70.681+1.105*2.4)*10.764</f>
        <v>789.35641199999998</v>
      </c>
      <c r="E274" s="151"/>
      <c r="F274" s="59">
        <v>0</v>
      </c>
      <c r="G274" s="59">
        <f t="shared" si="20"/>
        <v>1262.9702592000001</v>
      </c>
      <c r="H274" s="120"/>
      <c r="I274" s="121"/>
      <c r="J274" s="122"/>
    </row>
    <row r="275" spans="1:15" ht="15.6" x14ac:dyDescent="0.25">
      <c r="A275" s="111">
        <v>8</v>
      </c>
      <c r="B275" s="112"/>
      <c r="C275" s="59" t="s">
        <v>178</v>
      </c>
      <c r="D275" s="111">
        <f>(113.664+1.3*1.6)*10.764</f>
        <v>1245.868416</v>
      </c>
      <c r="E275" s="112"/>
      <c r="F275" s="59">
        <v>0</v>
      </c>
      <c r="G275" s="59">
        <f t="shared" si="20"/>
        <v>1993.3894656000002</v>
      </c>
      <c r="H275" s="123"/>
      <c r="I275" s="124"/>
      <c r="J275" s="125"/>
      <c r="L275" s="61">
        <f>25000/1.6</f>
        <v>15625</v>
      </c>
      <c r="M275" s="61">
        <f>150000+5000+5.5*G281*24</f>
        <v>431419.55616703996</v>
      </c>
      <c r="N275" s="61">
        <f>M275/G281</f>
        <v>206.01791784817152</v>
      </c>
      <c r="O275" s="61">
        <f>L275+N275</f>
        <v>15831.017917848172</v>
      </c>
    </row>
    <row r="276" spans="1:15" ht="15.6" x14ac:dyDescent="0.25">
      <c r="A276" s="114" t="s">
        <v>267</v>
      </c>
      <c r="B276" s="115"/>
      <c r="C276" s="115"/>
      <c r="D276" s="115"/>
      <c r="E276" s="115"/>
      <c r="F276" s="115"/>
      <c r="G276" s="115"/>
      <c r="H276" s="115"/>
      <c r="I276" s="115"/>
      <c r="J276" s="116"/>
    </row>
    <row r="277" spans="1:15" ht="15.6" x14ac:dyDescent="0.25">
      <c r="A277" s="111">
        <v>1</v>
      </c>
      <c r="B277" s="112"/>
      <c r="C277" s="59" t="s">
        <v>177</v>
      </c>
      <c r="D277" s="111">
        <f>(75.809+1.15*2.26)*10.764</f>
        <v>843.98371199999997</v>
      </c>
      <c r="E277" s="112"/>
      <c r="F277" s="59">
        <v>0</v>
      </c>
      <c r="G277" s="59">
        <f>D277*1.6+F277</f>
        <v>1350.3739392</v>
      </c>
      <c r="H277" s="117" t="str">
        <f>A276</f>
        <v>11th to 14th Floor</v>
      </c>
      <c r="I277" s="118"/>
      <c r="J277" s="119"/>
    </row>
    <row r="278" spans="1:15" ht="15.6" x14ac:dyDescent="0.25">
      <c r="A278" s="111">
        <v>2</v>
      </c>
      <c r="B278" s="112"/>
      <c r="C278" s="59" t="s">
        <v>176</v>
      </c>
      <c r="D278" s="111">
        <f>(41.458+1*2.66)*10.764</f>
        <v>474.88615199999992</v>
      </c>
      <c r="E278" s="112"/>
      <c r="F278" s="59">
        <v>0</v>
      </c>
      <c r="G278" s="59">
        <f t="shared" ref="G278:G280" si="21">D278*1.6+F278</f>
        <v>759.81784319999997</v>
      </c>
      <c r="H278" s="120"/>
      <c r="I278" s="121"/>
      <c r="J278" s="122"/>
    </row>
    <row r="279" spans="1:15" ht="15.6" x14ac:dyDescent="0.25">
      <c r="A279" s="111">
        <v>3</v>
      </c>
      <c r="B279" s="112"/>
      <c r="C279" s="59" t="s">
        <v>176</v>
      </c>
      <c r="D279" s="111">
        <f>(41.458+1*2.6)*10.764</f>
        <v>474.24031199999996</v>
      </c>
      <c r="E279" s="112"/>
      <c r="F279" s="59">
        <v>0</v>
      </c>
      <c r="G279" s="59">
        <f t="shared" si="21"/>
        <v>758.78449920000003</v>
      </c>
      <c r="H279" s="120"/>
      <c r="I279" s="121"/>
      <c r="J279" s="122"/>
    </row>
    <row r="280" spans="1:15" ht="15.6" x14ac:dyDescent="0.25">
      <c r="A280" s="111">
        <v>4</v>
      </c>
      <c r="B280" s="112"/>
      <c r="C280" s="59" t="s">
        <v>177</v>
      </c>
      <c r="D280" s="111">
        <f>(69.337+1.105*2.19)*10.764</f>
        <v>772.39180980000003</v>
      </c>
      <c r="E280" s="112"/>
      <c r="F280" s="59">
        <v>0</v>
      </c>
      <c r="G280" s="59">
        <f t="shared" si="21"/>
        <v>1235.8268956800002</v>
      </c>
      <c r="H280" s="120"/>
      <c r="I280" s="121"/>
      <c r="J280" s="122"/>
      <c r="L280" s="61">
        <f>25000/1.6</f>
        <v>15625</v>
      </c>
      <c r="M280" s="61">
        <f>150000+5000+5.5*G286*24</f>
        <v>333677.43305984</v>
      </c>
      <c r="N280" s="61">
        <f>M280/G286</f>
        <v>246.50802515809505</v>
      </c>
      <c r="O280" s="61">
        <f>L280+N280</f>
        <v>15871.508025158095</v>
      </c>
    </row>
    <row r="281" spans="1:15" ht="15.6" x14ac:dyDescent="0.25">
      <c r="A281" s="111">
        <v>5</v>
      </c>
      <c r="B281" s="112"/>
      <c r="C281" s="59" t="s">
        <v>178</v>
      </c>
      <c r="D281" s="111">
        <f>(113.321+1.36*3.815+1.135*2.715)*10.764</f>
        <v>1308.8047167</v>
      </c>
      <c r="E281" s="112"/>
      <c r="F281" s="59">
        <v>0</v>
      </c>
      <c r="G281" s="59">
        <f>D281*1.6+F281</f>
        <v>2094.0875467199999</v>
      </c>
      <c r="H281" s="120"/>
      <c r="I281" s="121"/>
      <c r="J281" s="122"/>
    </row>
    <row r="282" spans="1:15" ht="15.6" x14ac:dyDescent="0.25">
      <c r="A282" s="111">
        <v>6</v>
      </c>
      <c r="B282" s="112"/>
      <c r="C282" s="59" t="s">
        <v>177</v>
      </c>
      <c r="D282" s="150">
        <f>(70.199+1.105*2.2)*10.764</f>
        <v>781.78931999999986</v>
      </c>
      <c r="E282" s="151"/>
      <c r="F282" s="59">
        <v>0</v>
      </c>
      <c r="G282" s="59">
        <f t="shared" ref="G282:G284" si="22">D282*1.6+F282</f>
        <v>1250.8629119999998</v>
      </c>
      <c r="H282" s="120"/>
      <c r="I282" s="121"/>
      <c r="J282" s="122"/>
    </row>
    <row r="283" spans="1:15" ht="15.6" x14ac:dyDescent="0.25">
      <c r="A283" s="111">
        <v>7</v>
      </c>
      <c r="B283" s="112"/>
      <c r="C283" s="59" t="s">
        <v>177</v>
      </c>
      <c r="D283" s="111">
        <f>(69.58+1.105*2.2)*10.764</f>
        <v>775.12640399999987</v>
      </c>
      <c r="E283" s="112"/>
      <c r="F283" s="59">
        <v>0</v>
      </c>
      <c r="G283" s="59">
        <f t="shared" si="22"/>
        <v>1240.2022463999999</v>
      </c>
      <c r="H283" s="120"/>
      <c r="I283" s="121"/>
      <c r="J283" s="122"/>
    </row>
    <row r="284" spans="1:15" ht="15.6" x14ac:dyDescent="0.25">
      <c r="A284" s="111">
        <v>8</v>
      </c>
      <c r="B284" s="112"/>
      <c r="C284" s="59" t="s">
        <v>178</v>
      </c>
      <c r="D284" s="111">
        <f>(112.298+1.36*1.67)*10.764</f>
        <v>1233.2228687999998</v>
      </c>
      <c r="E284" s="112"/>
      <c r="F284" s="59">
        <v>0</v>
      </c>
      <c r="G284" s="59">
        <f t="shared" si="22"/>
        <v>1973.1565900799997</v>
      </c>
      <c r="H284" s="123"/>
      <c r="I284" s="124"/>
      <c r="J284" s="125"/>
      <c r="L284" s="61">
        <f>25000/1.6</f>
        <v>15625</v>
      </c>
      <c r="M284" s="61">
        <f>150000+5000+5.5*G290*24</f>
        <v>155000</v>
      </c>
      <c r="N284" s="61" t="e">
        <f>M284/G290</f>
        <v>#DIV/0!</v>
      </c>
      <c r="O284" s="61" t="e">
        <f>L284+N284</f>
        <v>#DIV/0!</v>
      </c>
    </row>
    <row r="285" spans="1:15" ht="15.6" x14ac:dyDescent="0.25">
      <c r="A285" s="114" t="s">
        <v>297</v>
      </c>
      <c r="B285" s="115"/>
      <c r="C285" s="115"/>
      <c r="D285" s="115"/>
      <c r="E285" s="115"/>
      <c r="F285" s="115"/>
      <c r="G285" s="115"/>
      <c r="H285" s="115"/>
      <c r="I285" s="115"/>
      <c r="J285" s="116"/>
    </row>
    <row r="286" spans="1:15" ht="15.6" x14ac:dyDescent="0.25">
      <c r="A286" s="111">
        <v>1</v>
      </c>
      <c r="B286" s="112"/>
      <c r="C286" s="59" t="s">
        <v>177</v>
      </c>
      <c r="D286" s="111">
        <f>(75.986+1.155*2.26)*10.764</f>
        <v>846.01057319999995</v>
      </c>
      <c r="E286" s="112"/>
      <c r="F286" s="59">
        <v>0</v>
      </c>
      <c r="G286" s="59">
        <f>D286*1.6+F286</f>
        <v>1353.6169171199999</v>
      </c>
      <c r="H286" s="117" t="str">
        <f>A285</f>
        <v>15th &amp; 24th Floor (Part Refuge Area)</v>
      </c>
      <c r="I286" s="118"/>
      <c r="J286" s="119"/>
    </row>
    <row r="287" spans="1:15" ht="15.6" x14ac:dyDescent="0.25">
      <c r="A287" s="111">
        <v>2</v>
      </c>
      <c r="B287" s="112"/>
      <c r="C287" s="59" t="s">
        <v>176</v>
      </c>
      <c r="D287" s="111">
        <f>(42.336+0.65*3.25+1*2.66)*10.764</f>
        <v>507.07589399999989</v>
      </c>
      <c r="E287" s="112"/>
      <c r="F287" s="59">
        <v>0</v>
      </c>
      <c r="G287" s="59">
        <f t="shared" ref="G287:G289" si="23">D287*1.6+F287</f>
        <v>811.32143039999983</v>
      </c>
      <c r="H287" s="120"/>
      <c r="I287" s="121"/>
      <c r="J287" s="122"/>
    </row>
    <row r="288" spans="1:15" ht="15.6" x14ac:dyDescent="0.25">
      <c r="A288" s="111">
        <v>3</v>
      </c>
      <c r="B288" s="112"/>
      <c r="C288" s="59" t="s">
        <v>176</v>
      </c>
      <c r="D288" s="111">
        <f>(42.336+0.65*3.25+1*2.66)*10.764</f>
        <v>507.07589399999989</v>
      </c>
      <c r="E288" s="112"/>
      <c r="F288" s="59">
        <v>0</v>
      </c>
      <c r="G288" s="59">
        <f t="shared" si="23"/>
        <v>811.32143039999983</v>
      </c>
      <c r="H288" s="120"/>
      <c r="I288" s="121"/>
      <c r="J288" s="122"/>
    </row>
    <row r="289" spans="1:15" ht="15.6" x14ac:dyDescent="0.25">
      <c r="A289" s="111">
        <v>4</v>
      </c>
      <c r="B289" s="112"/>
      <c r="C289" s="59" t="s">
        <v>177</v>
      </c>
      <c r="D289" s="111">
        <f>(69.655+1.105*2.165)*10.764</f>
        <v>775.51740629999995</v>
      </c>
      <c r="E289" s="112"/>
      <c r="F289" s="59">
        <v>0</v>
      </c>
      <c r="G289" s="59">
        <f t="shared" si="23"/>
        <v>1240.82785008</v>
      </c>
      <c r="H289" s="120"/>
      <c r="I289" s="121"/>
      <c r="J289" s="122"/>
      <c r="L289" s="61">
        <f>25000/1.6</f>
        <v>15625</v>
      </c>
      <c r="M289" s="61">
        <f>150000+5000+5.5*G295*24</f>
        <v>334115.50891520001</v>
      </c>
      <c r="N289" s="61">
        <f>M289/G295</f>
        <v>246.22796453481052</v>
      </c>
      <c r="O289" s="61">
        <f>L289+N289</f>
        <v>15871.22796453481</v>
      </c>
    </row>
    <row r="290" spans="1:15" ht="15.6" x14ac:dyDescent="0.25">
      <c r="A290" s="111">
        <v>5</v>
      </c>
      <c r="B290" s="112"/>
      <c r="C290" s="117" t="s">
        <v>223</v>
      </c>
      <c r="D290" s="118"/>
      <c r="E290" s="118"/>
      <c r="F290" s="118"/>
      <c r="G290" s="119"/>
      <c r="H290" s="120"/>
      <c r="I290" s="121"/>
      <c r="J290" s="122"/>
    </row>
    <row r="291" spans="1:15" ht="15.6" x14ac:dyDescent="0.25">
      <c r="A291" s="111">
        <v>6</v>
      </c>
      <c r="B291" s="112"/>
      <c r="C291" s="120"/>
      <c r="D291" s="121"/>
      <c r="E291" s="121"/>
      <c r="F291" s="121"/>
      <c r="G291" s="122"/>
      <c r="H291" s="120"/>
      <c r="I291" s="121"/>
      <c r="J291" s="122"/>
    </row>
    <row r="292" spans="1:15" ht="15.6" x14ac:dyDescent="0.25">
      <c r="A292" s="111">
        <v>7</v>
      </c>
      <c r="B292" s="112"/>
      <c r="C292" s="123"/>
      <c r="D292" s="124"/>
      <c r="E292" s="124"/>
      <c r="F292" s="124"/>
      <c r="G292" s="125"/>
      <c r="H292" s="120"/>
      <c r="I292" s="121"/>
      <c r="J292" s="122"/>
      <c r="K292" s="26" t="s">
        <v>269</v>
      </c>
    </row>
    <row r="293" spans="1:15" ht="15.6" x14ac:dyDescent="0.25">
      <c r="A293" s="111">
        <v>8</v>
      </c>
      <c r="B293" s="112"/>
      <c r="C293" s="59" t="s">
        <v>260</v>
      </c>
      <c r="D293" s="111">
        <f>(112.298+1.3*1.6)*10.764</f>
        <v>1231.164792</v>
      </c>
      <c r="E293" s="112"/>
      <c r="F293" s="59">
        <v>0</v>
      </c>
      <c r="G293" s="59">
        <f t="shared" ref="G293" si="24">D293*1.6+F293</f>
        <v>1969.8636672000002</v>
      </c>
      <c r="H293" s="123"/>
      <c r="I293" s="124"/>
      <c r="J293" s="125"/>
      <c r="L293" s="61">
        <f>25000/1.6</f>
        <v>15625</v>
      </c>
      <c r="M293" s="61">
        <f>150000+5000+5.5*G299*24</f>
        <v>446518.79419520008</v>
      </c>
      <c r="N293" s="61">
        <f>M293/G299</f>
        <v>202.18415418629942</v>
      </c>
      <c r="O293" s="61">
        <f>L293+N293</f>
        <v>15827.1841541863</v>
      </c>
    </row>
    <row r="294" spans="1:15" ht="15.6" x14ac:dyDescent="0.25">
      <c r="A294" s="114" t="s">
        <v>268</v>
      </c>
      <c r="B294" s="115"/>
      <c r="C294" s="115"/>
      <c r="D294" s="115"/>
      <c r="E294" s="115"/>
      <c r="F294" s="115"/>
      <c r="G294" s="115"/>
      <c r="H294" s="115"/>
      <c r="I294" s="115"/>
      <c r="J294" s="116"/>
    </row>
    <row r="295" spans="1:15" ht="15.6" x14ac:dyDescent="0.25">
      <c r="A295" s="111">
        <v>1</v>
      </c>
      <c r="B295" s="112"/>
      <c r="C295" s="59" t="s">
        <v>177</v>
      </c>
      <c r="D295" s="111">
        <f>(76.259+1.15*2.2)*10.764</f>
        <v>848.08479599999998</v>
      </c>
      <c r="E295" s="112"/>
      <c r="F295" s="59">
        <v>0</v>
      </c>
      <c r="G295" s="59">
        <f>D295*1.6+F295</f>
        <v>1356.9356736</v>
      </c>
      <c r="H295" s="117" t="str">
        <f>A294</f>
        <v xml:space="preserve">16th Floor </v>
      </c>
      <c r="I295" s="118"/>
      <c r="J295" s="119"/>
    </row>
    <row r="296" spans="1:15" ht="15.6" x14ac:dyDescent="0.25">
      <c r="A296" s="111">
        <v>2</v>
      </c>
      <c r="B296" s="112"/>
      <c r="C296" s="59" t="s">
        <v>176</v>
      </c>
      <c r="D296" s="111">
        <f>(42.336+0.65*3.25+1*2.43)*10.764</f>
        <v>504.60017399999992</v>
      </c>
      <c r="E296" s="112"/>
      <c r="F296" s="59">
        <v>0</v>
      </c>
      <c r="G296" s="59">
        <f t="shared" ref="G296:G301" si="25">D296*1.6+F296</f>
        <v>807.36027839999997</v>
      </c>
      <c r="H296" s="120"/>
      <c r="I296" s="121"/>
      <c r="J296" s="122"/>
    </row>
    <row r="297" spans="1:15" ht="15.6" x14ac:dyDescent="0.25">
      <c r="A297" s="111">
        <v>3</v>
      </c>
      <c r="B297" s="112"/>
      <c r="C297" s="59" t="s">
        <v>176</v>
      </c>
      <c r="D297" s="111">
        <f>(42.336+0.65*3.25+1*2.6)*10.764</f>
        <v>506.43005399999993</v>
      </c>
      <c r="E297" s="112"/>
      <c r="F297" s="59">
        <v>0</v>
      </c>
      <c r="G297" s="59">
        <f t="shared" si="25"/>
        <v>810.28808639999988</v>
      </c>
      <c r="H297" s="120"/>
      <c r="I297" s="121"/>
      <c r="J297" s="122"/>
    </row>
    <row r="298" spans="1:15" ht="15.6" x14ac:dyDescent="0.25">
      <c r="A298" s="111">
        <v>4</v>
      </c>
      <c r="B298" s="112"/>
      <c r="C298" s="59" t="s">
        <v>177</v>
      </c>
      <c r="D298" s="111">
        <f>(69.655+1.105*2.165)*10.764</f>
        <v>775.51740629999995</v>
      </c>
      <c r="E298" s="112"/>
      <c r="F298" s="59">
        <v>0</v>
      </c>
      <c r="G298" s="59">
        <f t="shared" si="25"/>
        <v>1240.82785008</v>
      </c>
      <c r="H298" s="120"/>
      <c r="I298" s="121"/>
      <c r="J298" s="122"/>
      <c r="L298" s="61">
        <f>25000/1.6</f>
        <v>15625</v>
      </c>
      <c r="M298" s="61">
        <f>150000+5000+5.5*G304*24</f>
        <v>334311.18810176</v>
      </c>
      <c r="N298" s="61">
        <f>M298/G304</f>
        <v>246.10330954022149</v>
      </c>
      <c r="O298" s="61">
        <f>L298+N298</f>
        <v>15871.103309540222</v>
      </c>
    </row>
    <row r="299" spans="1:15" ht="15.6" x14ac:dyDescent="0.25">
      <c r="A299" s="111">
        <v>5</v>
      </c>
      <c r="B299" s="112"/>
      <c r="C299" s="59" t="s">
        <v>178</v>
      </c>
      <c r="D299" s="111">
        <f>(114.405+1.36*3.5+1.135*2.7+0.925*(3.1+3.39))*10.764</f>
        <v>1380.297321</v>
      </c>
      <c r="E299" s="112"/>
      <c r="F299" s="59">
        <v>0</v>
      </c>
      <c r="G299" s="59">
        <f t="shared" si="25"/>
        <v>2208.4757136000003</v>
      </c>
      <c r="H299" s="120"/>
      <c r="I299" s="121"/>
      <c r="J299" s="122"/>
    </row>
    <row r="300" spans="1:15" ht="15.6" x14ac:dyDescent="0.25">
      <c r="A300" s="111">
        <v>6</v>
      </c>
      <c r="B300" s="112"/>
      <c r="C300" s="59" t="s">
        <v>177</v>
      </c>
      <c r="D300" s="111">
        <f>(70.208+1.15*3.25+1.105*2.2+0.925*3.45)*10.764</f>
        <v>856.46726099999978</v>
      </c>
      <c r="E300" s="112"/>
      <c r="F300" s="59">
        <v>0</v>
      </c>
      <c r="G300" s="59">
        <f t="shared" si="25"/>
        <v>1370.3476175999997</v>
      </c>
      <c r="H300" s="120"/>
      <c r="I300" s="121"/>
      <c r="J300" s="122"/>
    </row>
    <row r="301" spans="1:15" ht="15.6" x14ac:dyDescent="0.25">
      <c r="A301" s="111">
        <v>7</v>
      </c>
      <c r="B301" s="112"/>
      <c r="C301" s="59" t="s">
        <v>177</v>
      </c>
      <c r="D301" s="111">
        <f>(70.211+1.15*3.25+1.105*2.26)*10.764</f>
        <v>822.86259119999988</v>
      </c>
      <c r="E301" s="112"/>
      <c r="F301" s="59">
        <v>0</v>
      </c>
      <c r="G301" s="59">
        <f t="shared" si="25"/>
        <v>1316.5801459199999</v>
      </c>
      <c r="H301" s="120"/>
      <c r="I301" s="121"/>
      <c r="J301" s="122"/>
      <c r="K301" s="26" t="s">
        <v>269</v>
      </c>
    </row>
    <row r="302" spans="1:15" ht="15.6" x14ac:dyDescent="0.25">
      <c r="A302" s="111">
        <v>8</v>
      </c>
      <c r="B302" s="112"/>
      <c r="C302" s="59" t="s">
        <v>178</v>
      </c>
      <c r="D302" s="111">
        <f>(112.466+1.3*1.6)*10.764</f>
        <v>1232.9731439999998</v>
      </c>
      <c r="E302" s="112"/>
      <c r="F302" s="59">
        <v>0</v>
      </c>
      <c r="G302" s="59">
        <f t="shared" ref="G302" si="26">D302*1.6+F302</f>
        <v>1972.7570303999998</v>
      </c>
      <c r="H302" s="123"/>
      <c r="I302" s="124"/>
      <c r="J302" s="125"/>
      <c r="L302" s="61">
        <f>25000/1.6</f>
        <v>15625</v>
      </c>
      <c r="M302" s="61">
        <f>150000+5000+5.5*G308*24</f>
        <v>429968.30201984005</v>
      </c>
      <c r="N302" s="61">
        <f>M302/G308</f>
        <v>206.40857673305098</v>
      </c>
      <c r="O302" s="61">
        <f>L302+N302</f>
        <v>15831.408576733051</v>
      </c>
    </row>
    <row r="303" spans="1:15" ht="15.6" x14ac:dyDescent="0.25">
      <c r="A303" s="114" t="s">
        <v>270</v>
      </c>
      <c r="B303" s="115"/>
      <c r="C303" s="115"/>
      <c r="D303" s="115"/>
      <c r="E303" s="115"/>
      <c r="F303" s="115"/>
      <c r="G303" s="115"/>
      <c r="H303" s="115"/>
      <c r="I303" s="115"/>
      <c r="J303" s="116"/>
    </row>
    <row r="304" spans="1:15" ht="15.6" x14ac:dyDescent="0.25">
      <c r="A304" s="111">
        <v>1</v>
      </c>
      <c r="B304" s="112"/>
      <c r="C304" s="59" t="s">
        <v>177</v>
      </c>
      <c r="D304" s="111">
        <f>(76.259+1.155*2.265)*10.764</f>
        <v>849.01130729999988</v>
      </c>
      <c r="E304" s="112"/>
      <c r="F304" s="59">
        <v>0</v>
      </c>
      <c r="G304" s="59">
        <f>D304*1.6+F304</f>
        <v>1358.4180916799999</v>
      </c>
      <c r="H304" s="117" t="str">
        <f>A303</f>
        <v>17th to 21st Floor</v>
      </c>
      <c r="I304" s="118"/>
      <c r="J304" s="119"/>
    </row>
    <row r="305" spans="1:15" ht="15.6" x14ac:dyDescent="0.25">
      <c r="A305" s="111">
        <v>2</v>
      </c>
      <c r="B305" s="112"/>
      <c r="C305" s="59" t="s">
        <v>176</v>
      </c>
      <c r="D305" s="111">
        <f>(42.336+1*2.6)*10.764</f>
        <v>483.691104</v>
      </c>
      <c r="E305" s="112"/>
      <c r="F305" s="59">
        <v>0</v>
      </c>
      <c r="G305" s="59">
        <f t="shared" ref="G305:G311" si="27">D305*1.6+F305</f>
        <v>773.90576640000006</v>
      </c>
      <c r="H305" s="120"/>
      <c r="I305" s="121"/>
      <c r="J305" s="122"/>
      <c r="K305" s="67"/>
    </row>
    <row r="306" spans="1:15" ht="15.6" x14ac:dyDescent="0.25">
      <c r="A306" s="111">
        <v>3</v>
      </c>
      <c r="B306" s="112"/>
      <c r="C306" s="59" t="s">
        <v>176</v>
      </c>
      <c r="D306" s="111">
        <f>(42.336+1*2.6)*10.764</f>
        <v>483.691104</v>
      </c>
      <c r="E306" s="112"/>
      <c r="F306" s="59">
        <v>0</v>
      </c>
      <c r="G306" s="59">
        <f t="shared" si="27"/>
        <v>773.90576640000006</v>
      </c>
      <c r="H306" s="120"/>
      <c r="I306" s="121"/>
      <c r="J306" s="122"/>
    </row>
    <row r="307" spans="1:15" ht="15.6" x14ac:dyDescent="0.25">
      <c r="A307" s="111">
        <v>4</v>
      </c>
      <c r="B307" s="112"/>
      <c r="C307" s="59" t="s">
        <v>177</v>
      </c>
      <c r="D307" s="111">
        <f>(69.655+1.105*2.165)*10.764</f>
        <v>775.51740629999995</v>
      </c>
      <c r="E307" s="112"/>
      <c r="F307" s="59">
        <v>0</v>
      </c>
      <c r="G307" s="59">
        <f t="shared" si="27"/>
        <v>1240.82785008</v>
      </c>
      <c r="H307" s="120"/>
      <c r="I307" s="121"/>
      <c r="J307" s="122"/>
    </row>
    <row r="308" spans="1:15" ht="15.6" x14ac:dyDescent="0.25">
      <c r="A308" s="111">
        <v>5</v>
      </c>
      <c r="B308" s="112"/>
      <c r="C308" s="59" t="s">
        <v>178</v>
      </c>
      <c r="D308" s="111">
        <f>(113.321+1.36*3.5+1.135*2.53)*10.764</f>
        <v>1301.9332482</v>
      </c>
      <c r="E308" s="112"/>
      <c r="F308" s="59">
        <v>0</v>
      </c>
      <c r="G308" s="59">
        <f t="shared" si="27"/>
        <v>2083.0931971200002</v>
      </c>
      <c r="H308" s="120"/>
      <c r="I308" s="121"/>
      <c r="J308" s="122"/>
    </row>
    <row r="309" spans="1:15" ht="15.6" x14ac:dyDescent="0.25">
      <c r="A309" s="111">
        <v>6</v>
      </c>
      <c r="B309" s="112"/>
      <c r="C309" s="59" t="s">
        <v>177</v>
      </c>
      <c r="D309" s="111">
        <f>(70.208+1.105*2.2)*10.764</f>
        <v>781.88619599999993</v>
      </c>
      <c r="E309" s="112"/>
      <c r="F309" s="59">
        <v>0</v>
      </c>
      <c r="G309" s="59">
        <f t="shared" si="27"/>
        <v>1251.0179135999999</v>
      </c>
      <c r="H309" s="120"/>
      <c r="I309" s="121"/>
      <c r="J309" s="121"/>
      <c r="L309" s="61">
        <f>25000/1.6</f>
        <v>15625</v>
      </c>
      <c r="M309" s="61">
        <f>150000+5000+5.5*G315*24</f>
        <v>334943.01079039997</v>
      </c>
      <c r="N309" s="61">
        <f>M309/G315</f>
        <v>245.70266569470755</v>
      </c>
      <c r="O309" s="61">
        <f>L309+N309</f>
        <v>15870.702665694707</v>
      </c>
    </row>
    <row r="310" spans="1:15" ht="15.6" x14ac:dyDescent="0.25">
      <c r="A310" s="111">
        <v>7</v>
      </c>
      <c r="B310" s="112"/>
      <c r="C310" s="59" t="s">
        <v>177</v>
      </c>
      <c r="D310" s="111">
        <f>(69.657+1.105*2.2)*10.764</f>
        <v>775.95523199999991</v>
      </c>
      <c r="E310" s="112"/>
      <c r="F310" s="59">
        <v>0</v>
      </c>
      <c r="G310" s="59">
        <f t="shared" si="27"/>
        <v>1241.5283712</v>
      </c>
      <c r="H310" s="120"/>
      <c r="I310" s="121"/>
      <c r="J310" s="121"/>
    </row>
    <row r="311" spans="1:15" ht="15.6" x14ac:dyDescent="0.25">
      <c r="A311" s="111">
        <v>8</v>
      </c>
      <c r="B311" s="112"/>
      <c r="C311" s="59" t="s">
        <v>178</v>
      </c>
      <c r="D311" s="111">
        <f>(112.466+1.3*1.6)*10.764</f>
        <v>1232.9731439999998</v>
      </c>
      <c r="E311" s="112"/>
      <c r="F311" s="59">
        <v>0</v>
      </c>
      <c r="G311" s="59">
        <f t="shared" si="27"/>
        <v>1972.7570303999998</v>
      </c>
      <c r="H311" s="123"/>
      <c r="I311" s="124"/>
      <c r="J311" s="124"/>
    </row>
    <row r="312" spans="1:15" ht="15.6" x14ac:dyDescent="0.25">
      <c r="A312" s="114" t="s">
        <v>271</v>
      </c>
      <c r="B312" s="115"/>
      <c r="C312" s="115"/>
      <c r="D312" s="115"/>
      <c r="E312" s="115"/>
      <c r="F312" s="115"/>
      <c r="G312" s="115"/>
      <c r="H312" s="115"/>
      <c r="I312" s="115"/>
      <c r="J312" s="115"/>
      <c r="K312" s="26" t="s">
        <v>269</v>
      </c>
    </row>
    <row r="313" spans="1:15" ht="15.6" x14ac:dyDescent="0.25">
      <c r="A313" s="114" t="s">
        <v>272</v>
      </c>
      <c r="B313" s="115"/>
      <c r="C313" s="115"/>
      <c r="D313" s="115"/>
      <c r="E313" s="115"/>
      <c r="F313" s="115"/>
      <c r="G313" s="115"/>
      <c r="H313" s="115"/>
      <c r="I313" s="115"/>
      <c r="J313" s="115"/>
      <c r="L313" s="61">
        <f>25000/1.6</f>
        <v>15625</v>
      </c>
      <c r="M313" s="61">
        <f>150000+5000+5.5*G319*24</f>
        <v>446182.33738879999</v>
      </c>
      <c r="N313" s="61">
        <f>M313/G319</f>
        <v>202.26525091966982</v>
      </c>
      <c r="O313" s="61">
        <f>L313+N313</f>
        <v>15827.265250919671</v>
      </c>
    </row>
    <row r="314" spans="1:15" ht="15.6" x14ac:dyDescent="0.25">
      <c r="A314" s="114" t="s">
        <v>273</v>
      </c>
      <c r="B314" s="115"/>
      <c r="C314" s="115"/>
      <c r="D314" s="115"/>
      <c r="E314" s="115"/>
      <c r="F314" s="115"/>
      <c r="G314" s="115"/>
      <c r="H314" s="115"/>
      <c r="I314" s="115"/>
      <c r="J314" s="115"/>
    </row>
    <row r="315" spans="1:15" ht="15.6" x14ac:dyDescent="0.25">
      <c r="A315" s="111">
        <v>1</v>
      </c>
      <c r="B315" s="112"/>
      <c r="C315" s="59" t="s">
        <v>177</v>
      </c>
      <c r="D315" s="111">
        <f>(76.612+1.155*2.2)*10.764</f>
        <v>852.00289199999986</v>
      </c>
      <c r="E315" s="112"/>
      <c r="F315" s="59">
        <v>0</v>
      </c>
      <c r="G315" s="59">
        <f>D315*1.6+F315</f>
        <v>1363.2046271999998</v>
      </c>
      <c r="H315" s="117" t="str">
        <f>A314</f>
        <v>25th &amp; 32nd Floor</v>
      </c>
      <c r="I315" s="118"/>
      <c r="J315" s="118"/>
    </row>
    <row r="316" spans="1:15" ht="15.6" x14ac:dyDescent="0.25">
      <c r="A316" s="111">
        <v>2</v>
      </c>
      <c r="B316" s="112"/>
      <c r="C316" s="59" t="s">
        <v>176</v>
      </c>
      <c r="D316" s="111">
        <f>(42.336+1*2.4+0.65*3.25)*10.764</f>
        <v>504.27725399999991</v>
      </c>
      <c r="E316" s="112"/>
      <c r="F316" s="59">
        <v>0</v>
      </c>
      <c r="G316" s="59">
        <f t="shared" ref="G316:G322" si="28">D316*1.6+F316</f>
        <v>806.84360639999989</v>
      </c>
      <c r="H316" s="120"/>
      <c r="I316" s="121"/>
      <c r="J316" s="121"/>
      <c r="K316" s="68"/>
    </row>
    <row r="317" spans="1:15" ht="15.6" x14ac:dyDescent="0.25">
      <c r="A317" s="111">
        <v>3</v>
      </c>
      <c r="B317" s="112"/>
      <c r="C317" s="59" t="s">
        <v>176</v>
      </c>
      <c r="D317" s="111">
        <f>(42.336+0.65*3.25+1*2.4)*10.764</f>
        <v>504.27725399999991</v>
      </c>
      <c r="E317" s="112"/>
      <c r="F317" s="59">
        <v>0</v>
      </c>
      <c r="G317" s="59">
        <f t="shared" si="28"/>
        <v>806.84360639999989</v>
      </c>
      <c r="H317" s="120"/>
      <c r="I317" s="121"/>
      <c r="J317" s="122"/>
    </row>
    <row r="318" spans="1:15" ht="15.6" x14ac:dyDescent="0.25">
      <c r="A318" s="111">
        <v>4</v>
      </c>
      <c r="B318" s="112"/>
      <c r="C318" s="59" t="s">
        <v>177</v>
      </c>
      <c r="D318" s="111">
        <f>(70.273+1.105*2.165)*10.764</f>
        <v>782.16955829999995</v>
      </c>
      <c r="E318" s="112"/>
      <c r="F318" s="59">
        <v>0</v>
      </c>
      <c r="G318" s="59">
        <f t="shared" si="28"/>
        <v>1251.4712932800001</v>
      </c>
      <c r="H318" s="120"/>
      <c r="I318" s="121"/>
      <c r="J318" s="122"/>
      <c r="L318" s="61">
        <f>25000/1.6</f>
        <v>15625</v>
      </c>
      <c r="M318" s="61">
        <f>150000+5000+5.5*G324*24</f>
        <v>334918.00386559998</v>
      </c>
      <c r="N318" s="61">
        <f>M318/G324</f>
        <v>245.71846930496048</v>
      </c>
      <c r="O318" s="61">
        <f>L318+N318</f>
        <v>15870.71846930496</v>
      </c>
    </row>
    <row r="319" spans="1:15" ht="15.6" x14ac:dyDescent="0.25">
      <c r="A319" s="111">
        <v>5</v>
      </c>
      <c r="B319" s="112"/>
      <c r="C319" s="59" t="s">
        <v>178</v>
      </c>
      <c r="D319" s="111">
        <f>(114.484+1.36*3.5+1.135*2.5+0.925*(3.1+3.39))*10.764</f>
        <v>1378.7042490000001</v>
      </c>
      <c r="E319" s="112"/>
      <c r="F319" s="59">
        <v>0</v>
      </c>
      <c r="G319" s="59">
        <f t="shared" si="28"/>
        <v>2205.9267984000003</v>
      </c>
      <c r="H319" s="120"/>
      <c r="I319" s="121"/>
      <c r="J319" s="122"/>
    </row>
    <row r="320" spans="1:15" ht="15.6" x14ac:dyDescent="0.25">
      <c r="A320" s="111">
        <v>6</v>
      </c>
      <c r="B320" s="112"/>
      <c r="C320" s="59" t="s">
        <v>177</v>
      </c>
      <c r="D320" s="111">
        <f>(70.208+1.15*3.25+1.105*2.2+0.925*3.55)*10.764</f>
        <v>857.4629309999998</v>
      </c>
      <c r="E320" s="112"/>
      <c r="F320" s="59">
        <v>0</v>
      </c>
      <c r="G320" s="59">
        <f t="shared" si="28"/>
        <v>1371.9406895999998</v>
      </c>
      <c r="H320" s="120"/>
      <c r="I320" s="121"/>
      <c r="J320" s="122"/>
    </row>
    <row r="321" spans="1:15" ht="15.6" x14ac:dyDescent="0.25">
      <c r="A321" s="111">
        <v>7</v>
      </c>
      <c r="B321" s="112"/>
      <c r="C321" s="59" t="s">
        <v>177</v>
      </c>
      <c r="D321" s="111">
        <f>(69.657+1.15*3.25+1.105*2.43)*10.764</f>
        <v>818.92135259999975</v>
      </c>
      <c r="E321" s="112"/>
      <c r="F321" s="59">
        <v>0</v>
      </c>
      <c r="G321" s="59">
        <f t="shared" si="28"/>
        <v>1310.2741641599996</v>
      </c>
      <c r="H321" s="120"/>
      <c r="I321" s="121"/>
      <c r="J321" s="122"/>
      <c r="K321" s="26" t="s">
        <v>269</v>
      </c>
    </row>
    <row r="322" spans="1:15" ht="15.6" x14ac:dyDescent="0.25">
      <c r="A322" s="111">
        <v>8</v>
      </c>
      <c r="B322" s="112"/>
      <c r="C322" s="59" t="s">
        <v>178</v>
      </c>
      <c r="D322" s="111">
        <f>(112.466+1.3*1.6)*10.764</f>
        <v>1232.9731439999998</v>
      </c>
      <c r="E322" s="112"/>
      <c r="F322" s="59">
        <v>0</v>
      </c>
      <c r="G322" s="59">
        <f t="shared" si="28"/>
        <v>1972.7570303999998</v>
      </c>
      <c r="H322" s="123"/>
      <c r="I322" s="124"/>
      <c r="J322" s="125"/>
      <c r="L322" s="61">
        <f>25000/1.6</f>
        <v>15625</v>
      </c>
      <c r="M322" s="61">
        <f>150000+5000+5.5*G328*24</f>
        <v>430159.26399104006</v>
      </c>
      <c r="N322" s="61">
        <f>M322/G328</f>
        <v>206.3569367908552</v>
      </c>
      <c r="O322" s="61">
        <f>L322+N322</f>
        <v>15831.356936790855</v>
      </c>
    </row>
    <row r="323" spans="1:15" ht="15.6" x14ac:dyDescent="0.25">
      <c r="A323" s="114" t="s">
        <v>274</v>
      </c>
      <c r="B323" s="115"/>
      <c r="C323" s="115"/>
      <c r="D323" s="115"/>
      <c r="E323" s="115"/>
      <c r="F323" s="115"/>
      <c r="G323" s="115"/>
      <c r="H323" s="115"/>
      <c r="I323" s="115"/>
      <c r="J323" s="116"/>
    </row>
    <row r="324" spans="1:15" ht="15.6" x14ac:dyDescent="0.25">
      <c r="A324" s="111">
        <v>1</v>
      </c>
      <c r="B324" s="112"/>
      <c r="C324" s="59" t="s">
        <v>177</v>
      </c>
      <c r="D324" s="111">
        <f>(76.612+2.2*1.15)*10.764</f>
        <v>851.88448799999992</v>
      </c>
      <c r="E324" s="112"/>
      <c r="F324" s="59">
        <v>0</v>
      </c>
      <c r="G324" s="59">
        <f>D324*1.6+F324</f>
        <v>1363.0151808000001</v>
      </c>
      <c r="H324" s="117" t="str">
        <f>A323</f>
        <v>26th to 30th, 33rd &amp; 34th Floor</v>
      </c>
      <c r="I324" s="118"/>
      <c r="J324" s="119"/>
    </row>
    <row r="325" spans="1:15" ht="15.6" x14ac:dyDescent="0.25">
      <c r="A325" s="111">
        <v>2</v>
      </c>
      <c r="B325" s="112"/>
      <c r="C325" s="59" t="s">
        <v>176</v>
      </c>
      <c r="D325" s="111">
        <f>(41.777+1*2.6)*10.764</f>
        <v>477.67402800000002</v>
      </c>
      <c r="E325" s="112"/>
      <c r="F325" s="59">
        <v>0</v>
      </c>
      <c r="G325" s="59">
        <f t="shared" ref="G325:G331" si="29">D325*1.6+F325</f>
        <v>764.2784448000001</v>
      </c>
      <c r="H325" s="120"/>
      <c r="I325" s="121"/>
      <c r="J325" s="122"/>
    </row>
    <row r="326" spans="1:15" ht="15.6" x14ac:dyDescent="0.25">
      <c r="A326" s="111">
        <v>3</v>
      </c>
      <c r="B326" s="112"/>
      <c r="C326" s="59" t="s">
        <v>176</v>
      </c>
      <c r="D326" s="111">
        <f>(41.777+1*2.6)*10.764</f>
        <v>477.67402800000002</v>
      </c>
      <c r="E326" s="112"/>
      <c r="F326" s="59">
        <v>0</v>
      </c>
      <c r="G326" s="59">
        <f t="shared" si="29"/>
        <v>764.2784448000001</v>
      </c>
      <c r="H326" s="120"/>
      <c r="I326" s="121"/>
      <c r="J326" s="122"/>
    </row>
    <row r="327" spans="1:15" ht="15.6" x14ac:dyDescent="0.25">
      <c r="A327" s="111">
        <v>4</v>
      </c>
      <c r="B327" s="112"/>
      <c r="C327" s="59" t="s">
        <v>177</v>
      </c>
      <c r="D327" s="111">
        <f>(70.273+2.165*1.105)*10.764</f>
        <v>782.16955829999995</v>
      </c>
      <c r="E327" s="112"/>
      <c r="F327" s="59">
        <v>0</v>
      </c>
      <c r="G327" s="59">
        <f t="shared" si="29"/>
        <v>1251.4712932800001</v>
      </c>
      <c r="H327" s="120"/>
      <c r="I327" s="121"/>
      <c r="J327" s="122"/>
      <c r="L327" s="61">
        <f>25000/1.6</f>
        <v>15625</v>
      </c>
      <c r="M327" s="61">
        <f>150000+5000+5.5*G333*24</f>
        <v>334918.00386559998</v>
      </c>
      <c r="N327" s="61">
        <f>M327/G333</f>
        <v>245.71846930496048</v>
      </c>
      <c r="O327" s="61">
        <f>L327+N327</f>
        <v>15870.71846930496</v>
      </c>
    </row>
    <row r="328" spans="1:15" ht="15.6" x14ac:dyDescent="0.25">
      <c r="A328" s="111">
        <v>5</v>
      </c>
      <c r="B328" s="112"/>
      <c r="C328" s="59" t="s">
        <v>178</v>
      </c>
      <c r="D328" s="111">
        <f>(113.405+1.36*3.5+1.135*2.53)*10.764</f>
        <v>1302.8374242</v>
      </c>
      <c r="E328" s="112"/>
      <c r="F328" s="59">
        <v>0</v>
      </c>
      <c r="G328" s="59">
        <f t="shared" si="29"/>
        <v>2084.5398787200002</v>
      </c>
      <c r="H328" s="120"/>
      <c r="I328" s="121"/>
      <c r="J328" s="122"/>
    </row>
    <row r="329" spans="1:15" ht="15.6" x14ac:dyDescent="0.25">
      <c r="A329" s="111">
        <v>6</v>
      </c>
      <c r="B329" s="112"/>
      <c r="C329" s="59" t="s">
        <v>177</v>
      </c>
      <c r="D329" s="111">
        <f>(70.208+1.105*2.26)*10.764</f>
        <v>782.59984919999988</v>
      </c>
      <c r="E329" s="112"/>
      <c r="F329" s="59">
        <v>0</v>
      </c>
      <c r="G329" s="59">
        <f t="shared" si="29"/>
        <v>1252.1597587199999</v>
      </c>
      <c r="H329" s="120"/>
      <c r="I329" s="121"/>
      <c r="J329" s="122"/>
    </row>
    <row r="330" spans="1:15" ht="15.6" x14ac:dyDescent="0.25">
      <c r="A330" s="111">
        <v>7</v>
      </c>
      <c r="B330" s="112"/>
      <c r="C330" s="59" t="s">
        <v>177</v>
      </c>
      <c r="D330" s="111">
        <f>(69.657+1.105*2.43)*10.764</f>
        <v>778.69090259999996</v>
      </c>
      <c r="E330" s="112"/>
      <c r="F330" s="59">
        <v>0</v>
      </c>
      <c r="G330" s="59">
        <f t="shared" si="29"/>
        <v>1245.9054441600001</v>
      </c>
      <c r="H330" s="120"/>
      <c r="I330" s="121"/>
      <c r="J330" s="122"/>
      <c r="K330" s="26" t="s">
        <v>269</v>
      </c>
    </row>
    <row r="331" spans="1:15" ht="15.6" x14ac:dyDescent="0.25">
      <c r="A331" s="111">
        <v>8</v>
      </c>
      <c r="B331" s="112"/>
      <c r="C331" s="59" t="s">
        <v>178</v>
      </c>
      <c r="D331" s="111">
        <f>(112.466+1.3*1.67)*10.764</f>
        <v>1233.9526679999999</v>
      </c>
      <c r="E331" s="112"/>
      <c r="F331" s="59">
        <v>0</v>
      </c>
      <c r="G331" s="59">
        <f t="shared" si="29"/>
        <v>1974.3242688</v>
      </c>
      <c r="H331" s="123"/>
      <c r="I331" s="124"/>
      <c r="J331" s="125"/>
      <c r="L331" s="61">
        <f>25000/1.6</f>
        <v>15625</v>
      </c>
      <c r="M331" s="61">
        <f>150000+5000+5.5*G337*24</f>
        <v>155000</v>
      </c>
      <c r="N331" s="61" t="e">
        <f>M331/G337</f>
        <v>#DIV/0!</v>
      </c>
      <c r="O331" s="61" t="e">
        <f>L331+N331</f>
        <v>#DIV/0!</v>
      </c>
    </row>
    <row r="332" spans="1:15" ht="15.6" x14ac:dyDescent="0.25">
      <c r="A332" s="114" t="s">
        <v>275</v>
      </c>
      <c r="B332" s="115"/>
      <c r="C332" s="115"/>
      <c r="D332" s="115"/>
      <c r="E332" s="115"/>
      <c r="F332" s="115"/>
      <c r="G332" s="115"/>
      <c r="H332" s="115"/>
      <c r="I332" s="115"/>
      <c r="J332" s="116"/>
    </row>
    <row r="333" spans="1:15" ht="15.6" x14ac:dyDescent="0.25">
      <c r="A333" s="111">
        <v>1</v>
      </c>
      <c r="B333" s="112"/>
      <c r="C333" s="59" t="s">
        <v>177</v>
      </c>
      <c r="D333" s="111">
        <f>(76.612+1.15*2.2)*10.764</f>
        <v>851.88448799999992</v>
      </c>
      <c r="E333" s="112"/>
      <c r="F333" s="59">
        <v>0</v>
      </c>
      <c r="G333" s="59">
        <f>D333*1.6+F333</f>
        <v>1363.0151808000001</v>
      </c>
      <c r="H333" s="117" t="str">
        <f>A332</f>
        <v>31st Floor(Part Refuge Area)</v>
      </c>
      <c r="I333" s="118"/>
      <c r="J333" s="119"/>
    </row>
    <row r="334" spans="1:15" ht="15.6" x14ac:dyDescent="0.25">
      <c r="A334" s="111">
        <v>2</v>
      </c>
      <c r="B334" s="112"/>
      <c r="C334" s="59" t="s">
        <v>176</v>
      </c>
      <c r="D334" s="111">
        <f>(41.777+1*2.66+0.65*3.25)*10.764</f>
        <v>501.05881799999992</v>
      </c>
      <c r="E334" s="112"/>
      <c r="F334" s="59">
        <v>0</v>
      </c>
      <c r="G334" s="59">
        <f t="shared" ref="G334:G340" si="30">D334*1.6+F334</f>
        <v>801.69410879999987</v>
      </c>
      <c r="H334" s="120"/>
      <c r="I334" s="121"/>
      <c r="J334" s="122"/>
    </row>
    <row r="335" spans="1:15" ht="15.6" x14ac:dyDescent="0.25">
      <c r="A335" s="111">
        <v>3</v>
      </c>
      <c r="B335" s="112"/>
      <c r="C335" s="59" t="s">
        <v>176</v>
      </c>
      <c r="D335" s="111">
        <f>(41.777+0.65*3.25+1*2.6)*10.764</f>
        <v>500.41297799999995</v>
      </c>
      <c r="E335" s="112"/>
      <c r="F335" s="59">
        <v>0</v>
      </c>
      <c r="G335" s="59">
        <f t="shared" si="30"/>
        <v>800.66076479999992</v>
      </c>
      <c r="H335" s="120"/>
      <c r="I335" s="121"/>
      <c r="J335" s="122"/>
    </row>
    <row r="336" spans="1:15" ht="15.6" x14ac:dyDescent="0.25">
      <c r="A336" s="111">
        <v>4</v>
      </c>
      <c r="B336" s="112"/>
      <c r="C336" s="59" t="s">
        <v>177</v>
      </c>
      <c r="D336" s="111">
        <f>(70.273+1.105*2.165)*10.764</f>
        <v>782.16955829999995</v>
      </c>
      <c r="E336" s="112"/>
      <c r="F336" s="59">
        <v>0</v>
      </c>
      <c r="G336" s="59">
        <f t="shared" si="30"/>
        <v>1251.4712932800001</v>
      </c>
      <c r="H336" s="120"/>
      <c r="I336" s="121"/>
      <c r="J336" s="122"/>
    </row>
    <row r="337" spans="1:15" ht="15.6" x14ac:dyDescent="0.25">
      <c r="A337" s="111">
        <v>5</v>
      </c>
      <c r="B337" s="112"/>
      <c r="C337" s="117" t="s">
        <v>223</v>
      </c>
      <c r="D337" s="118"/>
      <c r="E337" s="118"/>
      <c r="F337" s="118"/>
      <c r="G337" s="119"/>
      <c r="H337" s="120"/>
      <c r="I337" s="121"/>
      <c r="J337" s="122"/>
    </row>
    <row r="338" spans="1:15" ht="45" customHeight="1" x14ac:dyDescent="0.25">
      <c r="A338" s="111">
        <v>6</v>
      </c>
      <c r="B338" s="112"/>
      <c r="C338" s="120"/>
      <c r="D338" s="121"/>
      <c r="E338" s="121"/>
      <c r="F338" s="121"/>
      <c r="G338" s="122"/>
      <c r="H338" s="120"/>
      <c r="I338" s="121"/>
      <c r="J338" s="122"/>
      <c r="L338" s="61">
        <f>25000/1.6</f>
        <v>15625</v>
      </c>
      <c r="M338" s="61">
        <f>150000+5000+5.5*G344*24</f>
        <v>599823.17834240012</v>
      </c>
      <c r="N338" s="61">
        <f>M338/G344</f>
        <v>177.99580461666284</v>
      </c>
      <c r="O338" s="61">
        <f>L338+N338</f>
        <v>15802.995804616663</v>
      </c>
    </row>
    <row r="339" spans="1:15" ht="15.6" x14ac:dyDescent="0.25">
      <c r="A339" s="111">
        <v>7</v>
      </c>
      <c r="B339" s="112"/>
      <c r="C339" s="123"/>
      <c r="D339" s="124"/>
      <c r="E339" s="124"/>
      <c r="F339" s="124"/>
      <c r="G339" s="125"/>
      <c r="H339" s="120"/>
      <c r="I339" s="121"/>
      <c r="J339" s="122"/>
      <c r="K339" s="26">
        <v>1</v>
      </c>
    </row>
    <row r="340" spans="1:15" ht="15.6" x14ac:dyDescent="0.25">
      <c r="A340" s="111">
        <v>8</v>
      </c>
      <c r="B340" s="112"/>
      <c r="C340" s="59" t="s">
        <v>260</v>
      </c>
      <c r="D340" s="111">
        <f>(131.351+1.3*1.67)*10.764</f>
        <v>1437.2308079999998</v>
      </c>
      <c r="E340" s="112"/>
      <c r="F340" s="59">
        <v>0</v>
      </c>
      <c r="G340" s="59">
        <f t="shared" si="30"/>
        <v>2299.5692927999999</v>
      </c>
      <c r="H340" s="123"/>
      <c r="I340" s="124"/>
      <c r="J340" s="125"/>
    </row>
    <row r="341" spans="1:15" ht="15.6" x14ac:dyDescent="0.25">
      <c r="A341" s="162" t="s">
        <v>276</v>
      </c>
      <c r="B341" s="163"/>
      <c r="C341" s="163"/>
      <c r="D341" s="163"/>
      <c r="E341" s="163"/>
      <c r="F341" s="163"/>
      <c r="G341" s="163"/>
      <c r="H341" s="163"/>
      <c r="I341" s="163"/>
      <c r="J341" s="164"/>
      <c r="L341" s="61">
        <f>25000/1.6</f>
        <v>15625</v>
      </c>
      <c r="M341" s="61">
        <f>150000+5000+5.5*G347*24</f>
        <v>155000</v>
      </c>
      <c r="N341" s="61" t="e">
        <f>M341/G347</f>
        <v>#DIV/0!</v>
      </c>
      <c r="O341" s="61" t="e">
        <f>L341+N341</f>
        <v>#DIV/0!</v>
      </c>
    </row>
    <row r="342" spans="1:15" ht="15.6" x14ac:dyDescent="0.25">
      <c r="A342" s="114" t="s">
        <v>221</v>
      </c>
      <c r="B342" s="115"/>
      <c r="C342" s="115"/>
      <c r="D342" s="115"/>
      <c r="E342" s="115"/>
      <c r="F342" s="115"/>
      <c r="G342" s="115"/>
      <c r="H342" s="115"/>
      <c r="I342" s="115"/>
      <c r="J342" s="116"/>
    </row>
    <row r="343" spans="1:15" ht="15.6" x14ac:dyDescent="0.25">
      <c r="A343" s="114" t="s">
        <v>222</v>
      </c>
      <c r="B343" s="115"/>
      <c r="C343" s="115"/>
      <c r="D343" s="115"/>
      <c r="E343" s="115"/>
      <c r="F343" s="115"/>
      <c r="G343" s="115"/>
      <c r="H343" s="115"/>
      <c r="I343" s="115"/>
      <c r="J343" s="116"/>
      <c r="K343" s="26">
        <v>1</v>
      </c>
    </row>
    <row r="344" spans="1:15" ht="31.2" x14ac:dyDescent="0.25">
      <c r="A344" s="111">
        <v>2</v>
      </c>
      <c r="B344" s="112"/>
      <c r="C344" s="59" t="s">
        <v>277</v>
      </c>
      <c r="D344" s="111">
        <f>(185.354+3*1+2.38*0.8+3.01*1+1*2.4)*10.764</f>
        <v>2106.1703520000001</v>
      </c>
      <c r="E344" s="112"/>
      <c r="F344" s="59">
        <v>0</v>
      </c>
      <c r="G344" s="59">
        <f>D344*1.6+F344</f>
        <v>3369.8725632000005</v>
      </c>
      <c r="H344" s="117" t="str">
        <f>A343</f>
        <v>Ground Floor for Residential &amp; Parking</v>
      </c>
      <c r="I344" s="118"/>
      <c r="J344" s="119"/>
    </row>
    <row r="345" spans="1:15" ht="31.2" x14ac:dyDescent="0.25">
      <c r="A345" s="111">
        <v>3</v>
      </c>
      <c r="B345" s="112"/>
      <c r="C345" s="59" t="s">
        <v>277</v>
      </c>
      <c r="D345" s="111">
        <f>(185.354+3.01*1+2.385*0.8+3.01*1+1*2.48)*10.764</f>
        <v>2107.1821679999994</v>
      </c>
      <c r="E345" s="112"/>
      <c r="F345" s="59">
        <v>0</v>
      </c>
      <c r="G345" s="59">
        <f t="shared" ref="G345" si="31">D345*1.6+F345</f>
        <v>3371.491468799999</v>
      </c>
      <c r="H345" s="120"/>
      <c r="I345" s="121"/>
      <c r="J345" s="122"/>
      <c r="L345" s="61">
        <f>25000/1.6</f>
        <v>15625</v>
      </c>
      <c r="M345" s="61">
        <f>150000+5000+5.5*G351*24</f>
        <v>220756.84544</v>
      </c>
      <c r="N345" s="61">
        <f>M345/G351</f>
        <v>443.14631279976436</v>
      </c>
      <c r="O345" s="61">
        <f>L345+N345</f>
        <v>16068.146312799765</v>
      </c>
    </row>
    <row r="346" spans="1:15" ht="15.6" x14ac:dyDescent="0.25">
      <c r="A346" s="114" t="s">
        <v>278</v>
      </c>
      <c r="B346" s="115"/>
      <c r="C346" s="115"/>
      <c r="D346" s="115"/>
      <c r="E346" s="115"/>
      <c r="F346" s="115"/>
      <c r="G346" s="115"/>
      <c r="H346" s="115"/>
      <c r="I346" s="115"/>
      <c r="J346" s="116"/>
    </row>
    <row r="347" spans="1:15" ht="15.6" x14ac:dyDescent="0.25">
      <c r="A347" s="111">
        <v>2</v>
      </c>
      <c r="B347" s="112"/>
      <c r="C347" s="117" t="s">
        <v>279</v>
      </c>
      <c r="D347" s="118"/>
      <c r="E347" s="118"/>
      <c r="F347" s="118"/>
      <c r="G347" s="119"/>
      <c r="H347" s="117" t="str">
        <f>A346</f>
        <v>1st Floor</v>
      </c>
      <c r="I347" s="118"/>
      <c r="J347" s="119"/>
    </row>
    <row r="348" spans="1:15" ht="15.75" customHeight="1" x14ac:dyDescent="0.25">
      <c r="A348" s="111">
        <v>3</v>
      </c>
      <c r="B348" s="112"/>
      <c r="C348" s="117" t="s">
        <v>279</v>
      </c>
      <c r="D348" s="118"/>
      <c r="E348" s="118"/>
      <c r="F348" s="118"/>
      <c r="G348" s="119"/>
      <c r="H348" s="120"/>
      <c r="I348" s="121"/>
      <c r="J348" s="122"/>
    </row>
    <row r="349" spans="1:15" ht="15.6" x14ac:dyDescent="0.25">
      <c r="A349" s="111">
        <v>10</v>
      </c>
      <c r="B349" s="112"/>
      <c r="C349" s="59" t="s">
        <v>178</v>
      </c>
      <c r="D349" s="111">
        <f>(111.853+1.67*3.2015+1.075*2.535)*10.764</f>
        <v>1290.8687173199999</v>
      </c>
      <c r="E349" s="112"/>
      <c r="F349" s="59">
        <v>0</v>
      </c>
      <c r="G349" s="59">
        <f t="shared" ref="G349" si="32">D349*1.6+F349</f>
        <v>2065.3899477119999</v>
      </c>
      <c r="H349" s="123"/>
      <c r="I349" s="124"/>
      <c r="J349" s="125"/>
    </row>
    <row r="350" spans="1:15" ht="15.6" x14ac:dyDescent="0.25">
      <c r="A350" s="114" t="s">
        <v>259</v>
      </c>
      <c r="B350" s="115"/>
      <c r="C350" s="115"/>
      <c r="D350" s="115"/>
      <c r="E350" s="115"/>
      <c r="F350" s="115"/>
      <c r="G350" s="115"/>
      <c r="H350" s="115"/>
      <c r="I350" s="115"/>
      <c r="J350" s="116"/>
    </row>
    <row r="351" spans="1:15" ht="15.6" x14ac:dyDescent="0.25">
      <c r="A351" s="111">
        <v>1</v>
      </c>
      <c r="B351" s="112"/>
      <c r="C351" s="59" t="s">
        <v>280</v>
      </c>
      <c r="D351" s="111">
        <f>28.925*10.764</f>
        <v>311.34870000000001</v>
      </c>
      <c r="E351" s="112"/>
      <c r="F351" s="59">
        <v>0</v>
      </c>
      <c r="G351" s="59">
        <f>D351*1.6+F351</f>
        <v>498.15792000000005</v>
      </c>
      <c r="H351" s="117" t="str">
        <f>A350</f>
        <v xml:space="preserve">2nd Floor </v>
      </c>
      <c r="I351" s="118"/>
      <c r="J351" s="119"/>
    </row>
    <row r="352" spans="1:15" ht="15.6" x14ac:dyDescent="0.25">
      <c r="A352" s="111">
        <v>2</v>
      </c>
      <c r="B352" s="112"/>
      <c r="C352" s="59" t="s">
        <v>177</v>
      </c>
      <c r="D352" s="111">
        <f>(66.243+1*2.4+1.15*3.08)*10.764</f>
        <v>776.99933999999996</v>
      </c>
      <c r="E352" s="112"/>
      <c r="F352" s="59">
        <v>0</v>
      </c>
      <c r="G352" s="59">
        <f t="shared" ref="G352:G355" si="33">D352*1.6+F352</f>
        <v>1243.198944</v>
      </c>
      <c r="H352" s="120"/>
      <c r="I352" s="121"/>
      <c r="J352" s="122"/>
    </row>
    <row r="353" spans="1:15" ht="15.6" x14ac:dyDescent="0.25">
      <c r="A353" s="111">
        <v>3</v>
      </c>
      <c r="B353" s="112"/>
      <c r="C353" s="59" t="s">
        <v>177</v>
      </c>
      <c r="D353" s="111">
        <f>(66.243+1*2.4+1.15*3.085)*10.764</f>
        <v>777.0612329999999</v>
      </c>
      <c r="E353" s="112"/>
      <c r="F353" s="59">
        <v>0</v>
      </c>
      <c r="G353" s="59">
        <f t="shared" si="33"/>
        <v>1243.2979728</v>
      </c>
      <c r="H353" s="120"/>
      <c r="I353" s="121"/>
      <c r="J353" s="122"/>
    </row>
    <row r="354" spans="1:15" ht="15.6" x14ac:dyDescent="0.25">
      <c r="A354" s="111">
        <v>4</v>
      </c>
      <c r="B354" s="112"/>
      <c r="C354" s="59" t="s">
        <v>280</v>
      </c>
      <c r="D354" s="111">
        <f>28.925*10.764</f>
        <v>311.34870000000001</v>
      </c>
      <c r="E354" s="112"/>
      <c r="F354" s="59">
        <v>0</v>
      </c>
      <c r="G354" s="59">
        <f t="shared" si="33"/>
        <v>498.15792000000005</v>
      </c>
      <c r="H354" s="120"/>
      <c r="I354" s="121"/>
      <c r="J354" s="122"/>
      <c r="K354" s="26">
        <v>1</v>
      </c>
    </row>
    <row r="355" spans="1:15" ht="15.6" x14ac:dyDescent="0.25">
      <c r="A355" s="111">
        <v>5</v>
      </c>
      <c r="B355" s="112"/>
      <c r="C355" s="59" t="s">
        <v>178</v>
      </c>
      <c r="D355" s="111">
        <f>(111.711+2.6*1.67+2.615*1.259+2.3*1.075)*10.764</f>
        <v>1311.2466377399999</v>
      </c>
      <c r="E355" s="112"/>
      <c r="F355" s="59">
        <v>0</v>
      </c>
      <c r="G355" s="59">
        <f t="shared" si="33"/>
        <v>2097.994620384</v>
      </c>
      <c r="H355" s="120"/>
      <c r="I355" s="121"/>
      <c r="J355" s="122"/>
    </row>
    <row r="356" spans="1:15" ht="15.6" x14ac:dyDescent="0.25">
      <c r="A356" s="111">
        <v>6</v>
      </c>
      <c r="B356" s="112"/>
      <c r="C356" s="120" t="s">
        <v>119</v>
      </c>
      <c r="D356" s="121"/>
      <c r="E356" s="121"/>
      <c r="F356" s="121"/>
      <c r="G356" s="122"/>
      <c r="H356" s="120"/>
      <c r="I356" s="121"/>
      <c r="J356" s="122"/>
      <c r="L356" s="61">
        <f>25000/1.6</f>
        <v>15625</v>
      </c>
      <c r="M356" s="61">
        <f>150000+5000+5.5*G362*24</f>
        <v>220756.84544</v>
      </c>
      <c r="N356" s="61">
        <f>M356/G362</f>
        <v>443.14631279976436</v>
      </c>
      <c r="O356" s="61">
        <f>L356+N356</f>
        <v>16068.146312799765</v>
      </c>
    </row>
    <row r="357" spans="1:15" ht="15.6" x14ac:dyDescent="0.25">
      <c r="A357" s="111">
        <v>7</v>
      </c>
      <c r="B357" s="112"/>
      <c r="C357" s="120"/>
      <c r="D357" s="121"/>
      <c r="E357" s="121"/>
      <c r="F357" s="121"/>
      <c r="G357" s="122"/>
      <c r="H357" s="120"/>
      <c r="I357" s="121"/>
      <c r="J357" s="122"/>
    </row>
    <row r="358" spans="1:15" ht="15.6" x14ac:dyDescent="0.25">
      <c r="A358" s="111">
        <v>8</v>
      </c>
      <c r="B358" s="112"/>
      <c r="C358" s="120"/>
      <c r="D358" s="121"/>
      <c r="E358" s="121"/>
      <c r="F358" s="121"/>
      <c r="G358" s="122"/>
      <c r="H358" s="120"/>
      <c r="I358" s="121"/>
      <c r="J358" s="122"/>
    </row>
    <row r="359" spans="1:15" ht="15.6" x14ac:dyDescent="0.25">
      <c r="A359" s="111">
        <v>9</v>
      </c>
      <c r="B359" s="112"/>
      <c r="C359" s="123"/>
      <c r="D359" s="124"/>
      <c r="E359" s="124"/>
      <c r="F359" s="124"/>
      <c r="G359" s="125"/>
      <c r="H359" s="120"/>
      <c r="I359" s="121"/>
      <c r="J359" s="122"/>
    </row>
    <row r="360" spans="1:15" ht="15.6" x14ac:dyDescent="0.25">
      <c r="A360" s="111">
        <v>10</v>
      </c>
      <c r="B360" s="112"/>
      <c r="C360" s="59" t="s">
        <v>178</v>
      </c>
      <c r="D360" s="111">
        <f>(111.711+2.6*1.67+2.615*1.259+2.3*1.075)*10.764</f>
        <v>1311.2466377399999</v>
      </c>
      <c r="E360" s="112"/>
      <c r="F360" s="59">
        <v>0</v>
      </c>
      <c r="G360" s="59">
        <f t="shared" ref="G360" si="34">D360*1.6+F360</f>
        <v>2097.994620384</v>
      </c>
      <c r="H360" s="123"/>
      <c r="I360" s="124"/>
      <c r="J360" s="125"/>
    </row>
    <row r="361" spans="1:15" ht="15.6" x14ac:dyDescent="0.25">
      <c r="A361" s="114" t="s">
        <v>281</v>
      </c>
      <c r="B361" s="115"/>
      <c r="C361" s="115"/>
      <c r="D361" s="115"/>
      <c r="E361" s="115"/>
      <c r="F361" s="115"/>
      <c r="G361" s="115"/>
      <c r="H361" s="115"/>
      <c r="I361" s="115"/>
      <c r="J361" s="116"/>
    </row>
    <row r="362" spans="1:15" ht="15.6" x14ac:dyDescent="0.25">
      <c r="A362" s="111">
        <v>1</v>
      </c>
      <c r="B362" s="112"/>
      <c r="C362" s="59" t="s">
        <v>280</v>
      </c>
      <c r="D362" s="111">
        <f>28.925*10.764</f>
        <v>311.34870000000001</v>
      </c>
      <c r="E362" s="112"/>
      <c r="F362" s="59">
        <v>0</v>
      </c>
      <c r="G362" s="59">
        <f>D362*1.6+F362</f>
        <v>498.15792000000005</v>
      </c>
      <c r="H362" s="117" t="str">
        <f>A361</f>
        <v xml:space="preserve">3rd Floor </v>
      </c>
      <c r="I362" s="118"/>
      <c r="J362" s="119"/>
    </row>
    <row r="363" spans="1:15" ht="15.6" x14ac:dyDescent="0.25">
      <c r="A363" s="111">
        <v>2</v>
      </c>
      <c r="B363" s="112"/>
      <c r="C363" s="59" t="s">
        <v>177</v>
      </c>
      <c r="D363" s="111">
        <f>(66.243+2.4*1+1.15*3.08)*10.764</f>
        <v>776.99933999999996</v>
      </c>
      <c r="E363" s="112"/>
      <c r="F363" s="59">
        <v>0</v>
      </c>
      <c r="G363" s="59">
        <f t="shared" ref="G363:G366" si="35">D363*1.6+F363</f>
        <v>1243.198944</v>
      </c>
      <c r="H363" s="120"/>
      <c r="I363" s="121"/>
      <c r="J363" s="122"/>
    </row>
    <row r="364" spans="1:15" ht="15.6" x14ac:dyDescent="0.25">
      <c r="A364" s="111">
        <v>3</v>
      </c>
      <c r="B364" s="112"/>
      <c r="C364" s="59" t="s">
        <v>177</v>
      </c>
      <c r="D364" s="111">
        <f>(66.243+1.15*3.08+1*2.4)*10.764</f>
        <v>776.99933999999996</v>
      </c>
      <c r="E364" s="112"/>
      <c r="F364" s="59">
        <v>0</v>
      </c>
      <c r="G364" s="59">
        <f t="shared" si="35"/>
        <v>1243.198944</v>
      </c>
      <c r="H364" s="120"/>
      <c r="I364" s="121"/>
      <c r="J364" s="122"/>
    </row>
    <row r="365" spans="1:15" ht="15.6" x14ac:dyDescent="0.25">
      <c r="A365" s="111">
        <v>4</v>
      </c>
      <c r="B365" s="112"/>
      <c r="C365" s="59" t="s">
        <v>280</v>
      </c>
      <c r="D365" s="111">
        <f>28.925*10.764</f>
        <v>311.34870000000001</v>
      </c>
      <c r="E365" s="112"/>
      <c r="F365" s="59">
        <v>0</v>
      </c>
      <c r="G365" s="59">
        <f t="shared" si="35"/>
        <v>498.15792000000005</v>
      </c>
      <c r="H365" s="120"/>
      <c r="I365" s="121"/>
      <c r="J365" s="122"/>
      <c r="K365" s="26">
        <v>1</v>
      </c>
    </row>
    <row r="366" spans="1:15" ht="15.6" x14ac:dyDescent="0.25">
      <c r="A366" s="111">
        <v>5</v>
      </c>
      <c r="B366" s="112"/>
      <c r="C366" s="59" t="s">
        <v>178</v>
      </c>
      <c r="D366" s="111">
        <f>(111.711+1.67*3.015+1.075*2.53)*10.764</f>
        <v>1285.9298712</v>
      </c>
      <c r="E366" s="112"/>
      <c r="F366" s="59">
        <v>0</v>
      </c>
      <c r="G366" s="59">
        <f t="shared" si="35"/>
        <v>2057.4877939200001</v>
      </c>
      <c r="H366" s="120"/>
      <c r="I366" s="121"/>
      <c r="J366" s="122"/>
    </row>
    <row r="367" spans="1:15" ht="15.6" x14ac:dyDescent="0.25">
      <c r="A367" s="111">
        <v>6</v>
      </c>
      <c r="B367" s="112"/>
      <c r="C367" s="117" t="s">
        <v>119</v>
      </c>
      <c r="D367" s="118"/>
      <c r="E367" s="118"/>
      <c r="F367" s="118"/>
      <c r="G367" s="119"/>
      <c r="H367" s="120"/>
      <c r="I367" s="121"/>
      <c r="J367" s="122"/>
      <c r="L367" s="61">
        <f>25000/1.6</f>
        <v>15625</v>
      </c>
      <c r="M367" s="61">
        <f>150000+5000+5.5*G373*24</f>
        <v>220756.84544</v>
      </c>
      <c r="N367" s="61">
        <f>M367/G373</f>
        <v>443.14631279976436</v>
      </c>
      <c r="O367" s="61">
        <f>L367+N367</f>
        <v>16068.146312799765</v>
      </c>
    </row>
    <row r="368" spans="1:15" ht="15.6" x14ac:dyDescent="0.25">
      <c r="A368" s="111">
        <v>7</v>
      </c>
      <c r="B368" s="112"/>
      <c r="C368" s="120"/>
      <c r="D368" s="121"/>
      <c r="E368" s="121"/>
      <c r="F368" s="121"/>
      <c r="G368" s="122"/>
      <c r="H368" s="120"/>
      <c r="I368" s="121"/>
      <c r="J368" s="122"/>
    </row>
    <row r="369" spans="1:15" ht="15.6" x14ac:dyDescent="0.25">
      <c r="A369" s="111">
        <v>8</v>
      </c>
      <c r="B369" s="112"/>
      <c r="C369" s="120"/>
      <c r="D369" s="121"/>
      <c r="E369" s="121"/>
      <c r="F369" s="121"/>
      <c r="G369" s="122"/>
      <c r="H369" s="120"/>
      <c r="I369" s="121"/>
      <c r="J369" s="122"/>
    </row>
    <row r="370" spans="1:15" ht="15.6" x14ac:dyDescent="0.25">
      <c r="A370" s="111">
        <v>9</v>
      </c>
      <c r="B370" s="112"/>
      <c r="C370" s="123"/>
      <c r="D370" s="124"/>
      <c r="E370" s="124"/>
      <c r="F370" s="124"/>
      <c r="G370" s="125"/>
      <c r="H370" s="120"/>
      <c r="I370" s="121"/>
      <c r="J370" s="122"/>
    </row>
    <row r="371" spans="1:15" ht="15.6" x14ac:dyDescent="0.25">
      <c r="A371" s="111">
        <v>10</v>
      </c>
      <c r="B371" s="112"/>
      <c r="C371" s="59" t="s">
        <v>178</v>
      </c>
      <c r="D371" s="111">
        <f>(111.711+1.075*2.635+1.67*3.015)*10.764</f>
        <v>1287.1448576999999</v>
      </c>
      <c r="E371" s="112"/>
      <c r="F371" s="59">
        <v>0</v>
      </c>
      <c r="G371" s="59">
        <f t="shared" ref="G371" si="36">D371*1.6+F371</f>
        <v>2059.4317723199997</v>
      </c>
      <c r="H371" s="123"/>
      <c r="I371" s="124"/>
      <c r="J371" s="125"/>
    </row>
    <row r="372" spans="1:15" ht="15.6" x14ac:dyDescent="0.25">
      <c r="A372" s="114" t="s">
        <v>262</v>
      </c>
      <c r="B372" s="115"/>
      <c r="C372" s="115"/>
      <c r="D372" s="115"/>
      <c r="E372" s="115"/>
      <c r="F372" s="115"/>
      <c r="G372" s="115"/>
      <c r="H372" s="115"/>
      <c r="I372" s="115"/>
      <c r="J372" s="116"/>
    </row>
    <row r="373" spans="1:15" ht="15.6" x14ac:dyDescent="0.25">
      <c r="A373" s="111">
        <v>1</v>
      </c>
      <c r="B373" s="112"/>
      <c r="C373" s="59" t="s">
        <v>280</v>
      </c>
      <c r="D373" s="111">
        <f>28.925*10.764</f>
        <v>311.34870000000001</v>
      </c>
      <c r="E373" s="112"/>
      <c r="F373" s="59">
        <v>0</v>
      </c>
      <c r="G373" s="59">
        <f>D373*1.6+F373</f>
        <v>498.15792000000005</v>
      </c>
      <c r="H373" s="117" t="str">
        <f>A372</f>
        <v>4th Floor</v>
      </c>
      <c r="I373" s="118"/>
      <c r="J373" s="119"/>
    </row>
    <row r="374" spans="1:15" ht="15.6" x14ac:dyDescent="0.25">
      <c r="A374" s="111">
        <v>2</v>
      </c>
      <c r="B374" s="112"/>
      <c r="C374" s="59" t="s">
        <v>177</v>
      </c>
      <c r="D374" s="111">
        <f>(66.243+3.01*1+1*2.4)*10.764</f>
        <v>771.27289200000007</v>
      </c>
      <c r="E374" s="112"/>
      <c r="F374" s="59">
        <v>0</v>
      </c>
      <c r="G374" s="59">
        <f t="shared" ref="G374:G376" si="37">D374*1.6+F374</f>
        <v>1234.0366272000001</v>
      </c>
      <c r="H374" s="120"/>
      <c r="I374" s="121"/>
      <c r="J374" s="122"/>
    </row>
    <row r="375" spans="1:15" ht="15.6" x14ac:dyDescent="0.25">
      <c r="A375" s="111">
        <v>3</v>
      </c>
      <c r="B375" s="112"/>
      <c r="C375" s="59" t="s">
        <v>177</v>
      </c>
      <c r="D375" s="111">
        <f>(66.243+3.01*1+1*2.4)*10.764</f>
        <v>771.27289200000007</v>
      </c>
      <c r="E375" s="112"/>
      <c r="F375" s="59">
        <v>0</v>
      </c>
      <c r="G375" s="59">
        <f t="shared" si="37"/>
        <v>1234.0366272000001</v>
      </c>
      <c r="H375" s="120"/>
      <c r="I375" s="121"/>
      <c r="J375" s="122"/>
    </row>
    <row r="376" spans="1:15" ht="15.6" x14ac:dyDescent="0.25">
      <c r="A376" s="111">
        <v>4</v>
      </c>
      <c r="B376" s="112"/>
      <c r="C376" s="59" t="s">
        <v>280</v>
      </c>
      <c r="D376" s="111">
        <f>28.925*10.764</f>
        <v>311.34870000000001</v>
      </c>
      <c r="E376" s="112"/>
      <c r="F376" s="59">
        <v>0</v>
      </c>
      <c r="G376" s="59">
        <f t="shared" si="37"/>
        <v>498.15792000000005</v>
      </c>
      <c r="H376" s="120"/>
      <c r="I376" s="121"/>
      <c r="J376" s="122"/>
      <c r="K376" s="26">
        <v>1</v>
      </c>
    </row>
    <row r="377" spans="1:15" ht="15.6" x14ac:dyDescent="0.25">
      <c r="A377" s="111">
        <v>5</v>
      </c>
      <c r="B377" s="112"/>
      <c r="C377" s="59" t="s">
        <v>178</v>
      </c>
      <c r="D377" s="111">
        <f>(111.711+1.075*2.535+1.67*3.015)*10.764</f>
        <v>1285.9877277000001</v>
      </c>
      <c r="E377" s="112"/>
      <c r="F377" s="59">
        <v>0</v>
      </c>
      <c r="G377" s="59">
        <f t="shared" ref="G377" si="38">D377*1.6+F377</f>
        <v>2057.5803643200002</v>
      </c>
      <c r="H377" s="120"/>
      <c r="I377" s="121"/>
      <c r="J377" s="122"/>
    </row>
    <row r="378" spans="1:15" ht="15.6" x14ac:dyDescent="0.25">
      <c r="A378" s="111">
        <v>6</v>
      </c>
      <c r="B378" s="112"/>
      <c r="C378" s="117" t="s">
        <v>119</v>
      </c>
      <c r="D378" s="118"/>
      <c r="E378" s="118"/>
      <c r="F378" s="118"/>
      <c r="G378" s="119"/>
      <c r="H378" s="120"/>
      <c r="I378" s="121"/>
      <c r="J378" s="122"/>
      <c r="L378" s="61">
        <f>25000/1.6</f>
        <v>15625</v>
      </c>
      <c r="M378" s="61">
        <f>150000+5000+5.5*G384*24</f>
        <v>220756.84544</v>
      </c>
      <c r="N378" s="61">
        <f>M378/G384</f>
        <v>443.14631279976436</v>
      </c>
      <c r="O378" s="61">
        <f>L378+N378</f>
        <v>16068.146312799765</v>
      </c>
    </row>
    <row r="379" spans="1:15" ht="15.6" x14ac:dyDescent="0.25">
      <c r="A379" s="111">
        <v>7</v>
      </c>
      <c r="B379" s="112"/>
      <c r="C379" s="120"/>
      <c r="D379" s="121"/>
      <c r="E379" s="121"/>
      <c r="F379" s="121"/>
      <c r="G379" s="122"/>
      <c r="H379" s="120"/>
      <c r="I379" s="121"/>
      <c r="J379" s="122"/>
    </row>
    <row r="380" spans="1:15" ht="15.6" x14ac:dyDescent="0.25">
      <c r="A380" s="111">
        <v>8</v>
      </c>
      <c r="B380" s="112"/>
      <c r="C380" s="120"/>
      <c r="D380" s="121"/>
      <c r="E380" s="121"/>
      <c r="F380" s="121"/>
      <c r="G380" s="122"/>
      <c r="H380" s="120"/>
      <c r="I380" s="121"/>
      <c r="J380" s="122"/>
    </row>
    <row r="381" spans="1:15" ht="15.6" x14ac:dyDescent="0.25">
      <c r="A381" s="111">
        <v>9</v>
      </c>
      <c r="B381" s="112"/>
      <c r="C381" s="123"/>
      <c r="D381" s="124"/>
      <c r="E381" s="124"/>
      <c r="F381" s="124"/>
      <c r="G381" s="125"/>
      <c r="H381" s="120"/>
      <c r="I381" s="121"/>
      <c r="J381" s="122"/>
    </row>
    <row r="382" spans="1:15" ht="15.6" x14ac:dyDescent="0.25">
      <c r="A382" s="111">
        <v>10</v>
      </c>
      <c r="B382" s="112"/>
      <c r="C382" s="59" t="s">
        <v>178</v>
      </c>
      <c r="D382" s="111">
        <f>(111.711+1.075*2.535+1.67*3.015)*10.764</f>
        <v>1285.9877277000001</v>
      </c>
      <c r="E382" s="112"/>
      <c r="F382" s="59">
        <v>0</v>
      </c>
      <c r="G382" s="59">
        <f t="shared" ref="G382" si="39">D382*1.6+F382</f>
        <v>2057.5803643200002</v>
      </c>
      <c r="H382" s="123"/>
      <c r="I382" s="124"/>
      <c r="J382" s="125"/>
    </row>
    <row r="383" spans="1:15" ht="15.6" x14ac:dyDescent="0.25">
      <c r="A383" s="114" t="s">
        <v>263</v>
      </c>
      <c r="B383" s="115"/>
      <c r="C383" s="115"/>
      <c r="D383" s="115"/>
      <c r="E383" s="115"/>
      <c r="F383" s="115"/>
      <c r="G383" s="115"/>
      <c r="H383" s="115"/>
      <c r="I383" s="115"/>
      <c r="J383" s="116"/>
    </row>
    <row r="384" spans="1:15" ht="15.6" x14ac:dyDescent="0.25">
      <c r="A384" s="111">
        <v>1</v>
      </c>
      <c r="B384" s="112"/>
      <c r="C384" s="59" t="s">
        <v>280</v>
      </c>
      <c r="D384" s="111">
        <f>28.925*10.764</f>
        <v>311.34870000000001</v>
      </c>
      <c r="E384" s="112"/>
      <c r="F384" s="59">
        <v>0</v>
      </c>
      <c r="G384" s="59">
        <f>D384*1.6+F384</f>
        <v>498.15792000000005</v>
      </c>
      <c r="H384" s="117" t="str">
        <f>A383</f>
        <v>5th Floor</v>
      </c>
      <c r="I384" s="118"/>
      <c r="J384" s="119"/>
    </row>
    <row r="385" spans="1:15" ht="15.6" x14ac:dyDescent="0.25">
      <c r="A385" s="111">
        <v>2</v>
      </c>
      <c r="B385" s="112"/>
      <c r="C385" s="59" t="s">
        <v>177</v>
      </c>
      <c r="D385" s="111">
        <f>(66.243+0.8*2.885+3.01*1)*10.764</f>
        <v>770.28260399999988</v>
      </c>
      <c r="E385" s="112"/>
      <c r="F385" s="59">
        <v>0</v>
      </c>
      <c r="G385" s="59">
        <f t="shared" ref="G385:G387" si="40">D385*1.6+F385</f>
        <v>1232.4521663999999</v>
      </c>
      <c r="H385" s="120"/>
      <c r="I385" s="121"/>
      <c r="J385" s="122"/>
    </row>
    <row r="386" spans="1:15" ht="15.6" x14ac:dyDescent="0.25">
      <c r="A386" s="111">
        <v>3</v>
      </c>
      <c r="B386" s="112"/>
      <c r="C386" s="59" t="s">
        <v>177</v>
      </c>
      <c r="D386" s="111">
        <f>(66.243+0.8*2.885+3.01*1)*10.764</f>
        <v>770.28260399999988</v>
      </c>
      <c r="E386" s="112"/>
      <c r="F386" s="59">
        <v>0</v>
      </c>
      <c r="G386" s="59">
        <f t="shared" si="40"/>
        <v>1232.4521663999999</v>
      </c>
      <c r="H386" s="120"/>
      <c r="I386" s="121"/>
      <c r="J386" s="122"/>
    </row>
    <row r="387" spans="1:15" ht="15.6" x14ac:dyDescent="0.25">
      <c r="A387" s="111">
        <v>4</v>
      </c>
      <c r="B387" s="112"/>
      <c r="C387" s="59" t="s">
        <v>280</v>
      </c>
      <c r="D387" s="111">
        <f>28.925*10.764</f>
        <v>311.34870000000001</v>
      </c>
      <c r="E387" s="112"/>
      <c r="F387" s="59">
        <v>0</v>
      </c>
      <c r="G387" s="59">
        <f t="shared" si="40"/>
        <v>498.15792000000005</v>
      </c>
      <c r="H387" s="120"/>
      <c r="I387" s="121"/>
      <c r="J387" s="122"/>
      <c r="K387" s="26">
        <v>1</v>
      </c>
    </row>
    <row r="388" spans="1:15" ht="15.6" x14ac:dyDescent="0.25">
      <c r="A388" s="111">
        <v>5</v>
      </c>
      <c r="B388" s="112"/>
      <c r="C388" s="59" t="s">
        <v>178</v>
      </c>
      <c r="D388" s="111">
        <f>(111.711+2.615*1.52+2.535*0.975)*10.764</f>
        <v>1271.8465226999999</v>
      </c>
      <c r="E388" s="112"/>
      <c r="F388" s="59">
        <v>0</v>
      </c>
      <c r="G388" s="59">
        <f t="shared" ref="G388" si="41">D388*1.6+F388</f>
        <v>2034.95443632</v>
      </c>
      <c r="H388" s="120"/>
      <c r="I388" s="121"/>
      <c r="J388" s="122"/>
    </row>
    <row r="389" spans="1:15" ht="15.6" x14ac:dyDescent="0.25">
      <c r="A389" s="111">
        <v>6</v>
      </c>
      <c r="B389" s="112"/>
      <c r="C389" s="117" t="s">
        <v>119</v>
      </c>
      <c r="D389" s="118"/>
      <c r="E389" s="118"/>
      <c r="F389" s="118"/>
      <c r="G389" s="119"/>
      <c r="H389" s="120"/>
      <c r="I389" s="121"/>
      <c r="J389" s="122"/>
      <c r="L389" s="61">
        <f>25000/1.6</f>
        <v>15625</v>
      </c>
      <c r="M389" s="61">
        <f>150000+5000+5.5*G395*24</f>
        <v>220756.84544</v>
      </c>
      <c r="N389" s="61">
        <f>M389/G395</f>
        <v>443.14631279976436</v>
      </c>
      <c r="O389" s="61">
        <f>L389+N389</f>
        <v>16068.146312799765</v>
      </c>
    </row>
    <row r="390" spans="1:15" ht="15.6" x14ac:dyDescent="0.25">
      <c r="A390" s="111">
        <v>7</v>
      </c>
      <c r="B390" s="112"/>
      <c r="C390" s="120"/>
      <c r="D390" s="121"/>
      <c r="E390" s="121"/>
      <c r="F390" s="121"/>
      <c r="G390" s="122"/>
      <c r="H390" s="120"/>
      <c r="I390" s="121"/>
      <c r="J390" s="122"/>
    </row>
    <row r="391" spans="1:15" ht="15.6" x14ac:dyDescent="0.25">
      <c r="A391" s="111">
        <v>8</v>
      </c>
      <c r="B391" s="112"/>
      <c r="C391" s="120"/>
      <c r="D391" s="121"/>
      <c r="E391" s="121"/>
      <c r="F391" s="121"/>
      <c r="G391" s="122"/>
      <c r="H391" s="120"/>
      <c r="I391" s="121"/>
      <c r="J391" s="122"/>
    </row>
    <row r="392" spans="1:15" ht="15.6" x14ac:dyDescent="0.25">
      <c r="A392" s="111">
        <v>9</v>
      </c>
      <c r="B392" s="112"/>
      <c r="C392" s="123"/>
      <c r="D392" s="124"/>
      <c r="E392" s="124"/>
      <c r="F392" s="124"/>
      <c r="G392" s="125"/>
      <c r="H392" s="120"/>
      <c r="I392" s="121"/>
      <c r="J392" s="122"/>
    </row>
    <row r="393" spans="1:15" ht="15.6" x14ac:dyDescent="0.25">
      <c r="A393" s="111">
        <v>10</v>
      </c>
      <c r="B393" s="112"/>
      <c r="C393" s="59" t="s">
        <v>178</v>
      </c>
      <c r="D393" s="111">
        <f>(111.711+2.535*0.975+2.615*1.52)*10.764</f>
        <v>1271.8465226999999</v>
      </c>
      <c r="E393" s="112"/>
      <c r="F393" s="59">
        <v>0</v>
      </c>
      <c r="G393" s="59">
        <f t="shared" ref="G393" si="42">D393*1.6+F393</f>
        <v>2034.95443632</v>
      </c>
      <c r="H393" s="123"/>
      <c r="I393" s="124"/>
      <c r="J393" s="125"/>
    </row>
    <row r="394" spans="1:15" ht="15.6" x14ac:dyDescent="0.25">
      <c r="A394" s="114" t="s">
        <v>264</v>
      </c>
      <c r="B394" s="115"/>
      <c r="C394" s="115"/>
      <c r="D394" s="115"/>
      <c r="E394" s="115"/>
      <c r="F394" s="115"/>
      <c r="G394" s="115"/>
      <c r="H394" s="115"/>
      <c r="I394" s="115"/>
      <c r="J394" s="116"/>
    </row>
    <row r="395" spans="1:15" ht="15.6" x14ac:dyDescent="0.25">
      <c r="A395" s="111">
        <v>1</v>
      </c>
      <c r="B395" s="112"/>
      <c r="C395" s="59" t="s">
        <v>280</v>
      </c>
      <c r="D395" s="111">
        <f>28.925*10.764</f>
        <v>311.34870000000001</v>
      </c>
      <c r="E395" s="112"/>
      <c r="F395" s="59">
        <v>0</v>
      </c>
      <c r="G395" s="59">
        <f>D395*1.6+F395</f>
        <v>498.15792000000005</v>
      </c>
      <c r="H395" s="117" t="str">
        <f>A394</f>
        <v>6th Floor</v>
      </c>
      <c r="I395" s="118"/>
      <c r="J395" s="119"/>
    </row>
    <row r="396" spans="1:15" ht="15.6" x14ac:dyDescent="0.25">
      <c r="A396" s="111">
        <v>2</v>
      </c>
      <c r="B396" s="112"/>
      <c r="C396" s="59" t="s">
        <v>177</v>
      </c>
      <c r="D396" s="111">
        <f>(66.243+1*2.4+1.15*3.085)*10.764</f>
        <v>777.0612329999999</v>
      </c>
      <c r="E396" s="112"/>
      <c r="F396" s="59">
        <v>0</v>
      </c>
      <c r="G396" s="59">
        <f t="shared" ref="G396:G399" si="43">D396*1.6+F396</f>
        <v>1243.2979728</v>
      </c>
      <c r="H396" s="120"/>
      <c r="I396" s="121"/>
      <c r="J396" s="122"/>
    </row>
    <row r="397" spans="1:15" ht="15.6" x14ac:dyDescent="0.25">
      <c r="A397" s="111">
        <v>3</v>
      </c>
      <c r="B397" s="112"/>
      <c r="C397" s="59" t="s">
        <v>177</v>
      </c>
      <c r="D397" s="111">
        <f>(66.243+1*2.4+1.15*3.085)*10.764</f>
        <v>777.0612329999999</v>
      </c>
      <c r="E397" s="112"/>
      <c r="F397" s="59">
        <v>0</v>
      </c>
      <c r="G397" s="59">
        <f t="shared" si="43"/>
        <v>1243.2979728</v>
      </c>
      <c r="H397" s="120"/>
      <c r="I397" s="121"/>
      <c r="J397" s="122"/>
    </row>
    <row r="398" spans="1:15" ht="15.6" x14ac:dyDescent="0.25">
      <c r="A398" s="111">
        <v>4</v>
      </c>
      <c r="B398" s="112"/>
      <c r="C398" s="59" t="s">
        <v>280</v>
      </c>
      <c r="D398" s="111">
        <f>28.925*10.764</f>
        <v>311.34870000000001</v>
      </c>
      <c r="E398" s="112"/>
      <c r="F398" s="59">
        <v>0</v>
      </c>
      <c r="G398" s="59">
        <f t="shared" si="43"/>
        <v>498.15792000000005</v>
      </c>
      <c r="H398" s="120"/>
      <c r="I398" s="121"/>
      <c r="J398" s="122"/>
      <c r="K398" s="26">
        <v>1</v>
      </c>
    </row>
    <row r="399" spans="1:15" ht="15.6" x14ac:dyDescent="0.25">
      <c r="A399" s="111">
        <v>5</v>
      </c>
      <c r="B399" s="112"/>
      <c r="C399" s="59" t="s">
        <v>178</v>
      </c>
      <c r="D399" s="111">
        <f>(111.711+1.075*2.535+1.67*3.015)*10.764</f>
        <v>1285.9877277000001</v>
      </c>
      <c r="E399" s="112"/>
      <c r="F399" s="59">
        <v>0</v>
      </c>
      <c r="G399" s="59">
        <f t="shared" si="43"/>
        <v>2057.5803643200002</v>
      </c>
      <c r="H399" s="120"/>
      <c r="I399" s="121"/>
      <c r="J399" s="122"/>
    </row>
    <row r="400" spans="1:15" ht="15.6" x14ac:dyDescent="0.25">
      <c r="A400" s="111">
        <v>6</v>
      </c>
      <c r="B400" s="112"/>
      <c r="C400" s="117" t="s">
        <v>119</v>
      </c>
      <c r="D400" s="118"/>
      <c r="E400" s="118"/>
      <c r="F400" s="118"/>
      <c r="G400" s="119"/>
      <c r="H400" s="120"/>
      <c r="I400" s="121"/>
      <c r="J400" s="122"/>
      <c r="L400" s="61">
        <f>25000/1.6</f>
        <v>15625</v>
      </c>
      <c r="M400" s="61">
        <f>150000+5000+5.5*G406*24</f>
        <v>220756.84544</v>
      </c>
      <c r="N400" s="61">
        <f>M400/G406</f>
        <v>443.14631279976436</v>
      </c>
      <c r="O400" s="61">
        <f>L400+N400</f>
        <v>16068.146312799765</v>
      </c>
    </row>
    <row r="401" spans="1:15" ht="15.6" x14ac:dyDescent="0.25">
      <c r="A401" s="111">
        <v>7</v>
      </c>
      <c r="B401" s="112"/>
      <c r="C401" s="120"/>
      <c r="D401" s="121"/>
      <c r="E401" s="121"/>
      <c r="F401" s="121"/>
      <c r="G401" s="122"/>
      <c r="H401" s="120"/>
      <c r="I401" s="121"/>
      <c r="J401" s="122"/>
    </row>
    <row r="402" spans="1:15" ht="15.6" x14ac:dyDescent="0.25">
      <c r="A402" s="111">
        <v>8</v>
      </c>
      <c r="B402" s="112"/>
      <c r="C402" s="120"/>
      <c r="D402" s="121"/>
      <c r="E402" s="121"/>
      <c r="F402" s="121"/>
      <c r="G402" s="122"/>
      <c r="H402" s="120"/>
      <c r="I402" s="121"/>
      <c r="J402" s="122"/>
    </row>
    <row r="403" spans="1:15" ht="15.6" x14ac:dyDescent="0.25">
      <c r="A403" s="111">
        <v>9</v>
      </c>
      <c r="B403" s="112"/>
      <c r="C403" s="123"/>
      <c r="D403" s="124"/>
      <c r="E403" s="124"/>
      <c r="F403" s="124"/>
      <c r="G403" s="125"/>
      <c r="H403" s="120"/>
      <c r="I403" s="121"/>
      <c r="J403" s="122"/>
    </row>
    <row r="404" spans="1:15" ht="15.6" x14ac:dyDescent="0.25">
      <c r="A404" s="111">
        <v>10</v>
      </c>
      <c r="B404" s="112"/>
      <c r="C404" s="59" t="s">
        <v>178</v>
      </c>
      <c r="D404" s="111">
        <f>(111.711+1.075*2.535+1.67*3.015)*10.764</f>
        <v>1285.9877277000001</v>
      </c>
      <c r="E404" s="112"/>
      <c r="F404" s="59">
        <v>0</v>
      </c>
      <c r="G404" s="59">
        <f t="shared" ref="G404" si="44">D404*1.6+F404</f>
        <v>2057.5803643200002</v>
      </c>
      <c r="H404" s="123"/>
      <c r="I404" s="124"/>
      <c r="J404" s="125"/>
    </row>
    <row r="405" spans="1:15" ht="15.6" x14ac:dyDescent="0.25">
      <c r="A405" s="114" t="s">
        <v>265</v>
      </c>
      <c r="B405" s="115"/>
      <c r="C405" s="115"/>
      <c r="D405" s="115"/>
      <c r="E405" s="115"/>
      <c r="F405" s="115"/>
      <c r="G405" s="115"/>
      <c r="H405" s="115"/>
      <c r="I405" s="115"/>
      <c r="J405" s="116"/>
    </row>
    <row r="406" spans="1:15" ht="15.6" x14ac:dyDescent="0.25">
      <c r="A406" s="111">
        <v>1</v>
      </c>
      <c r="B406" s="112"/>
      <c r="C406" s="59" t="s">
        <v>280</v>
      </c>
      <c r="D406" s="111">
        <f>28.925*10.764</f>
        <v>311.34870000000001</v>
      </c>
      <c r="E406" s="112"/>
      <c r="F406" s="59">
        <v>0</v>
      </c>
      <c r="G406" s="59">
        <f>D406*1.6+F406</f>
        <v>498.15792000000005</v>
      </c>
      <c r="H406" s="117" t="str">
        <f>A405</f>
        <v>7th Floor</v>
      </c>
      <c r="I406" s="118"/>
      <c r="J406" s="119"/>
    </row>
    <row r="407" spans="1:15" ht="15.6" x14ac:dyDescent="0.25">
      <c r="A407" s="111">
        <v>2</v>
      </c>
      <c r="B407" s="112"/>
      <c r="C407" s="59" t="s">
        <v>177</v>
      </c>
      <c r="D407" s="111">
        <f>(66.243+1*2.4+1.15*3.085)*10.764</f>
        <v>777.0612329999999</v>
      </c>
      <c r="E407" s="112"/>
      <c r="F407" s="59">
        <v>0</v>
      </c>
      <c r="G407" s="59">
        <f t="shared" ref="G407:G409" si="45">D407*1.6+F407</f>
        <v>1243.2979728</v>
      </c>
      <c r="H407" s="120"/>
      <c r="I407" s="121"/>
      <c r="J407" s="122"/>
    </row>
    <row r="408" spans="1:15" ht="15.6" x14ac:dyDescent="0.25">
      <c r="A408" s="111">
        <v>3</v>
      </c>
      <c r="B408" s="112"/>
      <c r="C408" s="59" t="s">
        <v>177</v>
      </c>
      <c r="D408" s="111">
        <f>(66.243+1*2.4+1.15*3.085)*10.764</f>
        <v>777.0612329999999</v>
      </c>
      <c r="E408" s="112"/>
      <c r="F408" s="59">
        <v>0</v>
      </c>
      <c r="G408" s="59">
        <f t="shared" si="45"/>
        <v>1243.2979728</v>
      </c>
      <c r="H408" s="120"/>
      <c r="I408" s="121"/>
      <c r="J408" s="122"/>
    </row>
    <row r="409" spans="1:15" ht="15.6" x14ac:dyDescent="0.25">
      <c r="A409" s="111">
        <v>4</v>
      </c>
      <c r="B409" s="112"/>
      <c r="C409" s="59" t="s">
        <v>280</v>
      </c>
      <c r="D409" s="111">
        <f>28.925*10.764</f>
        <v>311.34870000000001</v>
      </c>
      <c r="E409" s="112"/>
      <c r="F409" s="59">
        <v>0</v>
      </c>
      <c r="G409" s="59">
        <f t="shared" si="45"/>
        <v>498.15792000000005</v>
      </c>
      <c r="H409" s="120"/>
      <c r="I409" s="121"/>
      <c r="J409" s="122"/>
      <c r="K409" s="26">
        <v>1</v>
      </c>
    </row>
    <row r="410" spans="1:15" ht="15.6" x14ac:dyDescent="0.25">
      <c r="A410" s="111">
        <v>5</v>
      </c>
      <c r="B410" s="112"/>
      <c r="C410" s="59" t="s">
        <v>178</v>
      </c>
      <c r="D410" s="111">
        <f>(111.711+1.075*2.535+1.67*3.015)*10.764</f>
        <v>1285.9877277000001</v>
      </c>
      <c r="E410" s="112"/>
      <c r="F410" s="59">
        <v>0</v>
      </c>
      <c r="G410" s="59">
        <f t="shared" ref="G410" si="46">D410*1.6+F410</f>
        <v>2057.5803643200002</v>
      </c>
      <c r="H410" s="120"/>
      <c r="I410" s="121"/>
      <c r="J410" s="122"/>
    </row>
    <row r="411" spans="1:15" ht="15.6" x14ac:dyDescent="0.25">
      <c r="A411" s="111">
        <v>6</v>
      </c>
      <c r="B411" s="112"/>
      <c r="C411" s="117" t="s">
        <v>119</v>
      </c>
      <c r="D411" s="118"/>
      <c r="E411" s="118"/>
      <c r="F411" s="118"/>
      <c r="G411" s="119"/>
      <c r="H411" s="120"/>
      <c r="I411" s="121"/>
      <c r="J411" s="122"/>
      <c r="L411" s="61">
        <f>25000/1.6</f>
        <v>15625</v>
      </c>
      <c r="M411" s="61">
        <f>150000+5000+5.5*G417*24</f>
        <v>155000</v>
      </c>
      <c r="N411" s="61" t="e">
        <f>M411/G417</f>
        <v>#DIV/0!</v>
      </c>
      <c r="O411" s="61" t="e">
        <f>L411+N411</f>
        <v>#DIV/0!</v>
      </c>
    </row>
    <row r="412" spans="1:15" ht="15.6" x14ac:dyDescent="0.25">
      <c r="A412" s="111">
        <v>7</v>
      </c>
      <c r="B412" s="112"/>
      <c r="C412" s="120"/>
      <c r="D412" s="121"/>
      <c r="E412" s="121"/>
      <c r="F412" s="121"/>
      <c r="G412" s="122"/>
      <c r="H412" s="120"/>
      <c r="I412" s="121"/>
      <c r="J412" s="122"/>
    </row>
    <row r="413" spans="1:15" ht="15.6" x14ac:dyDescent="0.25">
      <c r="A413" s="111">
        <v>8</v>
      </c>
      <c r="B413" s="112"/>
      <c r="C413" s="120"/>
      <c r="D413" s="121"/>
      <c r="E413" s="121"/>
      <c r="F413" s="121"/>
      <c r="G413" s="122"/>
      <c r="H413" s="120"/>
      <c r="I413" s="121"/>
      <c r="J413" s="122"/>
    </row>
    <row r="414" spans="1:15" ht="15.6" x14ac:dyDescent="0.25">
      <c r="A414" s="111">
        <v>9</v>
      </c>
      <c r="B414" s="112"/>
      <c r="C414" s="123"/>
      <c r="D414" s="124"/>
      <c r="E414" s="124"/>
      <c r="F414" s="124"/>
      <c r="G414" s="125"/>
      <c r="H414" s="120"/>
      <c r="I414" s="121"/>
      <c r="J414" s="122"/>
    </row>
    <row r="415" spans="1:15" ht="15.6" x14ac:dyDescent="0.25">
      <c r="A415" s="111">
        <v>10</v>
      </c>
      <c r="B415" s="112"/>
      <c r="C415" s="59" t="s">
        <v>178</v>
      </c>
      <c r="D415" s="111">
        <f>(111.711+1.075*2.535+1.67*3.015)*10.764</f>
        <v>1285.9877277000001</v>
      </c>
      <c r="E415" s="112"/>
      <c r="F415" s="59">
        <v>0</v>
      </c>
      <c r="G415" s="59">
        <f t="shared" ref="G415" si="47">D415*1.6+F415</f>
        <v>2057.5803643200002</v>
      </c>
      <c r="H415" s="123"/>
      <c r="I415" s="124"/>
      <c r="J415" s="125"/>
    </row>
    <row r="416" spans="1:15" ht="15.6" x14ac:dyDescent="0.25">
      <c r="A416" s="114" t="s">
        <v>266</v>
      </c>
      <c r="B416" s="115"/>
      <c r="C416" s="115"/>
      <c r="D416" s="115"/>
      <c r="E416" s="115"/>
      <c r="F416" s="115"/>
      <c r="G416" s="115"/>
      <c r="H416" s="115"/>
      <c r="I416" s="115"/>
      <c r="J416" s="116"/>
    </row>
    <row r="417" spans="1:15" ht="15.6" x14ac:dyDescent="0.25">
      <c r="A417" s="111">
        <v>1</v>
      </c>
      <c r="B417" s="112"/>
      <c r="C417" s="117" t="s">
        <v>223</v>
      </c>
      <c r="D417" s="118"/>
      <c r="E417" s="118"/>
      <c r="F417" s="118"/>
      <c r="G417" s="119"/>
      <c r="H417" s="117" t="str">
        <f>A416</f>
        <v>8th Floor (Part Refuge Area)</v>
      </c>
      <c r="I417" s="118"/>
      <c r="J417" s="119"/>
    </row>
    <row r="418" spans="1:15" ht="15.6" x14ac:dyDescent="0.25">
      <c r="A418" s="111">
        <v>2</v>
      </c>
      <c r="B418" s="112"/>
      <c r="C418" s="120"/>
      <c r="D418" s="121"/>
      <c r="E418" s="121"/>
      <c r="F418" s="121"/>
      <c r="G418" s="122"/>
      <c r="H418" s="120"/>
      <c r="I418" s="121"/>
      <c r="J418" s="122"/>
    </row>
    <row r="419" spans="1:15" ht="15.6" x14ac:dyDescent="0.25">
      <c r="A419" s="111">
        <v>3</v>
      </c>
      <c r="B419" s="112"/>
      <c r="C419" s="120"/>
      <c r="D419" s="121"/>
      <c r="E419" s="121"/>
      <c r="F419" s="121"/>
      <c r="G419" s="122"/>
      <c r="H419" s="120"/>
      <c r="I419" s="121"/>
      <c r="J419" s="122"/>
    </row>
    <row r="420" spans="1:15" ht="15.6" x14ac:dyDescent="0.25">
      <c r="A420" s="111">
        <v>4</v>
      </c>
      <c r="B420" s="112"/>
      <c r="C420" s="123"/>
      <c r="D420" s="124"/>
      <c r="E420" s="124"/>
      <c r="F420" s="124"/>
      <c r="G420" s="125"/>
      <c r="H420" s="120"/>
      <c r="I420" s="121"/>
      <c r="J420" s="122"/>
      <c r="K420" s="26">
        <v>1</v>
      </c>
    </row>
    <row r="421" spans="1:15" ht="15.6" x14ac:dyDescent="0.25">
      <c r="A421" s="111">
        <v>5</v>
      </c>
      <c r="B421" s="112"/>
      <c r="C421" s="59" t="s">
        <v>178</v>
      </c>
      <c r="D421" s="111">
        <f>(111.711+1.075*2.535+1.67*3.015)*10.764</f>
        <v>1285.9877277000001</v>
      </c>
      <c r="E421" s="112"/>
      <c r="F421" s="59">
        <v>0</v>
      </c>
      <c r="G421" s="59">
        <f t="shared" ref="G421" si="48">D421*1.6+F421</f>
        <v>2057.5803643200002</v>
      </c>
      <c r="H421" s="120"/>
      <c r="I421" s="121"/>
      <c r="J421" s="122"/>
    </row>
    <row r="422" spans="1:15" ht="15.6" x14ac:dyDescent="0.25">
      <c r="A422" s="111">
        <v>6</v>
      </c>
      <c r="B422" s="112"/>
      <c r="C422" s="117" t="s">
        <v>119</v>
      </c>
      <c r="D422" s="118"/>
      <c r="E422" s="118"/>
      <c r="F422" s="118"/>
      <c r="G422" s="119"/>
      <c r="H422" s="120"/>
      <c r="I422" s="121"/>
      <c r="J422" s="122"/>
      <c r="L422" s="61">
        <f>25000/1.6</f>
        <v>15625</v>
      </c>
      <c r="M422" s="61">
        <f>150000+5000+5.5*G428*24</f>
        <v>220756.84544</v>
      </c>
      <c r="N422" s="61">
        <f>M422/G428</f>
        <v>443.14631279976436</v>
      </c>
      <c r="O422" s="61">
        <f>L422+N422</f>
        <v>16068.146312799765</v>
      </c>
    </row>
    <row r="423" spans="1:15" ht="15.6" x14ac:dyDescent="0.25">
      <c r="A423" s="111">
        <v>7</v>
      </c>
      <c r="B423" s="112"/>
      <c r="C423" s="120"/>
      <c r="D423" s="121"/>
      <c r="E423" s="121"/>
      <c r="F423" s="121"/>
      <c r="G423" s="122"/>
      <c r="H423" s="120"/>
      <c r="I423" s="121"/>
      <c r="J423" s="122"/>
    </row>
    <row r="424" spans="1:15" ht="15.6" x14ac:dyDescent="0.25">
      <c r="A424" s="111">
        <v>8</v>
      </c>
      <c r="B424" s="112"/>
      <c r="C424" s="120"/>
      <c r="D424" s="121"/>
      <c r="E424" s="121"/>
      <c r="F424" s="121"/>
      <c r="G424" s="122"/>
      <c r="H424" s="120"/>
      <c r="I424" s="121"/>
      <c r="J424" s="122"/>
    </row>
    <row r="425" spans="1:15" ht="15.6" x14ac:dyDescent="0.25">
      <c r="A425" s="111">
        <v>9</v>
      </c>
      <c r="B425" s="112"/>
      <c r="C425" s="123"/>
      <c r="D425" s="124"/>
      <c r="E425" s="124"/>
      <c r="F425" s="124"/>
      <c r="G425" s="125"/>
      <c r="H425" s="120"/>
      <c r="I425" s="121"/>
      <c r="J425" s="122"/>
    </row>
    <row r="426" spans="1:15" ht="15.6" x14ac:dyDescent="0.25">
      <c r="A426" s="111">
        <v>10</v>
      </c>
      <c r="B426" s="112"/>
      <c r="C426" s="59" t="s">
        <v>178</v>
      </c>
      <c r="D426" s="111">
        <f>(111.711+1.075*2.535+1.67*3.015)*10.764</f>
        <v>1285.9877277000001</v>
      </c>
      <c r="E426" s="112"/>
      <c r="F426" s="59">
        <v>0</v>
      </c>
      <c r="G426" s="59">
        <f t="shared" ref="G426" si="49">D426*1.6+F426</f>
        <v>2057.5803643200002</v>
      </c>
      <c r="H426" s="123"/>
      <c r="I426" s="124"/>
      <c r="J426" s="125"/>
    </row>
    <row r="427" spans="1:15" ht="15.6" x14ac:dyDescent="0.25">
      <c r="A427" s="114" t="s">
        <v>282</v>
      </c>
      <c r="B427" s="115"/>
      <c r="C427" s="115"/>
      <c r="D427" s="115"/>
      <c r="E427" s="115"/>
      <c r="F427" s="115"/>
      <c r="G427" s="115"/>
      <c r="H427" s="115"/>
      <c r="I427" s="115"/>
      <c r="J427" s="116"/>
    </row>
    <row r="428" spans="1:15" ht="15.6" x14ac:dyDescent="0.25">
      <c r="A428" s="111">
        <v>1</v>
      </c>
      <c r="B428" s="112"/>
      <c r="C428" s="59" t="s">
        <v>280</v>
      </c>
      <c r="D428" s="111">
        <f>28.925*10.764</f>
        <v>311.34870000000001</v>
      </c>
      <c r="E428" s="112"/>
      <c r="F428" s="59">
        <v>0</v>
      </c>
      <c r="G428" s="59">
        <f>D428*1.6+F428</f>
        <v>498.15792000000005</v>
      </c>
      <c r="H428" s="117" t="str">
        <f>A427</f>
        <v>9th Floor</v>
      </c>
      <c r="I428" s="118"/>
      <c r="J428" s="119"/>
    </row>
    <row r="429" spans="1:15" ht="15.6" x14ac:dyDescent="0.25">
      <c r="A429" s="111">
        <v>2</v>
      </c>
      <c r="B429" s="112"/>
      <c r="C429" s="59" t="s">
        <v>177</v>
      </c>
      <c r="D429" s="111">
        <f>(66.243+3.01*1+1*2.4)*10.764</f>
        <v>771.27289200000007</v>
      </c>
      <c r="E429" s="112"/>
      <c r="F429" s="59">
        <v>0</v>
      </c>
      <c r="G429" s="59">
        <f t="shared" ref="G429:G431" si="50">D429*1.6+F429</f>
        <v>1234.0366272000001</v>
      </c>
      <c r="H429" s="120"/>
      <c r="I429" s="121"/>
      <c r="J429" s="122"/>
    </row>
    <row r="430" spans="1:15" ht="15.6" x14ac:dyDescent="0.25">
      <c r="A430" s="111">
        <v>3</v>
      </c>
      <c r="B430" s="112"/>
      <c r="C430" s="59" t="s">
        <v>177</v>
      </c>
      <c r="D430" s="111">
        <f>(66.243+3.01*1+1*2.4)*10.764</f>
        <v>771.27289200000007</v>
      </c>
      <c r="E430" s="112"/>
      <c r="F430" s="59">
        <v>0</v>
      </c>
      <c r="G430" s="59">
        <f t="shared" si="50"/>
        <v>1234.0366272000001</v>
      </c>
      <c r="H430" s="120"/>
      <c r="I430" s="121"/>
      <c r="J430" s="122"/>
    </row>
    <row r="431" spans="1:15" ht="15.6" x14ac:dyDescent="0.25">
      <c r="A431" s="111">
        <v>4</v>
      </c>
      <c r="B431" s="112"/>
      <c r="C431" s="59" t="s">
        <v>280</v>
      </c>
      <c r="D431" s="111">
        <f>28.925*10.764</f>
        <v>311.34870000000001</v>
      </c>
      <c r="E431" s="112"/>
      <c r="F431" s="59">
        <v>0</v>
      </c>
      <c r="G431" s="59">
        <f t="shared" si="50"/>
        <v>498.15792000000005</v>
      </c>
      <c r="H431" s="120"/>
      <c r="I431" s="121"/>
      <c r="J431" s="122"/>
      <c r="K431" s="26">
        <v>1</v>
      </c>
    </row>
    <row r="432" spans="1:15" ht="15.6" x14ac:dyDescent="0.25">
      <c r="A432" s="111">
        <v>5</v>
      </c>
      <c r="B432" s="112"/>
      <c r="C432" s="59" t="s">
        <v>178</v>
      </c>
      <c r="D432" s="111">
        <f>(111.711+1.075*2.535+1.67*3.015)*10.764</f>
        <v>1285.9877277000001</v>
      </c>
      <c r="E432" s="112"/>
      <c r="F432" s="59">
        <v>0</v>
      </c>
      <c r="G432" s="59">
        <f t="shared" ref="G432" si="51">D432*1.6+F432</f>
        <v>2057.5803643200002</v>
      </c>
      <c r="H432" s="120"/>
      <c r="I432" s="121"/>
      <c r="J432" s="122"/>
    </row>
    <row r="433" spans="1:15" ht="15.6" x14ac:dyDescent="0.25">
      <c r="A433" s="111">
        <v>6</v>
      </c>
      <c r="B433" s="112"/>
      <c r="C433" s="117" t="s">
        <v>119</v>
      </c>
      <c r="D433" s="118"/>
      <c r="E433" s="118"/>
      <c r="F433" s="118"/>
      <c r="G433" s="119"/>
      <c r="H433" s="120"/>
      <c r="I433" s="121"/>
      <c r="J433" s="122"/>
      <c r="L433" s="61">
        <f>25000/1.6</f>
        <v>15625</v>
      </c>
      <c r="M433" s="61">
        <f>150000+5000+5.5*G439*24</f>
        <v>220756.84544</v>
      </c>
      <c r="N433" s="61">
        <f>M433/G439</f>
        <v>443.14631279976436</v>
      </c>
      <c r="O433" s="61">
        <f>L433+N433</f>
        <v>16068.146312799765</v>
      </c>
    </row>
    <row r="434" spans="1:15" ht="15.6" x14ac:dyDescent="0.25">
      <c r="A434" s="111">
        <v>7</v>
      </c>
      <c r="B434" s="112"/>
      <c r="C434" s="120"/>
      <c r="D434" s="121"/>
      <c r="E434" s="121"/>
      <c r="F434" s="121"/>
      <c r="G434" s="122"/>
      <c r="H434" s="120"/>
      <c r="I434" s="121"/>
      <c r="J434" s="122"/>
    </row>
    <row r="435" spans="1:15" ht="15.6" x14ac:dyDescent="0.25">
      <c r="A435" s="111">
        <v>8</v>
      </c>
      <c r="B435" s="112"/>
      <c r="C435" s="120"/>
      <c r="D435" s="121"/>
      <c r="E435" s="121"/>
      <c r="F435" s="121"/>
      <c r="G435" s="122"/>
      <c r="H435" s="120"/>
      <c r="I435" s="121"/>
      <c r="J435" s="122"/>
    </row>
    <row r="436" spans="1:15" ht="15.6" x14ac:dyDescent="0.25">
      <c r="A436" s="111">
        <v>9</v>
      </c>
      <c r="B436" s="112"/>
      <c r="C436" s="123"/>
      <c r="D436" s="124"/>
      <c r="E436" s="124"/>
      <c r="F436" s="124"/>
      <c r="G436" s="125"/>
      <c r="H436" s="120"/>
      <c r="I436" s="121"/>
      <c r="J436" s="122"/>
    </row>
    <row r="437" spans="1:15" ht="15.6" x14ac:dyDescent="0.25">
      <c r="A437" s="111">
        <v>10</v>
      </c>
      <c r="B437" s="112"/>
      <c r="C437" s="59" t="s">
        <v>178</v>
      </c>
      <c r="D437" s="111">
        <f>(111.711+1.075*2.535+1.67*3.015)*10.764</f>
        <v>1285.9877277000001</v>
      </c>
      <c r="E437" s="112"/>
      <c r="F437" s="59">
        <v>0</v>
      </c>
      <c r="G437" s="59">
        <f t="shared" ref="G437" si="52">D437*1.6+F437</f>
        <v>2057.5803643200002</v>
      </c>
      <c r="H437" s="123"/>
      <c r="I437" s="124"/>
      <c r="J437" s="125"/>
    </row>
    <row r="438" spans="1:15" ht="15.6" x14ac:dyDescent="0.25">
      <c r="A438" s="114" t="s">
        <v>234</v>
      </c>
      <c r="B438" s="115"/>
      <c r="C438" s="115"/>
      <c r="D438" s="115"/>
      <c r="E438" s="115"/>
      <c r="F438" s="115"/>
      <c r="G438" s="115"/>
      <c r="H438" s="115"/>
      <c r="I438" s="115"/>
      <c r="J438" s="116"/>
    </row>
    <row r="439" spans="1:15" ht="15.6" x14ac:dyDescent="0.25">
      <c r="A439" s="111">
        <v>1</v>
      </c>
      <c r="B439" s="112"/>
      <c r="C439" s="59" t="s">
        <v>280</v>
      </c>
      <c r="D439" s="111">
        <f>28.925*10.764</f>
        <v>311.34870000000001</v>
      </c>
      <c r="E439" s="112"/>
      <c r="F439" s="59">
        <v>0</v>
      </c>
      <c r="G439" s="59">
        <f>D439*1.6+F439</f>
        <v>498.15792000000005</v>
      </c>
      <c r="H439" s="117" t="str">
        <f>A438</f>
        <v>10th Floor</v>
      </c>
      <c r="I439" s="118"/>
      <c r="J439" s="119"/>
    </row>
    <row r="440" spans="1:15" ht="15.6" x14ac:dyDescent="0.25">
      <c r="A440" s="111">
        <v>2</v>
      </c>
      <c r="B440" s="112"/>
      <c r="C440" s="59" t="s">
        <v>177</v>
      </c>
      <c r="D440" s="111">
        <f>(66.243+1*2.4+1.15*3.085)*10.764</f>
        <v>777.0612329999999</v>
      </c>
      <c r="E440" s="112"/>
      <c r="F440" s="59">
        <v>0</v>
      </c>
      <c r="G440" s="59">
        <f t="shared" ref="G440:G443" si="53">D440*1.6+F440</f>
        <v>1243.2979728</v>
      </c>
      <c r="H440" s="120"/>
      <c r="I440" s="121"/>
      <c r="J440" s="122"/>
    </row>
    <row r="441" spans="1:15" ht="15.6" x14ac:dyDescent="0.25">
      <c r="A441" s="111">
        <v>3</v>
      </c>
      <c r="B441" s="112"/>
      <c r="C441" s="59" t="s">
        <v>177</v>
      </c>
      <c r="D441" s="111">
        <f>(66.243+1.15*3.085+1*2.485)*10.764</f>
        <v>777.97617299999979</v>
      </c>
      <c r="E441" s="112"/>
      <c r="F441" s="59">
        <v>0</v>
      </c>
      <c r="G441" s="59">
        <f t="shared" si="53"/>
        <v>1244.7618767999998</v>
      </c>
      <c r="H441" s="120"/>
      <c r="I441" s="121"/>
      <c r="J441" s="122"/>
    </row>
    <row r="442" spans="1:15" ht="15.6" x14ac:dyDescent="0.25">
      <c r="A442" s="111">
        <v>4</v>
      </c>
      <c r="B442" s="112"/>
      <c r="C442" s="59" t="s">
        <v>280</v>
      </c>
      <c r="D442" s="111">
        <f>(28.925)*10.764</f>
        <v>311.34870000000001</v>
      </c>
      <c r="E442" s="112"/>
      <c r="F442" s="59">
        <v>0</v>
      </c>
      <c r="G442" s="59">
        <f t="shared" si="53"/>
        <v>498.15792000000005</v>
      </c>
      <c r="H442" s="120"/>
      <c r="I442" s="121"/>
      <c r="J442" s="122"/>
      <c r="K442" s="26">
        <f>4+3</f>
        <v>7</v>
      </c>
    </row>
    <row r="443" spans="1:15" ht="15.6" x14ac:dyDescent="0.25">
      <c r="A443" s="111">
        <v>5</v>
      </c>
      <c r="B443" s="112"/>
      <c r="C443" s="59" t="s">
        <v>178</v>
      </c>
      <c r="D443" s="111">
        <f>(112.52+1.075*2.535+1.67*3.2)*10.764</f>
        <v>1298.0213414999998</v>
      </c>
      <c r="E443" s="112"/>
      <c r="F443" s="59">
        <v>0</v>
      </c>
      <c r="G443" s="59">
        <f t="shared" si="53"/>
        <v>2076.8341464</v>
      </c>
      <c r="H443" s="120"/>
      <c r="I443" s="121"/>
      <c r="J443" s="122"/>
    </row>
    <row r="444" spans="1:15" ht="15.6" x14ac:dyDescent="0.25">
      <c r="A444" s="111">
        <v>6</v>
      </c>
      <c r="B444" s="112"/>
      <c r="C444" s="117" t="s">
        <v>298</v>
      </c>
      <c r="D444" s="118"/>
      <c r="E444" s="118"/>
      <c r="F444" s="118"/>
      <c r="G444" s="119"/>
      <c r="H444" s="120"/>
      <c r="I444" s="121"/>
      <c r="J444" s="122"/>
      <c r="L444" s="61">
        <f>25000/1.6</f>
        <v>15625</v>
      </c>
      <c r="M444" s="61">
        <f>150000+5000+5.5*G450*24</f>
        <v>221295.63100160001</v>
      </c>
      <c r="N444" s="61">
        <f>M444/G450</f>
        <v>440.61762217039933</v>
      </c>
      <c r="O444" s="61">
        <f>L444+N444</f>
        <v>16065.617622170399</v>
      </c>
    </row>
    <row r="445" spans="1:15" ht="15.6" x14ac:dyDescent="0.25">
      <c r="A445" s="111">
        <v>7</v>
      </c>
      <c r="B445" s="112"/>
      <c r="C445" s="120"/>
      <c r="D445" s="121"/>
      <c r="E445" s="121"/>
      <c r="F445" s="121"/>
      <c r="G445" s="122"/>
      <c r="H445" s="120"/>
      <c r="I445" s="121"/>
      <c r="J445" s="122"/>
    </row>
    <row r="446" spans="1:15" ht="15.6" x14ac:dyDescent="0.25">
      <c r="A446" s="111">
        <v>8</v>
      </c>
      <c r="B446" s="112"/>
      <c r="C446" s="120"/>
      <c r="D446" s="121"/>
      <c r="E446" s="121"/>
      <c r="F446" s="121"/>
      <c r="G446" s="122"/>
      <c r="H446" s="120"/>
      <c r="I446" s="121"/>
      <c r="J446" s="122"/>
    </row>
    <row r="447" spans="1:15" ht="15.6" x14ac:dyDescent="0.25">
      <c r="A447" s="111">
        <v>9</v>
      </c>
      <c r="B447" s="112"/>
      <c r="C447" s="123"/>
      <c r="D447" s="124"/>
      <c r="E447" s="124"/>
      <c r="F447" s="124"/>
      <c r="G447" s="125"/>
      <c r="H447" s="120"/>
      <c r="I447" s="121"/>
      <c r="J447" s="122"/>
    </row>
    <row r="448" spans="1:15" ht="15.6" x14ac:dyDescent="0.25">
      <c r="A448" s="111">
        <v>10</v>
      </c>
      <c r="B448" s="112"/>
      <c r="C448" s="59" t="s">
        <v>178</v>
      </c>
      <c r="D448" s="111">
        <f>(112.52+1.075*2.535+1.67*3.2)*10.764</f>
        <v>1298.0213414999998</v>
      </c>
      <c r="E448" s="112"/>
      <c r="F448" s="59">
        <v>0</v>
      </c>
      <c r="G448" s="59">
        <f t="shared" ref="G448" si="54">D448*1.6+F448</f>
        <v>2076.8341464</v>
      </c>
      <c r="H448" s="123"/>
      <c r="I448" s="124"/>
      <c r="J448" s="125"/>
    </row>
    <row r="449" spans="1:15" ht="15.6" x14ac:dyDescent="0.25">
      <c r="A449" s="114" t="s">
        <v>283</v>
      </c>
      <c r="B449" s="115"/>
      <c r="C449" s="115"/>
      <c r="D449" s="115"/>
      <c r="E449" s="115"/>
      <c r="F449" s="115"/>
      <c r="G449" s="115"/>
      <c r="H449" s="115"/>
      <c r="I449" s="115"/>
      <c r="J449" s="116"/>
    </row>
    <row r="450" spans="1:15" ht="15.6" x14ac:dyDescent="0.25">
      <c r="A450" s="111">
        <v>1</v>
      </c>
      <c r="B450" s="112"/>
      <c r="C450" s="59" t="s">
        <v>280</v>
      </c>
      <c r="D450" s="111">
        <f>29.162*10.764</f>
        <v>313.89976799999999</v>
      </c>
      <c r="E450" s="112"/>
      <c r="F450" s="59">
        <v>0</v>
      </c>
      <c r="G450" s="59">
        <f>D450*1.6+F450</f>
        <v>502.23962879999999</v>
      </c>
      <c r="H450" s="117" t="str">
        <f>A449</f>
        <v>11th to 14th &amp; 17th, 18th &amp; 20th Floor</v>
      </c>
      <c r="I450" s="118"/>
      <c r="J450" s="119"/>
    </row>
    <row r="451" spans="1:15" ht="15.6" x14ac:dyDescent="0.25">
      <c r="A451" s="111">
        <v>2</v>
      </c>
      <c r="B451" s="112"/>
      <c r="C451" s="59" t="s">
        <v>177</v>
      </c>
      <c r="D451" s="111">
        <f>(66.243+1*2.4+1.15*3.085)*10.764</f>
        <v>777.0612329999999</v>
      </c>
      <c r="E451" s="112"/>
      <c r="F451" s="59">
        <v>0</v>
      </c>
      <c r="G451" s="59">
        <f t="shared" ref="G451:G454" si="55">D451*1.6+F451</f>
        <v>1243.2979728</v>
      </c>
      <c r="H451" s="120"/>
      <c r="I451" s="121"/>
      <c r="J451" s="122"/>
    </row>
    <row r="452" spans="1:15" ht="15.6" x14ac:dyDescent="0.25">
      <c r="A452" s="111">
        <v>3</v>
      </c>
      <c r="B452" s="112"/>
      <c r="C452" s="59" t="s">
        <v>177</v>
      </c>
      <c r="D452" s="111">
        <f>(66.243+1*2.4+1.15*3.085)*10.764</f>
        <v>777.0612329999999</v>
      </c>
      <c r="E452" s="112"/>
      <c r="F452" s="59">
        <v>0</v>
      </c>
      <c r="G452" s="59">
        <f t="shared" si="55"/>
        <v>1243.2979728</v>
      </c>
      <c r="H452" s="120"/>
      <c r="I452" s="121"/>
      <c r="J452" s="122"/>
    </row>
    <row r="453" spans="1:15" ht="15.6" x14ac:dyDescent="0.25">
      <c r="A453" s="111">
        <v>4</v>
      </c>
      <c r="B453" s="112"/>
      <c r="C453" s="59" t="s">
        <v>280</v>
      </c>
      <c r="D453" s="111">
        <f>(29.162)*10.764</f>
        <v>313.89976799999999</v>
      </c>
      <c r="E453" s="112"/>
      <c r="F453" s="59">
        <v>0</v>
      </c>
      <c r="G453" s="59">
        <f t="shared" si="55"/>
        <v>502.23962879999999</v>
      </c>
      <c r="H453" s="120"/>
      <c r="I453" s="121"/>
      <c r="J453" s="122"/>
      <c r="K453" s="26">
        <v>1</v>
      </c>
    </row>
    <row r="454" spans="1:15" ht="15.6" x14ac:dyDescent="0.25">
      <c r="A454" s="111">
        <v>5</v>
      </c>
      <c r="B454" s="112"/>
      <c r="C454" s="59" t="s">
        <v>178</v>
      </c>
      <c r="D454" s="111">
        <f>(112.52+1.075*2.535+1.67*3.3)*10.764</f>
        <v>1299.8189295</v>
      </c>
      <c r="E454" s="112"/>
      <c r="F454" s="59">
        <v>0</v>
      </c>
      <c r="G454" s="59">
        <f t="shared" si="55"/>
        <v>2079.7102872</v>
      </c>
      <c r="H454" s="120"/>
      <c r="I454" s="121"/>
      <c r="J454" s="122"/>
    </row>
    <row r="455" spans="1:15" ht="15.6" x14ac:dyDescent="0.25">
      <c r="A455" s="111">
        <v>6</v>
      </c>
      <c r="B455" s="112"/>
      <c r="C455" s="59" t="s">
        <v>176</v>
      </c>
      <c r="D455" s="111">
        <f>(39.227+1.05*2.455)*10.764</f>
        <v>449.98632899999996</v>
      </c>
      <c r="E455" s="112"/>
      <c r="F455" s="59">
        <v>0</v>
      </c>
      <c r="G455" s="59">
        <f t="shared" ref="G455:G458" si="56">D455*1.6+F455</f>
        <v>719.97812639999995</v>
      </c>
      <c r="H455" s="120"/>
      <c r="I455" s="121"/>
      <c r="J455" s="122"/>
      <c r="L455" s="61">
        <f>25000/1.6</f>
        <v>15625</v>
      </c>
      <c r="M455" s="61">
        <f>150000+5000+5.5*G461*24</f>
        <v>155000</v>
      </c>
      <c r="N455" s="61" t="e">
        <f>M455/G461</f>
        <v>#DIV/0!</v>
      </c>
      <c r="O455" s="61" t="e">
        <f>L455+N455</f>
        <v>#DIV/0!</v>
      </c>
    </row>
    <row r="456" spans="1:15" ht="15.6" x14ac:dyDescent="0.25">
      <c r="A456" s="111">
        <v>7</v>
      </c>
      <c r="B456" s="112"/>
      <c r="C456" s="59" t="s">
        <v>280</v>
      </c>
      <c r="D456" s="111">
        <f>23.81*10.764</f>
        <v>256.29083999999995</v>
      </c>
      <c r="E456" s="112"/>
      <c r="F456" s="59">
        <v>0</v>
      </c>
      <c r="G456" s="59">
        <f t="shared" si="56"/>
        <v>410.06534399999993</v>
      </c>
      <c r="H456" s="120"/>
      <c r="I456" s="121"/>
      <c r="J456" s="122"/>
    </row>
    <row r="457" spans="1:15" ht="15.6" x14ac:dyDescent="0.25">
      <c r="A457" s="111">
        <v>8</v>
      </c>
      <c r="B457" s="112"/>
      <c r="C457" s="59" t="s">
        <v>280</v>
      </c>
      <c r="D457" s="111">
        <f>23.81*10.764</f>
        <v>256.29083999999995</v>
      </c>
      <c r="E457" s="112"/>
      <c r="F457" s="59">
        <v>0</v>
      </c>
      <c r="G457" s="59">
        <f t="shared" si="56"/>
        <v>410.06534399999993</v>
      </c>
      <c r="H457" s="120"/>
      <c r="I457" s="121"/>
      <c r="J457" s="122"/>
    </row>
    <row r="458" spans="1:15" ht="15.6" x14ac:dyDescent="0.25">
      <c r="A458" s="111">
        <v>9</v>
      </c>
      <c r="B458" s="112"/>
      <c r="C458" s="59" t="s">
        <v>176</v>
      </c>
      <c r="D458" s="111">
        <f>(39.227+1.05*2.455)*10.764</f>
        <v>449.98632899999996</v>
      </c>
      <c r="E458" s="112"/>
      <c r="F458" s="59">
        <v>0</v>
      </c>
      <c r="G458" s="59">
        <f t="shared" si="56"/>
        <v>719.97812639999995</v>
      </c>
      <c r="H458" s="120"/>
      <c r="I458" s="121"/>
      <c r="J458" s="122"/>
    </row>
    <row r="459" spans="1:15" ht="15.6" x14ac:dyDescent="0.25">
      <c r="A459" s="111">
        <v>10</v>
      </c>
      <c r="B459" s="112"/>
      <c r="C459" s="59" t="s">
        <v>178</v>
      </c>
      <c r="D459" s="111">
        <f>(112.52+1.075*2.535+1.67*3.3)*10.764</f>
        <v>1299.8189295</v>
      </c>
      <c r="E459" s="112"/>
      <c r="F459" s="59">
        <v>0</v>
      </c>
      <c r="G459" s="59">
        <f t="shared" ref="G459" si="57">D459*1.6+F459</f>
        <v>2079.7102872</v>
      </c>
      <c r="H459" s="123"/>
      <c r="I459" s="124"/>
      <c r="J459" s="125"/>
    </row>
    <row r="460" spans="1:15" ht="15.6" x14ac:dyDescent="0.25">
      <c r="A460" s="114" t="s">
        <v>284</v>
      </c>
      <c r="B460" s="115"/>
      <c r="C460" s="115"/>
      <c r="D460" s="115"/>
      <c r="E460" s="115"/>
      <c r="F460" s="115"/>
      <c r="G460" s="115"/>
      <c r="H460" s="115"/>
      <c r="I460" s="115"/>
      <c r="J460" s="116"/>
    </row>
    <row r="461" spans="1:15" ht="15.6" x14ac:dyDescent="0.25">
      <c r="A461" s="111">
        <v>1</v>
      </c>
      <c r="B461" s="112"/>
      <c r="C461" s="117" t="s">
        <v>223</v>
      </c>
      <c r="D461" s="118"/>
      <c r="E461" s="118"/>
      <c r="F461" s="118"/>
      <c r="G461" s="119"/>
      <c r="H461" s="117" t="str">
        <f>A460</f>
        <v>15th (Part Refuge Area)</v>
      </c>
      <c r="I461" s="118"/>
      <c r="J461" s="119"/>
    </row>
    <row r="462" spans="1:15" ht="15.6" x14ac:dyDescent="0.25">
      <c r="A462" s="111">
        <v>2</v>
      </c>
      <c r="B462" s="112"/>
      <c r="C462" s="120"/>
      <c r="D462" s="121"/>
      <c r="E462" s="121"/>
      <c r="F462" s="121"/>
      <c r="G462" s="122"/>
      <c r="H462" s="120"/>
      <c r="I462" s="121"/>
      <c r="J462" s="122"/>
    </row>
    <row r="463" spans="1:15" ht="15.6" x14ac:dyDescent="0.25">
      <c r="A463" s="111">
        <v>3</v>
      </c>
      <c r="B463" s="112"/>
      <c r="C463" s="120"/>
      <c r="D463" s="121"/>
      <c r="E463" s="121"/>
      <c r="F463" s="121"/>
      <c r="G463" s="122"/>
      <c r="H463" s="120"/>
      <c r="I463" s="121"/>
      <c r="J463" s="122"/>
    </row>
    <row r="464" spans="1:15" ht="15.6" x14ac:dyDescent="0.25">
      <c r="A464" s="111">
        <v>4</v>
      </c>
      <c r="B464" s="112"/>
      <c r="C464" s="123"/>
      <c r="D464" s="124"/>
      <c r="E464" s="124"/>
      <c r="F464" s="124"/>
      <c r="G464" s="125"/>
      <c r="H464" s="120"/>
      <c r="I464" s="121"/>
      <c r="J464" s="122"/>
      <c r="K464" s="26">
        <v>1</v>
      </c>
    </row>
    <row r="465" spans="1:15" ht="15.6" x14ac:dyDescent="0.25">
      <c r="A465" s="111">
        <v>5</v>
      </c>
      <c r="B465" s="112"/>
      <c r="C465" s="59" t="s">
        <v>178</v>
      </c>
      <c r="D465" s="111">
        <f>(112.52+1.075*2.535+1.67*3.3)*10.764</f>
        <v>1299.8189295</v>
      </c>
      <c r="E465" s="112"/>
      <c r="F465" s="59">
        <v>0</v>
      </c>
      <c r="G465" s="59">
        <f t="shared" ref="G465:G470" si="58">D465*1.6+F465</f>
        <v>2079.7102872</v>
      </c>
      <c r="H465" s="120"/>
      <c r="I465" s="121"/>
      <c r="J465" s="122"/>
    </row>
    <row r="466" spans="1:15" ht="15.6" x14ac:dyDescent="0.25">
      <c r="A466" s="111">
        <v>6</v>
      </c>
      <c r="B466" s="112"/>
      <c r="C466" s="59" t="s">
        <v>176</v>
      </c>
      <c r="D466" s="111">
        <f>(39.741+0.75*3.3+2.4*1.05)*10.764</f>
        <v>481.53830400000004</v>
      </c>
      <c r="E466" s="112"/>
      <c r="F466" s="59">
        <v>0</v>
      </c>
      <c r="G466" s="59">
        <f t="shared" si="58"/>
        <v>770.46128640000006</v>
      </c>
      <c r="H466" s="120"/>
      <c r="I466" s="121"/>
      <c r="J466" s="122"/>
      <c r="L466" s="61">
        <f>25000/1.6</f>
        <v>15625</v>
      </c>
      <c r="M466" s="61">
        <f>150000+5000+5.5*G472*24</f>
        <v>221131.94931200001</v>
      </c>
      <c r="N466" s="61">
        <f>M466/G472</f>
        <v>441.38147465566124</v>
      </c>
      <c r="O466" s="61">
        <f>L466+N466</f>
        <v>16066.381474655662</v>
      </c>
    </row>
    <row r="467" spans="1:15" ht="15.6" x14ac:dyDescent="0.25">
      <c r="A467" s="111">
        <v>7</v>
      </c>
      <c r="B467" s="112"/>
      <c r="C467" s="59" t="s">
        <v>280</v>
      </c>
      <c r="D467" s="111">
        <f>(23.81+0.75*3.175)*10.764</f>
        <v>281.92261499999995</v>
      </c>
      <c r="E467" s="112"/>
      <c r="F467" s="59">
        <v>0</v>
      </c>
      <c r="G467" s="59">
        <f t="shared" si="58"/>
        <v>451.07618399999996</v>
      </c>
      <c r="H467" s="120"/>
      <c r="I467" s="121"/>
      <c r="J467" s="122"/>
    </row>
    <row r="468" spans="1:15" ht="15.6" x14ac:dyDescent="0.25">
      <c r="A468" s="111">
        <v>8</v>
      </c>
      <c r="B468" s="112"/>
      <c r="C468" s="59" t="s">
        <v>280</v>
      </c>
      <c r="D468" s="111">
        <f>(23.81+0.75*3.175)*10.764</f>
        <v>281.92261499999995</v>
      </c>
      <c r="E468" s="112"/>
      <c r="F468" s="59">
        <v>0</v>
      </c>
      <c r="G468" s="59">
        <f t="shared" si="58"/>
        <v>451.07618399999996</v>
      </c>
      <c r="H468" s="120"/>
      <c r="I468" s="121"/>
      <c r="J468" s="122"/>
    </row>
    <row r="469" spans="1:15" ht="15.6" x14ac:dyDescent="0.25">
      <c r="A469" s="111">
        <v>9</v>
      </c>
      <c r="B469" s="112"/>
      <c r="C469" s="59" t="s">
        <v>176</v>
      </c>
      <c r="D469" s="111">
        <f>(39.741+0.75*3.3+1.05*2.45)*10.764</f>
        <v>482.10341399999999</v>
      </c>
      <c r="E469" s="112"/>
      <c r="F469" s="59">
        <v>0</v>
      </c>
      <c r="G469" s="59">
        <f t="shared" si="58"/>
        <v>771.36546240000007</v>
      </c>
      <c r="H469" s="120"/>
      <c r="I469" s="121"/>
      <c r="J469" s="122"/>
    </row>
    <row r="470" spans="1:15" ht="15.6" x14ac:dyDescent="0.25">
      <c r="A470" s="111">
        <v>10</v>
      </c>
      <c r="B470" s="112"/>
      <c r="C470" s="59" t="s">
        <v>178</v>
      </c>
      <c r="D470" s="111">
        <f>(112.52+1.075*2.535+1.67*3.315)*10.764</f>
        <v>1300.0885676999999</v>
      </c>
      <c r="E470" s="112"/>
      <c r="F470" s="59">
        <v>0</v>
      </c>
      <c r="G470" s="59">
        <f t="shared" si="58"/>
        <v>2080.1417083199999</v>
      </c>
      <c r="H470" s="123"/>
      <c r="I470" s="124"/>
      <c r="J470" s="125"/>
    </row>
    <row r="471" spans="1:15" ht="15.6" x14ac:dyDescent="0.25">
      <c r="A471" s="114" t="s">
        <v>268</v>
      </c>
      <c r="B471" s="115"/>
      <c r="C471" s="115"/>
      <c r="D471" s="115"/>
      <c r="E471" s="115"/>
      <c r="F471" s="115"/>
      <c r="G471" s="115"/>
      <c r="H471" s="115"/>
      <c r="I471" s="115"/>
      <c r="J471" s="116"/>
    </row>
    <row r="472" spans="1:15" ht="15.6" x14ac:dyDescent="0.25">
      <c r="A472" s="111">
        <v>1</v>
      </c>
      <c r="B472" s="112"/>
      <c r="C472" s="59" t="s">
        <v>280</v>
      </c>
      <c r="D472" s="111">
        <f>29.09*10.764</f>
        <v>313.12475999999998</v>
      </c>
      <c r="E472" s="112"/>
      <c r="F472" s="59">
        <v>0</v>
      </c>
      <c r="G472" s="59">
        <f>D472*1.6+F472</f>
        <v>500.999616</v>
      </c>
      <c r="H472" s="117" t="str">
        <f>A471</f>
        <v xml:space="preserve">16th Floor </v>
      </c>
      <c r="I472" s="118"/>
      <c r="J472" s="119"/>
    </row>
    <row r="473" spans="1:15" ht="15.6" x14ac:dyDescent="0.25">
      <c r="A473" s="111">
        <v>2</v>
      </c>
      <c r="B473" s="112"/>
      <c r="C473" s="59" t="s">
        <v>177</v>
      </c>
      <c r="D473" s="111">
        <f>(66.243+1*2.4+1.15*3.085)*10.764</f>
        <v>777.0612329999999</v>
      </c>
      <c r="E473" s="112"/>
      <c r="F473" s="59">
        <v>0</v>
      </c>
      <c r="G473" s="59">
        <f t="shared" ref="G473:G480" si="59">D473*1.6+F473</f>
        <v>1243.2979728</v>
      </c>
      <c r="H473" s="120"/>
      <c r="I473" s="121"/>
      <c r="J473" s="122"/>
    </row>
    <row r="474" spans="1:15" ht="15.6" x14ac:dyDescent="0.25">
      <c r="A474" s="111">
        <v>3</v>
      </c>
      <c r="B474" s="112"/>
      <c r="C474" s="59" t="s">
        <v>177</v>
      </c>
      <c r="D474" s="111">
        <f>(66.243+1*2.4+1.15*3.085)*10.764</f>
        <v>777.0612329999999</v>
      </c>
      <c r="E474" s="112"/>
      <c r="F474" s="59">
        <v>0</v>
      </c>
      <c r="G474" s="59">
        <f t="shared" si="59"/>
        <v>1243.2979728</v>
      </c>
      <c r="H474" s="120"/>
      <c r="I474" s="121"/>
      <c r="J474" s="122"/>
      <c r="K474" s="26">
        <v>1</v>
      </c>
    </row>
    <row r="475" spans="1:15" ht="15.6" x14ac:dyDescent="0.25">
      <c r="A475" s="111">
        <v>4</v>
      </c>
      <c r="B475" s="112"/>
      <c r="C475" s="59" t="s">
        <v>280</v>
      </c>
      <c r="D475" s="111">
        <f>29.162*10.764</f>
        <v>313.89976799999999</v>
      </c>
      <c r="E475" s="112"/>
      <c r="F475" s="59">
        <v>0</v>
      </c>
      <c r="G475" s="59">
        <f t="shared" si="59"/>
        <v>502.23962879999999</v>
      </c>
      <c r="H475" s="120"/>
      <c r="I475" s="121"/>
      <c r="J475" s="122"/>
    </row>
    <row r="476" spans="1:15" ht="15.6" x14ac:dyDescent="0.25">
      <c r="A476" s="111">
        <v>5</v>
      </c>
      <c r="B476" s="112"/>
      <c r="C476" s="59" t="s">
        <v>178</v>
      </c>
      <c r="D476" s="111">
        <f>(112.52+1.075*2.535+1.67*3.3)*10.764</f>
        <v>1299.8189295</v>
      </c>
      <c r="E476" s="112"/>
      <c r="F476" s="59">
        <v>0</v>
      </c>
      <c r="G476" s="59">
        <f t="shared" si="59"/>
        <v>2079.7102872</v>
      </c>
      <c r="H476" s="120"/>
      <c r="I476" s="121"/>
      <c r="J476" s="122"/>
      <c r="L476" s="61">
        <f>25000/1.6</f>
        <v>15625</v>
      </c>
      <c r="M476" s="61">
        <f>150000+5000+5.5*G482*24</f>
        <v>221295.63100160001</v>
      </c>
      <c r="N476" s="61">
        <f>M476/G482</f>
        <v>440.61762217039933</v>
      </c>
      <c r="O476" s="61">
        <f>L476+N476</f>
        <v>16065.617622170399</v>
      </c>
    </row>
    <row r="477" spans="1:15" ht="15.6" x14ac:dyDescent="0.25">
      <c r="A477" s="111">
        <v>6</v>
      </c>
      <c r="B477" s="112"/>
      <c r="C477" s="59" t="s">
        <v>177</v>
      </c>
      <c r="D477" s="111">
        <f>(64.796+1.05*2.4+0.75*(3.325+3.175))*10.764</f>
        <v>777.06392399999993</v>
      </c>
      <c r="E477" s="112"/>
      <c r="F477" s="59">
        <v>0</v>
      </c>
      <c r="G477" s="59">
        <f t="shared" si="59"/>
        <v>1243.3022784</v>
      </c>
      <c r="H477" s="120"/>
      <c r="I477" s="121"/>
      <c r="J477" s="122"/>
    </row>
    <row r="478" spans="1:15" ht="15.6" x14ac:dyDescent="0.25">
      <c r="A478" s="111">
        <v>7</v>
      </c>
      <c r="B478" s="112"/>
      <c r="C478" s="59" t="s">
        <v>280</v>
      </c>
      <c r="D478" s="111">
        <f>24.297*10.764</f>
        <v>261.53290799999996</v>
      </c>
      <c r="E478" s="112"/>
      <c r="F478" s="59">
        <v>0</v>
      </c>
      <c r="G478" s="59">
        <f t="shared" si="59"/>
        <v>418.45265279999995</v>
      </c>
      <c r="H478" s="120"/>
      <c r="I478" s="121"/>
      <c r="J478" s="122"/>
    </row>
    <row r="479" spans="1:15" ht="15.6" x14ac:dyDescent="0.25">
      <c r="A479" s="111">
        <v>8</v>
      </c>
      <c r="B479" s="112"/>
      <c r="C479" s="59" t="s">
        <v>176</v>
      </c>
      <c r="D479" s="111">
        <f>(39.741+0.75*3.325+1*2.4)*10.764</f>
        <v>480.44844899999993</v>
      </c>
      <c r="E479" s="112"/>
      <c r="F479" s="59">
        <v>0</v>
      </c>
      <c r="G479" s="59">
        <f t="shared" si="59"/>
        <v>768.7175183999999</v>
      </c>
      <c r="H479" s="120"/>
      <c r="I479" s="121"/>
      <c r="J479" s="122"/>
    </row>
    <row r="480" spans="1:15" ht="15.6" x14ac:dyDescent="0.25">
      <c r="A480" s="111">
        <v>9</v>
      </c>
      <c r="B480" s="112"/>
      <c r="C480" s="59" t="s">
        <v>178</v>
      </c>
      <c r="D480" s="111">
        <f>(112.52+1.075*2.53+1.67*3.3)*10.764</f>
        <v>1299.7610729999999</v>
      </c>
      <c r="E480" s="112"/>
      <c r="F480" s="59">
        <v>0</v>
      </c>
      <c r="G480" s="59">
        <f t="shared" si="59"/>
        <v>2079.6177167999999</v>
      </c>
      <c r="H480" s="120"/>
      <c r="I480" s="121"/>
      <c r="J480" s="122"/>
    </row>
    <row r="481" spans="1:15" ht="15.6" x14ac:dyDescent="0.25">
      <c r="A481" s="114" t="s">
        <v>285</v>
      </c>
      <c r="B481" s="115"/>
      <c r="C481" s="115"/>
      <c r="D481" s="115"/>
      <c r="E481" s="115"/>
      <c r="F481" s="115"/>
      <c r="G481" s="115"/>
      <c r="H481" s="115"/>
      <c r="I481" s="115"/>
      <c r="J481" s="116"/>
    </row>
    <row r="482" spans="1:15" ht="15.6" x14ac:dyDescent="0.25">
      <c r="A482" s="111">
        <v>1</v>
      </c>
      <c r="B482" s="112"/>
      <c r="C482" s="59" t="s">
        <v>280</v>
      </c>
      <c r="D482" s="111">
        <f>29.162*10.764</f>
        <v>313.89976799999999</v>
      </c>
      <c r="E482" s="112"/>
      <c r="F482" s="59">
        <v>0</v>
      </c>
      <c r="G482" s="59">
        <f>D482*1.6+F482</f>
        <v>502.23962879999999</v>
      </c>
      <c r="H482" s="117" t="str">
        <f>A481</f>
        <v>19th Floor</v>
      </c>
      <c r="I482" s="118"/>
      <c r="J482" s="119"/>
    </row>
    <row r="483" spans="1:15" ht="15.6" x14ac:dyDescent="0.25">
      <c r="A483" s="111">
        <v>2</v>
      </c>
      <c r="B483" s="112"/>
      <c r="C483" s="59" t="s">
        <v>177</v>
      </c>
      <c r="D483" s="111">
        <f>(66.243+1*2.4+1.15*3.085)*10.764</f>
        <v>777.0612329999999</v>
      </c>
      <c r="E483" s="112"/>
      <c r="F483" s="59">
        <v>0</v>
      </c>
      <c r="G483" s="59">
        <f t="shared" ref="G483:G490" si="60">D483*1.6+F483</f>
        <v>1243.2979728</v>
      </c>
      <c r="H483" s="120"/>
      <c r="I483" s="121"/>
      <c r="J483" s="122"/>
    </row>
    <row r="484" spans="1:15" ht="15.6" x14ac:dyDescent="0.25">
      <c r="A484" s="111">
        <v>3</v>
      </c>
      <c r="B484" s="112"/>
      <c r="C484" s="59" t="s">
        <v>177</v>
      </c>
      <c r="D484" s="111">
        <f>(66.243+1*2.4+1.15*3.085)*10.764</f>
        <v>777.0612329999999</v>
      </c>
      <c r="E484" s="112"/>
      <c r="F484" s="59">
        <v>0</v>
      </c>
      <c r="G484" s="59">
        <f t="shared" si="60"/>
        <v>1243.2979728</v>
      </c>
      <c r="H484" s="120"/>
      <c r="I484" s="121"/>
      <c r="J484" s="122"/>
      <c r="K484" s="26">
        <v>1</v>
      </c>
    </row>
    <row r="485" spans="1:15" ht="15.75" customHeight="1" x14ac:dyDescent="0.25">
      <c r="A485" s="111">
        <v>4</v>
      </c>
      <c r="B485" s="112"/>
      <c r="C485" s="59" t="s">
        <v>280</v>
      </c>
      <c r="D485" s="111">
        <f>29.162*10.764</f>
        <v>313.89976799999999</v>
      </c>
      <c r="E485" s="112"/>
      <c r="F485" s="59">
        <v>0</v>
      </c>
      <c r="G485" s="59">
        <f t="shared" si="60"/>
        <v>502.23962879999999</v>
      </c>
      <c r="H485" s="120"/>
      <c r="I485" s="121"/>
      <c r="J485" s="122"/>
    </row>
    <row r="486" spans="1:15" ht="15.6" x14ac:dyDescent="0.25">
      <c r="A486" s="111">
        <v>5</v>
      </c>
      <c r="B486" s="112"/>
      <c r="C486" s="59" t="s">
        <v>178</v>
      </c>
      <c r="D486" s="111">
        <f>(112.52+1.075*2.535+1.67*3.3)*10.764</f>
        <v>1299.8189295</v>
      </c>
      <c r="E486" s="112"/>
      <c r="F486" s="59">
        <v>0</v>
      </c>
      <c r="G486" s="59">
        <f t="shared" si="60"/>
        <v>2079.7102872</v>
      </c>
      <c r="H486" s="120"/>
      <c r="I486" s="121"/>
      <c r="J486" s="122"/>
      <c r="L486" s="61">
        <f>25000/1.6</f>
        <v>15625</v>
      </c>
      <c r="M486" s="61">
        <f>150000+5000+5.5*G492*24</f>
        <v>221131.94931200001</v>
      </c>
      <c r="N486" s="61">
        <f>M486/G492</f>
        <v>441.38147465566124</v>
      </c>
      <c r="O486" s="61">
        <f>L486+N486</f>
        <v>16066.381474655662</v>
      </c>
    </row>
    <row r="487" spans="1:15" ht="15.6" x14ac:dyDescent="0.25">
      <c r="A487" s="111">
        <v>6</v>
      </c>
      <c r="B487" s="112"/>
      <c r="C487" s="59" t="s">
        <v>176</v>
      </c>
      <c r="D487" s="111">
        <f>(39.227+1.05*2.4)*10.764</f>
        <v>449.36470799999995</v>
      </c>
      <c r="E487" s="112"/>
      <c r="F487" s="59">
        <v>0</v>
      </c>
      <c r="G487" s="59">
        <f t="shared" si="60"/>
        <v>718.98353279999992</v>
      </c>
      <c r="H487" s="120"/>
      <c r="I487" s="121"/>
      <c r="J487" s="122"/>
    </row>
    <row r="488" spans="1:15" ht="15.6" x14ac:dyDescent="0.25">
      <c r="A488" s="111">
        <v>7</v>
      </c>
      <c r="B488" s="112"/>
      <c r="C488" s="59" t="s">
        <v>280</v>
      </c>
      <c r="D488" s="111">
        <f>23.81*10.764</f>
        <v>256.29083999999995</v>
      </c>
      <c r="E488" s="112"/>
      <c r="F488" s="59">
        <v>0</v>
      </c>
      <c r="G488" s="59">
        <f t="shared" si="60"/>
        <v>410.06534399999993</v>
      </c>
      <c r="H488" s="120"/>
      <c r="I488" s="121"/>
      <c r="J488" s="122"/>
    </row>
    <row r="489" spans="1:15" ht="15.6" x14ac:dyDescent="0.25">
      <c r="A489" s="111">
        <v>8</v>
      </c>
      <c r="B489" s="112"/>
      <c r="C489" s="59" t="s">
        <v>177</v>
      </c>
      <c r="D489" s="111">
        <f>(63.645+1.05*2.4)*10.764</f>
        <v>712.20006000000001</v>
      </c>
      <c r="E489" s="112"/>
      <c r="F489" s="59">
        <v>0</v>
      </c>
      <c r="G489" s="59">
        <f t="shared" si="60"/>
        <v>1139.520096</v>
      </c>
      <c r="H489" s="120"/>
      <c r="I489" s="121"/>
      <c r="J489" s="122"/>
    </row>
    <row r="490" spans="1:15" ht="15.6" x14ac:dyDescent="0.25">
      <c r="A490" s="111">
        <v>9</v>
      </c>
      <c r="B490" s="112"/>
      <c r="C490" s="59" t="s">
        <v>178</v>
      </c>
      <c r="D490" s="111">
        <f>(112.52+1.075*2.535+1.67*3.3)*10.764</f>
        <v>1299.8189295</v>
      </c>
      <c r="E490" s="112"/>
      <c r="F490" s="59">
        <v>0</v>
      </c>
      <c r="G490" s="59">
        <f t="shared" si="60"/>
        <v>2079.7102872</v>
      </c>
      <c r="H490" s="120"/>
      <c r="I490" s="121"/>
      <c r="J490" s="122"/>
    </row>
    <row r="491" spans="1:15" ht="15.6" x14ac:dyDescent="0.25">
      <c r="A491" s="114" t="s">
        <v>287</v>
      </c>
      <c r="B491" s="115"/>
      <c r="C491" s="115"/>
      <c r="D491" s="115"/>
      <c r="E491" s="115"/>
      <c r="F491" s="115"/>
      <c r="G491" s="115"/>
      <c r="H491" s="115"/>
      <c r="I491" s="115"/>
      <c r="J491" s="116"/>
    </row>
    <row r="492" spans="1:15" ht="15.6" x14ac:dyDescent="0.25">
      <c r="A492" s="111">
        <v>1</v>
      </c>
      <c r="B492" s="112"/>
      <c r="C492" s="59" t="s">
        <v>280</v>
      </c>
      <c r="D492" s="111">
        <f>29.09*10.764</f>
        <v>313.12475999999998</v>
      </c>
      <c r="E492" s="112"/>
      <c r="F492" s="59">
        <v>0</v>
      </c>
      <c r="G492" s="59">
        <f>D492*1.6+F492</f>
        <v>500.999616</v>
      </c>
      <c r="H492" s="117" t="str">
        <f>A491</f>
        <v>21st Floor</v>
      </c>
      <c r="I492" s="118"/>
      <c r="J492" s="119"/>
    </row>
    <row r="493" spans="1:15" ht="15.6" x14ac:dyDescent="0.25">
      <c r="A493" s="111">
        <v>2</v>
      </c>
      <c r="B493" s="112"/>
      <c r="C493" s="59" t="s">
        <v>177</v>
      </c>
      <c r="D493" s="111">
        <f>(66.243+1*2.4+1.15*3.085)*10.764</f>
        <v>777.0612329999999</v>
      </c>
      <c r="E493" s="112"/>
      <c r="F493" s="59">
        <v>0</v>
      </c>
      <c r="G493" s="59">
        <f t="shared" ref="G493:G500" si="61">D493*1.6+F493</f>
        <v>1243.2979728</v>
      </c>
      <c r="H493" s="120"/>
      <c r="I493" s="121"/>
      <c r="J493" s="122"/>
    </row>
    <row r="494" spans="1:15" ht="15.6" x14ac:dyDescent="0.25">
      <c r="A494" s="111">
        <v>3</v>
      </c>
      <c r="B494" s="112"/>
      <c r="C494" s="59" t="s">
        <v>177</v>
      </c>
      <c r="D494" s="111">
        <f>(66.243+1*2.4+1.15*3.085)*10.764</f>
        <v>777.0612329999999</v>
      </c>
      <c r="E494" s="112"/>
      <c r="F494" s="59">
        <v>0</v>
      </c>
      <c r="G494" s="59">
        <f t="shared" si="61"/>
        <v>1243.2979728</v>
      </c>
      <c r="H494" s="120"/>
      <c r="I494" s="121"/>
      <c r="J494" s="122"/>
      <c r="K494" s="26">
        <v>1</v>
      </c>
    </row>
    <row r="495" spans="1:15" ht="15.6" x14ac:dyDescent="0.25">
      <c r="A495" s="111">
        <v>4</v>
      </c>
      <c r="B495" s="112"/>
      <c r="C495" s="59" t="s">
        <v>280</v>
      </c>
      <c r="D495" s="111">
        <f>29.162*10.764</f>
        <v>313.89976799999999</v>
      </c>
      <c r="E495" s="112"/>
      <c r="F495" s="59">
        <v>0</v>
      </c>
      <c r="G495" s="59">
        <f t="shared" si="61"/>
        <v>502.23962879999999</v>
      </c>
      <c r="H495" s="120"/>
      <c r="I495" s="121"/>
      <c r="J495" s="122"/>
      <c r="K495" s="26">
        <v>1</v>
      </c>
    </row>
    <row r="496" spans="1:15" ht="15.6" x14ac:dyDescent="0.25">
      <c r="A496" s="111">
        <v>5</v>
      </c>
      <c r="B496" s="112"/>
      <c r="C496" s="59" t="s">
        <v>178</v>
      </c>
      <c r="D496" s="150">
        <f>(112.52+1.075*2.535+1.67*3.3)*10.764</f>
        <v>1299.8189295</v>
      </c>
      <c r="E496" s="151"/>
      <c r="F496" s="59">
        <v>0</v>
      </c>
      <c r="G496" s="59">
        <f t="shared" si="61"/>
        <v>2079.7102872</v>
      </c>
      <c r="H496" s="120"/>
      <c r="I496" s="121"/>
      <c r="J496" s="122"/>
      <c r="K496" s="26">
        <v>1</v>
      </c>
    </row>
    <row r="497" spans="1:15" ht="15.6" x14ac:dyDescent="0.25">
      <c r="A497" s="111">
        <v>6</v>
      </c>
      <c r="B497" s="112"/>
      <c r="C497" s="59" t="s">
        <v>176</v>
      </c>
      <c r="D497" s="111">
        <f>(39.345+1.05*2.4)*10.764</f>
        <v>450.63486</v>
      </c>
      <c r="E497" s="112"/>
      <c r="F497" s="59">
        <v>0</v>
      </c>
      <c r="G497" s="59">
        <f t="shared" si="61"/>
        <v>721.01577600000007</v>
      </c>
      <c r="H497" s="120"/>
      <c r="I497" s="121"/>
      <c r="J497" s="122"/>
    </row>
    <row r="498" spans="1:15" ht="15.6" x14ac:dyDescent="0.25">
      <c r="A498" s="111">
        <v>7</v>
      </c>
      <c r="B498" s="112"/>
      <c r="C498" s="59" t="s">
        <v>280</v>
      </c>
      <c r="D498" s="111">
        <f>(23.81)*10.764</f>
        <v>256.29083999999995</v>
      </c>
      <c r="E498" s="112"/>
      <c r="F498" s="59">
        <v>0</v>
      </c>
      <c r="G498" s="59">
        <f t="shared" si="61"/>
        <v>410.06534399999993</v>
      </c>
      <c r="H498" s="120"/>
      <c r="I498" s="121"/>
      <c r="J498" s="122"/>
      <c r="L498" s="61">
        <f>25000/1.6</f>
        <v>15625</v>
      </c>
      <c r="M498" s="61">
        <f>150000+5000+5.5*G504*24</f>
        <v>155000</v>
      </c>
      <c r="N498" s="61" t="e">
        <f>M498/G504</f>
        <v>#DIV/0!</v>
      </c>
      <c r="O498" s="61" t="e">
        <f>L498+N498</f>
        <v>#DIV/0!</v>
      </c>
    </row>
    <row r="499" spans="1:15" ht="15.6" x14ac:dyDescent="0.25">
      <c r="A499" s="111">
        <v>8</v>
      </c>
      <c r="B499" s="112"/>
      <c r="C499" s="59" t="s">
        <v>177</v>
      </c>
      <c r="D499" s="111">
        <f>(63.764+1.05*2.45)*10.764</f>
        <v>714.04608599999995</v>
      </c>
      <c r="E499" s="112"/>
      <c r="F499" s="59">
        <v>0</v>
      </c>
      <c r="G499" s="59">
        <f t="shared" si="61"/>
        <v>1142.4737376</v>
      </c>
      <c r="H499" s="120"/>
      <c r="I499" s="121"/>
      <c r="J499" s="122"/>
    </row>
    <row r="500" spans="1:15" ht="15.6" x14ac:dyDescent="0.25">
      <c r="A500" s="111">
        <v>9</v>
      </c>
      <c r="B500" s="112"/>
      <c r="C500" s="59" t="s">
        <v>178</v>
      </c>
      <c r="D500" s="111">
        <f>(112.52+1.075*2.535+1.67*3.165)*10.764</f>
        <v>1297.3921857</v>
      </c>
      <c r="E500" s="112"/>
      <c r="F500" s="59">
        <v>0</v>
      </c>
      <c r="G500" s="59">
        <f t="shared" si="61"/>
        <v>2075.8274971200003</v>
      </c>
      <c r="H500" s="120"/>
      <c r="I500" s="121"/>
      <c r="J500" s="122"/>
    </row>
    <row r="501" spans="1:15" ht="15.6" x14ac:dyDescent="0.25">
      <c r="A501" s="114" t="s">
        <v>271</v>
      </c>
      <c r="B501" s="115"/>
      <c r="C501" s="115"/>
      <c r="D501" s="115"/>
      <c r="E501" s="115"/>
      <c r="F501" s="115"/>
      <c r="G501" s="115"/>
      <c r="H501" s="115"/>
      <c r="I501" s="115"/>
      <c r="J501" s="116"/>
    </row>
    <row r="502" spans="1:15" ht="15.6" x14ac:dyDescent="0.25">
      <c r="A502" s="114" t="s">
        <v>272</v>
      </c>
      <c r="B502" s="115"/>
      <c r="C502" s="115"/>
      <c r="D502" s="115"/>
      <c r="E502" s="115"/>
      <c r="F502" s="115"/>
      <c r="G502" s="115"/>
      <c r="H502" s="115"/>
      <c r="I502" s="115"/>
      <c r="J502" s="116"/>
    </row>
    <row r="503" spans="1:15" ht="15.6" x14ac:dyDescent="0.25">
      <c r="A503" s="114" t="s">
        <v>288</v>
      </c>
      <c r="B503" s="115"/>
      <c r="C503" s="115"/>
      <c r="D503" s="115"/>
      <c r="E503" s="115"/>
      <c r="F503" s="115"/>
      <c r="G503" s="115"/>
      <c r="H503" s="115"/>
      <c r="I503" s="115"/>
      <c r="J503" s="116"/>
    </row>
    <row r="504" spans="1:15" ht="15.6" x14ac:dyDescent="0.25">
      <c r="A504" s="111">
        <v>1</v>
      </c>
      <c r="B504" s="112"/>
      <c r="C504" s="117" t="s">
        <v>223</v>
      </c>
      <c r="D504" s="118"/>
      <c r="E504" s="118"/>
      <c r="F504" s="118"/>
      <c r="G504" s="119"/>
      <c r="H504" s="117" t="str">
        <f>A503</f>
        <v>24th (Part Refuge Area)</v>
      </c>
      <c r="I504" s="118"/>
      <c r="J504" s="119"/>
    </row>
    <row r="505" spans="1:15" ht="15.6" x14ac:dyDescent="0.25">
      <c r="A505" s="111">
        <v>2</v>
      </c>
      <c r="B505" s="112"/>
      <c r="C505" s="120"/>
      <c r="D505" s="121"/>
      <c r="E505" s="121"/>
      <c r="F505" s="121"/>
      <c r="G505" s="122"/>
      <c r="H505" s="120"/>
      <c r="I505" s="121"/>
      <c r="J505" s="122"/>
    </row>
    <row r="506" spans="1:15" ht="15.6" x14ac:dyDescent="0.25">
      <c r="A506" s="111">
        <v>3</v>
      </c>
      <c r="B506" s="112"/>
      <c r="C506" s="120"/>
      <c r="D506" s="121"/>
      <c r="E506" s="121"/>
      <c r="F506" s="121"/>
      <c r="G506" s="122"/>
      <c r="H506" s="120"/>
      <c r="I506" s="121"/>
      <c r="J506" s="122"/>
    </row>
    <row r="507" spans="1:15" ht="15.6" x14ac:dyDescent="0.25">
      <c r="A507" s="111">
        <v>4</v>
      </c>
      <c r="B507" s="112"/>
      <c r="C507" s="123"/>
      <c r="D507" s="124"/>
      <c r="E507" s="124"/>
      <c r="F507" s="124"/>
      <c r="G507" s="125"/>
      <c r="H507" s="120"/>
      <c r="I507" s="121"/>
      <c r="J507" s="122"/>
      <c r="K507" s="26">
        <v>1</v>
      </c>
    </row>
    <row r="508" spans="1:15" ht="15.6" x14ac:dyDescent="0.25">
      <c r="A508" s="111">
        <v>5</v>
      </c>
      <c r="B508" s="112"/>
      <c r="C508" s="59" t="s">
        <v>178</v>
      </c>
      <c r="D508" s="111">
        <f>(112.52+1.075*2.535+1.67*3.3)*10.764</f>
        <v>1299.8189295</v>
      </c>
      <c r="E508" s="112"/>
      <c r="F508" s="59">
        <v>0</v>
      </c>
      <c r="G508" s="59">
        <f t="shared" ref="G508:G513" si="62">D508*1.6+F508</f>
        <v>2079.7102872</v>
      </c>
      <c r="H508" s="120"/>
      <c r="I508" s="121"/>
      <c r="J508" s="122"/>
    </row>
    <row r="509" spans="1:15" ht="15.6" x14ac:dyDescent="0.25">
      <c r="A509" s="111">
        <v>6</v>
      </c>
      <c r="B509" s="112"/>
      <c r="C509" s="59" t="s">
        <v>176</v>
      </c>
      <c r="D509" s="111">
        <f>(39.741+1.05*2.455+0.75*3.3)*10.764</f>
        <v>482.15992499999999</v>
      </c>
      <c r="E509" s="112"/>
      <c r="F509" s="59">
        <v>0</v>
      </c>
      <c r="G509" s="59">
        <f t="shared" si="62"/>
        <v>771.45587999999998</v>
      </c>
      <c r="H509" s="120"/>
      <c r="I509" s="121"/>
      <c r="J509" s="122"/>
      <c r="L509" s="61">
        <f>25000/1.6</f>
        <v>15625</v>
      </c>
      <c r="M509" s="61">
        <f>150000+5000+5.5*G515*24</f>
        <v>221295.63100160001</v>
      </c>
      <c r="N509" s="61">
        <f>M509/G515</f>
        <v>440.61762217039933</v>
      </c>
      <c r="O509" s="61">
        <f>L509+N509</f>
        <v>16065.617622170399</v>
      </c>
    </row>
    <row r="510" spans="1:15" ht="15.6" x14ac:dyDescent="0.25">
      <c r="A510" s="111">
        <v>7</v>
      </c>
      <c r="B510" s="112"/>
      <c r="C510" s="59" t="s">
        <v>280</v>
      </c>
      <c r="D510" s="111">
        <f>(24.297+0.75*3.25)*10.764</f>
        <v>287.77015799999998</v>
      </c>
      <c r="E510" s="112"/>
      <c r="F510" s="59">
        <v>0</v>
      </c>
      <c r="G510" s="59">
        <f t="shared" si="62"/>
        <v>460.43225280000001</v>
      </c>
      <c r="H510" s="120"/>
      <c r="I510" s="121"/>
      <c r="J510" s="122"/>
    </row>
    <row r="511" spans="1:15" ht="15.6" x14ac:dyDescent="0.25">
      <c r="A511" s="111">
        <v>8</v>
      </c>
      <c r="B511" s="112"/>
      <c r="C511" s="59" t="s">
        <v>280</v>
      </c>
      <c r="D511" s="111">
        <f>(24.297+0.75*3.25)*10.764</f>
        <v>287.77015799999998</v>
      </c>
      <c r="E511" s="112"/>
      <c r="F511" s="59">
        <v>0</v>
      </c>
      <c r="G511" s="59">
        <f t="shared" si="62"/>
        <v>460.43225280000001</v>
      </c>
      <c r="H511" s="120"/>
      <c r="I511" s="121"/>
      <c r="J511" s="122"/>
    </row>
    <row r="512" spans="1:15" ht="15.6" x14ac:dyDescent="0.25">
      <c r="A512" s="111">
        <v>9</v>
      </c>
      <c r="B512" s="112"/>
      <c r="C512" s="59" t="s">
        <v>176</v>
      </c>
      <c r="D512" s="111">
        <f>(39.741+0.75*3.3+1.05*2.455)*10.764</f>
        <v>482.15992499999999</v>
      </c>
      <c r="E512" s="112"/>
      <c r="F512" s="59">
        <v>0</v>
      </c>
      <c r="G512" s="59">
        <f t="shared" si="62"/>
        <v>771.45587999999998</v>
      </c>
      <c r="H512" s="120"/>
      <c r="I512" s="121"/>
      <c r="J512" s="122"/>
    </row>
    <row r="513" spans="1:15" ht="15.6" x14ac:dyDescent="0.25">
      <c r="A513" s="111">
        <v>10</v>
      </c>
      <c r="B513" s="112"/>
      <c r="C513" s="59" t="s">
        <v>178</v>
      </c>
      <c r="D513" s="111">
        <f>(112.52+1.075*2.535+1.67*3.3)*10.764</f>
        <v>1299.8189295</v>
      </c>
      <c r="E513" s="112"/>
      <c r="F513" s="59">
        <v>0</v>
      </c>
      <c r="G513" s="59">
        <f t="shared" si="62"/>
        <v>2079.7102872</v>
      </c>
      <c r="H513" s="123"/>
      <c r="I513" s="124"/>
      <c r="J513" s="125"/>
    </row>
    <row r="514" spans="1:15" ht="15.6" x14ac:dyDescent="0.25">
      <c r="A514" s="114" t="s">
        <v>289</v>
      </c>
      <c r="B514" s="115"/>
      <c r="C514" s="115"/>
      <c r="D514" s="115"/>
      <c r="E514" s="115"/>
      <c r="F514" s="115"/>
      <c r="G514" s="115"/>
      <c r="H514" s="115"/>
      <c r="I514" s="115"/>
      <c r="J514" s="116"/>
    </row>
    <row r="515" spans="1:15" ht="15.6" x14ac:dyDescent="0.25">
      <c r="A515" s="111">
        <v>1</v>
      </c>
      <c r="B515" s="112"/>
      <c r="C515" s="59" t="s">
        <v>280</v>
      </c>
      <c r="D515" s="111">
        <f>29.162*10.764</f>
        <v>313.89976799999999</v>
      </c>
      <c r="E515" s="112"/>
      <c r="F515" s="59">
        <v>0</v>
      </c>
      <c r="G515" s="59">
        <f>D515*1.6+F515</f>
        <v>502.23962879999999</v>
      </c>
      <c r="H515" s="117" t="str">
        <f>A514</f>
        <v>25th Floor</v>
      </c>
      <c r="I515" s="118"/>
      <c r="J515" s="119"/>
    </row>
    <row r="516" spans="1:15" ht="15.6" x14ac:dyDescent="0.25">
      <c r="A516" s="111">
        <v>2</v>
      </c>
      <c r="B516" s="112"/>
      <c r="C516" s="59" t="s">
        <v>177</v>
      </c>
      <c r="D516" s="111">
        <f>(66.243+1.15*3.085+1*2.4)*10.764</f>
        <v>777.0612329999999</v>
      </c>
      <c r="E516" s="112"/>
      <c r="F516" s="59">
        <v>0</v>
      </c>
      <c r="G516" s="59">
        <f t="shared" ref="G516:G524" si="63">D516*1.6+F516</f>
        <v>1243.2979728</v>
      </c>
      <c r="H516" s="120"/>
      <c r="I516" s="121"/>
      <c r="J516" s="122"/>
    </row>
    <row r="517" spans="1:15" ht="15.6" x14ac:dyDescent="0.25">
      <c r="A517" s="111">
        <v>3</v>
      </c>
      <c r="B517" s="112"/>
      <c r="C517" s="59" t="s">
        <v>177</v>
      </c>
      <c r="D517" s="111">
        <f>(66.243+1.15*3.085+1*2.4)*10.764</f>
        <v>777.0612329999999</v>
      </c>
      <c r="E517" s="112"/>
      <c r="F517" s="59">
        <v>0</v>
      </c>
      <c r="G517" s="59">
        <f t="shared" si="63"/>
        <v>1243.2979728</v>
      </c>
      <c r="H517" s="120"/>
      <c r="I517" s="121"/>
      <c r="J517" s="122"/>
    </row>
    <row r="518" spans="1:15" ht="15.6" x14ac:dyDescent="0.25">
      <c r="A518" s="111">
        <v>4</v>
      </c>
      <c r="B518" s="112"/>
      <c r="C518" s="59" t="s">
        <v>280</v>
      </c>
      <c r="D518" s="111">
        <f>29.162*10.764</f>
        <v>313.89976799999999</v>
      </c>
      <c r="E518" s="112"/>
      <c r="F518" s="59">
        <v>0</v>
      </c>
      <c r="G518" s="59">
        <f t="shared" si="63"/>
        <v>502.23962879999999</v>
      </c>
      <c r="H518" s="120"/>
      <c r="I518" s="121"/>
      <c r="J518" s="122"/>
      <c r="K518" s="26">
        <v>5</v>
      </c>
    </row>
    <row r="519" spans="1:15" ht="15.75" customHeight="1" x14ac:dyDescent="0.25">
      <c r="A519" s="111">
        <v>5</v>
      </c>
      <c r="B519" s="112"/>
      <c r="C519" s="59" t="s">
        <v>178</v>
      </c>
      <c r="D519" s="111">
        <f>(112.52+1.075*2.535+1.67*3.165)*10.764</f>
        <v>1297.3921857</v>
      </c>
      <c r="E519" s="112"/>
      <c r="F519" s="59">
        <v>0</v>
      </c>
      <c r="G519" s="59">
        <f t="shared" si="63"/>
        <v>2075.8274971200003</v>
      </c>
      <c r="H519" s="120"/>
      <c r="I519" s="121"/>
      <c r="J519" s="122"/>
    </row>
    <row r="520" spans="1:15" ht="15.6" x14ac:dyDescent="0.25">
      <c r="A520" s="111">
        <v>6</v>
      </c>
      <c r="B520" s="112"/>
      <c r="C520" s="59" t="s">
        <v>176</v>
      </c>
      <c r="D520" s="111">
        <f>(39.852+0.75*3.26+1.05*2.4)*10.764</f>
        <v>482.41018799999995</v>
      </c>
      <c r="E520" s="112"/>
      <c r="F520" s="59">
        <v>0</v>
      </c>
      <c r="G520" s="59">
        <f t="shared" si="63"/>
        <v>771.85630079999999</v>
      </c>
      <c r="H520" s="120"/>
      <c r="I520" s="121"/>
      <c r="J520" s="122"/>
      <c r="L520" s="61">
        <f>25000/1.6</f>
        <v>15625</v>
      </c>
      <c r="M520" s="61">
        <f>150000+5000+5.5*G526*24</f>
        <v>221131.94931200001</v>
      </c>
      <c r="N520" s="61">
        <f>M520/G526</f>
        <v>441.38147465566124</v>
      </c>
      <c r="O520" s="61">
        <f>L520+N520</f>
        <v>16066.381474655662</v>
      </c>
    </row>
    <row r="521" spans="1:15" ht="15.6" x14ac:dyDescent="0.25">
      <c r="A521" s="111">
        <v>7</v>
      </c>
      <c r="B521" s="112"/>
      <c r="C521" s="59" t="s">
        <v>280</v>
      </c>
      <c r="D521" s="111">
        <f>(24.297+0.75*3.2)*10.764</f>
        <v>287.36650800000001</v>
      </c>
      <c r="E521" s="112"/>
      <c r="F521" s="59">
        <v>0</v>
      </c>
      <c r="G521" s="59">
        <f t="shared" si="63"/>
        <v>459.78641280000005</v>
      </c>
      <c r="H521" s="120"/>
      <c r="I521" s="121"/>
      <c r="J521" s="122"/>
    </row>
    <row r="522" spans="1:15" ht="15.6" x14ac:dyDescent="0.25">
      <c r="A522" s="111">
        <v>8</v>
      </c>
      <c r="B522" s="112"/>
      <c r="C522" s="59" t="s">
        <v>280</v>
      </c>
      <c r="D522" s="111">
        <f>(24.297+0.75*3.2)*10.764</f>
        <v>287.36650800000001</v>
      </c>
      <c r="E522" s="112"/>
      <c r="F522" s="59">
        <v>0</v>
      </c>
      <c r="G522" s="59">
        <f t="shared" si="63"/>
        <v>459.78641280000005</v>
      </c>
      <c r="H522" s="120"/>
      <c r="I522" s="121"/>
      <c r="J522" s="122"/>
    </row>
    <row r="523" spans="1:15" ht="15.6" x14ac:dyDescent="0.25">
      <c r="A523" s="111">
        <v>9</v>
      </c>
      <c r="B523" s="112"/>
      <c r="C523" s="59" t="s">
        <v>176</v>
      </c>
      <c r="D523" s="111">
        <f>(39.852+0.75*3.2+1.05*2.4)*10.764</f>
        <v>481.92580799999996</v>
      </c>
      <c r="E523" s="112"/>
      <c r="F523" s="59">
        <v>0</v>
      </c>
      <c r="G523" s="59">
        <f t="shared" si="63"/>
        <v>771.08129280000003</v>
      </c>
      <c r="H523" s="120"/>
      <c r="I523" s="121"/>
      <c r="J523" s="122"/>
    </row>
    <row r="524" spans="1:15" ht="15.6" x14ac:dyDescent="0.25">
      <c r="A524" s="111">
        <v>10</v>
      </c>
      <c r="B524" s="112"/>
      <c r="C524" s="59" t="s">
        <v>178</v>
      </c>
      <c r="D524" s="111">
        <f>(112.52+1.075*2.535+1.67*3.165)*10.764</f>
        <v>1297.3921857</v>
      </c>
      <c r="E524" s="112"/>
      <c r="F524" s="59">
        <v>0</v>
      </c>
      <c r="G524" s="59">
        <f t="shared" si="63"/>
        <v>2075.8274971200003</v>
      </c>
      <c r="H524" s="123"/>
      <c r="I524" s="124"/>
      <c r="J524" s="125"/>
    </row>
    <row r="525" spans="1:15" ht="15.6" x14ac:dyDescent="0.25">
      <c r="A525" s="114" t="s">
        <v>286</v>
      </c>
      <c r="B525" s="115"/>
      <c r="C525" s="115"/>
      <c r="D525" s="115"/>
      <c r="E525" s="115"/>
      <c r="F525" s="115"/>
      <c r="G525" s="115"/>
      <c r="H525" s="115"/>
      <c r="I525" s="115"/>
      <c r="J525" s="116"/>
    </row>
    <row r="526" spans="1:15" ht="15.6" x14ac:dyDescent="0.25">
      <c r="A526" s="111">
        <v>1</v>
      </c>
      <c r="B526" s="112"/>
      <c r="C526" s="59" t="s">
        <v>280</v>
      </c>
      <c r="D526" s="111">
        <f>29.09*10.764</f>
        <v>313.12475999999998</v>
      </c>
      <c r="E526" s="112"/>
      <c r="F526" s="59">
        <v>0</v>
      </c>
      <c r="G526" s="59">
        <f>D526*1.6+F526</f>
        <v>500.999616</v>
      </c>
      <c r="H526" s="117" t="str">
        <f>A525</f>
        <v>26th to 30th Floor</v>
      </c>
      <c r="I526" s="118"/>
      <c r="J526" s="119"/>
    </row>
    <row r="527" spans="1:15" ht="15.6" x14ac:dyDescent="0.25">
      <c r="A527" s="111">
        <v>2</v>
      </c>
      <c r="B527" s="112"/>
      <c r="C527" s="59" t="s">
        <v>177</v>
      </c>
      <c r="D527" s="111">
        <f>(66.523+1*2.4+1.15*3.085)*10.764</f>
        <v>780.07515299999989</v>
      </c>
      <c r="E527" s="112"/>
      <c r="F527" s="59">
        <v>0</v>
      </c>
      <c r="G527" s="59">
        <f t="shared" ref="G527:G533" si="64">D527*1.6+F527</f>
        <v>1248.1202447999999</v>
      </c>
      <c r="H527" s="120"/>
      <c r="I527" s="121"/>
      <c r="J527" s="122"/>
      <c r="K527" s="26">
        <v>1</v>
      </c>
    </row>
    <row r="528" spans="1:15" ht="15.75" customHeight="1" x14ac:dyDescent="0.25">
      <c r="A528" s="111">
        <v>3</v>
      </c>
      <c r="B528" s="112"/>
      <c r="C528" s="59" t="s">
        <v>177</v>
      </c>
      <c r="D528" s="111">
        <f>(66.523+1*2.4+1.15*3.085)*10.764</f>
        <v>780.07515299999989</v>
      </c>
      <c r="E528" s="112"/>
      <c r="F528" s="59">
        <v>0</v>
      </c>
      <c r="G528" s="59">
        <f t="shared" si="64"/>
        <v>1248.1202447999999</v>
      </c>
      <c r="H528" s="120"/>
      <c r="I528" s="121"/>
      <c r="J528" s="122"/>
    </row>
    <row r="529" spans="1:15" ht="15.6" x14ac:dyDescent="0.25">
      <c r="A529" s="111">
        <v>4</v>
      </c>
      <c r="B529" s="112"/>
      <c r="C529" s="59" t="s">
        <v>280</v>
      </c>
      <c r="D529" s="111">
        <f>29.09*10.764</f>
        <v>313.12475999999998</v>
      </c>
      <c r="E529" s="112"/>
      <c r="F529" s="59">
        <v>0</v>
      </c>
      <c r="G529" s="59">
        <f t="shared" si="64"/>
        <v>500.999616</v>
      </c>
      <c r="H529" s="120"/>
      <c r="I529" s="121"/>
      <c r="J529" s="122"/>
      <c r="L529" s="61">
        <f>25000/1.6</f>
        <v>15625</v>
      </c>
      <c r="M529" s="61">
        <f>150000+5000+5.5*G535*24</f>
        <v>155000</v>
      </c>
      <c r="N529" s="61" t="e">
        <f>M529/G535</f>
        <v>#DIV/0!</v>
      </c>
      <c r="O529" s="61" t="e">
        <f>L529+N529</f>
        <v>#DIV/0!</v>
      </c>
    </row>
    <row r="530" spans="1:15" ht="15.6" x14ac:dyDescent="0.25">
      <c r="A530" s="111">
        <v>5</v>
      </c>
      <c r="B530" s="112"/>
      <c r="C530" s="59" t="s">
        <v>178</v>
      </c>
      <c r="D530" s="111">
        <f>(112.52+1.075*2.535+1.67*3.315)*10.764</f>
        <v>1300.0885676999999</v>
      </c>
      <c r="E530" s="112"/>
      <c r="F530" s="59">
        <v>0</v>
      </c>
      <c r="G530" s="59">
        <f t="shared" si="64"/>
        <v>2080.1417083199999</v>
      </c>
      <c r="H530" s="120"/>
      <c r="I530" s="121"/>
      <c r="J530" s="122"/>
    </row>
    <row r="531" spans="1:15" ht="15.6" x14ac:dyDescent="0.25">
      <c r="A531" s="111">
        <v>6</v>
      </c>
      <c r="B531" s="112"/>
      <c r="C531" s="59" t="s">
        <v>177</v>
      </c>
      <c r="D531" s="111">
        <f>(63.704+1.05*2.455)*10.764</f>
        <v>713.45675700000004</v>
      </c>
      <c r="E531" s="112"/>
      <c r="F531" s="59">
        <v>0</v>
      </c>
      <c r="G531" s="59">
        <f t="shared" si="64"/>
        <v>1141.5308112</v>
      </c>
      <c r="H531" s="120"/>
      <c r="I531" s="121"/>
      <c r="J531" s="122"/>
    </row>
    <row r="532" spans="1:15" ht="15.6" x14ac:dyDescent="0.25">
      <c r="A532" s="111">
        <v>7</v>
      </c>
      <c r="B532" s="112"/>
      <c r="C532" s="59" t="s">
        <v>177</v>
      </c>
      <c r="D532" s="111">
        <f>(63.704+1.05*2.455)*10.764</f>
        <v>713.45675700000004</v>
      </c>
      <c r="E532" s="112"/>
      <c r="F532" s="59">
        <v>0</v>
      </c>
      <c r="G532" s="59">
        <f t="shared" si="64"/>
        <v>1141.5308112</v>
      </c>
      <c r="H532" s="120"/>
      <c r="I532" s="121"/>
      <c r="J532" s="122"/>
    </row>
    <row r="533" spans="1:15" ht="15.6" x14ac:dyDescent="0.25">
      <c r="A533" s="111">
        <v>8</v>
      </c>
      <c r="B533" s="112"/>
      <c r="C533" s="59" t="s">
        <v>178</v>
      </c>
      <c r="D533" s="111">
        <f>(112.52+1.075*2.535+1.67*3.165)*10.764</f>
        <v>1297.3921857</v>
      </c>
      <c r="E533" s="112"/>
      <c r="F533" s="59">
        <v>0</v>
      </c>
      <c r="G533" s="59">
        <f t="shared" si="64"/>
        <v>2075.8274971200003</v>
      </c>
      <c r="H533" s="120"/>
      <c r="I533" s="121"/>
      <c r="J533" s="122"/>
    </row>
    <row r="534" spans="1:15" ht="15.6" x14ac:dyDescent="0.25">
      <c r="A534" s="114" t="s">
        <v>299</v>
      </c>
      <c r="B534" s="115"/>
      <c r="C534" s="115"/>
      <c r="D534" s="115"/>
      <c r="E534" s="115"/>
      <c r="F534" s="115"/>
      <c r="G534" s="115"/>
      <c r="H534" s="115"/>
      <c r="I534" s="115"/>
      <c r="J534" s="116"/>
    </row>
    <row r="535" spans="1:15" ht="15.6" x14ac:dyDescent="0.25">
      <c r="A535" s="111">
        <v>1</v>
      </c>
      <c r="B535" s="112"/>
      <c r="C535" s="117" t="s">
        <v>223</v>
      </c>
      <c r="D535" s="118"/>
      <c r="E535" s="118"/>
      <c r="F535" s="118"/>
      <c r="G535" s="119"/>
      <c r="H535" s="117" t="str">
        <f>A534</f>
        <v>31st Floor (Part Refuge Area)</v>
      </c>
      <c r="I535" s="118"/>
      <c r="J535" s="119"/>
    </row>
    <row r="536" spans="1:15" ht="15.6" x14ac:dyDescent="0.25">
      <c r="A536" s="111">
        <v>2</v>
      </c>
      <c r="B536" s="112"/>
      <c r="C536" s="120"/>
      <c r="D536" s="121"/>
      <c r="E536" s="121"/>
      <c r="F536" s="121"/>
      <c r="G536" s="122"/>
      <c r="H536" s="120"/>
      <c r="I536" s="121"/>
      <c r="J536" s="122"/>
      <c r="K536" s="26">
        <v>1</v>
      </c>
    </row>
    <row r="537" spans="1:15" ht="15.75" customHeight="1" x14ac:dyDescent="0.25">
      <c r="A537" s="111">
        <v>3</v>
      </c>
      <c r="B537" s="112"/>
      <c r="C537" s="120"/>
      <c r="D537" s="121"/>
      <c r="E537" s="121"/>
      <c r="F537" s="121"/>
      <c r="G537" s="122"/>
      <c r="H537" s="120"/>
      <c r="I537" s="121"/>
      <c r="J537" s="122"/>
    </row>
    <row r="538" spans="1:15" ht="15.6" x14ac:dyDescent="0.25">
      <c r="A538" s="111">
        <v>4</v>
      </c>
      <c r="B538" s="112"/>
      <c r="C538" s="123"/>
      <c r="D538" s="124"/>
      <c r="E538" s="124"/>
      <c r="F538" s="124"/>
      <c r="G538" s="125"/>
      <c r="H538" s="120"/>
      <c r="I538" s="121"/>
      <c r="J538" s="122"/>
      <c r="L538" s="61">
        <f>25000/1.6</f>
        <v>15625</v>
      </c>
      <c r="M538" s="61">
        <f>150000+5000+5.5*G544*24</f>
        <v>221295.63100160001</v>
      </c>
      <c r="N538" s="61">
        <f>M538/G544</f>
        <v>440.61762217039933</v>
      </c>
      <c r="O538" s="61">
        <f>L538+N538</f>
        <v>16065.617622170399</v>
      </c>
    </row>
    <row r="539" spans="1:15" ht="15.6" x14ac:dyDescent="0.25">
      <c r="A539" s="111">
        <v>5</v>
      </c>
      <c r="B539" s="112"/>
      <c r="C539" s="59" t="s">
        <v>178</v>
      </c>
      <c r="D539" s="111">
        <f>(112.52+1.075*2.535+1.67*3.3)*10.764</f>
        <v>1299.8189295</v>
      </c>
      <c r="E539" s="112"/>
      <c r="F539" s="59">
        <v>0</v>
      </c>
      <c r="G539" s="59">
        <f t="shared" ref="G539:G542" si="65">D539*1.6+F539</f>
        <v>2079.7102872</v>
      </c>
      <c r="H539" s="120"/>
      <c r="I539" s="121"/>
      <c r="J539" s="122"/>
    </row>
    <row r="540" spans="1:15" ht="15.6" x14ac:dyDescent="0.25">
      <c r="A540" s="111">
        <v>6</v>
      </c>
      <c r="B540" s="112"/>
      <c r="C540" s="59" t="s">
        <v>177</v>
      </c>
      <c r="D540" s="111">
        <f>(65.328+1.05*2.5+0.75*(3.3+3.2))*10.764</f>
        <v>783.92059199999994</v>
      </c>
      <c r="E540" s="112"/>
      <c r="F540" s="59">
        <v>0</v>
      </c>
      <c r="G540" s="59">
        <f t="shared" si="65"/>
        <v>1254.2729472000001</v>
      </c>
      <c r="H540" s="120"/>
      <c r="I540" s="121"/>
      <c r="J540" s="122"/>
    </row>
    <row r="541" spans="1:15" ht="15.6" x14ac:dyDescent="0.25">
      <c r="A541" s="111">
        <v>7</v>
      </c>
      <c r="B541" s="112"/>
      <c r="C541" s="59" t="s">
        <v>177</v>
      </c>
      <c r="D541" s="111">
        <f>(65.328+1.05*2.5+0.75*(3.3+3.2))*10.764</f>
        <v>783.92059199999994</v>
      </c>
      <c r="E541" s="112"/>
      <c r="F541" s="59">
        <v>0</v>
      </c>
      <c r="G541" s="59">
        <f t="shared" si="65"/>
        <v>1254.2729472000001</v>
      </c>
      <c r="H541" s="120"/>
      <c r="I541" s="121"/>
      <c r="J541" s="122"/>
    </row>
    <row r="542" spans="1:15" ht="15.6" x14ac:dyDescent="0.25">
      <c r="A542" s="111">
        <v>8</v>
      </c>
      <c r="B542" s="112"/>
      <c r="C542" s="59" t="s">
        <v>178</v>
      </c>
      <c r="D542" s="111">
        <f>(112.52+1.075*2.535+1.67*3.3)*10.764</f>
        <v>1299.8189295</v>
      </c>
      <c r="E542" s="112"/>
      <c r="F542" s="59">
        <v>0</v>
      </c>
      <c r="G542" s="59">
        <f t="shared" si="65"/>
        <v>2079.7102872</v>
      </c>
      <c r="H542" s="120"/>
      <c r="I542" s="121"/>
      <c r="J542" s="122"/>
    </row>
    <row r="543" spans="1:15" ht="15.6" x14ac:dyDescent="0.25">
      <c r="A543" s="114" t="s">
        <v>290</v>
      </c>
      <c r="B543" s="115"/>
      <c r="C543" s="115"/>
      <c r="D543" s="115"/>
      <c r="E543" s="115"/>
      <c r="F543" s="115"/>
      <c r="G543" s="115"/>
      <c r="H543" s="115"/>
      <c r="I543" s="115"/>
      <c r="J543" s="116"/>
    </row>
    <row r="544" spans="1:15" ht="15.6" x14ac:dyDescent="0.25">
      <c r="A544" s="111">
        <v>1</v>
      </c>
      <c r="B544" s="112"/>
      <c r="C544" s="59" t="s">
        <v>280</v>
      </c>
      <c r="D544" s="111">
        <f>29.162*10.764</f>
        <v>313.89976799999999</v>
      </c>
      <c r="E544" s="112"/>
      <c r="F544" s="59">
        <v>0</v>
      </c>
      <c r="G544" s="59">
        <f>D544*1.6+F544</f>
        <v>502.23962879999999</v>
      </c>
      <c r="H544" s="117" t="str">
        <f>A543</f>
        <v>32nd Floor</v>
      </c>
      <c r="I544" s="118"/>
      <c r="J544" s="119"/>
    </row>
    <row r="545" spans="1:15" ht="15.6" x14ac:dyDescent="0.25">
      <c r="A545" s="111">
        <v>2</v>
      </c>
      <c r="B545" s="112"/>
      <c r="C545" s="59" t="s">
        <v>177</v>
      </c>
      <c r="D545" s="111">
        <f>(66.688+1.15*3.085+1*2.48)*10.764</f>
        <v>782.71233299999994</v>
      </c>
      <c r="E545" s="112"/>
      <c r="F545" s="59">
        <v>0</v>
      </c>
      <c r="G545" s="59">
        <f t="shared" ref="G545:G547" si="66">D545*1.6+F545</f>
        <v>1252.3397328000001</v>
      </c>
      <c r="H545" s="120"/>
      <c r="I545" s="121"/>
      <c r="J545" s="122"/>
      <c r="K545" s="26">
        <v>2</v>
      </c>
    </row>
    <row r="546" spans="1:15" ht="15.75" customHeight="1" x14ac:dyDescent="0.25">
      <c r="A546" s="111">
        <v>3</v>
      </c>
      <c r="B546" s="112"/>
      <c r="C546" s="59" t="s">
        <v>177</v>
      </c>
      <c r="D546" s="111">
        <f>(66.688+1.15*3.085+1*2.48)*10.764</f>
        <v>782.71233299999994</v>
      </c>
      <c r="E546" s="112"/>
      <c r="F546" s="59">
        <v>0</v>
      </c>
      <c r="G546" s="59">
        <f t="shared" si="66"/>
        <v>1252.3397328000001</v>
      </c>
      <c r="H546" s="120"/>
      <c r="I546" s="121"/>
      <c r="J546" s="122"/>
    </row>
    <row r="547" spans="1:15" ht="15.6" x14ac:dyDescent="0.25">
      <c r="A547" s="111">
        <v>4</v>
      </c>
      <c r="B547" s="112"/>
      <c r="C547" s="59" t="s">
        <v>280</v>
      </c>
      <c r="D547" s="111">
        <f>29.162*10.764</f>
        <v>313.89976799999999</v>
      </c>
      <c r="E547" s="112"/>
      <c r="F547" s="59">
        <v>0</v>
      </c>
      <c r="G547" s="59">
        <f t="shared" si="66"/>
        <v>502.23962879999999</v>
      </c>
      <c r="H547" s="120"/>
      <c r="I547" s="121"/>
      <c r="J547" s="122"/>
      <c r="L547" s="61">
        <f>25000/1.6</f>
        <v>15625</v>
      </c>
      <c r="M547" s="61">
        <f>150000+5000+5.5*G553*24</f>
        <v>221295.63100160001</v>
      </c>
      <c r="N547" s="61">
        <f>M547/G553</f>
        <v>440.61762217039933</v>
      </c>
      <c r="O547" s="61">
        <f>L547+N547</f>
        <v>16065.617622170399</v>
      </c>
    </row>
    <row r="548" spans="1:15" ht="15.6" x14ac:dyDescent="0.25">
      <c r="A548" s="111">
        <v>5</v>
      </c>
      <c r="B548" s="112"/>
      <c r="C548" s="59" t="s">
        <v>178</v>
      </c>
      <c r="D548" s="111">
        <f>(112.52+1.075*2.535+1.67*3.365)*10.764</f>
        <v>1300.9873617000001</v>
      </c>
      <c r="E548" s="112"/>
      <c r="F548" s="59">
        <v>0</v>
      </c>
      <c r="G548" s="59">
        <f t="shared" ref="G548:G551" si="67">D548*1.6+F548</f>
        <v>2081.5797787200004</v>
      </c>
      <c r="H548" s="120"/>
      <c r="I548" s="121"/>
      <c r="J548" s="122"/>
    </row>
    <row r="549" spans="1:15" ht="15.6" x14ac:dyDescent="0.25">
      <c r="A549" s="111">
        <v>6</v>
      </c>
      <c r="B549" s="112"/>
      <c r="C549" s="59" t="s">
        <v>177</v>
      </c>
      <c r="D549" s="111">
        <f>(65.328+1.05*2.5+0.75*(3.325+3.25))*10.764</f>
        <v>784.52606700000001</v>
      </c>
      <c r="E549" s="112"/>
      <c r="F549" s="59">
        <v>0</v>
      </c>
      <c r="G549" s="59">
        <f t="shared" si="67"/>
        <v>1255.2417072000001</v>
      </c>
      <c r="H549" s="120"/>
      <c r="I549" s="121"/>
      <c r="J549" s="122"/>
    </row>
    <row r="550" spans="1:15" ht="15.6" x14ac:dyDescent="0.25">
      <c r="A550" s="111">
        <v>7</v>
      </c>
      <c r="B550" s="112"/>
      <c r="C550" s="59" t="s">
        <v>177</v>
      </c>
      <c r="D550" s="111">
        <f>(65.328+1.05*2.5+0.75*(3.325+3.25))*10.764</f>
        <v>784.52606700000001</v>
      </c>
      <c r="E550" s="112"/>
      <c r="F550" s="59">
        <v>0</v>
      </c>
      <c r="G550" s="59">
        <f t="shared" si="67"/>
        <v>1255.2417072000001</v>
      </c>
      <c r="H550" s="120"/>
      <c r="I550" s="121"/>
      <c r="J550" s="122"/>
    </row>
    <row r="551" spans="1:15" ht="15.6" x14ac:dyDescent="0.25">
      <c r="A551" s="111">
        <v>8</v>
      </c>
      <c r="B551" s="112"/>
      <c r="C551" s="59" t="s">
        <v>178</v>
      </c>
      <c r="D551" s="111">
        <f>(112.52+1.075*2.535+1.67*3.3)*10.764</f>
        <v>1299.8189295</v>
      </c>
      <c r="E551" s="112"/>
      <c r="F551" s="59">
        <v>0</v>
      </c>
      <c r="G551" s="59">
        <f t="shared" si="67"/>
        <v>2079.7102872</v>
      </c>
      <c r="H551" s="120"/>
      <c r="I551" s="121"/>
      <c r="J551" s="122"/>
    </row>
    <row r="552" spans="1:15" ht="15.6" x14ac:dyDescent="0.25">
      <c r="A552" s="152" t="s">
        <v>293</v>
      </c>
      <c r="B552" s="153"/>
      <c r="C552" s="153"/>
      <c r="D552" s="153"/>
      <c r="E552" s="153"/>
      <c r="F552" s="153"/>
      <c r="G552" s="153"/>
      <c r="H552" s="153"/>
      <c r="I552" s="153"/>
      <c r="J552" s="154"/>
    </row>
    <row r="553" spans="1:15" ht="15.6" x14ac:dyDescent="0.25">
      <c r="A553" s="111">
        <v>1</v>
      </c>
      <c r="B553" s="112"/>
      <c r="C553" s="59" t="s">
        <v>280</v>
      </c>
      <c r="D553" s="111">
        <f>29.162*10.764</f>
        <v>313.89976799999999</v>
      </c>
      <c r="E553" s="112"/>
      <c r="F553" s="59">
        <v>0</v>
      </c>
      <c r="G553" s="59">
        <f>D553*1.6+F553</f>
        <v>502.23962879999999</v>
      </c>
      <c r="H553" s="117" t="str">
        <f>A552</f>
        <v>33rd &amp; 34th Floor</v>
      </c>
      <c r="I553" s="118"/>
      <c r="J553" s="119"/>
    </row>
    <row r="554" spans="1:15" ht="15.6" x14ac:dyDescent="0.25">
      <c r="A554" s="111">
        <v>2</v>
      </c>
      <c r="B554" s="112"/>
      <c r="C554" s="59" t="s">
        <v>177</v>
      </c>
      <c r="D554" s="111">
        <f>(66.688+2.385*0.8+1.15*3.085)*10.764</f>
        <v>776.55532499999993</v>
      </c>
      <c r="E554" s="112"/>
      <c r="F554" s="59">
        <v>0</v>
      </c>
      <c r="G554" s="59">
        <f t="shared" ref="G554:G561" si="68">D554*1.6+F554</f>
        <v>1242.4885199999999</v>
      </c>
      <c r="H554" s="120"/>
      <c r="I554" s="121"/>
      <c r="J554" s="122"/>
    </row>
    <row r="555" spans="1:15" ht="15.6" x14ac:dyDescent="0.25">
      <c r="A555" s="111">
        <v>3</v>
      </c>
      <c r="B555" s="112"/>
      <c r="C555" s="59" t="s">
        <v>177</v>
      </c>
      <c r="D555" s="111">
        <f>(66.688+2.385*0.8+1.15*3.085)*10.764</f>
        <v>776.55532499999993</v>
      </c>
      <c r="E555" s="112"/>
      <c r="F555" s="59">
        <v>0</v>
      </c>
      <c r="G555" s="59">
        <f t="shared" si="68"/>
        <v>1242.4885199999999</v>
      </c>
      <c r="H555" s="120"/>
      <c r="I555" s="121"/>
      <c r="J555" s="122"/>
      <c r="K555" s="26">
        <v>4</v>
      </c>
    </row>
    <row r="556" spans="1:15" ht="15.75" customHeight="1" x14ac:dyDescent="0.25">
      <c r="A556" s="111">
        <v>4</v>
      </c>
      <c r="B556" s="112"/>
      <c r="C556" s="59" t="s">
        <v>280</v>
      </c>
      <c r="D556" s="111">
        <f>29.162*10.764</f>
        <v>313.89976799999999</v>
      </c>
      <c r="E556" s="112"/>
      <c r="F556" s="59">
        <v>0</v>
      </c>
      <c r="G556" s="59">
        <f t="shared" si="68"/>
        <v>502.23962879999999</v>
      </c>
      <c r="H556" s="120"/>
      <c r="I556" s="121"/>
      <c r="J556" s="122"/>
    </row>
    <row r="557" spans="1:15" ht="15.75" customHeight="1" x14ac:dyDescent="0.25">
      <c r="A557" s="111">
        <v>5</v>
      </c>
      <c r="B557" s="112"/>
      <c r="C557" s="59" t="s">
        <v>178</v>
      </c>
      <c r="D557" s="111">
        <f>(112.52+2.535*0.975+1.67*3.3)*10.764</f>
        <v>1297.0902554999998</v>
      </c>
      <c r="E557" s="112"/>
      <c r="F557" s="59">
        <v>0</v>
      </c>
      <c r="G557" s="59">
        <f t="shared" si="68"/>
        <v>2075.3444087999997</v>
      </c>
      <c r="H557" s="120"/>
      <c r="I557" s="121"/>
      <c r="J557" s="122"/>
      <c r="L557" s="61">
        <f>25000/1.6</f>
        <v>15625</v>
      </c>
      <c r="M557" s="61">
        <f>150000+5000+5.5*G563*24</f>
        <v>221295.63100160001</v>
      </c>
      <c r="N557" s="61">
        <f>M557/G563</f>
        <v>440.61762217039933</v>
      </c>
      <c r="O557" s="61">
        <f>L557+N557</f>
        <v>16065.617622170399</v>
      </c>
    </row>
    <row r="558" spans="1:15" ht="15.6" x14ac:dyDescent="0.25">
      <c r="A558" s="111">
        <v>6</v>
      </c>
      <c r="B558" s="112"/>
      <c r="C558" s="59" t="s">
        <v>176</v>
      </c>
      <c r="D558" s="111">
        <f>(39.345+1.05*2.455)*10.764</f>
        <v>451.25648099999995</v>
      </c>
      <c r="E558" s="112"/>
      <c r="F558" s="59">
        <v>0</v>
      </c>
      <c r="G558" s="59">
        <f t="shared" si="68"/>
        <v>722.01036959999999</v>
      </c>
      <c r="H558" s="120"/>
      <c r="I558" s="121"/>
      <c r="J558" s="122"/>
    </row>
    <row r="559" spans="1:15" ht="15.6" x14ac:dyDescent="0.25">
      <c r="A559" s="111">
        <v>7</v>
      </c>
      <c r="B559" s="112"/>
      <c r="C559" s="59" t="s">
        <v>280</v>
      </c>
      <c r="D559" s="111">
        <f>23.81*10.764</f>
        <v>256.29083999999995</v>
      </c>
      <c r="E559" s="112"/>
      <c r="F559" s="59">
        <v>0</v>
      </c>
      <c r="G559" s="59">
        <f t="shared" si="68"/>
        <v>410.06534399999993</v>
      </c>
      <c r="H559" s="120"/>
      <c r="I559" s="121"/>
      <c r="J559" s="122"/>
    </row>
    <row r="560" spans="1:15" ht="15.6" x14ac:dyDescent="0.25">
      <c r="A560" s="111">
        <v>8</v>
      </c>
      <c r="B560" s="112"/>
      <c r="C560" s="59" t="s">
        <v>177</v>
      </c>
      <c r="D560" s="111">
        <f>(65.328+1.05*2.5)*10.764</f>
        <v>731.44609200000002</v>
      </c>
      <c r="E560" s="112"/>
      <c r="F560" s="59">
        <v>0</v>
      </c>
      <c r="G560" s="59">
        <f t="shared" si="68"/>
        <v>1170.3137472000001</v>
      </c>
      <c r="H560" s="120"/>
      <c r="I560" s="121"/>
      <c r="J560" s="122"/>
    </row>
    <row r="561" spans="1:15" ht="15.6" x14ac:dyDescent="0.25">
      <c r="A561" s="111">
        <v>9</v>
      </c>
      <c r="B561" s="112"/>
      <c r="C561" s="59" t="s">
        <v>178</v>
      </c>
      <c r="D561" s="111">
        <f>(112.52+1.075*2.535+1.67*3.365)*10.764</f>
        <v>1300.9873617000001</v>
      </c>
      <c r="E561" s="112"/>
      <c r="F561" s="59">
        <v>0</v>
      </c>
      <c r="G561" s="59">
        <f t="shared" si="68"/>
        <v>2081.5797787200004</v>
      </c>
      <c r="H561" s="120"/>
      <c r="I561" s="121"/>
      <c r="J561" s="122"/>
    </row>
    <row r="562" spans="1:15" ht="15.6" x14ac:dyDescent="0.25">
      <c r="A562" s="152" t="s">
        <v>294</v>
      </c>
      <c r="B562" s="153"/>
      <c r="C562" s="153"/>
      <c r="D562" s="153"/>
      <c r="E562" s="153"/>
      <c r="F562" s="153"/>
      <c r="G562" s="153"/>
      <c r="H562" s="153"/>
      <c r="I562" s="153"/>
      <c r="J562" s="154"/>
    </row>
    <row r="563" spans="1:15" ht="15.6" x14ac:dyDescent="0.25">
      <c r="A563" s="111">
        <v>1</v>
      </c>
      <c r="B563" s="112"/>
      <c r="C563" s="59" t="s">
        <v>280</v>
      </c>
      <c r="D563" s="111">
        <f>29.162*10.764</f>
        <v>313.89976799999999</v>
      </c>
      <c r="E563" s="112"/>
      <c r="F563" s="59">
        <v>0</v>
      </c>
      <c r="G563" s="59">
        <f>D563*1.6+F563</f>
        <v>502.23962879999999</v>
      </c>
      <c r="H563" s="117" t="str">
        <f>A562</f>
        <v>35th to 37th &amp; 40th Floor</v>
      </c>
      <c r="I563" s="118"/>
      <c r="J563" s="119"/>
    </row>
    <row r="564" spans="1:15" ht="15.6" x14ac:dyDescent="0.25">
      <c r="A564" s="111">
        <v>2</v>
      </c>
      <c r="B564" s="112"/>
      <c r="C564" s="59" t="s">
        <v>177</v>
      </c>
      <c r="D564" s="111">
        <f>(66.688+1*2.4856+1.15*3.085)*10.764</f>
        <v>782.77261139999996</v>
      </c>
      <c r="E564" s="112"/>
      <c r="F564" s="59">
        <v>0</v>
      </c>
      <c r="G564" s="59">
        <f t="shared" ref="G564:G570" si="69">D564*1.6+F564</f>
        <v>1252.4361782400001</v>
      </c>
      <c r="H564" s="120"/>
      <c r="I564" s="121"/>
      <c r="J564" s="122"/>
      <c r="K564" s="26">
        <v>1</v>
      </c>
    </row>
    <row r="565" spans="1:15" ht="15.75" customHeight="1" x14ac:dyDescent="0.25">
      <c r="A565" s="111">
        <v>3</v>
      </c>
      <c r="B565" s="112"/>
      <c r="C565" s="59" t="s">
        <v>177</v>
      </c>
      <c r="D565" s="111">
        <f>(66.688+1*2.4856+1.15*3.085)*10.764</f>
        <v>782.77261139999996</v>
      </c>
      <c r="E565" s="112"/>
      <c r="F565" s="59">
        <v>0</v>
      </c>
      <c r="G565" s="59">
        <f t="shared" si="69"/>
        <v>1252.4361782400001</v>
      </c>
      <c r="H565" s="120"/>
      <c r="I565" s="121"/>
      <c r="J565" s="122"/>
    </row>
    <row r="566" spans="1:15" ht="15.6" x14ac:dyDescent="0.25">
      <c r="A566" s="111">
        <v>4</v>
      </c>
      <c r="B566" s="112"/>
      <c r="C566" s="59" t="s">
        <v>280</v>
      </c>
      <c r="D566" s="111">
        <f>29.162*10.764</f>
        <v>313.89976799999999</v>
      </c>
      <c r="E566" s="112"/>
      <c r="F566" s="59">
        <v>0</v>
      </c>
      <c r="G566" s="59">
        <f t="shared" si="69"/>
        <v>502.23962879999999</v>
      </c>
      <c r="H566" s="120"/>
      <c r="I566" s="121"/>
      <c r="J566" s="122"/>
      <c r="L566" s="61">
        <f>25000/1.6</f>
        <v>15625</v>
      </c>
      <c r="M566" s="61">
        <f>150000+5000+5.5*G572*24</f>
        <v>218110.65812480001</v>
      </c>
      <c r="N566" s="61">
        <f>M566/G572</f>
        <v>456.19246776892714</v>
      </c>
      <c r="O566" s="61">
        <f>L566+N566</f>
        <v>16081.192467768928</v>
      </c>
    </row>
    <row r="567" spans="1:15" ht="15.6" x14ac:dyDescent="0.25">
      <c r="A567" s="111">
        <v>5</v>
      </c>
      <c r="B567" s="112"/>
      <c r="C567" s="59" t="s">
        <v>178</v>
      </c>
      <c r="D567" s="111">
        <f>(112.52+1.075*2.535+1.67*3.365)*10.764</f>
        <v>1300.9873617000001</v>
      </c>
      <c r="E567" s="112"/>
      <c r="F567" s="59">
        <v>0</v>
      </c>
      <c r="G567" s="59">
        <f t="shared" si="69"/>
        <v>2081.5797787200004</v>
      </c>
      <c r="H567" s="120"/>
      <c r="I567" s="121"/>
      <c r="J567" s="122"/>
    </row>
    <row r="568" spans="1:15" ht="15.6" x14ac:dyDescent="0.25">
      <c r="A568" s="111">
        <v>6</v>
      </c>
      <c r="B568" s="112"/>
      <c r="C568" s="59" t="s">
        <v>177</v>
      </c>
      <c r="D568" s="111">
        <f>(64.212+1.05*2.455)*10.764</f>
        <v>718.92486899999994</v>
      </c>
      <c r="E568" s="112"/>
      <c r="F568" s="59">
        <v>0</v>
      </c>
      <c r="G568" s="59">
        <f t="shared" si="69"/>
        <v>1150.2797903999999</v>
      </c>
      <c r="H568" s="120"/>
      <c r="I568" s="121"/>
      <c r="J568" s="122"/>
    </row>
    <row r="569" spans="1:15" ht="15.6" x14ac:dyDescent="0.25">
      <c r="A569" s="111">
        <v>7</v>
      </c>
      <c r="B569" s="112"/>
      <c r="C569" s="59" t="s">
        <v>177</v>
      </c>
      <c r="D569" s="111">
        <f>(64.212+1.05*2.455)*10.764</f>
        <v>718.92486899999994</v>
      </c>
      <c r="E569" s="112"/>
      <c r="F569" s="59">
        <v>0</v>
      </c>
      <c r="G569" s="59">
        <f t="shared" si="69"/>
        <v>1150.2797903999999</v>
      </c>
      <c r="H569" s="120"/>
      <c r="I569" s="121"/>
      <c r="J569" s="122"/>
    </row>
    <row r="570" spans="1:15" ht="15.6" x14ac:dyDescent="0.25">
      <c r="A570" s="111">
        <v>8</v>
      </c>
      <c r="B570" s="112"/>
      <c r="C570" s="59" t="s">
        <v>178</v>
      </c>
      <c r="D570" s="111">
        <f>(112.52+1.075*2.535+1.67*3.3)*10.764</f>
        <v>1299.8189295</v>
      </c>
      <c r="E570" s="112"/>
      <c r="F570" s="59">
        <v>0</v>
      </c>
      <c r="G570" s="59">
        <f t="shared" si="69"/>
        <v>2079.7102872</v>
      </c>
      <c r="H570" s="120"/>
      <c r="I570" s="121"/>
      <c r="J570" s="122"/>
    </row>
    <row r="571" spans="1:15" ht="15.6" x14ac:dyDescent="0.25">
      <c r="A571" s="152" t="s">
        <v>292</v>
      </c>
      <c r="B571" s="153"/>
      <c r="C571" s="153"/>
      <c r="D571" s="153"/>
      <c r="E571" s="153"/>
      <c r="F571" s="153"/>
      <c r="G571" s="153"/>
      <c r="H571" s="153"/>
      <c r="I571" s="153"/>
      <c r="J571" s="154"/>
    </row>
    <row r="572" spans="1:15" ht="15.6" x14ac:dyDescent="0.25">
      <c r="A572" s="150">
        <v>1</v>
      </c>
      <c r="B572" s="151"/>
      <c r="C572" s="66" t="s">
        <v>280</v>
      </c>
      <c r="D572" s="150">
        <f>27.761*10.764</f>
        <v>298.81940399999996</v>
      </c>
      <c r="E572" s="151"/>
      <c r="F572" s="59">
        <v>0</v>
      </c>
      <c r="G572" s="59">
        <f t="shared" ref="G572" si="70">D572*1.6+F572</f>
        <v>478.11104639999996</v>
      </c>
      <c r="H572" s="156" t="str">
        <f>A571</f>
        <v>38th (Part Refuge Floor)</v>
      </c>
      <c r="I572" s="157"/>
      <c r="J572" s="158"/>
    </row>
    <row r="573" spans="1:15" ht="15.6" x14ac:dyDescent="0.25">
      <c r="A573" s="150">
        <v>2</v>
      </c>
      <c r="B573" s="151"/>
      <c r="C573" s="150" t="s">
        <v>223</v>
      </c>
      <c r="D573" s="155"/>
      <c r="E573" s="155"/>
      <c r="F573" s="155"/>
      <c r="G573" s="151"/>
      <c r="H573" s="159"/>
      <c r="I573" s="160"/>
      <c r="J573" s="161"/>
      <c r="K573" s="26">
        <v>1</v>
      </c>
    </row>
    <row r="574" spans="1:15" ht="15.75" customHeight="1" x14ac:dyDescent="0.25">
      <c r="A574" s="150">
        <v>3</v>
      </c>
      <c r="B574" s="151"/>
      <c r="C574" s="66" t="s">
        <v>177</v>
      </c>
      <c r="D574" s="150">
        <f>(66.688+1.15*3.085+1*2.4)*10.764</f>
        <v>781.85121299999992</v>
      </c>
      <c r="E574" s="151"/>
      <c r="F574" s="59">
        <v>0</v>
      </c>
      <c r="G574" s="59">
        <f t="shared" ref="G574:G575" si="71">D574*1.6+F574</f>
        <v>1250.9619407999999</v>
      </c>
      <c r="H574" s="159"/>
      <c r="I574" s="160"/>
      <c r="J574" s="161"/>
    </row>
    <row r="575" spans="1:15" ht="15.6" x14ac:dyDescent="0.25">
      <c r="A575" s="150">
        <v>4</v>
      </c>
      <c r="B575" s="151"/>
      <c r="C575" s="66" t="s">
        <v>280</v>
      </c>
      <c r="D575" s="150">
        <f>29.162*10.764</f>
        <v>313.89976799999999</v>
      </c>
      <c r="E575" s="151"/>
      <c r="F575" s="59">
        <v>0</v>
      </c>
      <c r="G575" s="59">
        <f t="shared" si="71"/>
        <v>502.23962879999999</v>
      </c>
      <c r="H575" s="159"/>
      <c r="I575" s="160"/>
      <c r="J575" s="161"/>
      <c r="L575" s="61">
        <f>25000/1.6</f>
        <v>15625</v>
      </c>
      <c r="M575" s="61">
        <f>150000+5000+5.5*G581*24</f>
        <v>221295.63100160001</v>
      </c>
      <c r="N575" s="61">
        <f>M575/G581</f>
        <v>440.61762217039933</v>
      </c>
      <c r="O575" s="61">
        <f>L575+N575</f>
        <v>16065.617622170399</v>
      </c>
    </row>
    <row r="576" spans="1:15" ht="15.6" x14ac:dyDescent="0.25">
      <c r="A576" s="150">
        <v>5</v>
      </c>
      <c r="B576" s="151"/>
      <c r="C576" s="66" t="s">
        <v>178</v>
      </c>
      <c r="D576" s="150">
        <f>(112.52+1.075*2.535+1.67*3.3)*10.764</f>
        <v>1299.8189295</v>
      </c>
      <c r="E576" s="151"/>
      <c r="F576" s="66">
        <v>0</v>
      </c>
      <c r="G576" s="66">
        <f t="shared" ref="G576:G579" si="72">D576*1.6+F576</f>
        <v>2079.7102872</v>
      </c>
      <c r="H576" s="159"/>
      <c r="I576" s="160"/>
      <c r="J576" s="161"/>
    </row>
    <row r="577" spans="1:15" ht="15.6" x14ac:dyDescent="0.25">
      <c r="A577" s="150">
        <v>6</v>
      </c>
      <c r="B577" s="151"/>
      <c r="C577" s="66" t="s">
        <v>177</v>
      </c>
      <c r="D577" s="150">
        <f>(65.328+1.05*2.5+0.75*(3.3+3.25))*10.764</f>
        <v>784.32424199999991</v>
      </c>
      <c r="E577" s="151"/>
      <c r="F577" s="66">
        <v>0</v>
      </c>
      <c r="G577" s="66">
        <f t="shared" si="72"/>
        <v>1254.9187872</v>
      </c>
      <c r="H577" s="159"/>
      <c r="I577" s="160"/>
      <c r="J577" s="161"/>
    </row>
    <row r="578" spans="1:15" ht="15.6" x14ac:dyDescent="0.25">
      <c r="A578" s="150">
        <v>7</v>
      </c>
      <c r="B578" s="151"/>
      <c r="C578" s="66" t="s">
        <v>177</v>
      </c>
      <c r="D578" s="150">
        <f>(65.328+1.05*2.5+0.75*(3.3+3.25))*10.764</f>
        <v>784.32424199999991</v>
      </c>
      <c r="E578" s="151"/>
      <c r="F578" s="66">
        <v>0</v>
      </c>
      <c r="G578" s="66">
        <f t="shared" si="72"/>
        <v>1254.9187872</v>
      </c>
      <c r="H578" s="159"/>
      <c r="I578" s="160"/>
      <c r="J578" s="161"/>
    </row>
    <row r="579" spans="1:15" ht="15.6" x14ac:dyDescent="0.25">
      <c r="A579" s="150">
        <v>8</v>
      </c>
      <c r="B579" s="151"/>
      <c r="C579" s="66" t="s">
        <v>178</v>
      </c>
      <c r="D579" s="150">
        <f>(112.52+1.075*2.535+1.67*3.3)*10.764</f>
        <v>1299.8189295</v>
      </c>
      <c r="E579" s="151"/>
      <c r="F579" s="66">
        <v>0</v>
      </c>
      <c r="G579" s="66">
        <f t="shared" si="72"/>
        <v>2079.7102872</v>
      </c>
      <c r="H579" s="159"/>
      <c r="I579" s="160"/>
      <c r="J579" s="161"/>
    </row>
    <row r="580" spans="1:15" ht="15.6" x14ac:dyDescent="0.25">
      <c r="A580" s="114" t="s">
        <v>291</v>
      </c>
      <c r="B580" s="115"/>
      <c r="C580" s="115"/>
      <c r="D580" s="115"/>
      <c r="E580" s="115"/>
      <c r="F580" s="115"/>
      <c r="G580" s="115"/>
      <c r="H580" s="115"/>
      <c r="I580" s="115"/>
      <c r="J580" s="116"/>
    </row>
    <row r="581" spans="1:15" ht="15.6" x14ac:dyDescent="0.25">
      <c r="A581" s="111">
        <v>1</v>
      </c>
      <c r="B581" s="112"/>
      <c r="C581" s="59" t="s">
        <v>280</v>
      </c>
      <c r="D581" s="111">
        <f>29.162*10.764</f>
        <v>313.89976799999999</v>
      </c>
      <c r="E581" s="112"/>
      <c r="F581" s="59">
        <v>0</v>
      </c>
      <c r="G581" s="59">
        <f>D581*1.6+F581</f>
        <v>502.23962879999999</v>
      </c>
      <c r="H581" s="117" t="str">
        <f>A580</f>
        <v>39th Floor</v>
      </c>
      <c r="I581" s="118"/>
      <c r="J581" s="119"/>
    </row>
    <row r="582" spans="1:15" ht="15.6" x14ac:dyDescent="0.25">
      <c r="A582" s="111">
        <v>2</v>
      </c>
      <c r="B582" s="112"/>
      <c r="C582" s="59" t="s">
        <v>177</v>
      </c>
      <c r="D582" s="111">
        <f>(66.688+1.15*3.085+1*2.4)*10.764</f>
        <v>781.85121299999992</v>
      </c>
      <c r="E582" s="112"/>
      <c r="F582" s="59">
        <v>0</v>
      </c>
      <c r="G582" s="59">
        <f t="shared" ref="G582:G589" si="73">D582*1.6+F582</f>
        <v>1250.9619407999999</v>
      </c>
      <c r="H582" s="120"/>
      <c r="I582" s="121"/>
      <c r="J582" s="122"/>
    </row>
    <row r="583" spans="1:15" ht="15.6" x14ac:dyDescent="0.25">
      <c r="A583" s="111">
        <v>3</v>
      </c>
      <c r="B583" s="112"/>
      <c r="C583" s="59" t="s">
        <v>177</v>
      </c>
      <c r="D583" s="111">
        <f>(66.688+1.15*3.085+1*2.4)*10.764</f>
        <v>781.85121299999992</v>
      </c>
      <c r="E583" s="112"/>
      <c r="F583" s="59">
        <v>0</v>
      </c>
      <c r="G583" s="59">
        <f t="shared" si="73"/>
        <v>1250.9619407999999</v>
      </c>
      <c r="H583" s="120"/>
      <c r="I583" s="121"/>
      <c r="J583" s="122"/>
      <c r="K583" s="26">
        <f>4+4+6+6+6+6+6+6+4+6+8+7*8+5+7*8+5*3+7*7+6*2+6*6+4+7</f>
        <v>302</v>
      </c>
    </row>
    <row r="584" spans="1:15" ht="15.6" x14ac:dyDescent="0.25">
      <c r="A584" s="111">
        <v>4</v>
      </c>
      <c r="B584" s="112"/>
      <c r="C584" s="59" t="s">
        <v>280</v>
      </c>
      <c r="D584" s="111">
        <f>29.162*10.764</f>
        <v>313.89976799999999</v>
      </c>
      <c r="E584" s="112"/>
      <c r="F584" s="59">
        <v>0</v>
      </c>
      <c r="G584" s="59">
        <f t="shared" si="73"/>
        <v>502.23962879999999</v>
      </c>
      <c r="H584" s="120"/>
      <c r="I584" s="121"/>
      <c r="J584" s="122"/>
    </row>
    <row r="585" spans="1:15" ht="15.6" x14ac:dyDescent="0.25">
      <c r="A585" s="111">
        <v>5</v>
      </c>
      <c r="B585" s="112"/>
      <c r="C585" s="59" t="s">
        <v>178</v>
      </c>
      <c r="D585" s="111">
        <f>(112.52+1.075*2.535+1.67*3.365)*10.764</f>
        <v>1300.9873617000001</v>
      </c>
      <c r="E585" s="112"/>
      <c r="F585" s="59">
        <v>0</v>
      </c>
      <c r="G585" s="59">
        <f t="shared" si="73"/>
        <v>2081.5797787200004</v>
      </c>
      <c r="H585" s="120"/>
      <c r="I585" s="121"/>
      <c r="J585" s="122"/>
    </row>
    <row r="586" spans="1:15" ht="15.6" x14ac:dyDescent="0.25">
      <c r="A586" s="111">
        <v>6</v>
      </c>
      <c r="B586" s="112"/>
      <c r="C586" s="59" t="s">
        <v>176</v>
      </c>
      <c r="D586" s="111">
        <f>(40.103+1.05*2.5+0.75*3.325)*10.764</f>
        <v>486.76691699999998</v>
      </c>
      <c r="E586" s="112"/>
      <c r="F586" s="59">
        <v>0</v>
      </c>
      <c r="G586" s="59">
        <f t="shared" si="73"/>
        <v>778.82706719999999</v>
      </c>
      <c r="H586" s="120"/>
      <c r="I586" s="121"/>
      <c r="J586" s="122"/>
    </row>
    <row r="587" spans="1:15" ht="15.6" x14ac:dyDescent="0.25">
      <c r="A587" s="111">
        <v>7</v>
      </c>
      <c r="B587" s="112"/>
      <c r="C587" s="59" t="s">
        <v>280</v>
      </c>
      <c r="D587" s="111">
        <f>(23.81+0.75*3.25)*10.764</f>
        <v>282.52808999999996</v>
      </c>
      <c r="E587" s="112"/>
      <c r="F587" s="59">
        <v>0</v>
      </c>
      <c r="G587" s="59">
        <f t="shared" si="73"/>
        <v>452.04494399999999</v>
      </c>
      <c r="H587" s="120"/>
      <c r="I587" s="121"/>
      <c r="J587" s="122"/>
      <c r="L587" s="61">
        <f>25000/1.6</f>
        <v>15625</v>
      </c>
      <c r="M587" s="61">
        <f>150000+5000+5.5*G593*24</f>
        <v>247413.65893759998</v>
      </c>
      <c r="N587" s="61">
        <f>M587/G593</f>
        <v>353.39584380935617</v>
      </c>
      <c r="O587" s="61">
        <f>L587+N587</f>
        <v>15978.395843809356</v>
      </c>
    </row>
    <row r="588" spans="1:15" ht="15.6" x14ac:dyDescent="0.25">
      <c r="A588" s="111">
        <v>8</v>
      </c>
      <c r="B588" s="112"/>
      <c r="C588" s="59" t="s">
        <v>177</v>
      </c>
      <c r="D588" s="111">
        <f>(65.328+0.75*(3.25+3.325)+1.05*2.505)*10.764</f>
        <v>784.58257800000013</v>
      </c>
      <c r="E588" s="112"/>
      <c r="F588" s="59">
        <v>0</v>
      </c>
      <c r="G588" s="59">
        <f t="shared" si="73"/>
        <v>1255.3321248000002</v>
      </c>
      <c r="H588" s="120"/>
      <c r="I588" s="121"/>
      <c r="J588" s="122"/>
    </row>
    <row r="589" spans="1:15" ht="15.6" x14ac:dyDescent="0.25">
      <c r="A589" s="111">
        <v>9</v>
      </c>
      <c r="B589" s="112"/>
      <c r="C589" s="59" t="s">
        <v>178</v>
      </c>
      <c r="D589" s="111">
        <f>(112.52+1.075*2.535+1.67*3.365)*10.764</f>
        <v>1300.9873617000001</v>
      </c>
      <c r="E589" s="112"/>
      <c r="F589" s="59">
        <v>0</v>
      </c>
      <c r="G589" s="59">
        <f t="shared" si="73"/>
        <v>2081.5797787200004</v>
      </c>
      <c r="H589" s="120"/>
      <c r="I589" s="121"/>
      <c r="J589" s="122"/>
    </row>
    <row r="590" spans="1:15" ht="15.6" x14ac:dyDescent="0.25">
      <c r="A590" s="162" t="s">
        <v>240</v>
      </c>
      <c r="B590" s="163"/>
      <c r="C590" s="163"/>
      <c r="D590" s="163"/>
      <c r="E590" s="163"/>
      <c r="F590" s="163"/>
      <c r="G590" s="163"/>
      <c r="H590" s="163"/>
      <c r="I590" s="163"/>
      <c r="J590" s="164"/>
      <c r="K590" s="26">
        <v>1</v>
      </c>
    </row>
    <row r="591" spans="1:15" ht="15.6" x14ac:dyDescent="0.25">
      <c r="A591" s="114" t="s">
        <v>221</v>
      </c>
      <c r="B591" s="115"/>
      <c r="C591" s="115"/>
      <c r="D591" s="115"/>
      <c r="E591" s="115"/>
      <c r="F591" s="115"/>
      <c r="G591" s="115"/>
      <c r="H591" s="115"/>
      <c r="I591" s="115"/>
      <c r="J591" s="116"/>
    </row>
    <row r="592" spans="1:15" ht="15.6" x14ac:dyDescent="0.25">
      <c r="A592" s="114" t="s">
        <v>222</v>
      </c>
      <c r="B592" s="115"/>
      <c r="C592" s="115"/>
      <c r="D592" s="115"/>
      <c r="E592" s="115"/>
      <c r="F592" s="115"/>
      <c r="G592" s="115"/>
      <c r="H592" s="115"/>
      <c r="I592" s="115"/>
      <c r="J592" s="116"/>
    </row>
    <row r="593" spans="1:11" ht="15.6" x14ac:dyDescent="0.25">
      <c r="A593" s="111">
        <v>3</v>
      </c>
      <c r="B593" s="112"/>
      <c r="C593" s="59" t="s">
        <v>176</v>
      </c>
      <c r="D593" s="111">
        <f>(38.974+1.765*0.95)*10.764</f>
        <v>437.56467299999991</v>
      </c>
      <c r="E593" s="112"/>
      <c r="F593" s="59">
        <v>0</v>
      </c>
      <c r="G593" s="59">
        <f>D593*1.6+F593</f>
        <v>700.10347679999995</v>
      </c>
      <c r="H593" s="117" t="str">
        <f>A592</f>
        <v>Ground Floor for Residential &amp; Parking</v>
      </c>
      <c r="I593" s="118"/>
      <c r="J593" s="119"/>
    </row>
    <row r="594" spans="1:11" ht="15.6" x14ac:dyDescent="0.25">
      <c r="A594" s="111">
        <v>4</v>
      </c>
      <c r="B594" s="112"/>
      <c r="C594" s="59" t="s">
        <v>176</v>
      </c>
      <c r="D594" s="111">
        <f>(38.974+1.765*0.95)*10.764</f>
        <v>437.56467299999991</v>
      </c>
      <c r="E594" s="112"/>
      <c r="F594" s="59">
        <v>0</v>
      </c>
      <c r="G594" s="59">
        <f t="shared" ref="G594:G643" si="74">D594*1.6+F594</f>
        <v>700.10347679999995</v>
      </c>
      <c r="H594" s="120"/>
      <c r="I594" s="121"/>
      <c r="J594" s="122"/>
    </row>
    <row r="595" spans="1:11" ht="15.6" x14ac:dyDescent="0.25">
      <c r="A595" s="111">
        <v>7</v>
      </c>
      <c r="B595" s="112"/>
      <c r="C595" s="59" t="s">
        <v>176</v>
      </c>
      <c r="D595" s="111">
        <f>(41.961+1.765*1)*10.764</f>
        <v>470.66666399999997</v>
      </c>
      <c r="E595" s="112"/>
      <c r="F595" s="59">
        <v>0</v>
      </c>
      <c r="G595" s="59">
        <f t="shared" si="74"/>
        <v>753.06666240000004</v>
      </c>
      <c r="H595" s="120"/>
      <c r="I595" s="121"/>
      <c r="J595" s="122"/>
      <c r="K595" s="26">
        <v>1</v>
      </c>
    </row>
    <row r="596" spans="1:11" ht="15.6" x14ac:dyDescent="0.25">
      <c r="A596" s="111">
        <v>8</v>
      </c>
      <c r="B596" s="112"/>
      <c r="C596" s="59" t="s">
        <v>176</v>
      </c>
      <c r="D596" s="111">
        <f>(43.689+0.965*1)*10.764</f>
        <v>480.65565600000002</v>
      </c>
      <c r="E596" s="112"/>
      <c r="F596" s="59">
        <v>0</v>
      </c>
      <c r="G596" s="59">
        <f t="shared" si="74"/>
        <v>769.0490496000001</v>
      </c>
      <c r="H596" s="123"/>
      <c r="I596" s="124"/>
      <c r="J596" s="125"/>
    </row>
    <row r="597" spans="1:11" ht="15.6" x14ac:dyDescent="0.25">
      <c r="A597" s="114" t="s">
        <v>226</v>
      </c>
      <c r="B597" s="115"/>
      <c r="C597" s="115"/>
      <c r="D597" s="115"/>
      <c r="E597" s="115"/>
      <c r="F597" s="115"/>
      <c r="G597" s="115"/>
      <c r="H597" s="115"/>
      <c r="I597" s="115"/>
      <c r="J597" s="116"/>
    </row>
    <row r="598" spans="1:11" ht="15.6" x14ac:dyDescent="0.25">
      <c r="A598" s="111">
        <v>3</v>
      </c>
      <c r="B598" s="112"/>
      <c r="C598" s="59" t="s">
        <v>176</v>
      </c>
      <c r="D598" s="111">
        <f>(38.974+1.05*2.375)*10.764</f>
        <v>446.35886099999993</v>
      </c>
      <c r="E598" s="112"/>
      <c r="F598" s="59">
        <v>0</v>
      </c>
      <c r="G598" s="59">
        <f t="shared" si="74"/>
        <v>714.17417759999989</v>
      </c>
      <c r="H598" s="117" t="str">
        <f>A597</f>
        <v>1st Floor for Residential &amp; Parking</v>
      </c>
      <c r="I598" s="118"/>
      <c r="J598" s="119"/>
    </row>
    <row r="599" spans="1:11" ht="15.6" x14ac:dyDescent="0.25">
      <c r="A599" s="111">
        <v>4</v>
      </c>
      <c r="B599" s="112"/>
      <c r="C599" s="59" t="s">
        <v>176</v>
      </c>
      <c r="D599" s="111">
        <f>(38.974+1.05*2.375)*10.764</f>
        <v>446.35886099999993</v>
      </c>
      <c r="E599" s="112"/>
      <c r="F599" s="59">
        <v>0</v>
      </c>
      <c r="G599" s="59">
        <f t="shared" si="74"/>
        <v>714.17417759999989</v>
      </c>
      <c r="H599" s="120"/>
      <c r="I599" s="121"/>
      <c r="J599" s="122"/>
    </row>
    <row r="600" spans="1:11" ht="15.6" x14ac:dyDescent="0.25">
      <c r="A600" s="111">
        <v>7</v>
      </c>
      <c r="B600" s="112"/>
      <c r="C600" s="59" t="s">
        <v>176</v>
      </c>
      <c r="D600" s="111">
        <f>(41.961+0.95*2.6)*10.764</f>
        <v>478.25528399999996</v>
      </c>
      <c r="E600" s="112"/>
      <c r="F600" s="59">
        <v>0</v>
      </c>
      <c r="G600" s="59">
        <f t="shared" si="74"/>
        <v>765.20845439999994</v>
      </c>
      <c r="H600" s="120"/>
      <c r="I600" s="121"/>
      <c r="J600" s="122"/>
    </row>
    <row r="601" spans="1:11" ht="15.6" x14ac:dyDescent="0.25">
      <c r="A601" s="111">
        <v>8</v>
      </c>
      <c r="B601" s="112"/>
      <c r="C601" s="59" t="s">
        <v>176</v>
      </c>
      <c r="D601" s="111">
        <f>(43.689+1*0.965)*10.764</f>
        <v>480.65565600000002</v>
      </c>
      <c r="E601" s="112"/>
      <c r="F601" s="59">
        <v>0</v>
      </c>
      <c r="G601" s="59">
        <f t="shared" si="74"/>
        <v>769.0490496000001</v>
      </c>
      <c r="H601" s="123"/>
      <c r="I601" s="124"/>
      <c r="J601" s="125"/>
    </row>
    <row r="602" spans="1:11" ht="15.6" x14ac:dyDescent="0.25">
      <c r="A602" s="114" t="s">
        <v>237</v>
      </c>
      <c r="B602" s="115"/>
      <c r="C602" s="115"/>
      <c r="D602" s="115"/>
      <c r="E602" s="115"/>
      <c r="F602" s="115"/>
      <c r="G602" s="115"/>
      <c r="H602" s="115"/>
      <c r="I602" s="115"/>
      <c r="J602" s="116"/>
      <c r="K602" s="26">
        <v>1</v>
      </c>
    </row>
    <row r="603" spans="1:11" ht="15.6" x14ac:dyDescent="0.25">
      <c r="A603" s="111">
        <v>1</v>
      </c>
      <c r="B603" s="112"/>
      <c r="C603" s="59" t="s">
        <v>177</v>
      </c>
      <c r="D603" s="111">
        <f>(58.892+1.1*1.9)*10.764</f>
        <v>656.41024799999991</v>
      </c>
      <c r="E603" s="112"/>
      <c r="F603" s="59">
        <v>0</v>
      </c>
      <c r="G603" s="59">
        <f t="shared" si="74"/>
        <v>1050.2563967999999</v>
      </c>
      <c r="H603" s="117" t="str">
        <f>A602</f>
        <v>2nd Floor for Residential &amp; Parking</v>
      </c>
      <c r="I603" s="118"/>
      <c r="J603" s="119"/>
    </row>
    <row r="604" spans="1:11" ht="15.6" x14ac:dyDescent="0.25">
      <c r="A604" s="111">
        <v>2</v>
      </c>
      <c r="B604" s="112"/>
      <c r="C604" s="59" t="s">
        <v>177</v>
      </c>
      <c r="D604" s="111">
        <f>(58.892+1.1*1.9)*10.764</f>
        <v>656.41024799999991</v>
      </c>
      <c r="E604" s="112"/>
      <c r="F604" s="59">
        <v>0</v>
      </c>
      <c r="G604" s="59">
        <f t="shared" si="74"/>
        <v>1050.2563967999999</v>
      </c>
      <c r="H604" s="120"/>
      <c r="I604" s="121"/>
      <c r="J604" s="122"/>
    </row>
    <row r="605" spans="1:11" ht="15.6" x14ac:dyDescent="0.25">
      <c r="A605" s="111">
        <v>3</v>
      </c>
      <c r="B605" s="112"/>
      <c r="C605" s="59" t="s">
        <v>176</v>
      </c>
      <c r="D605" s="111">
        <f>(38.974+1.05*1.8)*10.764</f>
        <v>439.86009599999994</v>
      </c>
      <c r="E605" s="112"/>
      <c r="F605" s="59">
        <v>0</v>
      </c>
      <c r="G605" s="59">
        <f t="shared" si="74"/>
        <v>703.77615359999993</v>
      </c>
      <c r="H605" s="120"/>
      <c r="I605" s="121"/>
      <c r="J605" s="122"/>
    </row>
    <row r="606" spans="1:11" ht="15.6" x14ac:dyDescent="0.25">
      <c r="A606" s="111">
        <v>4</v>
      </c>
      <c r="B606" s="112"/>
      <c r="C606" s="59" t="s">
        <v>176</v>
      </c>
      <c r="D606" s="111">
        <f>(38.974+1.05*1.8)*10.764</f>
        <v>439.86009599999994</v>
      </c>
      <c r="E606" s="112"/>
      <c r="F606" s="59">
        <v>0</v>
      </c>
      <c r="G606" s="59">
        <f t="shared" si="74"/>
        <v>703.77615359999993</v>
      </c>
      <c r="H606" s="120"/>
      <c r="I606" s="121"/>
      <c r="J606" s="122"/>
    </row>
    <row r="607" spans="1:11" ht="15.6" x14ac:dyDescent="0.25">
      <c r="A607" s="111">
        <v>7</v>
      </c>
      <c r="B607" s="112"/>
      <c r="C607" s="59" t="s">
        <v>176</v>
      </c>
      <c r="D607" s="111">
        <f>(41.961+0.95*2.3)*10.764</f>
        <v>475.187544</v>
      </c>
      <c r="E607" s="112"/>
      <c r="F607" s="59">
        <v>0</v>
      </c>
      <c r="G607" s="59">
        <f t="shared" si="74"/>
        <v>760.3000704000001</v>
      </c>
      <c r="H607" s="120"/>
      <c r="I607" s="121"/>
      <c r="J607" s="122"/>
    </row>
    <row r="608" spans="1:11" ht="15.6" x14ac:dyDescent="0.25">
      <c r="A608" s="111">
        <v>8</v>
      </c>
      <c r="B608" s="112"/>
      <c r="C608" s="59" t="s">
        <v>176</v>
      </c>
      <c r="D608" s="111">
        <f>(43.689+1.065*0.915)*10.764</f>
        <v>480.75764489999995</v>
      </c>
      <c r="E608" s="112"/>
      <c r="F608" s="59">
        <v>0</v>
      </c>
      <c r="G608" s="59">
        <f t="shared" si="74"/>
        <v>769.21223183999996</v>
      </c>
      <c r="H608" s="123"/>
      <c r="I608" s="124"/>
      <c r="J608" s="125"/>
    </row>
    <row r="609" spans="1:12" ht="15.6" x14ac:dyDescent="0.25">
      <c r="A609" s="114" t="s">
        <v>227</v>
      </c>
      <c r="B609" s="115"/>
      <c r="C609" s="115"/>
      <c r="D609" s="115"/>
      <c r="E609" s="115"/>
      <c r="F609" s="115"/>
      <c r="G609" s="115"/>
      <c r="H609" s="115"/>
      <c r="I609" s="115"/>
      <c r="J609" s="116"/>
      <c r="K609" s="26">
        <v>1</v>
      </c>
    </row>
    <row r="610" spans="1:12" ht="15.6" x14ac:dyDescent="0.25">
      <c r="A610" s="111">
        <v>1</v>
      </c>
      <c r="B610" s="112"/>
      <c r="C610" s="59" t="s">
        <v>177</v>
      </c>
      <c r="D610" s="111">
        <f>(58.892+1.1*1.8)*10.764</f>
        <v>655.22620799999993</v>
      </c>
      <c r="E610" s="112"/>
      <c r="F610" s="59">
        <v>0</v>
      </c>
      <c r="G610" s="59">
        <f t="shared" si="74"/>
        <v>1048.3619328</v>
      </c>
      <c r="H610" s="117" t="str">
        <f>A609</f>
        <v>3rd Floor for Residential &amp; Parking</v>
      </c>
      <c r="I610" s="118"/>
      <c r="J610" s="119"/>
    </row>
    <row r="611" spans="1:12" ht="15.6" x14ac:dyDescent="0.25">
      <c r="A611" s="111">
        <v>2</v>
      </c>
      <c r="B611" s="112"/>
      <c r="C611" s="59" t="s">
        <v>177</v>
      </c>
      <c r="D611" s="111">
        <f>(58.892+1.1*1.8)*10.764</f>
        <v>655.22620799999993</v>
      </c>
      <c r="E611" s="112"/>
      <c r="F611" s="59">
        <v>0</v>
      </c>
      <c r="G611" s="59">
        <f t="shared" si="74"/>
        <v>1048.3619328</v>
      </c>
      <c r="H611" s="120"/>
      <c r="I611" s="121"/>
      <c r="J611" s="122"/>
    </row>
    <row r="612" spans="1:12" ht="15.6" x14ac:dyDescent="0.25">
      <c r="A612" s="111">
        <v>3</v>
      </c>
      <c r="B612" s="112"/>
      <c r="C612" s="59" t="s">
        <v>176</v>
      </c>
      <c r="D612" s="111">
        <f>(38.974+1.05*1.8)*10.764</f>
        <v>439.86009599999994</v>
      </c>
      <c r="E612" s="112"/>
      <c r="F612" s="59">
        <v>0</v>
      </c>
      <c r="G612" s="59">
        <f t="shared" si="74"/>
        <v>703.77615359999993</v>
      </c>
      <c r="H612" s="120"/>
      <c r="I612" s="121"/>
      <c r="J612" s="122"/>
    </row>
    <row r="613" spans="1:12" ht="15.6" x14ac:dyDescent="0.25">
      <c r="A613" s="111">
        <v>4</v>
      </c>
      <c r="B613" s="112"/>
      <c r="C613" s="59" t="s">
        <v>176</v>
      </c>
      <c r="D613" s="111">
        <f>(38.974+1.05*1.8)*10.764</f>
        <v>439.86009599999994</v>
      </c>
      <c r="E613" s="112"/>
      <c r="F613" s="59">
        <v>0</v>
      </c>
      <c r="G613" s="59">
        <f t="shared" si="74"/>
        <v>703.77615359999993</v>
      </c>
      <c r="H613" s="120"/>
      <c r="I613" s="121"/>
      <c r="J613" s="122"/>
    </row>
    <row r="614" spans="1:12" ht="15.6" x14ac:dyDescent="0.25">
      <c r="A614" s="111">
        <v>7</v>
      </c>
      <c r="B614" s="112"/>
      <c r="C614" s="59" t="s">
        <v>176</v>
      </c>
      <c r="D614" s="111">
        <f>(41.961+0.95*2.3)*10.764</f>
        <v>475.187544</v>
      </c>
      <c r="E614" s="112"/>
      <c r="F614" s="59">
        <v>0</v>
      </c>
      <c r="G614" s="59">
        <f t="shared" si="74"/>
        <v>760.3000704000001</v>
      </c>
      <c r="H614" s="120"/>
      <c r="I614" s="121"/>
      <c r="J614" s="122"/>
    </row>
    <row r="615" spans="1:12" ht="15.6" x14ac:dyDescent="0.25">
      <c r="A615" s="111">
        <v>8</v>
      </c>
      <c r="B615" s="112"/>
      <c r="C615" s="59" t="s">
        <v>176</v>
      </c>
      <c r="D615" s="111">
        <f>(43.689+1*0.965)*10.764</f>
        <v>480.65565600000002</v>
      </c>
      <c r="E615" s="112"/>
      <c r="F615" s="59">
        <v>0</v>
      </c>
      <c r="G615" s="59">
        <f t="shared" si="74"/>
        <v>769.0490496000001</v>
      </c>
      <c r="H615" s="123"/>
      <c r="I615" s="124"/>
      <c r="J615" s="125"/>
    </row>
    <row r="616" spans="1:12" ht="15.6" x14ac:dyDescent="0.25">
      <c r="A616" s="114" t="s">
        <v>228</v>
      </c>
      <c r="B616" s="115"/>
      <c r="C616" s="115"/>
      <c r="D616" s="115"/>
      <c r="E616" s="115"/>
      <c r="F616" s="115"/>
      <c r="G616" s="115"/>
      <c r="H616" s="115"/>
      <c r="I616" s="115"/>
      <c r="J616" s="116"/>
      <c r="K616" s="26">
        <v>1</v>
      </c>
    </row>
    <row r="617" spans="1:12" ht="15.6" x14ac:dyDescent="0.25">
      <c r="A617" s="111">
        <v>1</v>
      </c>
      <c r="B617" s="112"/>
      <c r="C617" s="59" t="s">
        <v>177</v>
      </c>
      <c r="D617" s="111">
        <f>(58.892+1.765*1)*10.764</f>
        <v>652.91194800000005</v>
      </c>
      <c r="E617" s="112"/>
      <c r="F617" s="59">
        <v>0</v>
      </c>
      <c r="G617" s="59">
        <f t="shared" si="74"/>
        <v>1044.6591168000002</v>
      </c>
      <c r="H617" s="117" t="str">
        <f>A616</f>
        <v>4th Floor for Residential &amp; Parking</v>
      </c>
      <c r="I617" s="118"/>
      <c r="J617" s="119"/>
    </row>
    <row r="618" spans="1:12" ht="15.6" x14ac:dyDescent="0.25">
      <c r="A618" s="111">
        <v>2</v>
      </c>
      <c r="B618" s="112"/>
      <c r="C618" s="59" t="s">
        <v>177</v>
      </c>
      <c r="D618" s="111">
        <f>(58.892+1.765*1)*10.764</f>
        <v>652.91194800000005</v>
      </c>
      <c r="E618" s="112"/>
      <c r="F618" s="59">
        <v>0</v>
      </c>
      <c r="G618" s="59">
        <f t="shared" si="74"/>
        <v>1044.6591168000002</v>
      </c>
      <c r="H618" s="120"/>
      <c r="I618" s="121"/>
      <c r="J618" s="122"/>
      <c r="K618" s="26">
        <f>16000000/G624</f>
        <v>15316.000925748103</v>
      </c>
    </row>
    <row r="619" spans="1:12" ht="15.6" x14ac:dyDescent="0.25">
      <c r="A619" s="111">
        <v>3</v>
      </c>
      <c r="B619" s="112"/>
      <c r="C619" s="59" t="s">
        <v>176</v>
      </c>
      <c r="D619" s="111">
        <f>(38.974+1.05*1.8)*10.764</f>
        <v>439.86009599999994</v>
      </c>
      <c r="E619" s="112"/>
      <c r="F619" s="59">
        <v>0</v>
      </c>
      <c r="G619" s="59">
        <f t="shared" si="74"/>
        <v>703.77615359999993</v>
      </c>
      <c r="H619" s="120"/>
      <c r="I619" s="121"/>
      <c r="J619" s="122"/>
    </row>
    <row r="620" spans="1:12" ht="15.6" x14ac:dyDescent="0.25">
      <c r="A620" s="111">
        <v>4</v>
      </c>
      <c r="B620" s="112"/>
      <c r="C620" s="59" t="s">
        <v>176</v>
      </c>
      <c r="D620" s="111">
        <f>(38.974+1.05*1.8)*10.764</f>
        <v>439.86009599999994</v>
      </c>
      <c r="E620" s="112"/>
      <c r="F620" s="59">
        <v>0</v>
      </c>
      <c r="G620" s="59">
        <f t="shared" si="74"/>
        <v>703.77615359999993</v>
      </c>
      <c r="H620" s="120"/>
      <c r="I620" s="121"/>
      <c r="J620" s="122"/>
    </row>
    <row r="621" spans="1:12" ht="15.6" x14ac:dyDescent="0.25">
      <c r="A621" s="111">
        <v>7</v>
      </c>
      <c r="B621" s="112"/>
      <c r="C621" s="59" t="s">
        <v>176</v>
      </c>
      <c r="D621" s="111">
        <f>(41.961+0.95*2.1)*10.764</f>
        <v>473.14238399999994</v>
      </c>
      <c r="E621" s="112"/>
      <c r="F621" s="59">
        <v>0</v>
      </c>
      <c r="G621" s="59">
        <f t="shared" si="74"/>
        <v>757.0278143999999</v>
      </c>
      <c r="H621" s="120"/>
      <c r="I621" s="121"/>
      <c r="J621" s="122"/>
    </row>
    <row r="622" spans="1:12" ht="15.6" x14ac:dyDescent="0.25">
      <c r="A622" s="111">
        <v>8</v>
      </c>
      <c r="B622" s="112"/>
      <c r="C622" s="59" t="s">
        <v>176</v>
      </c>
      <c r="D622" s="111">
        <f>(43.689+1.065*1)*10.764</f>
        <v>481.73205599999994</v>
      </c>
      <c r="E622" s="112"/>
      <c r="F622" s="59">
        <v>0</v>
      </c>
      <c r="G622" s="59">
        <f t="shared" si="74"/>
        <v>770.77128959999993</v>
      </c>
      <c r="H622" s="123"/>
      <c r="I622" s="124"/>
      <c r="J622" s="125"/>
    </row>
    <row r="623" spans="1:12" ht="15.6" x14ac:dyDescent="0.25">
      <c r="A623" s="114" t="s">
        <v>229</v>
      </c>
      <c r="B623" s="115"/>
      <c r="C623" s="115"/>
      <c r="D623" s="115"/>
      <c r="E623" s="115"/>
      <c r="F623" s="115"/>
      <c r="G623" s="115"/>
      <c r="H623" s="115"/>
      <c r="I623" s="115"/>
      <c r="J623" s="116"/>
      <c r="K623" s="26">
        <f>12400000/G629</f>
        <v>16123.809016407369</v>
      </c>
      <c r="L623" s="26">
        <v>1</v>
      </c>
    </row>
    <row r="624" spans="1:12" ht="15.6" x14ac:dyDescent="0.25">
      <c r="A624" s="111">
        <v>1</v>
      </c>
      <c r="B624" s="112"/>
      <c r="C624" s="59" t="s">
        <v>177</v>
      </c>
      <c r="D624" s="111">
        <f>(58.892+1.765*1)*10.764</f>
        <v>652.91194800000005</v>
      </c>
      <c r="E624" s="112"/>
      <c r="F624" s="59">
        <v>0</v>
      </c>
      <c r="G624" s="59">
        <f t="shared" si="74"/>
        <v>1044.6591168000002</v>
      </c>
      <c r="H624" s="117" t="str">
        <f>A623</f>
        <v>5th Floor for Residential &amp; Parking</v>
      </c>
      <c r="I624" s="118"/>
      <c r="J624" s="119"/>
    </row>
    <row r="625" spans="1:11" ht="15.6" x14ac:dyDescent="0.25">
      <c r="A625" s="111">
        <v>2</v>
      </c>
      <c r="B625" s="112"/>
      <c r="C625" s="59" t="s">
        <v>177</v>
      </c>
      <c r="D625" s="111">
        <f>(58.892+1.765*1)*10.764</f>
        <v>652.91194800000005</v>
      </c>
      <c r="E625" s="112"/>
      <c r="F625" s="59">
        <v>0</v>
      </c>
      <c r="G625" s="59">
        <f t="shared" si="74"/>
        <v>1044.6591168000002</v>
      </c>
      <c r="H625" s="120"/>
      <c r="I625" s="121"/>
      <c r="J625" s="122"/>
    </row>
    <row r="626" spans="1:11" ht="15.6" x14ac:dyDescent="0.25">
      <c r="A626" s="111">
        <v>3</v>
      </c>
      <c r="B626" s="112"/>
      <c r="C626" s="59" t="s">
        <v>176</v>
      </c>
      <c r="D626" s="111">
        <f>(38.974+1.765*0.95)*10.764</f>
        <v>437.56467299999991</v>
      </c>
      <c r="E626" s="112"/>
      <c r="F626" s="59">
        <v>0</v>
      </c>
      <c r="G626" s="59">
        <f t="shared" si="74"/>
        <v>700.10347679999995</v>
      </c>
      <c r="H626" s="120"/>
      <c r="I626" s="121"/>
      <c r="J626" s="122"/>
    </row>
    <row r="627" spans="1:11" ht="15.6" x14ac:dyDescent="0.25">
      <c r="A627" s="111">
        <v>4</v>
      </c>
      <c r="B627" s="112"/>
      <c r="C627" s="59" t="s">
        <v>176</v>
      </c>
      <c r="D627" s="111">
        <f>(38.974+1.765*0.95)*10.764</f>
        <v>437.56467299999991</v>
      </c>
      <c r="E627" s="112"/>
      <c r="F627" s="59">
        <v>0</v>
      </c>
      <c r="G627" s="59">
        <f t="shared" si="74"/>
        <v>700.10347679999995</v>
      </c>
      <c r="H627" s="120"/>
      <c r="I627" s="121"/>
      <c r="J627" s="122"/>
    </row>
    <row r="628" spans="1:11" ht="15.6" x14ac:dyDescent="0.25">
      <c r="A628" s="111">
        <v>7</v>
      </c>
      <c r="B628" s="112"/>
      <c r="C628" s="59" t="s">
        <v>176</v>
      </c>
      <c r="D628" s="111">
        <f>(41.961+1.765*1)*10.764</f>
        <v>470.66666399999997</v>
      </c>
      <c r="E628" s="112"/>
      <c r="F628" s="59">
        <v>0</v>
      </c>
      <c r="G628" s="59">
        <f t="shared" si="74"/>
        <v>753.06666240000004</v>
      </c>
      <c r="H628" s="120"/>
      <c r="I628" s="121"/>
      <c r="J628" s="122"/>
    </row>
    <row r="629" spans="1:11" ht="15.6" x14ac:dyDescent="0.25">
      <c r="A629" s="111">
        <v>8</v>
      </c>
      <c r="B629" s="112"/>
      <c r="C629" s="59" t="s">
        <v>176</v>
      </c>
      <c r="D629" s="111">
        <f>(43.689+1*0.965)*10.764</f>
        <v>480.65565600000002</v>
      </c>
      <c r="E629" s="112"/>
      <c r="F629" s="59">
        <v>0</v>
      </c>
      <c r="G629" s="59">
        <f t="shared" si="74"/>
        <v>769.0490496000001</v>
      </c>
      <c r="H629" s="123"/>
      <c r="I629" s="124"/>
      <c r="J629" s="125"/>
    </row>
    <row r="630" spans="1:11" ht="15.6" x14ac:dyDescent="0.25">
      <c r="A630" s="114" t="s">
        <v>230</v>
      </c>
      <c r="B630" s="115"/>
      <c r="C630" s="115"/>
      <c r="D630" s="115"/>
      <c r="E630" s="115"/>
      <c r="F630" s="115"/>
      <c r="G630" s="115"/>
      <c r="H630" s="115"/>
      <c r="I630" s="115"/>
      <c r="J630" s="116"/>
      <c r="K630" s="26">
        <v>1</v>
      </c>
    </row>
    <row r="631" spans="1:11" ht="15.6" x14ac:dyDescent="0.25">
      <c r="A631" s="111">
        <v>1</v>
      </c>
      <c r="B631" s="112"/>
      <c r="C631" s="59" t="s">
        <v>177</v>
      </c>
      <c r="D631" s="111">
        <f>(58.892+1.1*1.8)*10.764</f>
        <v>655.22620799999993</v>
      </c>
      <c r="E631" s="112"/>
      <c r="F631" s="59">
        <v>0</v>
      </c>
      <c r="G631" s="59">
        <f t="shared" si="74"/>
        <v>1048.3619328</v>
      </c>
      <c r="H631" s="117" t="str">
        <f>A630</f>
        <v>6th Floor for Residential &amp; Parking</v>
      </c>
      <c r="I631" s="118"/>
      <c r="J631" s="119"/>
    </row>
    <row r="632" spans="1:11" ht="15.6" x14ac:dyDescent="0.25">
      <c r="A632" s="111">
        <v>2</v>
      </c>
      <c r="B632" s="112"/>
      <c r="C632" s="59" t="s">
        <v>177</v>
      </c>
      <c r="D632" s="111">
        <f>(58.892+1.1*1.8)*10.764</f>
        <v>655.22620799999993</v>
      </c>
      <c r="E632" s="112"/>
      <c r="F632" s="59">
        <v>0</v>
      </c>
      <c r="G632" s="59">
        <f t="shared" si="74"/>
        <v>1048.3619328</v>
      </c>
      <c r="H632" s="120"/>
      <c r="I632" s="121"/>
      <c r="J632" s="122"/>
    </row>
    <row r="633" spans="1:11" ht="15.6" x14ac:dyDescent="0.25">
      <c r="A633" s="111">
        <v>3</v>
      </c>
      <c r="B633" s="112"/>
      <c r="C633" s="59" t="s">
        <v>176</v>
      </c>
      <c r="D633" s="111">
        <f>(38.974+1.05*1.8)*10.764</f>
        <v>439.86009599999994</v>
      </c>
      <c r="E633" s="112"/>
      <c r="F633" s="59">
        <v>0</v>
      </c>
      <c r="G633" s="59">
        <f t="shared" si="74"/>
        <v>703.77615359999993</v>
      </c>
      <c r="H633" s="120"/>
      <c r="I633" s="121"/>
      <c r="J633" s="122"/>
    </row>
    <row r="634" spans="1:11" ht="15.6" x14ac:dyDescent="0.25">
      <c r="A634" s="111">
        <v>4</v>
      </c>
      <c r="B634" s="112"/>
      <c r="C634" s="59" t="s">
        <v>176</v>
      </c>
      <c r="D634" s="111">
        <f>(38.974+1.05*1.8)*10.764</f>
        <v>439.86009599999994</v>
      </c>
      <c r="E634" s="112"/>
      <c r="F634" s="59">
        <v>0</v>
      </c>
      <c r="G634" s="59">
        <f t="shared" si="74"/>
        <v>703.77615359999993</v>
      </c>
      <c r="H634" s="120"/>
      <c r="I634" s="121"/>
      <c r="J634" s="122"/>
    </row>
    <row r="635" spans="1:11" ht="15.6" x14ac:dyDescent="0.25">
      <c r="A635" s="111">
        <v>7</v>
      </c>
      <c r="B635" s="112"/>
      <c r="C635" s="59" t="s">
        <v>176</v>
      </c>
      <c r="D635" s="111">
        <f>(41.961+0.95*2.3)*10.764</f>
        <v>475.187544</v>
      </c>
      <c r="E635" s="112"/>
      <c r="F635" s="59">
        <v>0</v>
      </c>
      <c r="G635" s="59">
        <f t="shared" si="74"/>
        <v>760.3000704000001</v>
      </c>
      <c r="H635" s="120"/>
      <c r="I635" s="121"/>
      <c r="J635" s="122"/>
    </row>
    <row r="636" spans="1:11" ht="15.6" x14ac:dyDescent="0.25">
      <c r="A636" s="111">
        <v>8</v>
      </c>
      <c r="B636" s="112"/>
      <c r="C636" s="59" t="s">
        <v>176</v>
      </c>
      <c r="D636" s="111">
        <f>(43.689+1.065*1)*10.764</f>
        <v>481.73205599999994</v>
      </c>
      <c r="E636" s="112"/>
      <c r="F636" s="59">
        <v>0</v>
      </c>
      <c r="G636" s="59">
        <f t="shared" si="74"/>
        <v>770.77128959999993</v>
      </c>
      <c r="H636" s="123"/>
      <c r="I636" s="124"/>
      <c r="J636" s="125"/>
    </row>
    <row r="637" spans="1:11" ht="15.6" x14ac:dyDescent="0.25">
      <c r="A637" s="114" t="s">
        <v>241</v>
      </c>
      <c r="B637" s="115"/>
      <c r="C637" s="115"/>
      <c r="D637" s="115"/>
      <c r="E637" s="115"/>
      <c r="F637" s="115"/>
      <c r="G637" s="115"/>
      <c r="H637" s="115"/>
      <c r="I637" s="115"/>
      <c r="J637" s="116"/>
      <c r="K637" s="26">
        <v>1</v>
      </c>
    </row>
    <row r="638" spans="1:11" ht="15.6" x14ac:dyDescent="0.25">
      <c r="A638" s="111">
        <v>1</v>
      </c>
      <c r="B638" s="112"/>
      <c r="C638" s="59" t="s">
        <v>177</v>
      </c>
      <c r="D638" s="111">
        <f>(58.892+1.1*1.8)*10.764</f>
        <v>655.22620799999993</v>
      </c>
      <c r="E638" s="112"/>
      <c r="F638" s="59">
        <v>0</v>
      </c>
      <c r="G638" s="59">
        <f t="shared" si="74"/>
        <v>1048.3619328</v>
      </c>
      <c r="H638" s="117" t="str">
        <f>A637</f>
        <v>7th Floor For Residential &amp; Parking</v>
      </c>
      <c r="I638" s="118"/>
      <c r="J638" s="119"/>
    </row>
    <row r="639" spans="1:11" ht="15.6" x14ac:dyDescent="0.25">
      <c r="A639" s="111">
        <v>2</v>
      </c>
      <c r="B639" s="112"/>
      <c r="C639" s="59" t="s">
        <v>177</v>
      </c>
      <c r="D639" s="111">
        <f>(58.892+1.1*1.8)*10.764</f>
        <v>655.22620799999993</v>
      </c>
      <c r="E639" s="112"/>
      <c r="F639" s="59">
        <v>0</v>
      </c>
      <c r="G639" s="59">
        <f t="shared" si="74"/>
        <v>1048.3619328</v>
      </c>
      <c r="H639" s="120"/>
      <c r="I639" s="121"/>
      <c r="J639" s="122"/>
    </row>
    <row r="640" spans="1:11" ht="15.6" x14ac:dyDescent="0.25">
      <c r="A640" s="111">
        <v>3</v>
      </c>
      <c r="B640" s="112"/>
      <c r="C640" s="59" t="s">
        <v>176</v>
      </c>
      <c r="D640" s="111">
        <f>(38.974+1.05*1.8)*10.764</f>
        <v>439.86009599999994</v>
      </c>
      <c r="E640" s="112"/>
      <c r="F640" s="59">
        <v>0</v>
      </c>
      <c r="G640" s="59">
        <f t="shared" si="74"/>
        <v>703.77615359999993</v>
      </c>
      <c r="H640" s="120"/>
      <c r="I640" s="121"/>
      <c r="J640" s="122"/>
    </row>
    <row r="641" spans="1:11" ht="15.6" x14ac:dyDescent="0.25">
      <c r="A641" s="111">
        <v>4</v>
      </c>
      <c r="B641" s="112"/>
      <c r="C641" s="59" t="s">
        <v>176</v>
      </c>
      <c r="D641" s="111">
        <f>(38.974+1.05*1.8)*10.764</f>
        <v>439.86009599999994</v>
      </c>
      <c r="E641" s="112"/>
      <c r="F641" s="59">
        <v>0</v>
      </c>
      <c r="G641" s="59">
        <f t="shared" si="74"/>
        <v>703.77615359999993</v>
      </c>
      <c r="H641" s="120"/>
      <c r="I641" s="121"/>
      <c r="J641" s="122"/>
    </row>
    <row r="642" spans="1:11" ht="15.6" x14ac:dyDescent="0.25">
      <c r="A642" s="111">
        <v>7</v>
      </c>
      <c r="B642" s="112"/>
      <c r="C642" s="59" t="s">
        <v>176</v>
      </c>
      <c r="D642" s="111">
        <f>(41.961+0.95*2.1)*10.764</f>
        <v>473.14238399999994</v>
      </c>
      <c r="E642" s="112"/>
      <c r="F642" s="59">
        <v>0</v>
      </c>
      <c r="G642" s="59">
        <f t="shared" si="74"/>
        <v>757.0278143999999</v>
      </c>
      <c r="H642" s="120"/>
      <c r="I642" s="121"/>
      <c r="J642" s="122"/>
    </row>
    <row r="643" spans="1:11" ht="15.6" x14ac:dyDescent="0.25">
      <c r="A643" s="111">
        <v>8</v>
      </c>
      <c r="B643" s="112"/>
      <c r="C643" s="59" t="s">
        <v>176</v>
      </c>
      <c r="D643" s="111">
        <f>(43.689+1.065*1)*10.764</f>
        <v>481.73205599999994</v>
      </c>
      <c r="E643" s="112"/>
      <c r="F643" s="59">
        <v>0</v>
      </c>
      <c r="G643" s="59">
        <f t="shared" si="74"/>
        <v>770.77128959999993</v>
      </c>
      <c r="H643" s="123"/>
      <c r="I643" s="124"/>
      <c r="J643" s="125"/>
    </row>
    <row r="644" spans="1:11" ht="15.6" x14ac:dyDescent="0.25">
      <c r="A644" s="114" t="s">
        <v>236</v>
      </c>
      <c r="B644" s="115"/>
      <c r="C644" s="115"/>
      <c r="D644" s="115"/>
      <c r="E644" s="115"/>
      <c r="F644" s="115"/>
      <c r="G644" s="115"/>
      <c r="H644" s="115"/>
      <c r="I644" s="115"/>
      <c r="J644" s="116"/>
      <c r="K644" s="26">
        <v>1</v>
      </c>
    </row>
    <row r="645" spans="1:11" ht="15.6" x14ac:dyDescent="0.25">
      <c r="A645" s="111">
        <v>1</v>
      </c>
      <c r="B645" s="112"/>
      <c r="C645" s="117" t="s">
        <v>223</v>
      </c>
      <c r="D645" s="118"/>
      <c r="E645" s="118"/>
      <c r="F645" s="118"/>
      <c r="G645" s="119"/>
      <c r="H645" s="117" t="str">
        <f>A644</f>
        <v>8th Floor for Residential &amp; Parking (Part Refuge Area)</v>
      </c>
      <c r="I645" s="118"/>
      <c r="J645" s="119"/>
    </row>
    <row r="646" spans="1:11" ht="15.6" x14ac:dyDescent="0.25">
      <c r="A646" s="111">
        <v>2</v>
      </c>
      <c r="B646" s="112"/>
      <c r="C646" s="123"/>
      <c r="D646" s="124"/>
      <c r="E646" s="124"/>
      <c r="F646" s="124"/>
      <c r="G646" s="125"/>
      <c r="H646" s="120"/>
      <c r="I646" s="121"/>
      <c r="J646" s="122"/>
    </row>
    <row r="647" spans="1:11" ht="15.6" x14ac:dyDescent="0.25">
      <c r="A647" s="111">
        <v>3</v>
      </c>
      <c r="B647" s="112"/>
      <c r="C647" s="59" t="s">
        <v>176</v>
      </c>
      <c r="D647" s="111">
        <f>(38.974+1.05*1.8)*10.764</f>
        <v>439.86009599999994</v>
      </c>
      <c r="E647" s="112"/>
      <c r="F647" s="59">
        <v>0</v>
      </c>
      <c r="G647" s="59">
        <f t="shared" ref="G647:G650" si="75">D647*1.6+F647</f>
        <v>703.77615359999993</v>
      </c>
      <c r="H647" s="120"/>
      <c r="I647" s="121"/>
      <c r="J647" s="122"/>
    </row>
    <row r="648" spans="1:11" ht="15.6" x14ac:dyDescent="0.25">
      <c r="A648" s="111">
        <v>4</v>
      </c>
      <c r="B648" s="112"/>
      <c r="C648" s="59" t="s">
        <v>176</v>
      </c>
      <c r="D648" s="111">
        <f>(38.974+1.05*1.8)*10.764</f>
        <v>439.86009599999994</v>
      </c>
      <c r="E648" s="112"/>
      <c r="F648" s="59">
        <v>0</v>
      </c>
      <c r="G648" s="59">
        <f t="shared" si="75"/>
        <v>703.77615359999993</v>
      </c>
      <c r="H648" s="120"/>
      <c r="I648" s="121"/>
      <c r="J648" s="122"/>
    </row>
    <row r="649" spans="1:11" ht="15.6" x14ac:dyDescent="0.25">
      <c r="A649" s="111">
        <v>7</v>
      </c>
      <c r="B649" s="112"/>
      <c r="C649" s="59" t="s">
        <v>176</v>
      </c>
      <c r="D649" s="111">
        <f>(41.961+0.95*2.1)*10.764</f>
        <v>473.14238399999994</v>
      </c>
      <c r="E649" s="112"/>
      <c r="F649" s="59">
        <v>0</v>
      </c>
      <c r="G649" s="59">
        <f t="shared" si="75"/>
        <v>757.0278143999999</v>
      </c>
      <c r="H649" s="120"/>
      <c r="I649" s="121"/>
      <c r="J649" s="122"/>
    </row>
    <row r="650" spans="1:11" ht="15.6" x14ac:dyDescent="0.25">
      <c r="A650" s="111">
        <v>8</v>
      </c>
      <c r="B650" s="112"/>
      <c r="C650" s="59" t="s">
        <v>176</v>
      </c>
      <c r="D650" s="111">
        <f>(43.689+1*0.965)*10.764</f>
        <v>480.65565600000002</v>
      </c>
      <c r="E650" s="112"/>
      <c r="F650" s="59">
        <v>0</v>
      </c>
      <c r="G650" s="59">
        <f t="shared" si="75"/>
        <v>769.0490496000001</v>
      </c>
      <c r="H650" s="123"/>
      <c r="I650" s="124"/>
      <c r="J650" s="125"/>
    </row>
    <row r="651" spans="1:11" ht="15.6" x14ac:dyDescent="0.25">
      <c r="A651" s="114" t="s">
        <v>235</v>
      </c>
      <c r="B651" s="115"/>
      <c r="C651" s="115"/>
      <c r="D651" s="115"/>
      <c r="E651" s="115"/>
      <c r="F651" s="115"/>
      <c r="G651" s="115"/>
      <c r="H651" s="115"/>
      <c r="I651" s="115"/>
      <c r="J651" s="116"/>
      <c r="K651" s="26">
        <v>1</v>
      </c>
    </row>
    <row r="652" spans="1:11" ht="15.6" x14ac:dyDescent="0.25">
      <c r="A652" s="111">
        <v>1</v>
      </c>
      <c r="B652" s="112"/>
      <c r="C652" s="59" t="s">
        <v>177</v>
      </c>
      <c r="D652" s="111">
        <f>(58.892+1.1*1.8)*10.764</f>
        <v>655.22620799999993</v>
      </c>
      <c r="E652" s="112"/>
      <c r="F652" s="59">
        <v>0</v>
      </c>
      <c r="G652" s="59">
        <f t="shared" ref="G652:G657" si="76">D652*1.6+F652</f>
        <v>1048.3619328</v>
      </c>
      <c r="H652" s="117" t="str">
        <f>A651</f>
        <v>9th Floor for Residential &amp; Parking</v>
      </c>
      <c r="I652" s="118"/>
      <c r="J652" s="119"/>
    </row>
    <row r="653" spans="1:11" ht="15.6" x14ac:dyDescent="0.25">
      <c r="A653" s="111">
        <v>2</v>
      </c>
      <c r="B653" s="112"/>
      <c r="C653" s="59" t="s">
        <v>177</v>
      </c>
      <c r="D653" s="111">
        <f>(58.892+1.1*1.8)*10.764</f>
        <v>655.22620799999993</v>
      </c>
      <c r="E653" s="112"/>
      <c r="F653" s="59">
        <v>0</v>
      </c>
      <c r="G653" s="59">
        <f t="shared" si="76"/>
        <v>1048.3619328</v>
      </c>
      <c r="H653" s="120"/>
      <c r="I653" s="121"/>
      <c r="J653" s="122"/>
    </row>
    <row r="654" spans="1:11" ht="15.6" x14ac:dyDescent="0.25">
      <c r="A654" s="111">
        <v>3</v>
      </c>
      <c r="B654" s="112"/>
      <c r="C654" s="59" t="s">
        <v>176</v>
      </c>
      <c r="D654" s="111">
        <f>(38.974+1.05*1.8)*10.764</f>
        <v>439.86009599999994</v>
      </c>
      <c r="E654" s="112"/>
      <c r="F654" s="59">
        <v>0</v>
      </c>
      <c r="G654" s="59">
        <f t="shared" si="76"/>
        <v>703.77615359999993</v>
      </c>
      <c r="H654" s="120"/>
      <c r="I654" s="121"/>
      <c r="J654" s="122"/>
    </row>
    <row r="655" spans="1:11" ht="15.6" x14ac:dyDescent="0.25">
      <c r="A655" s="111">
        <v>4</v>
      </c>
      <c r="B655" s="112"/>
      <c r="C655" s="59" t="s">
        <v>176</v>
      </c>
      <c r="D655" s="111">
        <f>(38.974+1.05*1.8)*10.764</f>
        <v>439.86009599999994</v>
      </c>
      <c r="E655" s="112"/>
      <c r="F655" s="59">
        <v>0</v>
      </c>
      <c r="G655" s="59">
        <f t="shared" si="76"/>
        <v>703.77615359999993</v>
      </c>
      <c r="H655" s="120"/>
      <c r="I655" s="121"/>
      <c r="J655" s="122"/>
    </row>
    <row r="656" spans="1:11" ht="15.6" x14ac:dyDescent="0.25">
      <c r="A656" s="111">
        <v>7</v>
      </c>
      <c r="B656" s="112"/>
      <c r="C656" s="59" t="s">
        <v>176</v>
      </c>
      <c r="D656" s="111">
        <f>(41.961+0.95*2.1)*10.764</f>
        <v>473.14238399999994</v>
      </c>
      <c r="E656" s="112"/>
      <c r="F656" s="59">
        <v>0</v>
      </c>
      <c r="G656" s="59">
        <f t="shared" si="76"/>
        <v>757.0278143999999</v>
      </c>
      <c r="H656" s="120"/>
      <c r="I656" s="121"/>
      <c r="J656" s="122"/>
    </row>
    <row r="657" spans="1:11" ht="15.6" x14ac:dyDescent="0.25">
      <c r="A657" s="111">
        <v>8</v>
      </c>
      <c r="B657" s="112"/>
      <c r="C657" s="59" t="s">
        <v>176</v>
      </c>
      <c r="D657" s="111">
        <f>(43.689+1*0.965)*10.764</f>
        <v>480.65565600000002</v>
      </c>
      <c r="E657" s="112"/>
      <c r="F657" s="59">
        <v>0</v>
      </c>
      <c r="G657" s="59">
        <f t="shared" si="76"/>
        <v>769.0490496000001</v>
      </c>
      <c r="H657" s="123"/>
      <c r="I657" s="124"/>
      <c r="J657" s="125"/>
    </row>
    <row r="658" spans="1:11" ht="15.6" x14ac:dyDescent="0.25">
      <c r="A658" s="114" t="s">
        <v>234</v>
      </c>
      <c r="B658" s="115"/>
      <c r="C658" s="115"/>
      <c r="D658" s="115"/>
      <c r="E658" s="115"/>
      <c r="F658" s="115"/>
      <c r="G658" s="115"/>
      <c r="H658" s="115"/>
      <c r="I658" s="115"/>
      <c r="J658" s="116"/>
    </row>
    <row r="659" spans="1:11" ht="15.6" x14ac:dyDescent="0.25">
      <c r="A659" s="111">
        <v>1</v>
      </c>
      <c r="B659" s="112"/>
      <c r="C659" s="59" t="s">
        <v>177</v>
      </c>
      <c r="D659" s="111">
        <f>(59.044+1.1*1.8)*10.764</f>
        <v>656.86233599999991</v>
      </c>
      <c r="E659" s="112"/>
      <c r="F659" s="59">
        <v>0</v>
      </c>
      <c r="G659" s="59">
        <f t="shared" ref="G659:G666" si="77">D659*1.6+F659</f>
        <v>1050.9797375999999</v>
      </c>
      <c r="H659" s="117" t="str">
        <f>A658</f>
        <v>10th Floor</v>
      </c>
      <c r="I659" s="118"/>
      <c r="J659" s="119"/>
    </row>
    <row r="660" spans="1:11" ht="15.6" x14ac:dyDescent="0.25">
      <c r="A660" s="111">
        <v>2</v>
      </c>
      <c r="B660" s="112"/>
      <c r="C660" s="59" t="s">
        <v>177</v>
      </c>
      <c r="D660" s="111">
        <f>(59.044+1.1*1.8)*10.764</f>
        <v>656.86233599999991</v>
      </c>
      <c r="E660" s="112"/>
      <c r="F660" s="59">
        <v>0</v>
      </c>
      <c r="G660" s="59">
        <f t="shared" si="77"/>
        <v>1050.9797375999999</v>
      </c>
      <c r="H660" s="120"/>
      <c r="I660" s="121"/>
      <c r="J660" s="122"/>
      <c r="K660" s="26">
        <f>4+4</f>
        <v>8</v>
      </c>
    </row>
    <row r="661" spans="1:11" ht="15.6" x14ac:dyDescent="0.25">
      <c r="A661" s="111">
        <v>3</v>
      </c>
      <c r="B661" s="112"/>
      <c r="C661" s="59" t="s">
        <v>176</v>
      </c>
      <c r="D661" s="111">
        <f>(38.974+1.05*1.8)*10.764</f>
        <v>439.86009599999994</v>
      </c>
      <c r="E661" s="112"/>
      <c r="F661" s="59">
        <v>0</v>
      </c>
      <c r="G661" s="59">
        <f t="shared" si="77"/>
        <v>703.77615359999993</v>
      </c>
      <c r="H661" s="120"/>
      <c r="I661" s="121"/>
      <c r="J661" s="122"/>
    </row>
    <row r="662" spans="1:11" ht="15.6" x14ac:dyDescent="0.25">
      <c r="A662" s="111">
        <v>4</v>
      </c>
      <c r="B662" s="112"/>
      <c r="C662" s="59" t="s">
        <v>176</v>
      </c>
      <c r="D662" s="111">
        <f>(38.974+1.05*1.8)*10.764</f>
        <v>439.86009599999994</v>
      </c>
      <c r="E662" s="112"/>
      <c r="F662" s="59">
        <v>0</v>
      </c>
      <c r="G662" s="59">
        <f t="shared" si="77"/>
        <v>703.77615359999993</v>
      </c>
      <c r="H662" s="120"/>
      <c r="I662" s="121"/>
      <c r="J662" s="122"/>
    </row>
    <row r="663" spans="1:11" ht="15.6" x14ac:dyDescent="0.25">
      <c r="A663" s="111">
        <v>5</v>
      </c>
      <c r="B663" s="112"/>
      <c r="C663" s="59" t="s">
        <v>176</v>
      </c>
      <c r="D663" s="111">
        <f>(47.786+0.95*3.05)*10.764</f>
        <v>545.55719399999998</v>
      </c>
      <c r="E663" s="112"/>
      <c r="F663" s="59">
        <v>0</v>
      </c>
      <c r="G663" s="59">
        <f t="shared" si="77"/>
        <v>872.89151040000002</v>
      </c>
      <c r="H663" s="120"/>
      <c r="I663" s="121"/>
      <c r="J663" s="122"/>
    </row>
    <row r="664" spans="1:11" ht="15.6" x14ac:dyDescent="0.25">
      <c r="A664" s="111">
        <v>6</v>
      </c>
      <c r="B664" s="112"/>
      <c r="C664" s="59" t="s">
        <v>176</v>
      </c>
      <c r="D664" s="111">
        <f>(42.779+1.1*2.2)*10.764</f>
        <v>486.52203600000001</v>
      </c>
      <c r="E664" s="112"/>
      <c r="F664" s="59">
        <v>0</v>
      </c>
      <c r="G664" s="59">
        <f t="shared" si="77"/>
        <v>778.43525760000011</v>
      </c>
      <c r="H664" s="120"/>
      <c r="I664" s="121"/>
      <c r="J664" s="122"/>
    </row>
    <row r="665" spans="1:11" ht="15.6" x14ac:dyDescent="0.25">
      <c r="A665" s="111">
        <v>7</v>
      </c>
      <c r="B665" s="112"/>
      <c r="C665" s="59" t="s">
        <v>176</v>
      </c>
      <c r="D665" s="111">
        <f>(41.961+0.95*2.1)*10.764</f>
        <v>473.14238399999994</v>
      </c>
      <c r="E665" s="112"/>
      <c r="F665" s="59">
        <v>0</v>
      </c>
      <c r="G665" s="59">
        <f t="shared" si="77"/>
        <v>757.0278143999999</v>
      </c>
      <c r="H665" s="120"/>
      <c r="I665" s="121"/>
      <c r="J665" s="122"/>
    </row>
    <row r="666" spans="1:11" ht="15.6" x14ac:dyDescent="0.25">
      <c r="A666" s="111">
        <v>8</v>
      </c>
      <c r="B666" s="112"/>
      <c r="C666" s="59" t="s">
        <v>176</v>
      </c>
      <c r="D666" s="111">
        <f>(43.689+1.3*1)*10.764</f>
        <v>484.26159599999994</v>
      </c>
      <c r="E666" s="112"/>
      <c r="F666" s="59">
        <v>0</v>
      </c>
      <c r="G666" s="59">
        <f t="shared" si="77"/>
        <v>774.81855359999997</v>
      </c>
      <c r="H666" s="123"/>
      <c r="I666" s="124"/>
      <c r="J666" s="125"/>
    </row>
    <row r="667" spans="1:11" ht="15.6" x14ac:dyDescent="0.25">
      <c r="A667" s="114" t="s">
        <v>243</v>
      </c>
      <c r="B667" s="115"/>
      <c r="C667" s="115"/>
      <c r="D667" s="115"/>
      <c r="E667" s="115"/>
      <c r="F667" s="115"/>
      <c r="G667" s="115"/>
      <c r="H667" s="115"/>
      <c r="I667" s="115"/>
      <c r="J667" s="116"/>
    </row>
    <row r="668" spans="1:11" ht="15.6" x14ac:dyDescent="0.25">
      <c r="A668" s="111">
        <v>1</v>
      </c>
      <c r="B668" s="112"/>
      <c r="C668" s="59" t="s">
        <v>177</v>
      </c>
      <c r="D668" s="111">
        <f>(59.043+1.1*1.965)*10.764</f>
        <v>658.80523799999992</v>
      </c>
      <c r="E668" s="112"/>
      <c r="F668" s="59">
        <v>0</v>
      </c>
      <c r="G668" s="59">
        <f t="shared" ref="G668:G674" si="78">D668*1.6+F668</f>
        <v>1054.0883807999999</v>
      </c>
      <c r="H668" s="117" t="str">
        <f>A667</f>
        <v>11th to 14th &amp; 16th to 19th Floor</v>
      </c>
      <c r="I668" s="118"/>
      <c r="J668" s="119"/>
      <c r="K668" s="26">
        <v>1</v>
      </c>
    </row>
    <row r="669" spans="1:11" ht="15.6" x14ac:dyDescent="0.25">
      <c r="A669" s="111">
        <v>2</v>
      </c>
      <c r="B669" s="112"/>
      <c r="C669" s="59" t="s">
        <v>177</v>
      </c>
      <c r="D669" s="111">
        <f>(59.043+1.1*1.965)*10.764</f>
        <v>658.80523799999992</v>
      </c>
      <c r="E669" s="112"/>
      <c r="F669" s="59">
        <v>0</v>
      </c>
      <c r="G669" s="59">
        <f t="shared" si="78"/>
        <v>1054.0883807999999</v>
      </c>
      <c r="H669" s="120"/>
      <c r="I669" s="121"/>
      <c r="J669" s="122"/>
    </row>
    <row r="670" spans="1:11" ht="15.6" x14ac:dyDescent="0.25">
      <c r="A670" s="111">
        <v>3</v>
      </c>
      <c r="B670" s="112"/>
      <c r="C670" s="59" t="s">
        <v>176</v>
      </c>
      <c r="D670" s="111">
        <f>(38.982+1.05*1.8)*10.764</f>
        <v>439.94620799999996</v>
      </c>
      <c r="E670" s="112"/>
      <c r="F670" s="59">
        <v>0</v>
      </c>
      <c r="G670" s="59">
        <f t="shared" si="78"/>
        <v>703.9139328</v>
      </c>
      <c r="H670" s="120"/>
      <c r="I670" s="121"/>
      <c r="J670" s="122"/>
    </row>
    <row r="671" spans="1:11" ht="15.6" x14ac:dyDescent="0.25">
      <c r="A671" s="111">
        <v>4</v>
      </c>
      <c r="B671" s="112"/>
      <c r="C671" s="59" t="s">
        <v>176</v>
      </c>
      <c r="D671" s="111">
        <f>(38.982+1.05*1.8)*10.764</f>
        <v>439.94620799999996</v>
      </c>
      <c r="E671" s="112"/>
      <c r="F671" s="59">
        <v>0</v>
      </c>
      <c r="G671" s="59">
        <f t="shared" si="78"/>
        <v>703.9139328</v>
      </c>
      <c r="H671" s="120"/>
      <c r="I671" s="121"/>
      <c r="J671" s="122"/>
    </row>
    <row r="672" spans="1:11" ht="15.6" x14ac:dyDescent="0.25">
      <c r="A672" s="111">
        <v>5</v>
      </c>
      <c r="B672" s="112"/>
      <c r="C672" s="59" t="s">
        <v>177</v>
      </c>
      <c r="D672" s="111">
        <f>(59.311+1.1*2.2)*10.764</f>
        <v>664.47248400000001</v>
      </c>
      <c r="E672" s="112"/>
      <c r="F672" s="59">
        <v>0</v>
      </c>
      <c r="G672" s="59">
        <f t="shared" si="78"/>
        <v>1063.1559744000001</v>
      </c>
      <c r="H672" s="120"/>
      <c r="I672" s="121"/>
      <c r="J672" s="122"/>
    </row>
    <row r="673" spans="1:20" ht="15.6" x14ac:dyDescent="0.25">
      <c r="A673" s="111">
        <v>6</v>
      </c>
      <c r="B673" s="112"/>
      <c r="C673" s="59" t="s">
        <v>176</v>
      </c>
      <c r="D673" s="111">
        <f>(42.778+1.1*2.1)*10.764</f>
        <v>485.32723199999998</v>
      </c>
      <c r="E673" s="112"/>
      <c r="F673" s="59">
        <v>0</v>
      </c>
      <c r="G673" s="59">
        <f t="shared" si="78"/>
        <v>776.52357119999999</v>
      </c>
      <c r="H673" s="120"/>
      <c r="I673" s="121"/>
      <c r="J673" s="122"/>
    </row>
    <row r="674" spans="1:20" ht="15.6" x14ac:dyDescent="0.25">
      <c r="A674" s="111">
        <v>7</v>
      </c>
      <c r="B674" s="112"/>
      <c r="C674" s="59" t="s">
        <v>178</v>
      </c>
      <c r="D674" s="111">
        <f>(89.875+1.1*2.2+1.4*3.2)*10.764</f>
        <v>1041.6860999999999</v>
      </c>
      <c r="E674" s="112"/>
      <c r="F674" s="59">
        <v>0</v>
      </c>
      <c r="G674" s="59">
        <f t="shared" si="78"/>
        <v>1666.69776</v>
      </c>
      <c r="H674" s="120"/>
      <c r="I674" s="121"/>
      <c r="J674" s="122"/>
    </row>
    <row r="675" spans="1:20" ht="15.6" x14ac:dyDescent="0.25">
      <c r="A675" s="114" t="s">
        <v>231</v>
      </c>
      <c r="B675" s="115"/>
      <c r="C675" s="115"/>
      <c r="D675" s="115"/>
      <c r="E675" s="115"/>
      <c r="F675" s="115"/>
      <c r="G675" s="115"/>
      <c r="H675" s="115"/>
      <c r="I675" s="115"/>
      <c r="J675" s="116"/>
      <c r="K675" s="129"/>
      <c r="L675" s="130"/>
      <c r="M675" s="130"/>
      <c r="N675" s="130"/>
      <c r="O675" s="130"/>
      <c r="P675" s="130"/>
      <c r="Q675" s="130"/>
      <c r="R675" s="130"/>
      <c r="S675" s="130"/>
      <c r="T675" s="131"/>
    </row>
    <row r="676" spans="1:20" ht="15.6" x14ac:dyDescent="0.25">
      <c r="A676" s="111">
        <v>1</v>
      </c>
      <c r="B676" s="112"/>
      <c r="C676" s="117" t="s">
        <v>223</v>
      </c>
      <c r="D676" s="118"/>
      <c r="E676" s="118"/>
      <c r="F676" s="118"/>
      <c r="G676" s="119"/>
      <c r="H676" s="117" t="str">
        <f>A675</f>
        <v>15th Floor (Part Refuge Area)</v>
      </c>
      <c r="I676" s="118"/>
      <c r="J676" s="119"/>
      <c r="K676" s="26">
        <v>8</v>
      </c>
    </row>
    <row r="677" spans="1:20" ht="15.6" x14ac:dyDescent="0.25">
      <c r="A677" s="111">
        <v>2</v>
      </c>
      <c r="B677" s="112"/>
      <c r="C677" s="123"/>
      <c r="D677" s="124"/>
      <c r="E677" s="124"/>
      <c r="F677" s="124"/>
      <c r="G677" s="125"/>
      <c r="H677" s="120"/>
      <c r="I677" s="121"/>
      <c r="J677" s="122"/>
    </row>
    <row r="678" spans="1:20" ht="15.6" x14ac:dyDescent="0.25">
      <c r="A678" s="111">
        <v>3</v>
      </c>
      <c r="B678" s="112"/>
      <c r="C678" s="59" t="s">
        <v>176</v>
      </c>
      <c r="D678" s="111">
        <f>(38.982+1.05*1.8)*10.764</f>
        <v>439.94620799999996</v>
      </c>
      <c r="E678" s="112"/>
      <c r="F678" s="59">
        <v>0</v>
      </c>
      <c r="G678" s="59">
        <f t="shared" ref="G678:G682" si="79">D678*1.6+F678</f>
        <v>703.9139328</v>
      </c>
      <c r="H678" s="120"/>
      <c r="I678" s="121"/>
      <c r="J678" s="122"/>
    </row>
    <row r="679" spans="1:20" ht="15.6" x14ac:dyDescent="0.25">
      <c r="A679" s="111">
        <v>4</v>
      </c>
      <c r="B679" s="112"/>
      <c r="C679" s="59" t="s">
        <v>176</v>
      </c>
      <c r="D679" s="111">
        <f>(38.982+1.05*1.8)*10.764</f>
        <v>439.94620799999996</v>
      </c>
      <c r="E679" s="112"/>
      <c r="F679" s="59">
        <v>0</v>
      </c>
      <c r="G679" s="59">
        <f t="shared" si="79"/>
        <v>703.9139328</v>
      </c>
      <c r="H679" s="120"/>
      <c r="I679" s="121"/>
      <c r="J679" s="122"/>
    </row>
    <row r="680" spans="1:20" ht="15.6" x14ac:dyDescent="0.25">
      <c r="A680" s="111">
        <v>5</v>
      </c>
      <c r="B680" s="112"/>
      <c r="C680" s="59" t="s">
        <v>177</v>
      </c>
      <c r="D680" s="111">
        <f>(59.311+1.1*2.2)*10.764</f>
        <v>664.47248400000001</v>
      </c>
      <c r="E680" s="112"/>
      <c r="F680" s="59">
        <v>0</v>
      </c>
      <c r="G680" s="59">
        <f t="shared" si="79"/>
        <v>1063.1559744000001</v>
      </c>
      <c r="H680" s="120"/>
      <c r="I680" s="121"/>
      <c r="J680" s="122"/>
    </row>
    <row r="681" spans="1:20" ht="15.6" x14ac:dyDescent="0.25">
      <c r="A681" s="111">
        <v>6</v>
      </c>
      <c r="B681" s="112"/>
      <c r="C681" s="59" t="s">
        <v>176</v>
      </c>
      <c r="D681" s="111">
        <f>(42.778+1.1*2.15)*10.764</f>
        <v>485.91925199999997</v>
      </c>
      <c r="E681" s="112"/>
      <c r="F681" s="59">
        <v>0</v>
      </c>
      <c r="G681" s="59">
        <f t="shared" si="79"/>
        <v>777.47080319999998</v>
      </c>
      <c r="H681" s="120"/>
      <c r="I681" s="121"/>
      <c r="J681" s="122"/>
    </row>
    <row r="682" spans="1:20" ht="15.6" x14ac:dyDescent="0.25">
      <c r="A682" s="111">
        <v>7</v>
      </c>
      <c r="B682" s="112"/>
      <c r="C682" s="59" t="s">
        <v>178</v>
      </c>
      <c r="D682" s="111">
        <f>(89.875+1.1*2.2+1.4*3.2)*10.764</f>
        <v>1041.6860999999999</v>
      </c>
      <c r="E682" s="112"/>
      <c r="F682" s="59">
        <v>0</v>
      </c>
      <c r="G682" s="59">
        <f t="shared" si="79"/>
        <v>1666.69776</v>
      </c>
      <c r="H682" s="120"/>
      <c r="I682" s="121"/>
      <c r="J682" s="122"/>
    </row>
    <row r="683" spans="1:20" ht="15.6" x14ac:dyDescent="0.25">
      <c r="A683" s="126" t="s">
        <v>351</v>
      </c>
      <c r="B683" s="127"/>
      <c r="C683" s="127"/>
      <c r="D683" s="127"/>
      <c r="E683" s="127"/>
      <c r="F683" s="127"/>
      <c r="G683" s="127"/>
      <c r="H683" s="127"/>
      <c r="I683" s="127"/>
      <c r="J683" s="128"/>
    </row>
    <row r="684" spans="1:20" ht="15.6" x14ac:dyDescent="0.25">
      <c r="A684" s="111">
        <v>1</v>
      </c>
      <c r="B684" s="112"/>
      <c r="C684" s="59" t="s">
        <v>177</v>
      </c>
      <c r="D684" s="111">
        <f>(59.379+1.1*1.75)*10.764</f>
        <v>659.8762559999999</v>
      </c>
      <c r="E684" s="112"/>
      <c r="F684" s="59">
        <v>0</v>
      </c>
      <c r="G684" s="59">
        <f t="shared" ref="G684:G690" si="80">D684*1.6+F684</f>
        <v>1055.8020095999998</v>
      </c>
      <c r="H684" s="117" t="str">
        <f>A683</f>
        <v>20th, 21st, 23rd to 28th Floor</v>
      </c>
      <c r="I684" s="118"/>
      <c r="J684" s="119"/>
      <c r="K684" s="26">
        <v>3</v>
      </c>
    </row>
    <row r="685" spans="1:20" ht="15.6" x14ac:dyDescent="0.25">
      <c r="A685" s="111">
        <v>2</v>
      </c>
      <c r="B685" s="112"/>
      <c r="C685" s="59" t="s">
        <v>177</v>
      </c>
      <c r="D685" s="111">
        <f>(59.379+1.1*1.75)*10.764</f>
        <v>659.8762559999999</v>
      </c>
      <c r="E685" s="112"/>
      <c r="F685" s="59">
        <v>0</v>
      </c>
      <c r="G685" s="59">
        <f t="shared" si="80"/>
        <v>1055.8020095999998</v>
      </c>
      <c r="H685" s="120"/>
      <c r="I685" s="121"/>
      <c r="J685" s="122"/>
    </row>
    <row r="686" spans="1:20" ht="15.6" x14ac:dyDescent="0.25">
      <c r="A686" s="111">
        <v>3</v>
      </c>
      <c r="B686" s="112"/>
      <c r="C686" s="59" t="s">
        <v>176</v>
      </c>
      <c r="D686" s="111">
        <f>(39.137+1.05*1.7)*10.764</f>
        <v>440.48440799999992</v>
      </c>
      <c r="E686" s="112"/>
      <c r="F686" s="59">
        <v>0</v>
      </c>
      <c r="G686" s="59">
        <f t="shared" si="80"/>
        <v>704.77505279999991</v>
      </c>
      <c r="H686" s="120"/>
      <c r="I686" s="121"/>
      <c r="J686" s="122"/>
    </row>
    <row r="687" spans="1:20" ht="15.6" x14ac:dyDescent="0.25">
      <c r="A687" s="111">
        <v>4</v>
      </c>
      <c r="B687" s="112"/>
      <c r="C687" s="59" t="s">
        <v>176</v>
      </c>
      <c r="D687" s="111">
        <f>(39.137+1.05*1.7)*10.764</f>
        <v>440.48440799999992</v>
      </c>
      <c r="E687" s="112"/>
      <c r="F687" s="59">
        <v>0</v>
      </c>
      <c r="G687" s="59">
        <f t="shared" si="80"/>
        <v>704.77505279999991</v>
      </c>
      <c r="H687" s="120"/>
      <c r="I687" s="121"/>
      <c r="J687" s="122"/>
    </row>
    <row r="688" spans="1:20" ht="15.6" x14ac:dyDescent="0.25">
      <c r="A688" s="111">
        <v>5</v>
      </c>
      <c r="B688" s="112"/>
      <c r="C688" s="59" t="s">
        <v>177</v>
      </c>
      <c r="D688" s="111">
        <f>(59.291+2*1.1)*10.764</f>
        <v>661.88912399999992</v>
      </c>
      <c r="E688" s="112"/>
      <c r="F688" s="59">
        <v>0</v>
      </c>
      <c r="G688" s="59">
        <f t="shared" si="80"/>
        <v>1059.0225983999999</v>
      </c>
      <c r="H688" s="120"/>
      <c r="I688" s="121"/>
      <c r="J688" s="122"/>
    </row>
    <row r="689" spans="1:11" ht="15.6" x14ac:dyDescent="0.25">
      <c r="A689" s="111">
        <v>6</v>
      </c>
      <c r="B689" s="112"/>
      <c r="C689" s="59" t="s">
        <v>176</v>
      </c>
      <c r="D689" s="111">
        <f>(42.865+1.1*2)*10.764</f>
        <v>485.07966000000005</v>
      </c>
      <c r="E689" s="112"/>
      <c r="F689" s="59">
        <v>0</v>
      </c>
      <c r="G689" s="59">
        <f t="shared" si="80"/>
        <v>776.12745600000017</v>
      </c>
      <c r="H689" s="120"/>
      <c r="I689" s="121"/>
      <c r="J689" s="122"/>
    </row>
    <row r="690" spans="1:11" ht="15.6" x14ac:dyDescent="0.25">
      <c r="A690" s="111">
        <v>7</v>
      </c>
      <c r="B690" s="112"/>
      <c r="C690" s="59" t="s">
        <v>178</v>
      </c>
      <c r="D690" s="111">
        <f>(89.872+1.1*2+1.4*3.2)*10.764</f>
        <v>1039.2857280000001</v>
      </c>
      <c r="E690" s="112"/>
      <c r="F690" s="59">
        <v>0</v>
      </c>
      <c r="G690" s="59">
        <f t="shared" si="80"/>
        <v>1662.8571648000002</v>
      </c>
      <c r="H690" s="120"/>
      <c r="I690" s="121"/>
      <c r="J690" s="122"/>
    </row>
    <row r="691" spans="1:11" ht="15.6" x14ac:dyDescent="0.25">
      <c r="A691" s="114" t="s">
        <v>232</v>
      </c>
      <c r="B691" s="115"/>
      <c r="C691" s="115"/>
      <c r="D691" s="115"/>
      <c r="E691" s="115"/>
      <c r="F691" s="115"/>
      <c r="G691" s="115"/>
      <c r="H691" s="115"/>
      <c r="I691" s="115"/>
      <c r="J691" s="116"/>
    </row>
    <row r="692" spans="1:11" ht="15.6" x14ac:dyDescent="0.25">
      <c r="A692" s="111">
        <v>1</v>
      </c>
      <c r="B692" s="112"/>
      <c r="C692" s="117" t="s">
        <v>223</v>
      </c>
      <c r="D692" s="118"/>
      <c r="E692" s="118"/>
      <c r="F692" s="118"/>
      <c r="G692" s="119"/>
      <c r="H692" s="117" t="str">
        <f>A691</f>
        <v>22nd, 29th, 36th Floor (Part Refuge Area)</v>
      </c>
      <c r="I692" s="118"/>
      <c r="J692" s="119"/>
      <c r="K692" s="26">
        <v>7</v>
      </c>
    </row>
    <row r="693" spans="1:11" ht="15.6" x14ac:dyDescent="0.25">
      <c r="A693" s="111">
        <v>2</v>
      </c>
      <c r="B693" s="112"/>
      <c r="C693" s="123"/>
      <c r="D693" s="124"/>
      <c r="E693" s="124"/>
      <c r="F693" s="124"/>
      <c r="G693" s="125"/>
      <c r="H693" s="120"/>
      <c r="I693" s="121"/>
      <c r="J693" s="122"/>
    </row>
    <row r="694" spans="1:11" ht="15.6" x14ac:dyDescent="0.25">
      <c r="A694" s="111">
        <v>3</v>
      </c>
      <c r="B694" s="112"/>
      <c r="C694" s="59" t="s">
        <v>176</v>
      </c>
      <c r="D694" s="111">
        <f>(39.137+1.05*1.7)*10.764</f>
        <v>440.48440799999992</v>
      </c>
      <c r="E694" s="112"/>
      <c r="F694" s="59">
        <v>0</v>
      </c>
      <c r="G694" s="59">
        <f t="shared" ref="G694:G698" si="81">D694*1.6+F694</f>
        <v>704.77505279999991</v>
      </c>
      <c r="H694" s="120"/>
      <c r="I694" s="121"/>
      <c r="J694" s="122"/>
    </row>
    <row r="695" spans="1:11" ht="15.6" x14ac:dyDescent="0.25">
      <c r="A695" s="111">
        <v>4</v>
      </c>
      <c r="B695" s="112"/>
      <c r="C695" s="59" t="s">
        <v>176</v>
      </c>
      <c r="D695" s="111">
        <f>(39.137+1.05*1.7)*10.764</f>
        <v>440.48440799999992</v>
      </c>
      <c r="E695" s="112"/>
      <c r="F695" s="59">
        <v>0</v>
      </c>
      <c r="G695" s="59">
        <f t="shared" si="81"/>
        <v>704.77505279999991</v>
      </c>
      <c r="H695" s="120"/>
      <c r="I695" s="121"/>
      <c r="J695" s="122"/>
    </row>
    <row r="696" spans="1:11" ht="15.6" x14ac:dyDescent="0.25">
      <c r="A696" s="111">
        <v>5</v>
      </c>
      <c r="B696" s="112"/>
      <c r="C696" s="59" t="s">
        <v>177</v>
      </c>
      <c r="D696" s="111">
        <f>(59.291+2*1.1)*10.764</f>
        <v>661.88912399999992</v>
      </c>
      <c r="E696" s="112"/>
      <c r="F696" s="59">
        <v>0</v>
      </c>
      <c r="G696" s="59">
        <f t="shared" si="81"/>
        <v>1059.0225983999999</v>
      </c>
      <c r="H696" s="120"/>
      <c r="I696" s="121"/>
      <c r="J696" s="122"/>
    </row>
    <row r="697" spans="1:11" ht="15.6" x14ac:dyDescent="0.25">
      <c r="A697" s="111">
        <v>6</v>
      </c>
      <c r="B697" s="112"/>
      <c r="C697" s="59" t="s">
        <v>176</v>
      </c>
      <c r="D697" s="111">
        <f>(42.865+1.1*2)*10.764</f>
        <v>485.07966000000005</v>
      </c>
      <c r="E697" s="112"/>
      <c r="F697" s="59">
        <v>0</v>
      </c>
      <c r="G697" s="59">
        <f t="shared" si="81"/>
        <v>776.12745600000017</v>
      </c>
      <c r="H697" s="120"/>
      <c r="I697" s="121"/>
      <c r="J697" s="122"/>
    </row>
    <row r="698" spans="1:11" ht="15.6" x14ac:dyDescent="0.25">
      <c r="A698" s="111">
        <v>7</v>
      </c>
      <c r="B698" s="112"/>
      <c r="C698" s="59" t="s">
        <v>178</v>
      </c>
      <c r="D698" s="111">
        <f>(89.872+1.1*2+1.4*3.2)*10.764</f>
        <v>1039.2857280000001</v>
      </c>
      <c r="E698" s="112"/>
      <c r="F698" s="59">
        <v>0</v>
      </c>
      <c r="G698" s="59">
        <f t="shared" si="81"/>
        <v>1662.8571648000002</v>
      </c>
      <c r="H698" s="120"/>
      <c r="I698" s="121"/>
      <c r="J698" s="122"/>
    </row>
    <row r="699" spans="1:11" ht="15.6" x14ac:dyDescent="0.25">
      <c r="A699" s="126" t="s">
        <v>352</v>
      </c>
      <c r="B699" s="127"/>
      <c r="C699" s="127"/>
      <c r="D699" s="127"/>
      <c r="E699" s="127"/>
      <c r="F699" s="127"/>
      <c r="G699" s="127"/>
      <c r="H699" s="127"/>
      <c r="I699" s="127"/>
      <c r="J699" s="128"/>
    </row>
    <row r="700" spans="1:11" ht="15.6" x14ac:dyDescent="0.25">
      <c r="A700" s="111">
        <v>1</v>
      </c>
      <c r="B700" s="112"/>
      <c r="C700" s="59" t="s">
        <v>177</v>
      </c>
      <c r="D700" s="111">
        <f>(59.379+1.1*1.75)*10.764</f>
        <v>659.8762559999999</v>
      </c>
      <c r="E700" s="112"/>
      <c r="F700" s="59">
        <v>0</v>
      </c>
      <c r="G700" s="59">
        <f t="shared" ref="G700:G706" si="82">D700*1.6+F700</f>
        <v>1055.8020095999998</v>
      </c>
      <c r="H700" s="117" t="str">
        <f>A699</f>
        <v>30th to 35 &amp; 37th Floor</v>
      </c>
      <c r="I700" s="118"/>
      <c r="J700" s="119"/>
      <c r="K700" s="26">
        <v>2</v>
      </c>
    </row>
    <row r="701" spans="1:11" ht="15.6" x14ac:dyDescent="0.25">
      <c r="A701" s="111">
        <v>2</v>
      </c>
      <c r="B701" s="112"/>
      <c r="C701" s="59" t="s">
        <v>177</v>
      </c>
      <c r="D701" s="111">
        <f>(59.379+1.1*1.75)*10.764</f>
        <v>659.8762559999999</v>
      </c>
      <c r="E701" s="112"/>
      <c r="F701" s="59">
        <v>0</v>
      </c>
      <c r="G701" s="59">
        <f t="shared" si="82"/>
        <v>1055.8020095999998</v>
      </c>
      <c r="H701" s="120"/>
      <c r="I701" s="121"/>
      <c r="J701" s="122"/>
    </row>
    <row r="702" spans="1:11" ht="15.6" x14ac:dyDescent="0.25">
      <c r="A702" s="111">
        <v>3</v>
      </c>
      <c r="B702" s="112"/>
      <c r="C702" s="59" t="s">
        <v>176</v>
      </c>
      <c r="D702" s="111">
        <f>(39.137+1.05*1.7)*10.764</f>
        <v>440.48440799999992</v>
      </c>
      <c r="E702" s="112"/>
      <c r="F702" s="59">
        <v>0</v>
      </c>
      <c r="G702" s="59">
        <f t="shared" si="82"/>
        <v>704.77505279999991</v>
      </c>
      <c r="H702" s="120"/>
      <c r="I702" s="121"/>
      <c r="J702" s="122"/>
    </row>
    <row r="703" spans="1:11" ht="15.6" x14ac:dyDescent="0.25">
      <c r="A703" s="111">
        <v>4</v>
      </c>
      <c r="B703" s="112"/>
      <c r="C703" s="59" t="s">
        <v>176</v>
      </c>
      <c r="D703" s="111">
        <f>(39.137+1.05*1.7)*10.764</f>
        <v>440.48440799999992</v>
      </c>
      <c r="E703" s="112"/>
      <c r="F703" s="59">
        <v>0</v>
      </c>
      <c r="G703" s="59">
        <f t="shared" si="82"/>
        <v>704.77505279999991</v>
      </c>
      <c r="H703" s="120"/>
      <c r="I703" s="121"/>
      <c r="J703" s="122"/>
    </row>
    <row r="704" spans="1:11" ht="15.6" x14ac:dyDescent="0.25">
      <c r="A704" s="111">
        <v>5</v>
      </c>
      <c r="B704" s="112"/>
      <c r="C704" s="59" t="s">
        <v>177</v>
      </c>
      <c r="D704" s="111">
        <f>(59.291+2*1.1)*10.764</f>
        <v>661.88912399999992</v>
      </c>
      <c r="E704" s="112"/>
      <c r="F704" s="59">
        <v>0</v>
      </c>
      <c r="G704" s="59">
        <f t="shared" si="82"/>
        <v>1059.0225983999999</v>
      </c>
      <c r="H704" s="120"/>
      <c r="I704" s="121"/>
      <c r="J704" s="122"/>
    </row>
    <row r="705" spans="1:11" ht="15.6" x14ac:dyDescent="0.25">
      <c r="A705" s="111">
        <v>6</v>
      </c>
      <c r="B705" s="112"/>
      <c r="C705" s="59" t="s">
        <v>176</v>
      </c>
      <c r="D705" s="111">
        <f>(42.865+1.1*2)*10.764</f>
        <v>485.07966000000005</v>
      </c>
      <c r="E705" s="112"/>
      <c r="F705" s="59">
        <v>0</v>
      </c>
      <c r="G705" s="59">
        <f t="shared" si="82"/>
        <v>776.12745600000017</v>
      </c>
      <c r="H705" s="120"/>
      <c r="I705" s="121"/>
      <c r="J705" s="122"/>
    </row>
    <row r="706" spans="1:11" ht="15.6" x14ac:dyDescent="0.25">
      <c r="A706" s="111">
        <v>7</v>
      </c>
      <c r="B706" s="112"/>
      <c r="C706" s="59" t="s">
        <v>178</v>
      </c>
      <c r="D706" s="111">
        <f>(89.872+1.1*2+1.4*3.2)*10.764</f>
        <v>1039.2857280000001</v>
      </c>
      <c r="E706" s="112"/>
      <c r="F706" s="59">
        <v>0</v>
      </c>
      <c r="G706" s="59">
        <f t="shared" si="82"/>
        <v>1662.8571648000002</v>
      </c>
      <c r="H706" s="120"/>
      <c r="I706" s="121"/>
      <c r="J706" s="122"/>
    </row>
    <row r="707" spans="1:11" ht="15.6" x14ac:dyDescent="0.25">
      <c r="A707" s="126" t="s">
        <v>353</v>
      </c>
      <c r="B707" s="127"/>
      <c r="C707" s="127"/>
      <c r="D707" s="127"/>
      <c r="E707" s="127"/>
      <c r="F707" s="127"/>
      <c r="G707" s="127"/>
      <c r="H707" s="127"/>
      <c r="I707" s="127"/>
      <c r="J707" s="128"/>
      <c r="K707" s="26">
        <v>6</v>
      </c>
    </row>
    <row r="708" spans="1:11" ht="15.6" x14ac:dyDescent="0.25">
      <c r="A708" s="111" t="s">
        <v>356</v>
      </c>
      <c r="B708" s="112"/>
      <c r="C708" s="59" t="s">
        <v>336</v>
      </c>
      <c r="D708" s="111">
        <f>(122.217+1.1*(1.7+1.7))*10.764</f>
        <v>1355.8011479999998</v>
      </c>
      <c r="E708" s="112"/>
      <c r="F708" s="59">
        <v>0</v>
      </c>
      <c r="G708" s="59">
        <f t="shared" ref="G708:G713" si="83">D708*1.6+F708</f>
        <v>2169.2818367999998</v>
      </c>
      <c r="H708" s="117" t="str">
        <f>A707</f>
        <v>38th &amp; 39th Floor</v>
      </c>
      <c r="I708" s="118"/>
      <c r="J708" s="119"/>
    </row>
    <row r="709" spans="1:11" ht="15.6" x14ac:dyDescent="0.25">
      <c r="A709" s="111">
        <v>3</v>
      </c>
      <c r="B709" s="112"/>
      <c r="C709" s="59" t="s">
        <v>176</v>
      </c>
      <c r="D709" s="111">
        <f>(39.137+1.05*1.7)*10.764</f>
        <v>440.48440799999992</v>
      </c>
      <c r="E709" s="112"/>
      <c r="F709" s="59">
        <v>0</v>
      </c>
      <c r="G709" s="59">
        <f t="shared" si="83"/>
        <v>704.77505279999991</v>
      </c>
      <c r="H709" s="120"/>
      <c r="I709" s="121"/>
      <c r="J709" s="122"/>
    </row>
    <row r="710" spans="1:11" ht="15.6" x14ac:dyDescent="0.25">
      <c r="A710" s="111">
        <v>4</v>
      </c>
      <c r="B710" s="112"/>
      <c r="C710" s="59" t="s">
        <v>176</v>
      </c>
      <c r="D710" s="111">
        <f>(39.137+1.05*1.7)*10.764</f>
        <v>440.48440799999992</v>
      </c>
      <c r="E710" s="112"/>
      <c r="F710" s="59">
        <v>0</v>
      </c>
      <c r="G710" s="59">
        <f t="shared" si="83"/>
        <v>704.77505279999991</v>
      </c>
      <c r="H710" s="120"/>
      <c r="I710" s="121"/>
      <c r="J710" s="122"/>
    </row>
    <row r="711" spans="1:11" ht="15.6" x14ac:dyDescent="0.25">
      <c r="A711" s="111">
        <v>5</v>
      </c>
      <c r="B711" s="112"/>
      <c r="C711" s="59" t="s">
        <v>177</v>
      </c>
      <c r="D711" s="111">
        <f>(59.291+2*1.1)*10.764</f>
        <v>661.88912399999992</v>
      </c>
      <c r="E711" s="112"/>
      <c r="F711" s="59">
        <v>0</v>
      </c>
      <c r="G711" s="59">
        <f t="shared" si="83"/>
        <v>1059.0225983999999</v>
      </c>
      <c r="H711" s="120"/>
      <c r="I711" s="121"/>
      <c r="J711" s="122"/>
    </row>
    <row r="712" spans="1:11" ht="15.6" x14ac:dyDescent="0.25">
      <c r="A712" s="111">
        <v>6</v>
      </c>
      <c r="B712" s="112"/>
      <c r="C712" s="59" t="s">
        <v>176</v>
      </c>
      <c r="D712" s="111">
        <f>(42.865+1.1*2)*10.764</f>
        <v>485.07966000000005</v>
      </c>
      <c r="E712" s="112"/>
      <c r="F712" s="59">
        <v>0</v>
      </c>
      <c r="G712" s="59">
        <f t="shared" si="83"/>
        <v>776.12745600000017</v>
      </c>
      <c r="H712" s="120"/>
      <c r="I712" s="121"/>
      <c r="J712" s="122"/>
    </row>
    <row r="713" spans="1:11" ht="15.6" x14ac:dyDescent="0.25">
      <c r="A713" s="111">
        <v>7</v>
      </c>
      <c r="B713" s="112"/>
      <c r="C713" s="59" t="s">
        <v>178</v>
      </c>
      <c r="D713" s="111">
        <f>(89.872+1.1*2+1.4*3.2)*10.764</f>
        <v>1039.2857280000001</v>
      </c>
      <c r="E713" s="112"/>
      <c r="F713" s="59">
        <v>0</v>
      </c>
      <c r="G713" s="59">
        <f t="shared" si="83"/>
        <v>1662.8571648000002</v>
      </c>
      <c r="H713" s="120"/>
      <c r="I713" s="121"/>
      <c r="J713" s="122"/>
      <c r="K713" s="26">
        <v>1</v>
      </c>
    </row>
    <row r="714" spans="1:11" ht="15.6" x14ac:dyDescent="0.25">
      <c r="A714" s="126" t="s">
        <v>354</v>
      </c>
      <c r="B714" s="127"/>
      <c r="C714" s="127"/>
      <c r="D714" s="127"/>
      <c r="E714" s="127"/>
      <c r="F714" s="127"/>
      <c r="G714" s="127"/>
      <c r="H714" s="127"/>
      <c r="I714" s="127"/>
      <c r="J714" s="128"/>
    </row>
    <row r="715" spans="1:11" ht="15.6" x14ac:dyDescent="0.25">
      <c r="A715" s="111" t="s">
        <v>356</v>
      </c>
      <c r="B715" s="112"/>
      <c r="C715" s="59" t="s">
        <v>336</v>
      </c>
      <c r="D715" s="111">
        <f>(122.217+1.1*(1.7+1.7))*10.764</f>
        <v>1355.8011479999998</v>
      </c>
      <c r="E715" s="112"/>
      <c r="F715" s="59">
        <v>0</v>
      </c>
      <c r="G715" s="59">
        <f t="shared" ref="G715:G719" si="84">D715*1.6+F715</f>
        <v>2169.2818367999998</v>
      </c>
      <c r="H715" s="117" t="str">
        <f>A714</f>
        <v>40th to 42nd, 44th, 46th &amp; 47th Floor</v>
      </c>
      <c r="I715" s="118"/>
      <c r="J715" s="119"/>
    </row>
    <row r="716" spans="1:11" ht="15.6" x14ac:dyDescent="0.25">
      <c r="A716" s="111" t="s">
        <v>357</v>
      </c>
      <c r="B716" s="112"/>
      <c r="C716" s="59" t="s">
        <v>178</v>
      </c>
      <c r="D716" s="111">
        <f>(83.678+2.125*1.05)*10.764</f>
        <v>924.72716699999989</v>
      </c>
      <c r="E716" s="112"/>
      <c r="F716" s="59">
        <v>0</v>
      </c>
      <c r="G716" s="59">
        <f t="shared" si="84"/>
        <v>1479.5634671999999</v>
      </c>
      <c r="H716" s="120"/>
      <c r="I716" s="121"/>
      <c r="J716" s="122"/>
    </row>
    <row r="717" spans="1:11" ht="15.6" x14ac:dyDescent="0.25">
      <c r="A717" s="111">
        <v>5</v>
      </c>
      <c r="B717" s="112"/>
      <c r="C717" s="59" t="s">
        <v>177</v>
      </c>
      <c r="D717" s="111">
        <f>(59.291+2*1.1)*10.764</f>
        <v>661.88912399999992</v>
      </c>
      <c r="E717" s="112"/>
      <c r="F717" s="59">
        <v>0</v>
      </c>
      <c r="G717" s="59">
        <f t="shared" si="84"/>
        <v>1059.0225983999999</v>
      </c>
      <c r="H717" s="120"/>
      <c r="I717" s="121"/>
      <c r="J717" s="122"/>
    </row>
    <row r="718" spans="1:11" ht="15.6" x14ac:dyDescent="0.25">
      <c r="A718" s="111">
        <v>6</v>
      </c>
      <c r="B718" s="112"/>
      <c r="C718" s="59" t="s">
        <v>176</v>
      </c>
      <c r="D718" s="111">
        <f>(42.865+1.1*2)*10.764</f>
        <v>485.07966000000005</v>
      </c>
      <c r="E718" s="112"/>
      <c r="F718" s="59">
        <v>0</v>
      </c>
      <c r="G718" s="59">
        <f t="shared" si="84"/>
        <v>776.12745600000017</v>
      </c>
      <c r="H718" s="120"/>
      <c r="I718" s="121"/>
      <c r="J718" s="122"/>
    </row>
    <row r="719" spans="1:11" ht="15.6" x14ac:dyDescent="0.25">
      <c r="A719" s="111">
        <v>7</v>
      </c>
      <c r="B719" s="112"/>
      <c r="C719" s="59" t="s">
        <v>178</v>
      </c>
      <c r="D719" s="111">
        <f>(89.872+1.1*2+1.4*3.2)*10.764</f>
        <v>1039.2857280000001</v>
      </c>
      <c r="E719" s="112"/>
      <c r="F719" s="59">
        <v>0</v>
      </c>
      <c r="G719" s="59">
        <f t="shared" si="84"/>
        <v>1662.8571648000002</v>
      </c>
      <c r="H719" s="120"/>
      <c r="I719" s="121"/>
      <c r="J719" s="122"/>
    </row>
    <row r="720" spans="1:11" ht="15.6" x14ac:dyDescent="0.25">
      <c r="A720" s="114" t="s">
        <v>233</v>
      </c>
      <c r="B720" s="115"/>
      <c r="C720" s="115"/>
      <c r="D720" s="115"/>
      <c r="E720" s="115"/>
      <c r="F720" s="115"/>
      <c r="G720" s="115"/>
      <c r="H720" s="115"/>
      <c r="I720" s="115"/>
      <c r="J720" s="116"/>
      <c r="K720" s="26">
        <v>1</v>
      </c>
    </row>
    <row r="721" spans="1:11" ht="15.6" x14ac:dyDescent="0.25">
      <c r="A721" s="111">
        <v>1</v>
      </c>
      <c r="B721" s="112"/>
      <c r="C721" s="117" t="s">
        <v>223</v>
      </c>
      <c r="D721" s="118"/>
      <c r="E721" s="118"/>
      <c r="F721" s="118"/>
      <c r="G721" s="119"/>
      <c r="H721" s="117" t="str">
        <f>A720</f>
        <v>43rd Floor (Part Refuge Area)</v>
      </c>
      <c r="I721" s="118"/>
      <c r="J721" s="119"/>
    </row>
    <row r="722" spans="1:11" ht="15.6" x14ac:dyDescent="0.25">
      <c r="A722" s="111">
        <v>2</v>
      </c>
      <c r="B722" s="112"/>
      <c r="C722" s="123"/>
      <c r="D722" s="124"/>
      <c r="E722" s="124"/>
      <c r="F722" s="124"/>
      <c r="G722" s="125"/>
      <c r="H722" s="120"/>
      <c r="I722" s="121"/>
      <c r="J722" s="122"/>
    </row>
    <row r="723" spans="1:11" ht="15.6" x14ac:dyDescent="0.25">
      <c r="A723" s="111" t="s">
        <v>357</v>
      </c>
      <c r="B723" s="112"/>
      <c r="C723" s="59" t="s">
        <v>178</v>
      </c>
      <c r="D723" s="111">
        <f>(83.678+2.125*1.05)*10.764</f>
        <v>924.72716699999989</v>
      </c>
      <c r="E723" s="112"/>
      <c r="F723" s="59">
        <v>0</v>
      </c>
      <c r="G723" s="59">
        <f t="shared" ref="G723:G726" si="85">D723*1.6+F723</f>
        <v>1479.5634671999999</v>
      </c>
      <c r="H723" s="120"/>
      <c r="I723" s="121"/>
      <c r="J723" s="122"/>
    </row>
    <row r="724" spans="1:11" ht="15.6" x14ac:dyDescent="0.25">
      <c r="A724" s="111">
        <v>5</v>
      </c>
      <c r="B724" s="112"/>
      <c r="C724" s="59" t="s">
        <v>177</v>
      </c>
      <c r="D724" s="111">
        <f>(59.321+1.1*2.4)*10.764</f>
        <v>666.94820399999992</v>
      </c>
      <c r="E724" s="112"/>
      <c r="F724" s="59">
        <v>0</v>
      </c>
      <c r="G724" s="59">
        <f t="shared" si="85"/>
        <v>1067.1171264</v>
      </c>
      <c r="H724" s="120"/>
      <c r="I724" s="121"/>
      <c r="J724" s="122"/>
    </row>
    <row r="725" spans="1:11" ht="15.6" x14ac:dyDescent="0.25">
      <c r="A725" s="111">
        <v>6</v>
      </c>
      <c r="B725" s="112"/>
      <c r="C725" s="59" t="s">
        <v>176</v>
      </c>
      <c r="D725" s="111">
        <f>(42.781+1.1*2.2)*10.764</f>
        <v>486.543564</v>
      </c>
      <c r="E725" s="112"/>
      <c r="F725" s="59">
        <v>0</v>
      </c>
      <c r="G725" s="59">
        <f t="shared" si="85"/>
        <v>778.46970240000007</v>
      </c>
      <c r="H725" s="120"/>
      <c r="I725" s="121"/>
      <c r="J725" s="122"/>
    </row>
    <row r="726" spans="1:11" ht="15.6" x14ac:dyDescent="0.25">
      <c r="A726" s="111">
        <v>7</v>
      </c>
      <c r="B726" s="112"/>
      <c r="C726" s="59" t="s">
        <v>178</v>
      </c>
      <c r="D726" s="111">
        <f>(89.88+1.1*2.2+1.4*3.2)*10.764</f>
        <v>1041.73992</v>
      </c>
      <c r="E726" s="112"/>
      <c r="F726" s="59">
        <v>0</v>
      </c>
      <c r="G726" s="59">
        <f t="shared" si="85"/>
        <v>1666.783872</v>
      </c>
      <c r="H726" s="120"/>
      <c r="I726" s="121"/>
      <c r="J726" s="122"/>
    </row>
    <row r="727" spans="1:11" ht="15.6" x14ac:dyDescent="0.25">
      <c r="A727" s="126" t="s">
        <v>355</v>
      </c>
      <c r="B727" s="127"/>
      <c r="C727" s="127"/>
      <c r="D727" s="127"/>
      <c r="E727" s="127"/>
      <c r="F727" s="127"/>
      <c r="G727" s="127"/>
      <c r="H727" s="127"/>
      <c r="I727" s="127"/>
      <c r="J727" s="128"/>
      <c r="K727" s="26">
        <f>3+6+8+8*6+6*2+7*9+7*5+5+8*3+6+8*12+6+7</f>
        <v>319</v>
      </c>
    </row>
    <row r="728" spans="1:11" ht="15.6" x14ac:dyDescent="0.25">
      <c r="A728" s="111">
        <v>1</v>
      </c>
      <c r="B728" s="112"/>
      <c r="C728" s="59" t="s">
        <v>177</v>
      </c>
      <c r="D728" s="377">
        <f>(59.379+1.1*1.75)*10.764</f>
        <v>659.8762559999999</v>
      </c>
      <c r="E728" s="378"/>
      <c r="F728" s="59">
        <v>0</v>
      </c>
      <c r="G728" s="59">
        <f t="shared" ref="G728:G733" si="86">D728*1.6+F728</f>
        <v>1055.8020095999998</v>
      </c>
      <c r="H728" s="117" t="str">
        <f>A727</f>
        <v>45th Floor</v>
      </c>
      <c r="I728" s="118"/>
      <c r="J728" s="119"/>
    </row>
    <row r="729" spans="1:11" ht="15.6" x14ac:dyDescent="0.25">
      <c r="A729" s="111">
        <v>2</v>
      </c>
      <c r="B729" s="112"/>
      <c r="C729" s="59" t="s">
        <v>177</v>
      </c>
      <c r="D729" s="377">
        <f>(59.379+1.1*1.75)*10.764</f>
        <v>659.8762559999999</v>
      </c>
      <c r="E729" s="378"/>
      <c r="F729" s="59">
        <v>0</v>
      </c>
      <c r="G729" s="59">
        <f t="shared" si="86"/>
        <v>1055.8020095999998</v>
      </c>
      <c r="H729" s="120"/>
      <c r="I729" s="121"/>
      <c r="J729" s="122"/>
    </row>
    <row r="730" spans="1:11" ht="15.6" x14ac:dyDescent="0.25">
      <c r="A730" s="111" t="s">
        <v>357</v>
      </c>
      <c r="B730" s="112"/>
      <c r="C730" s="59" t="s">
        <v>178</v>
      </c>
      <c r="D730" s="111">
        <f>(83.678+2.125*1.05)*10.764</f>
        <v>924.72716699999989</v>
      </c>
      <c r="E730" s="112"/>
      <c r="F730" s="59">
        <v>0</v>
      </c>
      <c r="G730" s="59">
        <f t="shared" si="86"/>
        <v>1479.5634671999999</v>
      </c>
      <c r="H730" s="120"/>
      <c r="I730" s="121"/>
      <c r="J730" s="122"/>
    </row>
    <row r="731" spans="1:11" ht="15.6" x14ac:dyDescent="0.25">
      <c r="A731" s="111">
        <v>5</v>
      </c>
      <c r="B731" s="112"/>
      <c r="C731" s="59" t="s">
        <v>177</v>
      </c>
      <c r="D731" s="111">
        <f>(59.291+2*1.1)*10.764</f>
        <v>661.88912399999992</v>
      </c>
      <c r="E731" s="112"/>
      <c r="F731" s="59">
        <v>0</v>
      </c>
      <c r="G731" s="59">
        <f t="shared" si="86"/>
        <v>1059.0225983999999</v>
      </c>
      <c r="H731" s="120"/>
      <c r="I731" s="121"/>
      <c r="J731" s="122"/>
    </row>
    <row r="732" spans="1:11" ht="15.6" x14ac:dyDescent="0.25">
      <c r="A732" s="111">
        <v>6</v>
      </c>
      <c r="B732" s="112"/>
      <c r="C732" s="59" t="s">
        <v>176</v>
      </c>
      <c r="D732" s="111">
        <f>(42.865+1.1*2)*10.764</f>
        <v>485.07966000000005</v>
      </c>
      <c r="E732" s="112"/>
      <c r="F732" s="59">
        <v>0</v>
      </c>
      <c r="G732" s="59">
        <f t="shared" si="86"/>
        <v>776.12745600000017</v>
      </c>
      <c r="H732" s="120"/>
      <c r="I732" s="121"/>
      <c r="J732" s="122"/>
    </row>
    <row r="733" spans="1:11" ht="15.6" x14ac:dyDescent="0.25">
      <c r="A733" s="111">
        <v>7</v>
      </c>
      <c r="B733" s="112"/>
      <c r="C733" s="59" t="s">
        <v>178</v>
      </c>
      <c r="D733" s="111">
        <f>(89.872+1.1*2+1.4*3.2)*10.764</f>
        <v>1039.2857280000001</v>
      </c>
      <c r="E733" s="112"/>
      <c r="F733" s="59">
        <v>0</v>
      </c>
      <c r="G733" s="59">
        <f t="shared" si="86"/>
        <v>1662.8571648000002</v>
      </c>
      <c r="H733" s="120"/>
      <c r="I733" s="121"/>
      <c r="J733" s="122"/>
      <c r="K733" s="26">
        <v>1</v>
      </c>
    </row>
    <row r="734" spans="1:11" ht="15.75" customHeight="1" x14ac:dyDescent="0.25">
      <c r="A734" s="162" t="s">
        <v>402</v>
      </c>
      <c r="B734" s="163"/>
      <c r="C734" s="163"/>
      <c r="D734" s="163"/>
      <c r="E734" s="163"/>
      <c r="F734" s="163"/>
      <c r="G734" s="163"/>
      <c r="H734" s="163"/>
      <c r="I734" s="163"/>
      <c r="J734" s="164"/>
    </row>
    <row r="735" spans="1:11" ht="15.6" x14ac:dyDescent="0.25">
      <c r="A735" s="114" t="s">
        <v>221</v>
      </c>
      <c r="B735" s="115"/>
      <c r="C735" s="115"/>
      <c r="D735" s="115"/>
      <c r="E735" s="115"/>
      <c r="F735" s="115"/>
      <c r="G735" s="115"/>
      <c r="H735" s="115"/>
      <c r="I735" s="115"/>
      <c r="J735" s="116"/>
    </row>
    <row r="736" spans="1:11" ht="15.6" x14ac:dyDescent="0.25">
      <c r="A736" s="114" t="s">
        <v>222</v>
      </c>
      <c r="B736" s="115"/>
      <c r="C736" s="115"/>
      <c r="D736" s="115"/>
      <c r="E736" s="115"/>
      <c r="F736" s="115"/>
      <c r="G736" s="115"/>
      <c r="H736" s="115"/>
      <c r="I736" s="115"/>
      <c r="J736" s="116"/>
    </row>
    <row r="737" spans="1:11" ht="15.6" x14ac:dyDescent="0.25">
      <c r="A737" s="111">
        <v>3</v>
      </c>
      <c r="B737" s="112"/>
      <c r="C737" s="59" t="s">
        <v>177</v>
      </c>
      <c r="D737" s="111">
        <f>(52.396+3.05*0.825+2.075*0.6)*10.764</f>
        <v>604.47663899999998</v>
      </c>
      <c r="E737" s="112"/>
      <c r="F737" s="59">
        <v>0</v>
      </c>
      <c r="G737" s="59">
        <f t="shared" ref="G737:G739" si="87">D737*1.6+F737</f>
        <v>967.16262240000003</v>
      </c>
      <c r="H737" s="117" t="str">
        <f>A736</f>
        <v>Ground Floor for Residential &amp; Parking</v>
      </c>
      <c r="I737" s="118"/>
      <c r="J737" s="119"/>
    </row>
    <row r="738" spans="1:11" ht="15.6" x14ac:dyDescent="0.25">
      <c r="A738" s="111">
        <v>5</v>
      </c>
      <c r="B738" s="112"/>
      <c r="C738" s="59" t="s">
        <v>177</v>
      </c>
      <c r="D738" s="111">
        <f>(51.907+2.125*0.6)*10.764</f>
        <v>572.4510479999999</v>
      </c>
      <c r="E738" s="112"/>
      <c r="F738" s="59">
        <v>0</v>
      </c>
      <c r="G738" s="59">
        <f t="shared" si="87"/>
        <v>915.92167679999989</v>
      </c>
      <c r="H738" s="120"/>
      <c r="I738" s="121"/>
      <c r="J738" s="122"/>
    </row>
    <row r="739" spans="1:11" ht="15.6" x14ac:dyDescent="0.25">
      <c r="A739" s="111">
        <v>6</v>
      </c>
      <c r="B739" s="112"/>
      <c r="C739" s="59" t="s">
        <v>177</v>
      </c>
      <c r="D739" s="111">
        <f>(43.72)*10.765</f>
        <v>470.64580000000001</v>
      </c>
      <c r="E739" s="112"/>
      <c r="F739" s="59">
        <v>0</v>
      </c>
      <c r="G739" s="59">
        <f t="shared" si="87"/>
        <v>753.0332800000001</v>
      </c>
      <c r="H739" s="123"/>
      <c r="I739" s="124"/>
      <c r="J739" s="125"/>
    </row>
    <row r="740" spans="1:11" ht="15.6" x14ac:dyDescent="0.25">
      <c r="A740" s="114" t="s">
        <v>300</v>
      </c>
      <c r="B740" s="115"/>
      <c r="C740" s="115"/>
      <c r="D740" s="115"/>
      <c r="E740" s="115"/>
      <c r="F740" s="115"/>
      <c r="G740" s="115"/>
      <c r="H740" s="115"/>
      <c r="I740" s="115"/>
      <c r="J740" s="116"/>
      <c r="K740" s="26">
        <v>1</v>
      </c>
    </row>
    <row r="741" spans="1:11" ht="15.75" customHeight="1" x14ac:dyDescent="0.25">
      <c r="A741" s="111">
        <v>3</v>
      </c>
      <c r="B741" s="112"/>
      <c r="C741" s="59" t="s">
        <v>177</v>
      </c>
      <c r="D741" s="111">
        <f>(52.396+0.925*3.05+0.675*2.1)*10.764</f>
        <v>609.61644899999988</v>
      </c>
      <c r="E741" s="112"/>
      <c r="F741" s="59">
        <v>0</v>
      </c>
      <c r="G741" s="59">
        <f t="shared" ref="G741:G743" si="88">D741*1.6+F741</f>
        <v>975.38631839999982</v>
      </c>
      <c r="H741" s="117" t="str">
        <f>A740</f>
        <v xml:space="preserve">1st Floor for Residential </v>
      </c>
      <c r="I741" s="118"/>
      <c r="J741" s="119"/>
    </row>
    <row r="742" spans="1:11" ht="15.6" x14ac:dyDescent="0.25">
      <c r="A742" s="111">
        <v>4</v>
      </c>
      <c r="B742" s="112"/>
      <c r="C742" s="59" t="s">
        <v>177</v>
      </c>
      <c r="D742" s="111">
        <f>(43.72)*10.764</f>
        <v>470.60207999999994</v>
      </c>
      <c r="E742" s="112"/>
      <c r="F742" s="59">
        <v>0</v>
      </c>
      <c r="G742" s="59">
        <f t="shared" si="88"/>
        <v>752.96332799999993</v>
      </c>
      <c r="H742" s="120"/>
      <c r="I742" s="121"/>
      <c r="J742" s="122"/>
    </row>
    <row r="743" spans="1:11" ht="15.75" customHeight="1" x14ac:dyDescent="0.25">
      <c r="A743" s="111">
        <v>5</v>
      </c>
      <c r="B743" s="112"/>
      <c r="C743" s="59" t="s">
        <v>177</v>
      </c>
      <c r="D743" s="111">
        <f>(51.907+0.675*2.1)*10.764</f>
        <v>573.98491799999988</v>
      </c>
      <c r="E743" s="112"/>
      <c r="F743" s="59">
        <v>0</v>
      </c>
      <c r="G743" s="59">
        <f t="shared" si="88"/>
        <v>918.37586879999981</v>
      </c>
      <c r="H743" s="120"/>
      <c r="I743" s="121"/>
      <c r="J743" s="122"/>
    </row>
    <row r="744" spans="1:11" ht="15.6" x14ac:dyDescent="0.25">
      <c r="A744" s="111">
        <v>6</v>
      </c>
      <c r="B744" s="112"/>
      <c r="C744" s="59" t="s">
        <v>177</v>
      </c>
      <c r="D744" s="111">
        <f>(43.72)*10.764</f>
        <v>470.60207999999994</v>
      </c>
      <c r="E744" s="112"/>
      <c r="F744" s="59">
        <v>0</v>
      </c>
      <c r="G744" s="59">
        <f t="shared" ref="G744:G746" si="89">D744*1.6+F744</f>
        <v>752.96332799999993</v>
      </c>
      <c r="H744" s="120"/>
      <c r="I744" s="121"/>
      <c r="J744" s="122"/>
    </row>
    <row r="745" spans="1:11" ht="15.6" x14ac:dyDescent="0.25">
      <c r="A745" s="111">
        <v>7</v>
      </c>
      <c r="B745" s="112"/>
      <c r="C745" s="59" t="s">
        <v>177</v>
      </c>
      <c r="D745" s="111">
        <f>(43.72)*10.764</f>
        <v>470.60207999999994</v>
      </c>
      <c r="E745" s="112"/>
      <c r="F745" s="59">
        <v>0</v>
      </c>
      <c r="G745" s="59">
        <f t="shared" si="89"/>
        <v>752.96332799999993</v>
      </c>
      <c r="H745" s="120"/>
      <c r="I745" s="121"/>
      <c r="J745" s="122"/>
    </row>
    <row r="746" spans="1:11" ht="15.6" x14ac:dyDescent="0.25">
      <c r="A746" s="111">
        <v>8</v>
      </c>
      <c r="B746" s="112"/>
      <c r="C746" s="59" t="s">
        <v>177</v>
      </c>
      <c r="D746" s="111">
        <f>(0.925*3.05+0.675*2.125+52.396)*10.764</f>
        <v>609.79809149999994</v>
      </c>
      <c r="E746" s="112"/>
      <c r="F746" s="59">
        <v>0</v>
      </c>
      <c r="G746" s="59">
        <f t="shared" si="89"/>
        <v>975.67694639999991</v>
      </c>
      <c r="H746" s="123"/>
      <c r="I746" s="124"/>
      <c r="J746" s="125"/>
    </row>
    <row r="747" spans="1:11" ht="15.6" x14ac:dyDescent="0.25">
      <c r="A747" s="114" t="s">
        <v>259</v>
      </c>
      <c r="B747" s="115"/>
      <c r="C747" s="115"/>
      <c r="D747" s="115"/>
      <c r="E747" s="115"/>
      <c r="F747" s="115"/>
      <c r="G747" s="115"/>
      <c r="H747" s="115"/>
      <c r="I747" s="115"/>
      <c r="J747" s="116"/>
    </row>
    <row r="748" spans="1:11" ht="15.6" x14ac:dyDescent="0.25">
      <c r="A748" s="111">
        <v>1</v>
      </c>
      <c r="B748" s="112"/>
      <c r="C748" s="59" t="s">
        <v>177</v>
      </c>
      <c r="D748" s="111">
        <f>(52.946+0.85*1.9+1.165*3.05)*10.764</f>
        <v>625.541787</v>
      </c>
      <c r="E748" s="112"/>
      <c r="F748" s="59">
        <v>0</v>
      </c>
      <c r="G748" s="59">
        <f t="shared" ref="G748:G755" si="90">D748*1.6+F748</f>
        <v>1000.8668592</v>
      </c>
      <c r="H748" s="117" t="str">
        <f>A747</f>
        <v xml:space="preserve">2nd Floor </v>
      </c>
      <c r="I748" s="118"/>
      <c r="J748" s="119"/>
    </row>
    <row r="749" spans="1:11" ht="15.6" x14ac:dyDescent="0.25">
      <c r="A749" s="111">
        <v>2</v>
      </c>
      <c r="B749" s="112"/>
      <c r="C749" s="59" t="s">
        <v>177</v>
      </c>
      <c r="D749" s="111">
        <f>(52.946+0.85*1.9+1.165*3.05)*10.764</f>
        <v>625.541787</v>
      </c>
      <c r="E749" s="112"/>
      <c r="F749" s="59">
        <v>0</v>
      </c>
      <c r="G749" s="59">
        <f t="shared" si="90"/>
        <v>1000.8668592</v>
      </c>
      <c r="H749" s="120"/>
      <c r="I749" s="121"/>
      <c r="J749" s="122"/>
      <c r="K749" s="26">
        <v>6</v>
      </c>
    </row>
    <row r="750" spans="1:11" ht="15.75" customHeight="1" x14ac:dyDescent="0.25">
      <c r="A750" s="111">
        <v>3</v>
      </c>
      <c r="B750" s="112"/>
      <c r="C750" s="59" t="s">
        <v>177</v>
      </c>
      <c r="D750" s="111">
        <f>(52.396+0.925*3.05+0.675*2.1)*10.764</f>
        <v>609.61644899999988</v>
      </c>
      <c r="E750" s="112"/>
      <c r="F750" s="59">
        <v>0</v>
      </c>
      <c r="G750" s="59">
        <f t="shared" ref="G750:G751" si="91">D750*1.6+F750</f>
        <v>975.38631839999982</v>
      </c>
      <c r="H750" s="120"/>
      <c r="I750" s="121"/>
      <c r="J750" s="122"/>
    </row>
    <row r="751" spans="1:11" ht="15.6" x14ac:dyDescent="0.25">
      <c r="A751" s="111">
        <v>4</v>
      </c>
      <c r="B751" s="112"/>
      <c r="C751" s="59" t="s">
        <v>177</v>
      </c>
      <c r="D751" s="111">
        <f>(43.72)*10.764</f>
        <v>470.60207999999994</v>
      </c>
      <c r="E751" s="112"/>
      <c r="F751" s="59">
        <v>0</v>
      </c>
      <c r="G751" s="59">
        <f t="shared" si="91"/>
        <v>752.96332799999993</v>
      </c>
      <c r="H751" s="120"/>
      <c r="I751" s="121"/>
      <c r="J751" s="122"/>
    </row>
    <row r="752" spans="1:11" ht="15.75" customHeight="1" x14ac:dyDescent="0.25">
      <c r="A752" s="111">
        <v>5</v>
      </c>
      <c r="B752" s="112"/>
      <c r="C752" s="59" t="s">
        <v>177</v>
      </c>
      <c r="D752" s="111">
        <f>(51.907+0.675*2.1)*10.764</f>
        <v>573.98491799999988</v>
      </c>
      <c r="E752" s="112"/>
      <c r="F752" s="59">
        <v>0</v>
      </c>
      <c r="G752" s="59">
        <f t="shared" si="90"/>
        <v>918.37586879999981</v>
      </c>
      <c r="H752" s="120"/>
      <c r="I752" s="121"/>
      <c r="J752" s="122"/>
    </row>
    <row r="753" spans="1:11" ht="15.6" x14ac:dyDescent="0.25">
      <c r="A753" s="111">
        <v>6</v>
      </c>
      <c r="B753" s="112"/>
      <c r="C753" s="59" t="s">
        <v>177</v>
      </c>
      <c r="D753" s="111">
        <f>(43.72)*10.764</f>
        <v>470.60207999999994</v>
      </c>
      <c r="E753" s="112"/>
      <c r="F753" s="59">
        <v>0</v>
      </c>
      <c r="G753" s="59">
        <f t="shared" si="90"/>
        <v>752.96332799999993</v>
      </c>
      <c r="H753" s="120"/>
      <c r="I753" s="121"/>
      <c r="J753" s="122"/>
    </row>
    <row r="754" spans="1:11" ht="15.6" x14ac:dyDescent="0.25">
      <c r="A754" s="111">
        <v>7</v>
      </c>
      <c r="B754" s="112"/>
      <c r="C754" s="59" t="s">
        <v>177</v>
      </c>
      <c r="D754" s="111">
        <f>(43.72)*10.764</f>
        <v>470.60207999999994</v>
      </c>
      <c r="E754" s="112"/>
      <c r="F754" s="59">
        <v>0</v>
      </c>
      <c r="G754" s="59">
        <f t="shared" si="90"/>
        <v>752.96332799999993</v>
      </c>
      <c r="H754" s="120"/>
      <c r="I754" s="121"/>
      <c r="J754" s="122"/>
    </row>
    <row r="755" spans="1:11" ht="15.6" x14ac:dyDescent="0.25">
      <c r="A755" s="111">
        <v>8</v>
      </c>
      <c r="B755" s="112"/>
      <c r="C755" s="59" t="s">
        <v>177</v>
      </c>
      <c r="D755" s="111">
        <f>(0.925*3.05+0.675*2.125+52.396)*10.764</f>
        <v>609.79809149999994</v>
      </c>
      <c r="E755" s="112"/>
      <c r="F755" s="59">
        <v>0</v>
      </c>
      <c r="G755" s="59">
        <f t="shared" si="90"/>
        <v>975.67694639999991</v>
      </c>
      <c r="H755" s="123"/>
      <c r="I755" s="124"/>
      <c r="J755" s="125"/>
    </row>
    <row r="756" spans="1:11" ht="15.6" x14ac:dyDescent="0.25">
      <c r="A756" s="114" t="s">
        <v>358</v>
      </c>
      <c r="B756" s="115"/>
      <c r="C756" s="115"/>
      <c r="D756" s="115"/>
      <c r="E756" s="115"/>
      <c r="F756" s="115"/>
      <c r="G756" s="115"/>
      <c r="H756" s="115"/>
      <c r="I756" s="115"/>
      <c r="J756" s="116"/>
    </row>
    <row r="757" spans="1:11" ht="15.6" x14ac:dyDescent="0.25">
      <c r="A757" s="111">
        <v>1</v>
      </c>
      <c r="B757" s="112"/>
      <c r="C757" s="59" t="s">
        <v>177</v>
      </c>
      <c r="D757" s="111">
        <f>(52.946+0.85*1.9+1.165*3.05)*10.764</f>
        <v>625.541787</v>
      </c>
      <c r="E757" s="112"/>
      <c r="F757" s="59">
        <v>0</v>
      </c>
      <c r="G757" s="59">
        <f t="shared" ref="G757:G764" si="92">D757*1.6+F757</f>
        <v>1000.8668592</v>
      </c>
      <c r="H757" s="117" t="str">
        <f>A756</f>
        <v>3rd to 7th, 9th Floor</v>
      </c>
      <c r="I757" s="118"/>
      <c r="J757" s="119"/>
    </row>
    <row r="758" spans="1:11" ht="15.6" x14ac:dyDescent="0.25">
      <c r="A758" s="111">
        <v>2</v>
      </c>
      <c r="B758" s="112"/>
      <c r="C758" s="59" t="s">
        <v>177</v>
      </c>
      <c r="D758" s="111">
        <f>(52.946+0.85*1.9+1.165*3.05)*10.764</f>
        <v>625.541787</v>
      </c>
      <c r="E758" s="112"/>
      <c r="F758" s="59">
        <v>0</v>
      </c>
      <c r="G758" s="59">
        <f t="shared" si="92"/>
        <v>1000.8668592</v>
      </c>
      <c r="H758" s="120"/>
      <c r="I758" s="121"/>
      <c r="J758" s="122"/>
      <c r="K758" s="26">
        <v>2</v>
      </c>
    </row>
    <row r="759" spans="1:11" ht="15.75" customHeight="1" x14ac:dyDescent="0.25">
      <c r="A759" s="111">
        <v>3</v>
      </c>
      <c r="B759" s="112"/>
      <c r="C759" s="59" t="s">
        <v>177</v>
      </c>
      <c r="D759" s="111">
        <f>(52.396+0.925*3.05+0.675*2.1)*10.764</f>
        <v>609.61644899999988</v>
      </c>
      <c r="E759" s="112"/>
      <c r="F759" s="59">
        <v>0</v>
      </c>
      <c r="G759" s="59">
        <f t="shared" si="92"/>
        <v>975.38631839999982</v>
      </c>
      <c r="H759" s="120"/>
      <c r="I759" s="121"/>
      <c r="J759" s="122"/>
    </row>
    <row r="760" spans="1:11" ht="15.6" x14ac:dyDescent="0.25">
      <c r="A760" s="111">
        <v>4</v>
      </c>
      <c r="B760" s="112"/>
      <c r="C760" s="59" t="s">
        <v>177</v>
      </c>
      <c r="D760" s="111">
        <f>(43.72)*10.764</f>
        <v>470.60207999999994</v>
      </c>
      <c r="E760" s="112"/>
      <c r="F760" s="59">
        <v>0</v>
      </c>
      <c r="G760" s="59">
        <f t="shared" si="92"/>
        <v>752.96332799999993</v>
      </c>
      <c r="H760" s="120"/>
      <c r="I760" s="121"/>
      <c r="J760" s="122"/>
    </row>
    <row r="761" spans="1:11" ht="15.75" customHeight="1" x14ac:dyDescent="0.25">
      <c r="A761" s="111">
        <v>5</v>
      </c>
      <c r="B761" s="112"/>
      <c r="C761" s="59" t="s">
        <v>177</v>
      </c>
      <c r="D761" s="111">
        <f>(51.907+0.675*2.1)*10.764</f>
        <v>573.98491799999988</v>
      </c>
      <c r="E761" s="112"/>
      <c r="F761" s="59">
        <v>0</v>
      </c>
      <c r="G761" s="59">
        <f t="shared" si="92"/>
        <v>918.37586879999981</v>
      </c>
      <c r="H761" s="120"/>
      <c r="I761" s="121"/>
      <c r="J761" s="122"/>
    </row>
    <row r="762" spans="1:11" ht="15.6" x14ac:dyDescent="0.25">
      <c r="A762" s="111">
        <v>6</v>
      </c>
      <c r="B762" s="112"/>
      <c r="C762" s="59" t="s">
        <v>177</v>
      </c>
      <c r="D762" s="111">
        <f>(43.72)*10.764</f>
        <v>470.60207999999994</v>
      </c>
      <c r="E762" s="112"/>
      <c r="F762" s="59">
        <v>0</v>
      </c>
      <c r="G762" s="59">
        <f t="shared" si="92"/>
        <v>752.96332799999993</v>
      </c>
      <c r="H762" s="120"/>
      <c r="I762" s="121"/>
      <c r="J762" s="122"/>
    </row>
    <row r="763" spans="1:11" ht="15.6" x14ac:dyDescent="0.25">
      <c r="A763" s="111">
        <v>7</v>
      </c>
      <c r="B763" s="112"/>
      <c r="C763" s="59" t="s">
        <v>177</v>
      </c>
      <c r="D763" s="111">
        <f>(43.72)*10.764</f>
        <v>470.60207999999994</v>
      </c>
      <c r="E763" s="112"/>
      <c r="F763" s="59">
        <v>0</v>
      </c>
      <c r="G763" s="59">
        <f t="shared" si="92"/>
        <v>752.96332799999993</v>
      </c>
      <c r="H763" s="120"/>
      <c r="I763" s="121"/>
      <c r="J763" s="122"/>
    </row>
    <row r="764" spans="1:11" ht="15.6" x14ac:dyDescent="0.25">
      <c r="A764" s="111">
        <v>8</v>
      </c>
      <c r="B764" s="112"/>
      <c r="C764" s="59" t="s">
        <v>177</v>
      </c>
      <c r="D764" s="111">
        <f>(0.925*3.05+0.675*2.125+52.396)*10.764</f>
        <v>609.79809149999994</v>
      </c>
      <c r="E764" s="112"/>
      <c r="F764" s="59">
        <v>0</v>
      </c>
      <c r="G764" s="59">
        <f t="shared" si="92"/>
        <v>975.67694639999991</v>
      </c>
      <c r="H764" s="123"/>
      <c r="I764" s="124"/>
      <c r="J764" s="125"/>
    </row>
    <row r="765" spans="1:11" ht="15.6" x14ac:dyDescent="0.25">
      <c r="A765" s="114" t="s">
        <v>301</v>
      </c>
      <c r="B765" s="115"/>
      <c r="C765" s="115"/>
      <c r="D765" s="115"/>
      <c r="E765" s="115"/>
      <c r="F765" s="115"/>
      <c r="G765" s="115"/>
      <c r="H765" s="115"/>
      <c r="I765" s="115"/>
      <c r="J765" s="116"/>
    </row>
    <row r="766" spans="1:11" ht="15.6" x14ac:dyDescent="0.25">
      <c r="A766" s="111">
        <v>1</v>
      </c>
      <c r="B766" s="112"/>
      <c r="C766" s="117" t="s">
        <v>223</v>
      </c>
      <c r="D766" s="118"/>
      <c r="E766" s="118"/>
      <c r="F766" s="118"/>
      <c r="G766" s="119"/>
      <c r="H766" s="117" t="str">
        <f>A765</f>
        <v>8th &amp; 15th Floor ( Part Refuge Area)</v>
      </c>
      <c r="I766" s="118"/>
      <c r="J766" s="119"/>
    </row>
    <row r="767" spans="1:11" ht="15.6" x14ac:dyDescent="0.25">
      <c r="A767" s="111">
        <v>2</v>
      </c>
      <c r="B767" s="112"/>
      <c r="C767" s="123"/>
      <c r="D767" s="124"/>
      <c r="E767" s="124"/>
      <c r="F767" s="124"/>
      <c r="G767" s="125"/>
      <c r="H767" s="120"/>
      <c r="I767" s="121"/>
      <c r="J767" s="122"/>
      <c r="K767" s="26">
        <v>9</v>
      </c>
    </row>
    <row r="768" spans="1:11" ht="15.75" customHeight="1" x14ac:dyDescent="0.25">
      <c r="A768" s="111">
        <v>3</v>
      </c>
      <c r="B768" s="112"/>
      <c r="C768" s="59" t="s">
        <v>177</v>
      </c>
      <c r="D768" s="111">
        <f>(52.396+0.925*3.05+0.675*2.1)*10.764</f>
        <v>609.61644899999988</v>
      </c>
      <c r="E768" s="112"/>
      <c r="F768" s="59">
        <v>0</v>
      </c>
      <c r="G768" s="59">
        <f t="shared" ref="G768:G773" si="93">D768*1.6+F768</f>
        <v>975.38631839999982</v>
      </c>
      <c r="H768" s="120"/>
      <c r="I768" s="121"/>
      <c r="J768" s="122"/>
    </row>
    <row r="769" spans="1:11" ht="15.6" x14ac:dyDescent="0.25">
      <c r="A769" s="111">
        <v>4</v>
      </c>
      <c r="B769" s="112"/>
      <c r="C769" s="59" t="s">
        <v>177</v>
      </c>
      <c r="D769" s="111">
        <f>(43.72)*10.764</f>
        <v>470.60207999999994</v>
      </c>
      <c r="E769" s="112"/>
      <c r="F769" s="59">
        <v>0</v>
      </c>
      <c r="G769" s="59">
        <f t="shared" si="93"/>
        <v>752.96332799999993</v>
      </c>
      <c r="H769" s="120"/>
      <c r="I769" s="121"/>
      <c r="J769" s="122"/>
    </row>
    <row r="770" spans="1:11" ht="15.75" customHeight="1" x14ac:dyDescent="0.25">
      <c r="A770" s="111">
        <v>5</v>
      </c>
      <c r="B770" s="112"/>
      <c r="C770" s="59" t="s">
        <v>177</v>
      </c>
      <c r="D770" s="111">
        <f>(51.907+0.675*2.1)*10.764</f>
        <v>573.98491799999988</v>
      </c>
      <c r="E770" s="112"/>
      <c r="F770" s="59">
        <v>0</v>
      </c>
      <c r="G770" s="59">
        <f t="shared" si="93"/>
        <v>918.37586879999981</v>
      </c>
      <c r="H770" s="120"/>
      <c r="I770" s="121"/>
      <c r="J770" s="122"/>
    </row>
    <row r="771" spans="1:11" ht="15.6" x14ac:dyDescent="0.25">
      <c r="A771" s="111">
        <v>6</v>
      </c>
      <c r="B771" s="112"/>
      <c r="C771" s="59" t="s">
        <v>177</v>
      </c>
      <c r="D771" s="111">
        <f>(43.72)*10.764</f>
        <v>470.60207999999994</v>
      </c>
      <c r="E771" s="112"/>
      <c r="F771" s="59">
        <v>0</v>
      </c>
      <c r="G771" s="59">
        <f t="shared" si="93"/>
        <v>752.96332799999993</v>
      </c>
      <c r="H771" s="120"/>
      <c r="I771" s="121"/>
      <c r="J771" s="122"/>
    </row>
    <row r="772" spans="1:11" ht="15.6" x14ac:dyDescent="0.25">
      <c r="A772" s="111">
        <v>7</v>
      </c>
      <c r="B772" s="112"/>
      <c r="C772" s="59" t="s">
        <v>177</v>
      </c>
      <c r="D772" s="111">
        <f>(43.72)*10.764</f>
        <v>470.60207999999994</v>
      </c>
      <c r="E772" s="112"/>
      <c r="F772" s="59">
        <v>0</v>
      </c>
      <c r="G772" s="59">
        <f t="shared" si="93"/>
        <v>752.96332799999993</v>
      </c>
      <c r="H772" s="120"/>
      <c r="I772" s="121"/>
      <c r="J772" s="122"/>
    </row>
    <row r="773" spans="1:11" ht="15.6" x14ac:dyDescent="0.25">
      <c r="A773" s="111">
        <v>8</v>
      </c>
      <c r="B773" s="112"/>
      <c r="C773" s="59" t="s">
        <v>177</v>
      </c>
      <c r="D773" s="111">
        <f>(0.925*3.05+0.675*2.125+52.396)*10.764</f>
        <v>609.79809149999994</v>
      </c>
      <c r="E773" s="112"/>
      <c r="F773" s="59">
        <v>0</v>
      </c>
      <c r="G773" s="59">
        <f t="shared" si="93"/>
        <v>975.67694639999991</v>
      </c>
      <c r="H773" s="123"/>
      <c r="I773" s="124"/>
      <c r="J773" s="125"/>
    </row>
    <row r="774" spans="1:11" ht="15.6" x14ac:dyDescent="0.25">
      <c r="A774" s="114" t="s">
        <v>359</v>
      </c>
      <c r="B774" s="115"/>
      <c r="C774" s="115"/>
      <c r="D774" s="115"/>
      <c r="E774" s="115"/>
      <c r="F774" s="115"/>
      <c r="G774" s="115"/>
      <c r="H774" s="115"/>
      <c r="I774" s="115"/>
      <c r="J774" s="116"/>
    </row>
    <row r="775" spans="1:11" ht="15.6" x14ac:dyDescent="0.25">
      <c r="A775" s="111">
        <v>1</v>
      </c>
      <c r="B775" s="112"/>
      <c r="C775" s="59" t="s">
        <v>177</v>
      </c>
      <c r="D775" s="111">
        <f>(52.946+0.85*1.9+1.165*3.05)*10.764</f>
        <v>625.541787</v>
      </c>
      <c r="E775" s="112"/>
      <c r="F775" s="59">
        <v>0</v>
      </c>
      <c r="G775" s="59">
        <f t="shared" ref="G775:G781" si="94">D775*1.6+F775</f>
        <v>1000.8668592</v>
      </c>
      <c r="H775" s="117" t="str">
        <f>A774</f>
        <v>10th to 14th, 16th to 19th Floor</v>
      </c>
      <c r="I775" s="118"/>
      <c r="J775" s="119"/>
      <c r="K775" s="26">
        <v>1</v>
      </c>
    </row>
    <row r="776" spans="1:11" ht="15.75" customHeight="1" x14ac:dyDescent="0.25">
      <c r="A776" s="111">
        <v>2</v>
      </c>
      <c r="B776" s="112"/>
      <c r="C776" s="59" t="s">
        <v>177</v>
      </c>
      <c r="D776" s="111">
        <f>(52.946+0.85*1.9+1.165*3.05)*10.764</f>
        <v>625.541787</v>
      </c>
      <c r="E776" s="112"/>
      <c r="F776" s="59">
        <v>0</v>
      </c>
      <c r="G776" s="59">
        <f t="shared" si="94"/>
        <v>1000.8668592</v>
      </c>
      <c r="H776" s="120"/>
      <c r="I776" s="121"/>
      <c r="J776" s="122"/>
    </row>
    <row r="777" spans="1:11" ht="15.6" x14ac:dyDescent="0.25">
      <c r="A777" s="111" t="s">
        <v>357</v>
      </c>
      <c r="B777" s="112"/>
      <c r="C777" s="59" t="s">
        <v>324</v>
      </c>
      <c r="D777" s="111">
        <f>(93.99+3*0.925+2.125*0.675)*10.764</f>
        <v>1057.0180725</v>
      </c>
      <c r="E777" s="112"/>
      <c r="F777" s="59">
        <v>0</v>
      </c>
      <c r="G777" s="59">
        <f t="shared" si="94"/>
        <v>1691.228916</v>
      </c>
      <c r="H777" s="120"/>
      <c r="I777" s="121"/>
      <c r="J777" s="122"/>
    </row>
    <row r="778" spans="1:11" ht="15.75" customHeight="1" x14ac:dyDescent="0.25">
      <c r="A778" s="111">
        <v>5</v>
      </c>
      <c r="B778" s="112"/>
      <c r="C778" s="59" t="s">
        <v>177</v>
      </c>
      <c r="D778" s="111">
        <f>(51.907+0.675*2.1)*10.764</f>
        <v>573.98491799999988</v>
      </c>
      <c r="E778" s="112"/>
      <c r="F778" s="59">
        <v>0</v>
      </c>
      <c r="G778" s="59">
        <f t="shared" si="94"/>
        <v>918.37586879999981</v>
      </c>
      <c r="H778" s="120"/>
      <c r="I778" s="121"/>
      <c r="J778" s="122"/>
    </row>
    <row r="779" spans="1:11" ht="15.6" x14ac:dyDescent="0.25">
      <c r="A779" s="111">
        <v>6</v>
      </c>
      <c r="B779" s="112"/>
      <c r="C779" s="59" t="s">
        <v>177</v>
      </c>
      <c r="D779" s="111">
        <f>(43.72)*10.764</f>
        <v>470.60207999999994</v>
      </c>
      <c r="E779" s="112"/>
      <c r="F779" s="59">
        <v>0</v>
      </c>
      <c r="G779" s="59">
        <f t="shared" si="94"/>
        <v>752.96332799999993</v>
      </c>
      <c r="H779" s="120"/>
      <c r="I779" s="121"/>
      <c r="J779" s="122"/>
    </row>
    <row r="780" spans="1:11" ht="15.6" x14ac:dyDescent="0.25">
      <c r="A780" s="111">
        <v>7</v>
      </c>
      <c r="B780" s="112"/>
      <c r="C780" s="59" t="s">
        <v>177</v>
      </c>
      <c r="D780" s="111">
        <f>(43.72)*10.764</f>
        <v>470.60207999999994</v>
      </c>
      <c r="E780" s="112"/>
      <c r="F780" s="59">
        <v>0</v>
      </c>
      <c r="G780" s="59">
        <f t="shared" si="94"/>
        <v>752.96332799999993</v>
      </c>
      <c r="H780" s="120"/>
      <c r="I780" s="121"/>
      <c r="J780" s="122"/>
    </row>
    <row r="781" spans="1:11" ht="15.6" x14ac:dyDescent="0.25">
      <c r="A781" s="111">
        <v>8</v>
      </c>
      <c r="B781" s="112"/>
      <c r="C781" s="59" t="s">
        <v>177</v>
      </c>
      <c r="D781" s="111">
        <f>(0.925*3.05+0.675*2.125+52.396)*10.764</f>
        <v>609.79809149999994</v>
      </c>
      <c r="E781" s="112"/>
      <c r="F781" s="59">
        <v>0</v>
      </c>
      <c r="G781" s="59">
        <f t="shared" si="94"/>
        <v>975.67694639999991</v>
      </c>
      <c r="H781" s="123"/>
      <c r="I781" s="124"/>
      <c r="J781" s="125"/>
    </row>
    <row r="782" spans="1:11" ht="15.6" x14ac:dyDescent="0.25">
      <c r="A782" s="114" t="s">
        <v>364</v>
      </c>
      <c r="B782" s="115"/>
      <c r="C782" s="115"/>
      <c r="D782" s="115"/>
      <c r="E782" s="115"/>
      <c r="F782" s="115"/>
      <c r="G782" s="115"/>
      <c r="H782" s="115"/>
      <c r="I782" s="115"/>
      <c r="J782" s="116"/>
    </row>
    <row r="783" spans="1:11" ht="15.6" x14ac:dyDescent="0.25">
      <c r="A783" s="111">
        <v>1</v>
      </c>
      <c r="B783" s="112"/>
      <c r="C783" s="117" t="s">
        <v>223</v>
      </c>
      <c r="D783" s="118"/>
      <c r="E783" s="118"/>
      <c r="F783" s="118"/>
      <c r="G783" s="119"/>
      <c r="H783" s="117" t="str">
        <f>A782</f>
        <v>15th Floor ( Part Refuge Area)</v>
      </c>
      <c r="I783" s="118"/>
      <c r="J783" s="119"/>
      <c r="K783" s="26">
        <v>5</v>
      </c>
    </row>
    <row r="784" spans="1:11" ht="15.75" customHeight="1" x14ac:dyDescent="0.25">
      <c r="A784" s="111">
        <v>2</v>
      </c>
      <c r="B784" s="112"/>
      <c r="C784" s="123"/>
      <c r="D784" s="124"/>
      <c r="E784" s="124"/>
      <c r="F784" s="124"/>
      <c r="G784" s="125"/>
      <c r="H784" s="120"/>
      <c r="I784" s="121"/>
      <c r="J784" s="122"/>
    </row>
    <row r="785" spans="1:11" ht="15.6" x14ac:dyDescent="0.25">
      <c r="A785" s="111" t="s">
        <v>357</v>
      </c>
      <c r="B785" s="112"/>
      <c r="C785" s="59" t="s">
        <v>324</v>
      </c>
      <c r="D785" s="111">
        <f>(93.99+3*0.925+2.125*0.675)*10.764</f>
        <v>1057.0180725</v>
      </c>
      <c r="E785" s="112"/>
      <c r="F785" s="59">
        <v>0</v>
      </c>
      <c r="G785" s="59">
        <f t="shared" ref="G785:G789" si="95">D785*1.6+F785</f>
        <v>1691.228916</v>
      </c>
      <c r="H785" s="120"/>
      <c r="I785" s="121"/>
      <c r="J785" s="122"/>
    </row>
    <row r="786" spans="1:11" ht="15.75" customHeight="1" x14ac:dyDescent="0.25">
      <c r="A786" s="111">
        <v>5</v>
      </c>
      <c r="B786" s="112"/>
      <c r="C786" s="59" t="s">
        <v>177</v>
      </c>
      <c r="D786" s="111">
        <f>(51.907+0.675*2.1)*10.764</f>
        <v>573.98491799999988</v>
      </c>
      <c r="E786" s="112"/>
      <c r="F786" s="59">
        <v>0</v>
      </c>
      <c r="G786" s="59">
        <f t="shared" si="95"/>
        <v>918.37586879999981</v>
      </c>
      <c r="H786" s="120"/>
      <c r="I786" s="121"/>
      <c r="J786" s="122"/>
    </row>
    <row r="787" spans="1:11" ht="15.6" x14ac:dyDescent="0.25">
      <c r="A787" s="111">
        <v>6</v>
      </c>
      <c r="B787" s="112"/>
      <c r="C787" s="59" t="s">
        <v>177</v>
      </c>
      <c r="D787" s="111">
        <f>(43.72)*10.764</f>
        <v>470.60207999999994</v>
      </c>
      <c r="E787" s="112"/>
      <c r="F787" s="59">
        <v>0</v>
      </c>
      <c r="G787" s="59">
        <f t="shared" si="95"/>
        <v>752.96332799999993</v>
      </c>
      <c r="H787" s="120"/>
      <c r="I787" s="121"/>
      <c r="J787" s="122"/>
    </row>
    <row r="788" spans="1:11" ht="15.6" x14ac:dyDescent="0.25">
      <c r="A788" s="111">
        <v>7</v>
      </c>
      <c r="B788" s="112"/>
      <c r="C788" s="59" t="s">
        <v>177</v>
      </c>
      <c r="D788" s="111">
        <f>(43.72)*10.764</f>
        <v>470.60207999999994</v>
      </c>
      <c r="E788" s="112"/>
      <c r="F788" s="59">
        <v>0</v>
      </c>
      <c r="G788" s="59">
        <f t="shared" si="95"/>
        <v>752.96332799999993</v>
      </c>
      <c r="H788" s="120"/>
      <c r="I788" s="121"/>
      <c r="J788" s="122"/>
    </row>
    <row r="789" spans="1:11" ht="15.6" x14ac:dyDescent="0.25">
      <c r="A789" s="111">
        <v>8</v>
      </c>
      <c r="B789" s="112"/>
      <c r="C789" s="59" t="s">
        <v>177</v>
      </c>
      <c r="D789" s="111">
        <f>(0.925*3.05+0.675*2.125+52.396)*10.764</f>
        <v>609.79809149999994</v>
      </c>
      <c r="E789" s="112"/>
      <c r="F789" s="59">
        <v>0</v>
      </c>
      <c r="G789" s="59">
        <f t="shared" si="95"/>
        <v>975.67694639999991</v>
      </c>
      <c r="H789" s="123"/>
      <c r="I789" s="124"/>
      <c r="J789" s="125"/>
    </row>
    <row r="790" spans="1:11" ht="15.6" x14ac:dyDescent="0.25">
      <c r="A790" s="114" t="s">
        <v>360</v>
      </c>
      <c r="B790" s="115"/>
      <c r="C790" s="115"/>
      <c r="D790" s="115"/>
      <c r="E790" s="115"/>
      <c r="F790" s="115"/>
      <c r="G790" s="115"/>
      <c r="H790" s="115"/>
      <c r="I790" s="115"/>
      <c r="J790" s="116"/>
    </row>
    <row r="791" spans="1:11" ht="15.6" x14ac:dyDescent="0.25">
      <c r="A791" s="111">
        <v>1</v>
      </c>
      <c r="B791" s="112"/>
      <c r="C791" s="59" t="s">
        <v>177</v>
      </c>
      <c r="D791" s="111">
        <f>(52.946+0.85*1.9+1.165*3.05)*10.764</f>
        <v>625.541787</v>
      </c>
      <c r="E791" s="112"/>
      <c r="F791" s="59">
        <v>0</v>
      </c>
      <c r="G791" s="59">
        <f t="shared" ref="G791:G797" si="96">D791*1.6+F791</f>
        <v>1000.8668592</v>
      </c>
      <c r="H791" s="117" t="str">
        <f>A790</f>
        <v>20th, 21st, 23rd to 25th Floor</v>
      </c>
      <c r="I791" s="118"/>
      <c r="J791" s="119"/>
      <c r="K791" s="26">
        <v>1</v>
      </c>
    </row>
    <row r="792" spans="1:11" ht="15.75" customHeight="1" x14ac:dyDescent="0.25">
      <c r="A792" s="111">
        <v>2</v>
      </c>
      <c r="B792" s="112"/>
      <c r="C792" s="59" t="s">
        <v>177</v>
      </c>
      <c r="D792" s="111">
        <f>(52.946+0.85*1.9+1.165*3.05)*10.764</f>
        <v>625.541787</v>
      </c>
      <c r="E792" s="112"/>
      <c r="F792" s="59">
        <v>0</v>
      </c>
      <c r="G792" s="59">
        <f t="shared" si="96"/>
        <v>1000.8668592</v>
      </c>
      <c r="H792" s="120"/>
      <c r="I792" s="121"/>
      <c r="J792" s="122"/>
    </row>
    <row r="793" spans="1:11" ht="15.6" x14ac:dyDescent="0.25">
      <c r="A793" s="111" t="s">
        <v>357</v>
      </c>
      <c r="B793" s="112"/>
      <c r="C793" s="59" t="s">
        <v>324</v>
      </c>
      <c r="D793" s="111">
        <f>(94.111+3.1*0.925+2.125*0.675)*10.764</f>
        <v>1059.3161865000002</v>
      </c>
      <c r="E793" s="112"/>
      <c r="F793" s="59">
        <v>0</v>
      </c>
      <c r="G793" s="59">
        <f t="shared" si="96"/>
        <v>1694.9058984000003</v>
      </c>
      <c r="H793" s="120"/>
      <c r="I793" s="121"/>
      <c r="J793" s="122"/>
    </row>
    <row r="794" spans="1:11" ht="15.75" customHeight="1" x14ac:dyDescent="0.25">
      <c r="A794" s="111">
        <v>5</v>
      </c>
      <c r="B794" s="112"/>
      <c r="C794" s="59" t="s">
        <v>177</v>
      </c>
      <c r="D794" s="111">
        <f>(51.907+0.675*2.1)*10.764</f>
        <v>573.98491799999988</v>
      </c>
      <c r="E794" s="112"/>
      <c r="F794" s="59">
        <v>0</v>
      </c>
      <c r="G794" s="59">
        <f t="shared" si="96"/>
        <v>918.37586879999981</v>
      </c>
      <c r="H794" s="120"/>
      <c r="I794" s="121"/>
      <c r="J794" s="122"/>
    </row>
    <row r="795" spans="1:11" ht="15.6" x14ac:dyDescent="0.25">
      <c r="A795" s="111">
        <v>6</v>
      </c>
      <c r="B795" s="112"/>
      <c r="C795" s="59" t="s">
        <v>177</v>
      </c>
      <c r="D795" s="111">
        <f>(43.72)*10.764</f>
        <v>470.60207999999994</v>
      </c>
      <c r="E795" s="112"/>
      <c r="F795" s="59">
        <v>0</v>
      </c>
      <c r="G795" s="59">
        <f t="shared" si="96"/>
        <v>752.96332799999993</v>
      </c>
      <c r="H795" s="120"/>
      <c r="I795" s="121"/>
      <c r="J795" s="122"/>
    </row>
    <row r="796" spans="1:11" ht="15.6" x14ac:dyDescent="0.25">
      <c r="A796" s="111">
        <v>7</v>
      </c>
      <c r="B796" s="112"/>
      <c r="C796" s="59" t="s">
        <v>177</v>
      </c>
      <c r="D796" s="111">
        <f>(43.72)*10.764</f>
        <v>470.60207999999994</v>
      </c>
      <c r="E796" s="112"/>
      <c r="F796" s="59">
        <v>0</v>
      </c>
      <c r="G796" s="59">
        <f t="shared" si="96"/>
        <v>752.96332799999993</v>
      </c>
      <c r="H796" s="120"/>
      <c r="I796" s="121"/>
      <c r="J796" s="122"/>
    </row>
    <row r="797" spans="1:11" ht="15.6" x14ac:dyDescent="0.25">
      <c r="A797" s="111">
        <v>8</v>
      </c>
      <c r="B797" s="112"/>
      <c r="C797" s="59" t="s">
        <v>177</v>
      </c>
      <c r="D797" s="111">
        <f>(0.925*3.05+0.675*2.125+52.396)*10.764</f>
        <v>609.79809149999994</v>
      </c>
      <c r="E797" s="112"/>
      <c r="F797" s="59">
        <v>0</v>
      </c>
      <c r="G797" s="59">
        <f t="shared" si="96"/>
        <v>975.67694639999991</v>
      </c>
      <c r="H797" s="123"/>
      <c r="I797" s="124"/>
      <c r="J797" s="125"/>
    </row>
    <row r="798" spans="1:11" ht="15.6" x14ac:dyDescent="0.25">
      <c r="A798" s="114" t="s">
        <v>361</v>
      </c>
      <c r="B798" s="115"/>
      <c r="C798" s="115"/>
      <c r="D798" s="115"/>
      <c r="E798" s="115"/>
      <c r="F798" s="115"/>
      <c r="G798" s="115"/>
      <c r="H798" s="115"/>
      <c r="I798" s="115"/>
      <c r="J798" s="116"/>
    </row>
    <row r="799" spans="1:11" ht="15.6" x14ac:dyDescent="0.25">
      <c r="A799" s="111">
        <v>1</v>
      </c>
      <c r="B799" s="112"/>
      <c r="C799" s="117" t="s">
        <v>223</v>
      </c>
      <c r="D799" s="118"/>
      <c r="E799" s="118"/>
      <c r="F799" s="118"/>
      <c r="G799" s="119"/>
      <c r="H799" s="117" t="str">
        <f>A798</f>
        <v>22nd Floor ( Part Refuge Area)</v>
      </c>
      <c r="I799" s="118"/>
      <c r="J799" s="119"/>
      <c r="K799" s="26">
        <v>3</v>
      </c>
    </row>
    <row r="800" spans="1:11" ht="15.75" customHeight="1" x14ac:dyDescent="0.25">
      <c r="A800" s="111">
        <v>2</v>
      </c>
      <c r="B800" s="112"/>
      <c r="C800" s="123"/>
      <c r="D800" s="124"/>
      <c r="E800" s="124"/>
      <c r="F800" s="124"/>
      <c r="G800" s="125"/>
      <c r="H800" s="120"/>
      <c r="I800" s="121"/>
      <c r="J800" s="122"/>
    </row>
    <row r="801" spans="1:11" ht="15.6" x14ac:dyDescent="0.25">
      <c r="A801" s="111" t="s">
        <v>357</v>
      </c>
      <c r="B801" s="112"/>
      <c r="C801" s="59" t="s">
        <v>324</v>
      </c>
      <c r="D801" s="111">
        <f>(94.111+3.1*0.925+2.125*0.675)*10.764</f>
        <v>1059.3161865000002</v>
      </c>
      <c r="E801" s="112"/>
      <c r="F801" s="59">
        <v>0</v>
      </c>
      <c r="G801" s="59">
        <f t="shared" ref="G801:G805" si="97">D801*1.6+F801</f>
        <v>1694.9058984000003</v>
      </c>
      <c r="H801" s="120"/>
      <c r="I801" s="121"/>
      <c r="J801" s="122"/>
    </row>
    <row r="802" spans="1:11" ht="15.75" customHeight="1" x14ac:dyDescent="0.25">
      <c r="A802" s="111">
        <v>5</v>
      </c>
      <c r="B802" s="112"/>
      <c r="C802" s="59" t="s">
        <v>177</v>
      </c>
      <c r="D802" s="111">
        <f>(51.907+0.675*2.1)*10.764</f>
        <v>573.98491799999988</v>
      </c>
      <c r="E802" s="112"/>
      <c r="F802" s="59">
        <v>0</v>
      </c>
      <c r="G802" s="59">
        <f t="shared" si="97"/>
        <v>918.37586879999981</v>
      </c>
      <c r="H802" s="120"/>
      <c r="I802" s="121"/>
      <c r="J802" s="122"/>
    </row>
    <row r="803" spans="1:11" ht="15.6" x14ac:dyDescent="0.25">
      <c r="A803" s="111">
        <v>6</v>
      </c>
      <c r="B803" s="112"/>
      <c r="C803" s="59" t="s">
        <v>177</v>
      </c>
      <c r="D803" s="111">
        <f>(43.72)*10.764</f>
        <v>470.60207999999994</v>
      </c>
      <c r="E803" s="112"/>
      <c r="F803" s="59">
        <v>0</v>
      </c>
      <c r="G803" s="59">
        <f t="shared" si="97"/>
        <v>752.96332799999993</v>
      </c>
      <c r="H803" s="120"/>
      <c r="I803" s="121"/>
      <c r="J803" s="122"/>
    </row>
    <row r="804" spans="1:11" ht="15.6" x14ac:dyDescent="0.25">
      <c r="A804" s="111">
        <v>7</v>
      </c>
      <c r="B804" s="112"/>
      <c r="C804" s="59" t="s">
        <v>177</v>
      </c>
      <c r="D804" s="111">
        <f>(43.72)*10.764</f>
        <v>470.60207999999994</v>
      </c>
      <c r="E804" s="112"/>
      <c r="F804" s="59">
        <v>0</v>
      </c>
      <c r="G804" s="59">
        <f t="shared" si="97"/>
        <v>752.96332799999993</v>
      </c>
      <c r="H804" s="120"/>
      <c r="I804" s="121"/>
      <c r="J804" s="122"/>
    </row>
    <row r="805" spans="1:11" ht="15.6" x14ac:dyDescent="0.25">
      <c r="A805" s="111">
        <v>8</v>
      </c>
      <c r="B805" s="112"/>
      <c r="C805" s="59" t="s">
        <v>177</v>
      </c>
      <c r="D805" s="111">
        <f>(0.925*3.05+0.675*2.125+52.396)*10.764</f>
        <v>609.79809149999994</v>
      </c>
      <c r="E805" s="112"/>
      <c r="F805" s="59">
        <v>0</v>
      </c>
      <c r="G805" s="59">
        <f t="shared" si="97"/>
        <v>975.67694639999991</v>
      </c>
      <c r="H805" s="123"/>
      <c r="I805" s="124"/>
      <c r="J805" s="125"/>
    </row>
    <row r="806" spans="1:11" ht="15.6" x14ac:dyDescent="0.25">
      <c r="A806" s="114" t="s">
        <v>363</v>
      </c>
      <c r="B806" s="115"/>
      <c r="C806" s="115"/>
      <c r="D806" s="115"/>
      <c r="E806" s="115"/>
      <c r="F806" s="115"/>
      <c r="G806" s="115"/>
      <c r="H806" s="115"/>
      <c r="I806" s="115"/>
      <c r="J806" s="116"/>
    </row>
    <row r="807" spans="1:11" ht="15.6" x14ac:dyDescent="0.25">
      <c r="A807" s="111">
        <v>1</v>
      </c>
      <c r="B807" s="112"/>
      <c r="C807" s="59" t="s">
        <v>177</v>
      </c>
      <c r="D807" s="111">
        <f>(53.047+0.85*1.9+1.165*3.05)*10.764</f>
        <v>626.62895099999992</v>
      </c>
      <c r="E807" s="112"/>
      <c r="F807" s="59">
        <v>0</v>
      </c>
      <c r="G807" s="59">
        <f t="shared" ref="G807:G814" si="98">D807*1.6+F807</f>
        <v>1002.6063215999999</v>
      </c>
      <c r="H807" s="117" t="str">
        <f>A806</f>
        <v>26th to 28th Floor</v>
      </c>
      <c r="I807" s="118"/>
      <c r="J807" s="119"/>
    </row>
    <row r="808" spans="1:11" ht="15.6" x14ac:dyDescent="0.25">
      <c r="A808" s="111">
        <v>2</v>
      </c>
      <c r="B808" s="112"/>
      <c r="C808" s="59" t="s">
        <v>177</v>
      </c>
      <c r="D808" s="111">
        <f>(53.047+0.85*1.9+1.165*3.05)*10.764</f>
        <v>626.62895099999992</v>
      </c>
      <c r="E808" s="112"/>
      <c r="F808" s="59">
        <v>0</v>
      </c>
      <c r="G808" s="59">
        <f t="shared" si="98"/>
        <v>1002.6063215999999</v>
      </c>
      <c r="H808" s="120"/>
      <c r="I808" s="121"/>
      <c r="J808" s="122"/>
      <c r="K808" s="26">
        <v>1</v>
      </c>
    </row>
    <row r="809" spans="1:11" ht="15.75" customHeight="1" x14ac:dyDescent="0.25">
      <c r="A809" s="111">
        <v>3</v>
      </c>
      <c r="B809" s="112"/>
      <c r="C809" s="59" t="s">
        <v>177</v>
      </c>
      <c r="D809" s="111">
        <f>(52.396+0.925*3.05+0.675*2.1)*10.764</f>
        <v>609.61644899999988</v>
      </c>
      <c r="E809" s="112"/>
      <c r="F809" s="59">
        <v>0</v>
      </c>
      <c r="G809" s="59">
        <f t="shared" si="98"/>
        <v>975.38631839999982</v>
      </c>
      <c r="H809" s="120"/>
      <c r="I809" s="121"/>
      <c r="J809" s="122"/>
    </row>
    <row r="810" spans="1:11" ht="15.6" x14ac:dyDescent="0.25">
      <c r="A810" s="111">
        <v>4</v>
      </c>
      <c r="B810" s="112"/>
      <c r="C810" s="59" t="s">
        <v>177</v>
      </c>
      <c r="D810" s="111">
        <f>(43.72)*10.764</f>
        <v>470.60207999999994</v>
      </c>
      <c r="E810" s="112"/>
      <c r="F810" s="59">
        <v>0</v>
      </c>
      <c r="G810" s="59">
        <f t="shared" si="98"/>
        <v>752.96332799999993</v>
      </c>
      <c r="H810" s="120"/>
      <c r="I810" s="121"/>
      <c r="J810" s="122"/>
    </row>
    <row r="811" spans="1:11" ht="15.75" customHeight="1" x14ac:dyDescent="0.25">
      <c r="A811" s="111">
        <v>5</v>
      </c>
      <c r="B811" s="112"/>
      <c r="C811" s="59" t="s">
        <v>177</v>
      </c>
      <c r="D811" s="111">
        <f>(51.907+0.675*2.1)*10.764</f>
        <v>573.98491799999988</v>
      </c>
      <c r="E811" s="112"/>
      <c r="F811" s="59">
        <v>0</v>
      </c>
      <c r="G811" s="59">
        <f t="shared" si="98"/>
        <v>918.37586879999981</v>
      </c>
      <c r="H811" s="120"/>
      <c r="I811" s="121"/>
      <c r="J811" s="122"/>
    </row>
    <row r="812" spans="1:11" ht="15.6" x14ac:dyDescent="0.25">
      <c r="A812" s="111">
        <v>6</v>
      </c>
      <c r="B812" s="112"/>
      <c r="C812" s="59" t="s">
        <v>177</v>
      </c>
      <c r="D812" s="111">
        <f>(43.72)*10.764</f>
        <v>470.60207999999994</v>
      </c>
      <c r="E812" s="112"/>
      <c r="F812" s="59">
        <v>0</v>
      </c>
      <c r="G812" s="59">
        <f t="shared" si="98"/>
        <v>752.96332799999993</v>
      </c>
      <c r="H812" s="120"/>
      <c r="I812" s="121"/>
      <c r="J812" s="122"/>
    </row>
    <row r="813" spans="1:11" ht="15.6" x14ac:dyDescent="0.25">
      <c r="A813" s="111">
        <v>7</v>
      </c>
      <c r="B813" s="112"/>
      <c r="C813" s="59" t="s">
        <v>177</v>
      </c>
      <c r="D813" s="111">
        <f>(43.72)*10.764</f>
        <v>470.60207999999994</v>
      </c>
      <c r="E813" s="112"/>
      <c r="F813" s="59">
        <v>0</v>
      </c>
      <c r="G813" s="59">
        <f t="shared" si="98"/>
        <v>752.96332799999993</v>
      </c>
      <c r="H813" s="120"/>
      <c r="I813" s="121"/>
      <c r="J813" s="122"/>
    </row>
    <row r="814" spans="1:11" ht="15.6" x14ac:dyDescent="0.25">
      <c r="A814" s="111">
        <v>8</v>
      </c>
      <c r="B814" s="112"/>
      <c r="C814" s="59" t="s">
        <v>177</v>
      </c>
      <c r="D814" s="111">
        <f>(0.925*3.05+0.675*2.125+52.396)*10.764</f>
        <v>609.79809149999994</v>
      </c>
      <c r="E814" s="112"/>
      <c r="F814" s="59">
        <v>0</v>
      </c>
      <c r="G814" s="59">
        <f t="shared" si="98"/>
        <v>975.67694639999991</v>
      </c>
      <c r="H814" s="123"/>
      <c r="I814" s="124"/>
      <c r="J814" s="125"/>
    </row>
    <row r="815" spans="1:11" ht="15.6" x14ac:dyDescent="0.25">
      <c r="A815" s="114" t="s">
        <v>362</v>
      </c>
      <c r="B815" s="115"/>
      <c r="C815" s="115"/>
      <c r="D815" s="115"/>
      <c r="E815" s="115"/>
      <c r="F815" s="115"/>
      <c r="G815" s="115"/>
      <c r="H815" s="115"/>
      <c r="I815" s="115"/>
      <c r="J815" s="116"/>
    </row>
    <row r="816" spans="1:11" ht="15.6" x14ac:dyDescent="0.25">
      <c r="A816" s="111">
        <v>1</v>
      </c>
      <c r="B816" s="112"/>
      <c r="C816" s="117" t="s">
        <v>223</v>
      </c>
      <c r="D816" s="118"/>
      <c r="E816" s="118"/>
      <c r="F816" s="118"/>
      <c r="G816" s="119"/>
      <c r="H816" s="117" t="str">
        <f>A815</f>
        <v>29th Floor ( Part Refuge Area)</v>
      </c>
      <c r="I816" s="118"/>
      <c r="J816" s="119"/>
    </row>
    <row r="817" spans="1:11" ht="15.6" x14ac:dyDescent="0.25">
      <c r="A817" s="111">
        <v>2</v>
      </c>
      <c r="B817" s="112"/>
      <c r="C817" s="123"/>
      <c r="D817" s="124"/>
      <c r="E817" s="124"/>
      <c r="F817" s="124"/>
      <c r="G817" s="125"/>
      <c r="H817" s="120"/>
      <c r="I817" s="121"/>
      <c r="J817" s="122"/>
      <c r="K817" s="26">
        <v>12</v>
      </c>
    </row>
    <row r="818" spans="1:11" ht="15.75" customHeight="1" x14ac:dyDescent="0.25">
      <c r="A818" s="111">
        <v>3</v>
      </c>
      <c r="B818" s="112"/>
      <c r="C818" s="59" t="s">
        <v>177</v>
      </c>
      <c r="D818" s="111">
        <f>(52.396+0.925*3.05+0.675*2.1)*10.764</f>
        <v>609.61644899999988</v>
      </c>
      <c r="E818" s="112"/>
      <c r="F818" s="59">
        <v>0</v>
      </c>
      <c r="G818" s="59">
        <f t="shared" ref="G818:G823" si="99">D818*1.6+F818</f>
        <v>975.38631839999982</v>
      </c>
      <c r="H818" s="120"/>
      <c r="I818" s="121"/>
      <c r="J818" s="122"/>
    </row>
    <row r="819" spans="1:11" ht="15.6" x14ac:dyDescent="0.25">
      <c r="A819" s="111">
        <v>4</v>
      </c>
      <c r="B819" s="112"/>
      <c r="C819" s="59" t="s">
        <v>177</v>
      </c>
      <c r="D819" s="111">
        <f>(43.841)*10.764</f>
        <v>471.90452399999998</v>
      </c>
      <c r="E819" s="112"/>
      <c r="F819" s="59">
        <v>0</v>
      </c>
      <c r="G819" s="59">
        <f t="shared" si="99"/>
        <v>755.04723839999997</v>
      </c>
      <c r="H819" s="120"/>
      <c r="I819" s="121"/>
      <c r="J819" s="122"/>
    </row>
    <row r="820" spans="1:11" ht="15.75" customHeight="1" x14ac:dyDescent="0.25">
      <c r="A820" s="111">
        <v>5</v>
      </c>
      <c r="B820" s="112"/>
      <c r="C820" s="59" t="s">
        <v>177</v>
      </c>
      <c r="D820" s="111">
        <f>(51.907+0.675*2.1)*10.764</f>
        <v>573.98491799999988</v>
      </c>
      <c r="E820" s="112"/>
      <c r="F820" s="59">
        <v>0</v>
      </c>
      <c r="G820" s="59">
        <f t="shared" si="99"/>
        <v>918.37586879999981</v>
      </c>
      <c r="H820" s="120"/>
      <c r="I820" s="121"/>
      <c r="J820" s="122"/>
    </row>
    <row r="821" spans="1:11" ht="15.6" x14ac:dyDescent="0.25">
      <c r="A821" s="111">
        <v>6</v>
      </c>
      <c r="B821" s="112"/>
      <c r="C821" s="59" t="s">
        <v>177</v>
      </c>
      <c r="D821" s="111">
        <f>(43.72)*10.764</f>
        <v>470.60207999999994</v>
      </c>
      <c r="E821" s="112"/>
      <c r="F821" s="59">
        <v>0</v>
      </c>
      <c r="G821" s="59">
        <f t="shared" si="99"/>
        <v>752.96332799999993</v>
      </c>
      <c r="H821" s="120"/>
      <c r="I821" s="121"/>
      <c r="J821" s="122"/>
    </row>
    <row r="822" spans="1:11" ht="15.6" x14ac:dyDescent="0.25">
      <c r="A822" s="111">
        <v>7</v>
      </c>
      <c r="B822" s="112"/>
      <c r="C822" s="59" t="s">
        <v>177</v>
      </c>
      <c r="D822" s="111">
        <f>(43.72)*10.764</f>
        <v>470.60207999999994</v>
      </c>
      <c r="E822" s="112"/>
      <c r="F822" s="59">
        <v>0</v>
      </c>
      <c r="G822" s="59">
        <f t="shared" si="99"/>
        <v>752.96332799999993</v>
      </c>
      <c r="H822" s="120"/>
      <c r="I822" s="121"/>
      <c r="J822" s="122"/>
    </row>
    <row r="823" spans="1:11" ht="15.6" x14ac:dyDescent="0.25">
      <c r="A823" s="111">
        <v>8</v>
      </c>
      <c r="B823" s="112"/>
      <c r="C823" s="59" t="s">
        <v>177</v>
      </c>
      <c r="D823" s="111">
        <f>(0.925*3.05+0.675*2.125+52.396)*10.764</f>
        <v>609.79809149999994</v>
      </c>
      <c r="E823" s="112"/>
      <c r="F823" s="59">
        <v>0</v>
      </c>
      <c r="G823" s="59">
        <f t="shared" si="99"/>
        <v>975.67694639999991</v>
      </c>
      <c r="H823" s="123"/>
      <c r="I823" s="124"/>
      <c r="J823" s="125"/>
    </row>
    <row r="824" spans="1:11" ht="15.6" x14ac:dyDescent="0.25">
      <c r="A824" s="114" t="s">
        <v>302</v>
      </c>
      <c r="B824" s="115"/>
      <c r="C824" s="115"/>
      <c r="D824" s="115"/>
      <c r="E824" s="115"/>
      <c r="F824" s="115"/>
      <c r="G824" s="115"/>
      <c r="H824" s="115"/>
      <c r="I824" s="115"/>
      <c r="J824" s="116"/>
    </row>
    <row r="825" spans="1:11" ht="15.6" x14ac:dyDescent="0.25">
      <c r="A825" s="111">
        <v>1</v>
      </c>
      <c r="B825" s="112"/>
      <c r="C825" s="59" t="s">
        <v>177</v>
      </c>
      <c r="D825" s="111">
        <f>(52.946+0.85*1.9+1.165*3.05)*10.764</f>
        <v>625.541787</v>
      </c>
      <c r="E825" s="112"/>
      <c r="F825" s="59">
        <v>0</v>
      </c>
      <c r="G825" s="59">
        <f t="shared" ref="G825:G832" si="100">D825*1.6+F825</f>
        <v>1000.8668592</v>
      </c>
      <c r="H825" s="117" t="str">
        <f>A824</f>
        <v>30th to 35 &amp; 37th to 42nd Floor</v>
      </c>
      <c r="I825" s="118"/>
      <c r="J825" s="119"/>
    </row>
    <row r="826" spans="1:11" ht="15.6" x14ac:dyDescent="0.25">
      <c r="A826" s="111">
        <v>2</v>
      </c>
      <c r="B826" s="112"/>
      <c r="C826" s="59" t="s">
        <v>177</v>
      </c>
      <c r="D826" s="111">
        <f>(52.946+0.85*1.9+1.165*3.05)*10.764</f>
        <v>625.541787</v>
      </c>
      <c r="E826" s="112"/>
      <c r="F826" s="59">
        <v>0</v>
      </c>
      <c r="G826" s="59">
        <f t="shared" si="100"/>
        <v>1000.8668592</v>
      </c>
      <c r="H826" s="120"/>
      <c r="I826" s="121"/>
      <c r="J826" s="122"/>
      <c r="K826" s="26">
        <v>1</v>
      </c>
    </row>
    <row r="827" spans="1:11" ht="15.75" customHeight="1" x14ac:dyDescent="0.25">
      <c r="A827" s="111">
        <v>3</v>
      </c>
      <c r="B827" s="112"/>
      <c r="C827" s="59" t="s">
        <v>177</v>
      </c>
      <c r="D827" s="111">
        <f>(52.396+0.925*3.05+0.675*2.1)*10.764</f>
        <v>609.61644899999988</v>
      </c>
      <c r="E827" s="112"/>
      <c r="F827" s="59">
        <v>0</v>
      </c>
      <c r="G827" s="59">
        <f t="shared" si="100"/>
        <v>975.38631839999982</v>
      </c>
      <c r="H827" s="120"/>
      <c r="I827" s="121"/>
      <c r="J827" s="122"/>
    </row>
    <row r="828" spans="1:11" ht="15.6" x14ac:dyDescent="0.25">
      <c r="A828" s="111">
        <v>4</v>
      </c>
      <c r="B828" s="112"/>
      <c r="C828" s="59" t="s">
        <v>177</v>
      </c>
      <c r="D828" s="111">
        <f>(43.72)*10.764</f>
        <v>470.60207999999994</v>
      </c>
      <c r="E828" s="112"/>
      <c r="F828" s="59">
        <v>0</v>
      </c>
      <c r="G828" s="59">
        <f t="shared" si="100"/>
        <v>752.96332799999993</v>
      </c>
      <c r="H828" s="120"/>
      <c r="I828" s="121"/>
      <c r="J828" s="122"/>
    </row>
    <row r="829" spans="1:11" ht="15.75" customHeight="1" x14ac:dyDescent="0.25">
      <c r="A829" s="111">
        <v>5</v>
      </c>
      <c r="B829" s="112"/>
      <c r="C829" s="59" t="s">
        <v>177</v>
      </c>
      <c r="D829" s="111">
        <f>(51.907+0.675*2.1)*10.764</f>
        <v>573.98491799999988</v>
      </c>
      <c r="E829" s="112"/>
      <c r="F829" s="59">
        <v>0</v>
      </c>
      <c r="G829" s="59">
        <f t="shared" si="100"/>
        <v>918.37586879999981</v>
      </c>
      <c r="H829" s="120"/>
      <c r="I829" s="121"/>
      <c r="J829" s="122"/>
    </row>
    <row r="830" spans="1:11" ht="15.6" x14ac:dyDescent="0.25">
      <c r="A830" s="111">
        <v>6</v>
      </c>
      <c r="B830" s="112"/>
      <c r="C830" s="59" t="s">
        <v>177</v>
      </c>
      <c r="D830" s="111">
        <f>(43.72)*10.764</f>
        <v>470.60207999999994</v>
      </c>
      <c r="E830" s="112"/>
      <c r="F830" s="59">
        <v>0</v>
      </c>
      <c r="G830" s="59">
        <f t="shared" si="100"/>
        <v>752.96332799999993</v>
      </c>
      <c r="H830" s="120"/>
      <c r="I830" s="121"/>
      <c r="J830" s="122"/>
    </row>
    <row r="831" spans="1:11" ht="15.6" x14ac:dyDescent="0.25">
      <c r="A831" s="111">
        <v>7</v>
      </c>
      <c r="B831" s="112"/>
      <c r="C831" s="59" t="s">
        <v>177</v>
      </c>
      <c r="D831" s="111">
        <f>(43.72)*10.764</f>
        <v>470.60207999999994</v>
      </c>
      <c r="E831" s="112"/>
      <c r="F831" s="59">
        <v>0</v>
      </c>
      <c r="G831" s="59">
        <f t="shared" si="100"/>
        <v>752.96332799999993</v>
      </c>
      <c r="H831" s="120"/>
      <c r="I831" s="121"/>
      <c r="J831" s="122"/>
    </row>
    <row r="832" spans="1:11" ht="15.6" x14ac:dyDescent="0.25">
      <c r="A832" s="111">
        <v>8</v>
      </c>
      <c r="B832" s="112"/>
      <c r="C832" s="59" t="s">
        <v>177</v>
      </c>
      <c r="D832" s="111">
        <f>(0.925*3.05+0.675*2.125+52.396)*10.764</f>
        <v>609.79809149999994</v>
      </c>
      <c r="E832" s="112"/>
      <c r="F832" s="59">
        <v>0</v>
      </c>
      <c r="G832" s="59">
        <f t="shared" si="100"/>
        <v>975.67694639999991</v>
      </c>
      <c r="H832" s="123"/>
      <c r="I832" s="124"/>
      <c r="J832" s="125"/>
    </row>
    <row r="833" spans="1:12" ht="15.6" x14ac:dyDescent="0.25">
      <c r="A833" s="114" t="s">
        <v>303</v>
      </c>
      <c r="B833" s="115"/>
      <c r="C833" s="115"/>
      <c r="D833" s="115"/>
      <c r="E833" s="115"/>
      <c r="F833" s="115"/>
      <c r="G833" s="115"/>
      <c r="H833" s="115"/>
      <c r="I833" s="115"/>
      <c r="J833" s="116"/>
    </row>
    <row r="834" spans="1:12" ht="15.6" x14ac:dyDescent="0.25">
      <c r="A834" s="111">
        <v>1</v>
      </c>
      <c r="B834" s="112"/>
      <c r="C834" s="117" t="s">
        <v>223</v>
      </c>
      <c r="D834" s="118"/>
      <c r="E834" s="118"/>
      <c r="F834" s="118"/>
      <c r="G834" s="119"/>
      <c r="H834" s="117" t="str">
        <f>A833</f>
        <v>36th Floor ( Part Refuge Area)</v>
      </c>
      <c r="I834" s="118"/>
      <c r="J834" s="119"/>
    </row>
    <row r="835" spans="1:12" ht="15.6" x14ac:dyDescent="0.25">
      <c r="A835" s="111">
        <v>2</v>
      </c>
      <c r="B835" s="112"/>
      <c r="C835" s="123"/>
      <c r="D835" s="124"/>
      <c r="E835" s="124"/>
      <c r="F835" s="124"/>
      <c r="G835" s="125"/>
      <c r="H835" s="120"/>
      <c r="I835" s="121"/>
      <c r="J835" s="122"/>
      <c r="K835" s="26">
        <v>1</v>
      </c>
    </row>
    <row r="836" spans="1:12" ht="15.75" customHeight="1" x14ac:dyDescent="0.25">
      <c r="A836" s="111">
        <v>3</v>
      </c>
      <c r="B836" s="112"/>
      <c r="C836" s="59" t="s">
        <v>177</v>
      </c>
      <c r="D836" s="111">
        <f>(52.396+0.925*3.05+0.675*2.1)*10.764</f>
        <v>609.61644899999988</v>
      </c>
      <c r="E836" s="112"/>
      <c r="F836" s="59">
        <v>0</v>
      </c>
      <c r="G836" s="59">
        <f t="shared" ref="G836:G841" si="101">D836*1.6+F836</f>
        <v>975.38631839999982</v>
      </c>
      <c r="H836" s="120"/>
      <c r="I836" s="121"/>
      <c r="J836" s="122"/>
    </row>
    <row r="837" spans="1:12" ht="15.6" x14ac:dyDescent="0.25">
      <c r="A837" s="111">
        <v>4</v>
      </c>
      <c r="B837" s="112"/>
      <c r="C837" s="59" t="s">
        <v>177</v>
      </c>
      <c r="D837" s="111">
        <f>(43.841)*10.764</f>
        <v>471.90452399999998</v>
      </c>
      <c r="E837" s="112"/>
      <c r="F837" s="59">
        <v>0</v>
      </c>
      <c r="G837" s="59">
        <f t="shared" si="101"/>
        <v>755.04723839999997</v>
      </c>
      <c r="H837" s="120"/>
      <c r="I837" s="121"/>
      <c r="J837" s="122"/>
    </row>
    <row r="838" spans="1:12" ht="15.75" customHeight="1" x14ac:dyDescent="0.25">
      <c r="A838" s="111">
        <v>5</v>
      </c>
      <c r="B838" s="112"/>
      <c r="C838" s="59" t="s">
        <v>177</v>
      </c>
      <c r="D838" s="111">
        <f>(51.907+0.675*2.1)*10.764</f>
        <v>573.98491799999988</v>
      </c>
      <c r="E838" s="112"/>
      <c r="F838" s="59">
        <v>0</v>
      </c>
      <c r="G838" s="59">
        <f t="shared" si="101"/>
        <v>918.37586879999981</v>
      </c>
      <c r="H838" s="120"/>
      <c r="I838" s="121"/>
      <c r="J838" s="122"/>
    </row>
    <row r="839" spans="1:12" ht="15.6" x14ac:dyDescent="0.25">
      <c r="A839" s="111">
        <v>6</v>
      </c>
      <c r="B839" s="112"/>
      <c r="C839" s="59" t="s">
        <v>177</v>
      </c>
      <c r="D839" s="111">
        <f>(43.72)*10.764</f>
        <v>470.60207999999994</v>
      </c>
      <c r="E839" s="112"/>
      <c r="F839" s="59">
        <v>0</v>
      </c>
      <c r="G839" s="59">
        <f t="shared" si="101"/>
        <v>752.96332799999993</v>
      </c>
      <c r="H839" s="120"/>
      <c r="I839" s="121"/>
      <c r="J839" s="122"/>
    </row>
    <row r="840" spans="1:12" ht="15.6" x14ac:dyDescent="0.25">
      <c r="A840" s="111">
        <v>7</v>
      </c>
      <c r="B840" s="112"/>
      <c r="C840" s="59" t="s">
        <v>177</v>
      </c>
      <c r="D840" s="111">
        <f>(43.72)*10.764</f>
        <v>470.60207999999994</v>
      </c>
      <c r="E840" s="112"/>
      <c r="F840" s="59">
        <v>0</v>
      </c>
      <c r="G840" s="59">
        <f t="shared" si="101"/>
        <v>752.96332799999993</v>
      </c>
      <c r="H840" s="120"/>
      <c r="I840" s="121"/>
      <c r="J840" s="122"/>
    </row>
    <row r="841" spans="1:12" ht="15.6" x14ac:dyDescent="0.25">
      <c r="A841" s="111">
        <v>8</v>
      </c>
      <c r="B841" s="112"/>
      <c r="C841" s="59" t="s">
        <v>177</v>
      </c>
      <c r="D841" s="111">
        <f>(0.925*3.05+0.675*2.125+52.396)*10.764</f>
        <v>609.79809149999994</v>
      </c>
      <c r="E841" s="112"/>
      <c r="F841" s="59">
        <v>0</v>
      </c>
      <c r="G841" s="59">
        <f t="shared" si="101"/>
        <v>975.67694639999991</v>
      </c>
      <c r="H841" s="123"/>
      <c r="I841" s="124"/>
      <c r="J841" s="125"/>
    </row>
    <row r="842" spans="1:12" ht="15.6" x14ac:dyDescent="0.25">
      <c r="A842" s="114" t="s">
        <v>233</v>
      </c>
      <c r="B842" s="115"/>
      <c r="C842" s="115"/>
      <c r="D842" s="115"/>
      <c r="E842" s="115"/>
      <c r="F842" s="115"/>
      <c r="G842" s="115"/>
      <c r="H842" s="115"/>
      <c r="I842" s="115"/>
      <c r="J842" s="116"/>
    </row>
    <row r="843" spans="1:12" ht="15.6" x14ac:dyDescent="0.25">
      <c r="A843" s="111">
        <v>1</v>
      </c>
      <c r="B843" s="112"/>
      <c r="C843" s="111" t="s">
        <v>223</v>
      </c>
      <c r="D843" s="113"/>
      <c r="E843" s="113"/>
      <c r="F843" s="113"/>
      <c r="G843" s="112"/>
      <c r="H843" s="117" t="str">
        <f>A842</f>
        <v>43rd Floor (Part Refuge Area)</v>
      </c>
      <c r="I843" s="118"/>
      <c r="J843" s="119"/>
    </row>
    <row r="844" spans="1:12" ht="15.6" x14ac:dyDescent="0.25">
      <c r="A844" s="111">
        <v>2</v>
      </c>
      <c r="B844" s="112"/>
      <c r="C844" s="59" t="s">
        <v>178</v>
      </c>
      <c r="D844" s="111">
        <f>(89.12+0.85*2+1.165*6.2)*10.764</f>
        <v>1055.334852</v>
      </c>
      <c r="E844" s="112"/>
      <c r="F844" s="59">
        <v>0</v>
      </c>
      <c r="G844" s="59">
        <f t="shared" ref="G844:G850" si="102">D844*1.6+F844</f>
        <v>1688.5357632</v>
      </c>
      <c r="H844" s="120"/>
      <c r="I844" s="121"/>
      <c r="J844" s="122"/>
    </row>
    <row r="845" spans="1:12" ht="15.6" x14ac:dyDescent="0.25">
      <c r="A845" s="111">
        <v>3</v>
      </c>
      <c r="B845" s="112"/>
      <c r="C845" s="59" t="s">
        <v>177</v>
      </c>
      <c r="D845" s="111">
        <f>(52.396+0.925*3.05+0.675*2.1)*10.764</f>
        <v>609.61644899999988</v>
      </c>
      <c r="E845" s="112"/>
      <c r="F845" s="59">
        <v>0</v>
      </c>
      <c r="G845" s="59">
        <f t="shared" si="102"/>
        <v>975.38631839999982</v>
      </c>
      <c r="H845" s="120"/>
      <c r="I845" s="121"/>
      <c r="J845" s="122"/>
      <c r="K845" s="111">
        <v>10.763999999999999</v>
      </c>
      <c r="L845" s="112"/>
    </row>
    <row r="846" spans="1:12" ht="15.6" x14ac:dyDescent="0.25">
      <c r="A846" s="111">
        <v>4</v>
      </c>
      <c r="B846" s="112"/>
      <c r="C846" s="59" t="s">
        <v>177</v>
      </c>
      <c r="D846" s="111">
        <f>(43.72)*10.764</f>
        <v>470.60207999999994</v>
      </c>
      <c r="E846" s="112"/>
      <c r="F846" s="59">
        <v>0</v>
      </c>
      <c r="G846" s="59">
        <f t="shared" si="102"/>
        <v>752.96332799999993</v>
      </c>
      <c r="H846" s="120"/>
      <c r="I846" s="121"/>
      <c r="J846" s="122"/>
    </row>
    <row r="847" spans="1:12" ht="15.75" customHeight="1" x14ac:dyDescent="0.25">
      <c r="A847" s="111">
        <v>5</v>
      </c>
      <c r="B847" s="112"/>
      <c r="C847" s="59" t="s">
        <v>177</v>
      </c>
      <c r="D847" s="111">
        <f>(51.907+0.675*2.1)*10.764</f>
        <v>573.98491799999988</v>
      </c>
      <c r="E847" s="112"/>
      <c r="F847" s="59">
        <v>0</v>
      </c>
      <c r="G847" s="59">
        <f t="shared" si="102"/>
        <v>918.37586879999981</v>
      </c>
      <c r="H847" s="120"/>
      <c r="I847" s="121"/>
      <c r="J847" s="122"/>
    </row>
    <row r="848" spans="1:12" ht="15.6" x14ac:dyDescent="0.25">
      <c r="A848" s="111">
        <v>6</v>
      </c>
      <c r="B848" s="112"/>
      <c r="C848" s="59" t="s">
        <v>177</v>
      </c>
      <c r="D848" s="111">
        <f>(43.72)*10.764</f>
        <v>470.60207999999994</v>
      </c>
      <c r="E848" s="112"/>
      <c r="F848" s="59">
        <v>0</v>
      </c>
      <c r="G848" s="59">
        <f t="shared" si="102"/>
        <v>752.96332799999993</v>
      </c>
      <c r="H848" s="120"/>
      <c r="I848" s="121"/>
      <c r="J848" s="122"/>
      <c r="K848" s="26">
        <f>3.25*4.16+3.97*2.45+4.275*(3.2+3.35)+3.15*4.15+2.45*(1.525+1.575+1.525)+1.275*2.9+4.5+(1.5+1+1)*0.6+0.775*1.6+4.3*2.55</f>
        <v>98.154000000000011</v>
      </c>
      <c r="L848" s="26">
        <f>3*1.815</f>
        <v>5.4450000000000003</v>
      </c>
    </row>
    <row r="849" spans="1:11" ht="15.75" customHeight="1" x14ac:dyDescent="0.25">
      <c r="A849" s="111">
        <v>7</v>
      </c>
      <c r="B849" s="112"/>
      <c r="C849" s="59" t="s">
        <v>177</v>
      </c>
      <c r="D849" s="111">
        <f>(43.72)*10.764</f>
        <v>470.60207999999994</v>
      </c>
      <c r="E849" s="112"/>
      <c r="F849" s="59">
        <v>0</v>
      </c>
      <c r="G849" s="59">
        <f t="shared" si="102"/>
        <v>752.96332799999993</v>
      </c>
      <c r="H849" s="120"/>
      <c r="I849" s="121"/>
      <c r="J849" s="122"/>
    </row>
    <row r="850" spans="1:11" ht="15.6" x14ac:dyDescent="0.25">
      <c r="A850" s="111">
        <v>8</v>
      </c>
      <c r="B850" s="112"/>
      <c r="C850" s="59" t="s">
        <v>177</v>
      </c>
      <c r="D850" s="111">
        <f>(0.925*3.05+0.675*2.125+52.396)*10.764</f>
        <v>609.79809149999994</v>
      </c>
      <c r="E850" s="112"/>
      <c r="F850" s="59">
        <v>0</v>
      </c>
      <c r="G850" s="59">
        <f t="shared" si="102"/>
        <v>975.67694639999991</v>
      </c>
      <c r="H850" s="123"/>
      <c r="I850" s="124"/>
      <c r="J850" s="125"/>
    </row>
    <row r="851" spans="1:11" ht="15.6" x14ac:dyDescent="0.25">
      <c r="A851" s="143" t="s">
        <v>403</v>
      </c>
      <c r="B851" s="144"/>
      <c r="C851" s="144"/>
      <c r="D851" s="144"/>
      <c r="E851" s="144"/>
      <c r="F851" s="144"/>
      <c r="G851" s="144"/>
      <c r="H851" s="144"/>
      <c r="I851" s="144"/>
      <c r="J851" s="145"/>
    </row>
    <row r="852" spans="1:11" ht="15.6" x14ac:dyDescent="0.25">
      <c r="A852" s="114" t="s">
        <v>339</v>
      </c>
      <c r="B852" s="115"/>
      <c r="C852" s="115"/>
      <c r="D852" s="115"/>
      <c r="E852" s="115"/>
      <c r="F852" s="115"/>
      <c r="G852" s="115"/>
      <c r="H852" s="115"/>
      <c r="I852" s="115"/>
      <c r="J852" s="116"/>
    </row>
    <row r="853" spans="1:11" ht="15.6" x14ac:dyDescent="0.25">
      <c r="A853" s="114" t="s">
        <v>341</v>
      </c>
      <c r="B853" s="115"/>
      <c r="C853" s="115"/>
      <c r="D853" s="115"/>
      <c r="E853" s="115"/>
      <c r="F853" s="115"/>
      <c r="G853" s="115"/>
      <c r="H853" s="115"/>
      <c r="I853" s="115"/>
      <c r="J853" s="116"/>
    </row>
    <row r="854" spans="1:11" ht="15.6" x14ac:dyDescent="0.25">
      <c r="A854" s="111">
        <v>1</v>
      </c>
      <c r="B854" s="112"/>
      <c r="C854" s="59" t="s">
        <v>178</v>
      </c>
      <c r="D854" s="111">
        <f>(105.849+3*1.815)*10.764</f>
        <v>1197.9686160000001</v>
      </c>
      <c r="E854" s="112"/>
      <c r="F854" s="59">
        <f>0</f>
        <v>0</v>
      </c>
      <c r="G854" s="59">
        <f t="shared" ref="G854:G861" si="103">D854*1.6+F854</f>
        <v>1916.7497856000002</v>
      </c>
      <c r="H854" s="117" t="str">
        <f>A853</f>
        <v>Ground Floor for Residential, Entrance Lobby, LT Panel Room, Fire Control Room &amp; Parking</v>
      </c>
      <c r="I854" s="118"/>
      <c r="J854" s="119"/>
    </row>
    <row r="855" spans="1:11" ht="15.6" x14ac:dyDescent="0.25">
      <c r="A855" s="111">
        <f>A854+1</f>
        <v>2</v>
      </c>
      <c r="B855" s="112"/>
      <c r="C855" s="59" t="s">
        <v>178</v>
      </c>
      <c r="D855" s="111">
        <f>(105.849+3*1.815)*10.764</f>
        <v>1197.9686160000001</v>
      </c>
      <c r="E855" s="112"/>
      <c r="F855" s="59">
        <f>0</f>
        <v>0</v>
      </c>
      <c r="G855" s="59">
        <f t="shared" si="103"/>
        <v>1916.7497856000002</v>
      </c>
      <c r="H855" s="120"/>
      <c r="I855" s="121"/>
      <c r="J855" s="122"/>
      <c r="K855" s="26">
        <v>1</v>
      </c>
    </row>
    <row r="856" spans="1:11" ht="15.6" x14ac:dyDescent="0.25">
      <c r="A856" s="111">
        <f t="shared" ref="A856:A861" si="104">A855+1</f>
        <v>3</v>
      </c>
      <c r="B856" s="112"/>
      <c r="C856" s="117" t="s">
        <v>322</v>
      </c>
      <c r="D856" s="118"/>
      <c r="E856" s="118"/>
      <c r="F856" s="118"/>
      <c r="G856" s="119"/>
      <c r="H856" s="120"/>
      <c r="I856" s="121"/>
      <c r="J856" s="122"/>
    </row>
    <row r="857" spans="1:11" ht="15.75" customHeight="1" x14ac:dyDescent="0.25">
      <c r="A857" s="111">
        <f t="shared" si="104"/>
        <v>4</v>
      </c>
      <c r="B857" s="112"/>
      <c r="C857" s="123"/>
      <c r="D857" s="124"/>
      <c r="E857" s="124"/>
      <c r="F857" s="124"/>
      <c r="G857" s="125"/>
      <c r="H857" s="120"/>
      <c r="I857" s="121"/>
      <c r="J857" s="122"/>
    </row>
    <row r="858" spans="1:11" ht="15.6" x14ac:dyDescent="0.25">
      <c r="A858" s="111">
        <f t="shared" si="104"/>
        <v>5</v>
      </c>
      <c r="B858" s="112"/>
      <c r="C858" s="59" t="s">
        <v>323</v>
      </c>
      <c r="D858" s="111">
        <f>(92.115+3*1.675)*10.764</f>
        <v>1045.6149599999999</v>
      </c>
      <c r="E858" s="112"/>
      <c r="F858" s="59">
        <v>0</v>
      </c>
      <c r="G858" s="59">
        <f t="shared" si="103"/>
        <v>1672.9839359999999</v>
      </c>
      <c r="H858" s="120"/>
      <c r="I858" s="121"/>
      <c r="J858" s="122"/>
    </row>
    <row r="859" spans="1:11" ht="15.6" x14ac:dyDescent="0.25">
      <c r="A859" s="111">
        <f t="shared" si="104"/>
        <v>6</v>
      </c>
      <c r="B859" s="112"/>
      <c r="C859" s="59" t="s">
        <v>323</v>
      </c>
      <c r="D859" s="111">
        <f>(92.115+3*1.675)*10.764</f>
        <v>1045.6149599999999</v>
      </c>
      <c r="E859" s="112"/>
      <c r="F859" s="59">
        <v>0</v>
      </c>
      <c r="G859" s="59">
        <f t="shared" si="103"/>
        <v>1672.9839359999999</v>
      </c>
      <c r="H859" s="120"/>
      <c r="I859" s="121"/>
      <c r="J859" s="122"/>
    </row>
    <row r="860" spans="1:11" ht="15.6" x14ac:dyDescent="0.25">
      <c r="A860" s="111">
        <f t="shared" si="104"/>
        <v>7</v>
      </c>
      <c r="B860" s="112"/>
      <c r="C860" s="59" t="s">
        <v>324</v>
      </c>
      <c r="D860" s="111">
        <f>(119.029+3*1.815+2.55*1.65)*10.764</f>
        <v>1385.1276659999999</v>
      </c>
      <c r="E860" s="112"/>
      <c r="F860" s="59">
        <v>0</v>
      </c>
      <c r="G860" s="59">
        <f t="shared" si="103"/>
        <v>2216.2042655999999</v>
      </c>
      <c r="H860" s="120"/>
      <c r="I860" s="121"/>
      <c r="J860" s="122"/>
    </row>
    <row r="861" spans="1:11" ht="15.6" x14ac:dyDescent="0.25">
      <c r="A861" s="111">
        <f t="shared" si="104"/>
        <v>8</v>
      </c>
      <c r="B861" s="112"/>
      <c r="C861" s="59" t="s">
        <v>324</v>
      </c>
      <c r="D861" s="111">
        <f>(121.671+3*1.815+2.55*1.67)*10.764</f>
        <v>1414.1151179999999</v>
      </c>
      <c r="E861" s="112"/>
      <c r="F861" s="59">
        <v>0</v>
      </c>
      <c r="G861" s="59">
        <f t="shared" si="103"/>
        <v>2262.5841888</v>
      </c>
      <c r="H861" s="123"/>
      <c r="I861" s="124"/>
      <c r="J861" s="125"/>
    </row>
    <row r="862" spans="1:11" ht="15.6" x14ac:dyDescent="0.25">
      <c r="A862" s="126" t="s">
        <v>257</v>
      </c>
      <c r="B862" s="127"/>
      <c r="C862" s="127"/>
      <c r="D862" s="127"/>
      <c r="E862" s="127"/>
      <c r="F862" s="127"/>
      <c r="G862" s="127"/>
      <c r="H862" s="127"/>
      <c r="I862" s="127"/>
      <c r="J862" s="128"/>
    </row>
    <row r="863" spans="1:11" ht="15.6" x14ac:dyDescent="0.25">
      <c r="A863" s="111">
        <v>1</v>
      </c>
      <c r="B863" s="112"/>
      <c r="C863" s="59" t="s">
        <v>178</v>
      </c>
      <c r="D863" s="111">
        <f>(105.849+3*1.815)*10.764</f>
        <v>1197.9686160000001</v>
      </c>
      <c r="E863" s="112"/>
      <c r="F863" s="59">
        <f>0</f>
        <v>0</v>
      </c>
      <c r="G863" s="59">
        <f t="shared" ref="G863:G870" si="105">D863*1.6+F863</f>
        <v>1916.7497856000002</v>
      </c>
      <c r="H863" s="117" t="str">
        <f>A862</f>
        <v xml:space="preserve">1st Floor </v>
      </c>
      <c r="I863" s="118"/>
      <c r="J863" s="119"/>
    </row>
    <row r="864" spans="1:11" ht="15.6" x14ac:dyDescent="0.25">
      <c r="A864" s="111">
        <f>A863+1</f>
        <v>2</v>
      </c>
      <c r="B864" s="112"/>
      <c r="C864" s="59" t="s">
        <v>178</v>
      </c>
      <c r="D864" s="111">
        <f>(105.849+3*1.815)*10.764</f>
        <v>1197.9686160000001</v>
      </c>
      <c r="E864" s="112"/>
      <c r="F864" s="59">
        <f>0</f>
        <v>0</v>
      </c>
      <c r="G864" s="59">
        <f t="shared" si="105"/>
        <v>1916.7497856000002</v>
      </c>
      <c r="H864" s="120"/>
      <c r="I864" s="121"/>
      <c r="J864" s="122"/>
      <c r="K864" s="26">
        <v>2</v>
      </c>
    </row>
    <row r="865" spans="1:11" ht="15.6" x14ac:dyDescent="0.25">
      <c r="A865" s="111">
        <f t="shared" ref="A865:A870" si="106">A864+1</f>
        <v>3</v>
      </c>
      <c r="B865" s="112"/>
      <c r="C865" s="117" t="s">
        <v>325</v>
      </c>
      <c r="D865" s="118"/>
      <c r="E865" s="118"/>
      <c r="F865" s="118"/>
      <c r="G865" s="119"/>
      <c r="H865" s="120"/>
      <c r="I865" s="121"/>
      <c r="J865" s="122"/>
    </row>
    <row r="866" spans="1:11" ht="15.75" customHeight="1" x14ac:dyDescent="0.25">
      <c r="A866" s="111">
        <f t="shared" si="106"/>
        <v>4</v>
      </c>
      <c r="B866" s="112"/>
      <c r="C866" s="123"/>
      <c r="D866" s="124"/>
      <c r="E866" s="124"/>
      <c r="F866" s="124"/>
      <c r="G866" s="125"/>
      <c r="H866" s="120"/>
      <c r="I866" s="121"/>
      <c r="J866" s="122"/>
    </row>
    <row r="867" spans="1:11" ht="15.6" x14ac:dyDescent="0.25">
      <c r="A867" s="111">
        <f t="shared" si="106"/>
        <v>5</v>
      </c>
      <c r="B867" s="112"/>
      <c r="C867" s="59" t="s">
        <v>323</v>
      </c>
      <c r="D867" s="111">
        <f>(92.115+3*1.675)*10.764</f>
        <v>1045.6149599999999</v>
      </c>
      <c r="E867" s="112"/>
      <c r="F867" s="59">
        <f>0</f>
        <v>0</v>
      </c>
      <c r="G867" s="59">
        <f t="shared" si="105"/>
        <v>1672.9839359999999</v>
      </c>
      <c r="H867" s="120"/>
      <c r="I867" s="121"/>
      <c r="J867" s="122"/>
    </row>
    <row r="868" spans="1:11" ht="15.6" x14ac:dyDescent="0.25">
      <c r="A868" s="111">
        <f t="shared" si="106"/>
        <v>6</v>
      </c>
      <c r="B868" s="112"/>
      <c r="C868" s="59" t="s">
        <v>323</v>
      </c>
      <c r="D868" s="111">
        <f>(92.115+3*1.675)*10.764</f>
        <v>1045.6149599999999</v>
      </c>
      <c r="E868" s="112"/>
      <c r="F868" s="59">
        <f>0</f>
        <v>0</v>
      </c>
      <c r="G868" s="59">
        <f t="shared" si="105"/>
        <v>1672.9839359999999</v>
      </c>
      <c r="H868" s="120"/>
      <c r="I868" s="121"/>
      <c r="J868" s="122"/>
    </row>
    <row r="869" spans="1:11" ht="15.6" x14ac:dyDescent="0.25">
      <c r="A869" s="111">
        <f t="shared" si="106"/>
        <v>7</v>
      </c>
      <c r="B869" s="112"/>
      <c r="C869" s="59" t="s">
        <v>324</v>
      </c>
      <c r="D869" s="111">
        <f>(119.029+3*1.815+2.55*1.65)*10.764</f>
        <v>1385.1276659999999</v>
      </c>
      <c r="E869" s="112"/>
      <c r="F869" s="59">
        <f>0</f>
        <v>0</v>
      </c>
      <c r="G869" s="59">
        <f t="shared" si="105"/>
        <v>2216.2042655999999</v>
      </c>
      <c r="H869" s="120"/>
      <c r="I869" s="121"/>
      <c r="J869" s="122"/>
    </row>
    <row r="870" spans="1:11" ht="15.6" x14ac:dyDescent="0.25">
      <c r="A870" s="111">
        <f t="shared" si="106"/>
        <v>8</v>
      </c>
      <c r="B870" s="112"/>
      <c r="C870" s="59" t="s">
        <v>324</v>
      </c>
      <c r="D870" s="111">
        <f>(121.671+3*1.815+2.55*1.67)*10.764</f>
        <v>1414.1151179999999</v>
      </c>
      <c r="E870" s="112"/>
      <c r="F870" s="59">
        <f>0</f>
        <v>0</v>
      </c>
      <c r="G870" s="59">
        <f t="shared" si="105"/>
        <v>2262.5841888</v>
      </c>
      <c r="H870" s="123"/>
      <c r="I870" s="124"/>
      <c r="J870" s="125"/>
    </row>
    <row r="871" spans="1:11" ht="15.6" x14ac:dyDescent="0.25">
      <c r="A871" s="114" t="s">
        <v>327</v>
      </c>
      <c r="B871" s="115"/>
      <c r="C871" s="115"/>
      <c r="D871" s="115"/>
      <c r="E871" s="115"/>
      <c r="F871" s="115"/>
      <c r="G871" s="115"/>
      <c r="H871" s="115"/>
      <c r="I871" s="115"/>
      <c r="J871" s="116"/>
    </row>
    <row r="872" spans="1:11" ht="15.6" x14ac:dyDescent="0.25">
      <c r="A872" s="111">
        <v>1</v>
      </c>
      <c r="B872" s="112"/>
      <c r="C872" s="59" t="s">
        <v>178</v>
      </c>
      <c r="D872" s="111">
        <f>(105.849+3*1.815)*10.764</f>
        <v>1197.9686160000001</v>
      </c>
      <c r="E872" s="112"/>
      <c r="F872" s="59">
        <f>0</f>
        <v>0</v>
      </c>
      <c r="G872" s="59">
        <f t="shared" ref="G872:G879" si="107">D872*1.6+F872</f>
        <v>1916.7497856000002</v>
      </c>
      <c r="H872" s="117" t="str">
        <f>A871</f>
        <v>2nd &amp; 3rd Floor</v>
      </c>
      <c r="I872" s="118"/>
      <c r="J872" s="119"/>
    </row>
    <row r="873" spans="1:11" ht="15.6" x14ac:dyDescent="0.25">
      <c r="A873" s="111">
        <f>A872+1</f>
        <v>2</v>
      </c>
      <c r="B873" s="112"/>
      <c r="C873" s="59" t="s">
        <v>178</v>
      </c>
      <c r="D873" s="111">
        <f>(105.849+3*1.815)*10.764</f>
        <v>1197.9686160000001</v>
      </c>
      <c r="E873" s="112"/>
      <c r="F873" s="59">
        <f>0</f>
        <v>0</v>
      </c>
      <c r="G873" s="59">
        <f t="shared" si="107"/>
        <v>1916.7497856000002</v>
      </c>
      <c r="H873" s="120"/>
      <c r="I873" s="121"/>
      <c r="J873" s="122"/>
      <c r="K873" s="26">
        <v>1</v>
      </c>
    </row>
    <row r="874" spans="1:11" ht="15.6" x14ac:dyDescent="0.25">
      <c r="A874" s="111">
        <f t="shared" ref="A874:A879" si="108">A873+1</f>
        <v>3</v>
      </c>
      <c r="B874" s="112"/>
      <c r="C874" s="117" t="s">
        <v>326</v>
      </c>
      <c r="D874" s="118"/>
      <c r="E874" s="118"/>
      <c r="F874" s="118"/>
      <c r="G874" s="119"/>
      <c r="H874" s="120"/>
      <c r="I874" s="121"/>
      <c r="J874" s="122"/>
    </row>
    <row r="875" spans="1:11" ht="15.75" customHeight="1" x14ac:dyDescent="0.25">
      <c r="A875" s="111">
        <f t="shared" si="108"/>
        <v>4</v>
      </c>
      <c r="B875" s="112"/>
      <c r="C875" s="123"/>
      <c r="D875" s="124"/>
      <c r="E875" s="124"/>
      <c r="F875" s="124"/>
      <c r="G875" s="125"/>
      <c r="H875" s="120"/>
      <c r="I875" s="121"/>
      <c r="J875" s="122"/>
    </row>
    <row r="876" spans="1:11" ht="15.6" x14ac:dyDescent="0.25">
      <c r="A876" s="111">
        <f t="shared" si="108"/>
        <v>5</v>
      </c>
      <c r="B876" s="112"/>
      <c r="C876" s="59" t="s">
        <v>323</v>
      </c>
      <c r="D876" s="111">
        <f>(92.115+3*1.675)*10.764</f>
        <v>1045.6149599999999</v>
      </c>
      <c r="E876" s="112"/>
      <c r="F876" s="59">
        <f>0</f>
        <v>0</v>
      </c>
      <c r="G876" s="59">
        <f t="shared" si="107"/>
        <v>1672.9839359999999</v>
      </c>
      <c r="H876" s="120"/>
      <c r="I876" s="121"/>
      <c r="J876" s="122"/>
    </row>
    <row r="877" spans="1:11" ht="15.6" x14ac:dyDescent="0.25">
      <c r="A877" s="111">
        <f t="shared" si="108"/>
        <v>6</v>
      </c>
      <c r="B877" s="112"/>
      <c r="C877" s="59" t="s">
        <v>323</v>
      </c>
      <c r="D877" s="111">
        <f>(92.115+3*1.675)*10.764</f>
        <v>1045.6149599999999</v>
      </c>
      <c r="E877" s="112"/>
      <c r="F877" s="59">
        <f>0</f>
        <v>0</v>
      </c>
      <c r="G877" s="59">
        <f t="shared" si="107"/>
        <v>1672.9839359999999</v>
      </c>
      <c r="H877" s="120"/>
      <c r="I877" s="121"/>
      <c r="J877" s="122"/>
    </row>
    <row r="878" spans="1:11" ht="15.6" x14ac:dyDescent="0.25">
      <c r="A878" s="111">
        <f t="shared" si="108"/>
        <v>7</v>
      </c>
      <c r="B878" s="112"/>
      <c r="C878" s="59" t="s">
        <v>324</v>
      </c>
      <c r="D878" s="111">
        <f>(119.029+3*1.815+2.55*1.65)*10.764</f>
        <v>1385.1276659999999</v>
      </c>
      <c r="E878" s="112"/>
      <c r="F878" s="59">
        <f>0</f>
        <v>0</v>
      </c>
      <c r="G878" s="59">
        <f t="shared" si="107"/>
        <v>2216.2042655999999</v>
      </c>
      <c r="H878" s="120"/>
      <c r="I878" s="121"/>
      <c r="J878" s="122"/>
    </row>
    <row r="879" spans="1:11" ht="15.6" x14ac:dyDescent="0.25">
      <c r="A879" s="111">
        <f t="shared" si="108"/>
        <v>8</v>
      </c>
      <c r="B879" s="112"/>
      <c r="C879" s="59" t="s">
        <v>324</v>
      </c>
      <c r="D879" s="111">
        <f>(121.671+3*1.815+2.55*1.67)*10.764</f>
        <v>1414.1151179999999</v>
      </c>
      <c r="E879" s="112"/>
      <c r="F879" s="59">
        <f>0</f>
        <v>0</v>
      </c>
      <c r="G879" s="59">
        <f t="shared" si="107"/>
        <v>2262.5841888</v>
      </c>
      <c r="H879" s="123"/>
      <c r="I879" s="124"/>
      <c r="J879" s="125"/>
    </row>
    <row r="880" spans="1:11" ht="15.6" x14ac:dyDescent="0.25">
      <c r="A880" s="114" t="s">
        <v>262</v>
      </c>
      <c r="B880" s="115"/>
      <c r="C880" s="115"/>
      <c r="D880" s="115"/>
      <c r="E880" s="115"/>
      <c r="F880" s="115"/>
      <c r="G880" s="115"/>
      <c r="H880" s="115"/>
      <c r="I880" s="115"/>
      <c r="J880" s="116"/>
    </row>
    <row r="881" spans="1:11" ht="15.6" x14ac:dyDescent="0.25">
      <c r="A881" s="111">
        <v>1</v>
      </c>
      <c r="B881" s="112"/>
      <c r="C881" s="59" t="s">
        <v>178</v>
      </c>
      <c r="D881" s="111">
        <f>(105.849+3*1.815)*10.764</f>
        <v>1197.9686160000001</v>
      </c>
      <c r="E881" s="112"/>
      <c r="F881" s="59">
        <f>0</f>
        <v>0</v>
      </c>
      <c r="G881" s="59">
        <f t="shared" ref="G881:G882" si="109">D881*1.6+F881</f>
        <v>1916.7497856000002</v>
      </c>
      <c r="H881" s="117" t="str">
        <f>A880</f>
        <v>4th Floor</v>
      </c>
      <c r="I881" s="118"/>
      <c r="J881" s="119"/>
    </row>
    <row r="882" spans="1:11" ht="15.6" x14ac:dyDescent="0.25">
      <c r="A882" s="111">
        <f>A881+1</f>
        <v>2</v>
      </c>
      <c r="B882" s="112"/>
      <c r="C882" s="59" t="s">
        <v>178</v>
      </c>
      <c r="D882" s="111">
        <f>(105.849+3*1.815)*10.764</f>
        <v>1197.9686160000001</v>
      </c>
      <c r="E882" s="112"/>
      <c r="F882" s="59">
        <f>0</f>
        <v>0</v>
      </c>
      <c r="G882" s="59">
        <f t="shared" si="109"/>
        <v>1916.7497856000002</v>
      </c>
      <c r="H882" s="120"/>
      <c r="I882" s="121"/>
      <c r="J882" s="122"/>
      <c r="K882" s="26">
        <v>1</v>
      </c>
    </row>
    <row r="883" spans="1:11" ht="15.6" x14ac:dyDescent="0.25">
      <c r="A883" s="111">
        <f t="shared" ref="A883:A888" si="110">A882+1</f>
        <v>3</v>
      </c>
      <c r="B883" s="112"/>
      <c r="C883" s="117" t="s">
        <v>328</v>
      </c>
      <c r="D883" s="118"/>
      <c r="E883" s="118"/>
      <c r="F883" s="118"/>
      <c r="G883" s="119"/>
      <c r="H883" s="120"/>
      <c r="I883" s="121"/>
      <c r="J883" s="122"/>
    </row>
    <row r="884" spans="1:11" ht="15.75" customHeight="1" x14ac:dyDescent="0.25">
      <c r="A884" s="111">
        <f t="shared" si="110"/>
        <v>4</v>
      </c>
      <c r="B884" s="112"/>
      <c r="C884" s="123"/>
      <c r="D884" s="124"/>
      <c r="E884" s="124"/>
      <c r="F884" s="124"/>
      <c r="G884" s="125"/>
      <c r="H884" s="120"/>
      <c r="I884" s="121"/>
      <c r="J884" s="122"/>
    </row>
    <row r="885" spans="1:11" ht="15.6" x14ac:dyDescent="0.25">
      <c r="A885" s="111">
        <f t="shared" si="110"/>
        <v>5</v>
      </c>
      <c r="B885" s="112"/>
      <c r="C885" s="59" t="s">
        <v>323</v>
      </c>
      <c r="D885" s="111">
        <f>(92.115+3*1.675)*10.764</f>
        <v>1045.6149599999999</v>
      </c>
      <c r="E885" s="112"/>
      <c r="F885" s="59">
        <f>0</f>
        <v>0</v>
      </c>
      <c r="G885" s="59">
        <f t="shared" ref="G885:G888" si="111">D885*1.6+F885</f>
        <v>1672.9839359999999</v>
      </c>
      <c r="H885" s="120"/>
      <c r="I885" s="121"/>
      <c r="J885" s="122"/>
    </row>
    <row r="886" spans="1:11" ht="15.6" x14ac:dyDescent="0.25">
      <c r="A886" s="111">
        <f t="shared" si="110"/>
        <v>6</v>
      </c>
      <c r="B886" s="112"/>
      <c r="C886" s="59" t="s">
        <v>323</v>
      </c>
      <c r="D886" s="111">
        <f>(92.115+3*1.675)*10.764</f>
        <v>1045.6149599999999</v>
      </c>
      <c r="E886" s="112"/>
      <c r="F886" s="59">
        <f>0</f>
        <v>0</v>
      </c>
      <c r="G886" s="59">
        <f t="shared" si="111"/>
        <v>1672.9839359999999</v>
      </c>
      <c r="H886" s="120"/>
      <c r="I886" s="121"/>
      <c r="J886" s="122"/>
    </row>
    <row r="887" spans="1:11" ht="15.6" x14ac:dyDescent="0.25">
      <c r="A887" s="111">
        <f t="shared" si="110"/>
        <v>7</v>
      </c>
      <c r="B887" s="112"/>
      <c r="C887" s="59" t="s">
        <v>324</v>
      </c>
      <c r="D887" s="111">
        <f>(119.029+3*1.815+2.55*1.65)*10.764</f>
        <v>1385.1276659999999</v>
      </c>
      <c r="E887" s="112"/>
      <c r="F887" s="59">
        <f>0</f>
        <v>0</v>
      </c>
      <c r="G887" s="59">
        <f t="shared" si="111"/>
        <v>2216.2042655999999</v>
      </c>
      <c r="H887" s="120"/>
      <c r="I887" s="121"/>
      <c r="J887" s="122"/>
    </row>
    <row r="888" spans="1:11" ht="15.6" x14ac:dyDescent="0.25">
      <c r="A888" s="111">
        <f t="shared" si="110"/>
        <v>8</v>
      </c>
      <c r="B888" s="112"/>
      <c r="C888" s="59" t="s">
        <v>324</v>
      </c>
      <c r="D888" s="111">
        <f>(121.671+3*1.815+2.55*1.67)*10.764</f>
        <v>1414.1151179999999</v>
      </c>
      <c r="E888" s="112"/>
      <c r="F888" s="59">
        <f>0</f>
        <v>0</v>
      </c>
      <c r="G888" s="59">
        <f t="shared" si="111"/>
        <v>2262.5841888</v>
      </c>
      <c r="H888" s="123"/>
      <c r="I888" s="124"/>
      <c r="J888" s="125"/>
    </row>
    <row r="889" spans="1:11" ht="15.6" x14ac:dyDescent="0.25">
      <c r="A889" s="114" t="s">
        <v>263</v>
      </c>
      <c r="B889" s="115"/>
      <c r="C889" s="115"/>
      <c r="D889" s="115"/>
      <c r="E889" s="115"/>
      <c r="F889" s="115"/>
      <c r="G889" s="115"/>
      <c r="H889" s="115"/>
      <c r="I889" s="115"/>
      <c r="J889" s="116"/>
    </row>
    <row r="890" spans="1:11" ht="15.6" x14ac:dyDescent="0.25">
      <c r="A890" s="111">
        <v>1</v>
      </c>
      <c r="B890" s="112"/>
      <c r="C890" s="59" t="s">
        <v>178</v>
      </c>
      <c r="D890" s="111">
        <f>(105.849+3*1.815)*10.764</f>
        <v>1197.9686160000001</v>
      </c>
      <c r="E890" s="112"/>
      <c r="F890" s="59">
        <f>0</f>
        <v>0</v>
      </c>
      <c r="G890" s="59">
        <f t="shared" ref="G890:G897" si="112">D890*1.6+F890</f>
        <v>1916.7497856000002</v>
      </c>
      <c r="H890" s="117" t="str">
        <f>A889</f>
        <v>5th Floor</v>
      </c>
      <c r="I890" s="118"/>
      <c r="J890" s="119"/>
    </row>
    <row r="891" spans="1:11" ht="15.6" x14ac:dyDescent="0.25">
      <c r="A891" s="111">
        <f>A890+1</f>
        <v>2</v>
      </c>
      <c r="B891" s="112"/>
      <c r="C891" s="59" t="s">
        <v>178</v>
      </c>
      <c r="D891" s="111">
        <f>(105.849+3*1.815)*10.764</f>
        <v>1197.9686160000001</v>
      </c>
      <c r="E891" s="112"/>
      <c r="F891" s="59">
        <f>0</f>
        <v>0</v>
      </c>
      <c r="G891" s="59">
        <f t="shared" si="112"/>
        <v>1916.7497856000002</v>
      </c>
      <c r="H891" s="120"/>
      <c r="I891" s="121"/>
      <c r="J891" s="122"/>
      <c r="K891" s="26">
        <v>8</v>
      </c>
    </row>
    <row r="892" spans="1:11" ht="15.6" x14ac:dyDescent="0.25">
      <c r="A892" s="111">
        <f t="shared" ref="A892:A897" si="113">A891+1</f>
        <v>3</v>
      </c>
      <c r="B892" s="112"/>
      <c r="C892" s="59" t="s">
        <v>177</v>
      </c>
      <c r="D892" s="111">
        <f>(75.843+3*1.525)*10.764</f>
        <v>865.61935200000005</v>
      </c>
      <c r="E892" s="112"/>
      <c r="F892" s="59">
        <f>0</f>
        <v>0</v>
      </c>
      <c r="G892" s="59">
        <f t="shared" si="112"/>
        <v>1384.9909632000001</v>
      </c>
      <c r="H892" s="120"/>
      <c r="I892" s="121"/>
      <c r="J892" s="122"/>
    </row>
    <row r="893" spans="1:11" ht="15.75" customHeight="1" x14ac:dyDescent="0.25">
      <c r="A893" s="111">
        <f t="shared" si="113"/>
        <v>4</v>
      </c>
      <c r="B893" s="112"/>
      <c r="C893" s="59" t="s">
        <v>177</v>
      </c>
      <c r="D893" s="111">
        <f>(75.843+3*1.525)*10.764</f>
        <v>865.61935200000005</v>
      </c>
      <c r="E893" s="112"/>
      <c r="F893" s="59">
        <f>0</f>
        <v>0</v>
      </c>
      <c r="G893" s="59">
        <f t="shared" si="112"/>
        <v>1384.9909632000001</v>
      </c>
      <c r="H893" s="120"/>
      <c r="I893" s="121"/>
      <c r="J893" s="122"/>
    </row>
    <row r="894" spans="1:11" ht="15.6" x14ac:dyDescent="0.25">
      <c r="A894" s="111">
        <f t="shared" si="113"/>
        <v>5</v>
      </c>
      <c r="B894" s="112"/>
      <c r="C894" s="59" t="s">
        <v>323</v>
      </c>
      <c r="D894" s="111">
        <f>(92.115+3*1.675)*10.764</f>
        <v>1045.6149599999999</v>
      </c>
      <c r="E894" s="112"/>
      <c r="F894" s="59">
        <f>0</f>
        <v>0</v>
      </c>
      <c r="G894" s="59">
        <f t="shared" si="112"/>
        <v>1672.9839359999999</v>
      </c>
      <c r="H894" s="120"/>
      <c r="I894" s="121"/>
      <c r="J894" s="122"/>
    </row>
    <row r="895" spans="1:11" ht="15.6" x14ac:dyDescent="0.25">
      <c r="A895" s="111">
        <f t="shared" si="113"/>
        <v>6</v>
      </c>
      <c r="B895" s="112"/>
      <c r="C895" s="59" t="s">
        <v>323</v>
      </c>
      <c r="D895" s="111">
        <f>(92.115+3*1.675)*10.764</f>
        <v>1045.6149599999999</v>
      </c>
      <c r="E895" s="112"/>
      <c r="F895" s="59">
        <f>0</f>
        <v>0</v>
      </c>
      <c r="G895" s="59">
        <f t="shared" si="112"/>
        <v>1672.9839359999999</v>
      </c>
      <c r="H895" s="120"/>
      <c r="I895" s="121"/>
      <c r="J895" s="122"/>
    </row>
    <row r="896" spans="1:11" ht="15.6" x14ac:dyDescent="0.25">
      <c r="A896" s="111">
        <f t="shared" si="113"/>
        <v>7</v>
      </c>
      <c r="B896" s="112"/>
      <c r="C896" s="59" t="s">
        <v>324</v>
      </c>
      <c r="D896" s="111">
        <f>(119.029+3*1.815+2.55*1.65)*10.764</f>
        <v>1385.1276659999999</v>
      </c>
      <c r="E896" s="112"/>
      <c r="F896" s="59">
        <f>(3.75*4.65+1.7*4.85)*10.764</f>
        <v>276.44642999999996</v>
      </c>
      <c r="G896" s="59">
        <f t="shared" si="112"/>
        <v>2492.6506955999998</v>
      </c>
      <c r="H896" s="120"/>
      <c r="I896" s="121"/>
      <c r="J896" s="122"/>
    </row>
    <row r="897" spans="1:11" ht="15.6" x14ac:dyDescent="0.25">
      <c r="A897" s="111">
        <f t="shared" si="113"/>
        <v>8</v>
      </c>
      <c r="B897" s="112"/>
      <c r="C897" s="59" t="s">
        <v>324</v>
      </c>
      <c r="D897" s="111">
        <f>(121.671+3*1.815+2.55*1.67)*10.764</f>
        <v>1414.1151179999999</v>
      </c>
      <c r="E897" s="112"/>
      <c r="F897" s="59">
        <f>0</f>
        <v>0</v>
      </c>
      <c r="G897" s="59">
        <f t="shared" si="112"/>
        <v>2262.5841888</v>
      </c>
      <c r="H897" s="123"/>
      <c r="I897" s="124"/>
      <c r="J897" s="125"/>
    </row>
    <row r="898" spans="1:11" ht="15.6" x14ac:dyDescent="0.25">
      <c r="A898" s="114" t="s">
        <v>329</v>
      </c>
      <c r="B898" s="115"/>
      <c r="C898" s="115"/>
      <c r="D898" s="115"/>
      <c r="E898" s="115"/>
      <c r="F898" s="115"/>
      <c r="G898" s="115"/>
      <c r="H898" s="115"/>
      <c r="I898" s="115"/>
      <c r="J898" s="116"/>
    </row>
    <row r="899" spans="1:11" ht="15.6" x14ac:dyDescent="0.25">
      <c r="A899" s="111">
        <v>1</v>
      </c>
      <c r="B899" s="112"/>
      <c r="C899" s="59" t="s">
        <v>178</v>
      </c>
      <c r="D899" s="111">
        <f>(105.767+3*1.815)*10.764</f>
        <v>1197.0859679999999</v>
      </c>
      <c r="E899" s="112"/>
      <c r="F899" s="59">
        <v>0</v>
      </c>
      <c r="G899" s="59">
        <f t="shared" ref="G899:G906" si="114">D899*1.6+F899</f>
        <v>1915.3375487999999</v>
      </c>
      <c r="H899" s="117" t="str">
        <f>A898</f>
        <v>6th &amp; 7th, 10th to 14th &amp; 17th Floor</v>
      </c>
      <c r="I899" s="118"/>
      <c r="J899" s="119"/>
    </row>
    <row r="900" spans="1:11" ht="15.6" x14ac:dyDescent="0.25">
      <c r="A900" s="111">
        <f>A899+1</f>
        <v>2</v>
      </c>
      <c r="B900" s="112"/>
      <c r="C900" s="59" t="s">
        <v>178</v>
      </c>
      <c r="D900" s="111">
        <f>(105.767+3*1.815)*10.764</f>
        <v>1197.0859679999999</v>
      </c>
      <c r="E900" s="112"/>
      <c r="F900" s="59">
        <v>0</v>
      </c>
      <c r="G900" s="59">
        <f t="shared" si="114"/>
        <v>1915.3375487999999</v>
      </c>
      <c r="H900" s="120"/>
      <c r="I900" s="121"/>
      <c r="J900" s="122"/>
      <c r="K900" s="26">
        <v>2</v>
      </c>
    </row>
    <row r="901" spans="1:11" ht="15.6" x14ac:dyDescent="0.25">
      <c r="A901" s="111">
        <f t="shared" ref="A901:A906" si="115">A900+1</f>
        <v>3</v>
      </c>
      <c r="B901" s="112"/>
      <c r="C901" s="59" t="s">
        <v>177</v>
      </c>
      <c r="D901" s="111">
        <f>(75.843+3*1.525)*10.764</f>
        <v>865.61935200000005</v>
      </c>
      <c r="E901" s="112"/>
      <c r="F901" s="59">
        <v>0</v>
      </c>
      <c r="G901" s="59">
        <f t="shared" si="114"/>
        <v>1384.9909632000001</v>
      </c>
      <c r="H901" s="120"/>
      <c r="I901" s="121"/>
      <c r="J901" s="122"/>
    </row>
    <row r="902" spans="1:11" ht="15.75" customHeight="1" x14ac:dyDescent="0.25">
      <c r="A902" s="111">
        <f t="shared" si="115"/>
        <v>4</v>
      </c>
      <c r="B902" s="112"/>
      <c r="C902" s="59" t="s">
        <v>177</v>
      </c>
      <c r="D902" s="111">
        <f>(75.843+3*1.525)*10.764</f>
        <v>865.61935200000005</v>
      </c>
      <c r="E902" s="112"/>
      <c r="F902" s="59">
        <v>0</v>
      </c>
      <c r="G902" s="59">
        <f t="shared" si="114"/>
        <v>1384.9909632000001</v>
      </c>
      <c r="H902" s="120"/>
      <c r="I902" s="121"/>
      <c r="J902" s="122"/>
    </row>
    <row r="903" spans="1:11" ht="15.6" x14ac:dyDescent="0.25">
      <c r="A903" s="111">
        <f t="shared" si="115"/>
        <v>5</v>
      </c>
      <c r="B903" s="112"/>
      <c r="C903" s="59" t="s">
        <v>323</v>
      </c>
      <c r="D903" s="111">
        <f>(92.498+2.9*1.675)*10.764</f>
        <v>1047.934602</v>
      </c>
      <c r="E903" s="112"/>
      <c r="F903" s="59">
        <v>0</v>
      </c>
      <c r="G903" s="59">
        <f t="shared" si="114"/>
        <v>1676.6953632000002</v>
      </c>
      <c r="H903" s="120"/>
      <c r="I903" s="121"/>
      <c r="J903" s="122"/>
    </row>
    <row r="904" spans="1:11" ht="15.6" x14ac:dyDescent="0.25">
      <c r="A904" s="111">
        <f t="shared" si="115"/>
        <v>6</v>
      </c>
      <c r="B904" s="112"/>
      <c r="C904" s="59" t="s">
        <v>323</v>
      </c>
      <c r="D904" s="111">
        <f>(92.498+2.9*1.675)*10.764</f>
        <v>1047.934602</v>
      </c>
      <c r="E904" s="112"/>
      <c r="F904" s="59">
        <v>0</v>
      </c>
      <c r="G904" s="59">
        <f t="shared" si="114"/>
        <v>1676.6953632000002</v>
      </c>
      <c r="H904" s="120"/>
      <c r="I904" s="121"/>
      <c r="J904" s="122"/>
    </row>
    <row r="905" spans="1:11" ht="15.6" x14ac:dyDescent="0.25">
      <c r="A905" s="111">
        <f t="shared" si="115"/>
        <v>7</v>
      </c>
      <c r="B905" s="112"/>
      <c r="C905" s="59" t="s">
        <v>324</v>
      </c>
      <c r="D905" s="111">
        <f>(119.465+3.2*0.8+0.85*2.9+2.9*1.675)*10.764</f>
        <v>1392.2964899999999</v>
      </c>
      <c r="E905" s="112"/>
      <c r="F905" s="59">
        <v>0</v>
      </c>
      <c r="G905" s="59">
        <f t="shared" si="114"/>
        <v>2227.6743839999999</v>
      </c>
      <c r="H905" s="120"/>
      <c r="I905" s="121"/>
      <c r="J905" s="122"/>
    </row>
    <row r="906" spans="1:11" ht="15.6" x14ac:dyDescent="0.25">
      <c r="A906" s="111">
        <f t="shared" si="115"/>
        <v>8</v>
      </c>
      <c r="B906" s="112"/>
      <c r="C906" s="59" t="s">
        <v>324</v>
      </c>
      <c r="D906" s="111">
        <f>(122.022+3.2*0.8+0.85*2.9+2.9*1.675)*10.764</f>
        <v>1419.8200380000001</v>
      </c>
      <c r="E906" s="112"/>
      <c r="F906" s="59">
        <v>0</v>
      </c>
      <c r="G906" s="59">
        <f t="shared" si="114"/>
        <v>2271.7120608</v>
      </c>
      <c r="H906" s="123"/>
      <c r="I906" s="124"/>
      <c r="J906" s="125"/>
    </row>
    <row r="907" spans="1:11" ht="15.6" x14ac:dyDescent="0.25">
      <c r="A907" s="126" t="s">
        <v>301</v>
      </c>
      <c r="B907" s="127"/>
      <c r="C907" s="127"/>
      <c r="D907" s="127"/>
      <c r="E907" s="127"/>
      <c r="F907" s="127"/>
      <c r="G907" s="127"/>
      <c r="H907" s="127"/>
      <c r="I907" s="127"/>
      <c r="J907" s="128"/>
    </row>
    <row r="908" spans="1:11" ht="15.6" x14ac:dyDescent="0.25">
      <c r="A908" s="111">
        <v>1</v>
      </c>
      <c r="B908" s="112"/>
      <c r="C908" s="59" t="s">
        <v>178</v>
      </c>
      <c r="D908" s="111">
        <f>(105.767+3*1.815)*10.764</f>
        <v>1197.0859679999999</v>
      </c>
      <c r="E908" s="112"/>
      <c r="F908" s="59">
        <v>0</v>
      </c>
      <c r="G908" s="59">
        <f t="shared" ref="G908:G915" si="116">D908*1.6+F908</f>
        <v>1915.3375487999999</v>
      </c>
      <c r="H908" s="117" t="str">
        <f>A907</f>
        <v>8th &amp; 15th Floor ( Part Refuge Area)</v>
      </c>
      <c r="I908" s="118"/>
      <c r="J908" s="119"/>
    </row>
    <row r="909" spans="1:11" ht="15.6" x14ac:dyDescent="0.25">
      <c r="A909" s="111">
        <f>A908+1</f>
        <v>2</v>
      </c>
      <c r="B909" s="112"/>
      <c r="C909" s="59" t="s">
        <v>178</v>
      </c>
      <c r="D909" s="111">
        <f>(105.767+3*1.815)*10.764</f>
        <v>1197.0859679999999</v>
      </c>
      <c r="E909" s="112"/>
      <c r="F909" s="59">
        <v>0</v>
      </c>
      <c r="G909" s="59">
        <f t="shared" si="116"/>
        <v>1915.3375487999999</v>
      </c>
      <c r="H909" s="120"/>
      <c r="I909" s="121"/>
      <c r="J909" s="122"/>
      <c r="K909" s="26">
        <v>2</v>
      </c>
    </row>
    <row r="910" spans="1:11" ht="15.6" x14ac:dyDescent="0.25">
      <c r="A910" s="111">
        <f t="shared" ref="A910:A915" si="117">A909+1</f>
        <v>3</v>
      </c>
      <c r="B910" s="112"/>
      <c r="C910" s="59" t="s">
        <v>177</v>
      </c>
      <c r="D910" s="111">
        <f>(75.843+3*1.525)*10.764</f>
        <v>865.61935200000005</v>
      </c>
      <c r="E910" s="112"/>
      <c r="F910" s="59">
        <v>0</v>
      </c>
      <c r="G910" s="59">
        <f t="shared" si="116"/>
        <v>1384.9909632000001</v>
      </c>
      <c r="H910" s="120"/>
      <c r="I910" s="121"/>
      <c r="J910" s="122"/>
    </row>
    <row r="911" spans="1:11" ht="15.75" customHeight="1" x14ac:dyDescent="0.25">
      <c r="A911" s="111">
        <f t="shared" si="117"/>
        <v>4</v>
      </c>
      <c r="B911" s="112"/>
      <c r="C911" s="59" t="s">
        <v>177</v>
      </c>
      <c r="D911" s="111">
        <f>(75.843+3*1.525)*10.764</f>
        <v>865.61935200000005</v>
      </c>
      <c r="E911" s="112"/>
      <c r="F911" s="59">
        <v>0</v>
      </c>
      <c r="G911" s="59">
        <f t="shared" si="116"/>
        <v>1384.9909632000001</v>
      </c>
      <c r="H911" s="120"/>
      <c r="I911" s="121"/>
      <c r="J911" s="122"/>
    </row>
    <row r="912" spans="1:11" ht="15.6" x14ac:dyDescent="0.25">
      <c r="A912" s="111">
        <f t="shared" si="117"/>
        <v>5</v>
      </c>
      <c r="B912" s="112"/>
      <c r="C912" s="117" t="s">
        <v>223</v>
      </c>
      <c r="D912" s="118"/>
      <c r="E912" s="118"/>
      <c r="F912" s="119"/>
      <c r="G912" s="59">
        <f t="shared" si="116"/>
        <v>0</v>
      </c>
      <c r="H912" s="120"/>
      <c r="I912" s="121"/>
      <c r="J912" s="122"/>
    </row>
    <row r="913" spans="1:11" ht="15.6" x14ac:dyDescent="0.25">
      <c r="A913" s="111">
        <f t="shared" si="117"/>
        <v>6</v>
      </c>
      <c r="B913" s="112"/>
      <c r="C913" s="123"/>
      <c r="D913" s="124"/>
      <c r="E913" s="124"/>
      <c r="F913" s="125"/>
      <c r="G913" s="59">
        <f t="shared" si="116"/>
        <v>0</v>
      </c>
      <c r="H913" s="120"/>
      <c r="I913" s="121"/>
      <c r="J913" s="122"/>
    </row>
    <row r="914" spans="1:11" ht="15.6" x14ac:dyDescent="0.25">
      <c r="A914" s="111">
        <f t="shared" si="117"/>
        <v>7</v>
      </c>
      <c r="B914" s="112"/>
      <c r="C914" s="59" t="s">
        <v>324</v>
      </c>
      <c r="D914" s="111">
        <f>(119.465+3.2*0.8+0.85*2.9+2.9*1.675)*10.764</f>
        <v>1392.2964899999999</v>
      </c>
      <c r="E914" s="112"/>
      <c r="F914" s="59">
        <v>0</v>
      </c>
      <c r="G914" s="59">
        <f t="shared" si="116"/>
        <v>2227.6743839999999</v>
      </c>
      <c r="H914" s="120"/>
      <c r="I914" s="121"/>
      <c r="J914" s="122"/>
    </row>
    <row r="915" spans="1:11" ht="15.6" x14ac:dyDescent="0.25">
      <c r="A915" s="111">
        <f t="shared" si="117"/>
        <v>8</v>
      </c>
      <c r="B915" s="112"/>
      <c r="C915" s="59" t="s">
        <v>324</v>
      </c>
      <c r="D915" s="111">
        <f>(122.022+3.2*0.8+0.85*2.9+2.9*1.675)*10.764</f>
        <v>1419.8200380000001</v>
      </c>
      <c r="E915" s="112"/>
      <c r="F915" s="59">
        <v>0</v>
      </c>
      <c r="G915" s="59">
        <f t="shared" si="116"/>
        <v>2271.7120608</v>
      </c>
      <c r="H915" s="123"/>
      <c r="I915" s="124"/>
      <c r="J915" s="125"/>
    </row>
    <row r="916" spans="1:11" ht="15.6" x14ac:dyDescent="0.25">
      <c r="A916" s="114" t="s">
        <v>330</v>
      </c>
      <c r="B916" s="115"/>
      <c r="C916" s="115"/>
      <c r="D916" s="115"/>
      <c r="E916" s="115"/>
      <c r="F916" s="115"/>
      <c r="G916" s="115"/>
      <c r="H916" s="115"/>
      <c r="I916" s="115"/>
      <c r="J916" s="116"/>
    </row>
    <row r="917" spans="1:11" ht="15.6" x14ac:dyDescent="0.25">
      <c r="A917" s="111">
        <v>1</v>
      </c>
      <c r="B917" s="112"/>
      <c r="C917" s="59" t="s">
        <v>178</v>
      </c>
      <c r="D917" s="111">
        <f>(105.767+3*1.815)*10.764</f>
        <v>1197.0859679999999</v>
      </c>
      <c r="E917" s="112"/>
      <c r="F917" s="59">
        <v>0</v>
      </c>
      <c r="G917" s="59">
        <f t="shared" ref="G917:G924" si="118">D917*1.6+F917</f>
        <v>1915.3375487999999</v>
      </c>
      <c r="H917" s="117" t="str">
        <f>A916</f>
        <v>9th &amp; 16th Floor</v>
      </c>
      <c r="I917" s="118"/>
      <c r="J917" s="119"/>
    </row>
    <row r="918" spans="1:11" ht="15.6" x14ac:dyDescent="0.25">
      <c r="A918" s="111">
        <f>A917+1</f>
        <v>2</v>
      </c>
      <c r="B918" s="112"/>
      <c r="C918" s="59" t="s">
        <v>178</v>
      </c>
      <c r="D918" s="111">
        <f>(105.767+3*1.815)*10.764</f>
        <v>1197.0859679999999</v>
      </c>
      <c r="E918" s="112"/>
      <c r="F918" s="59">
        <v>0</v>
      </c>
      <c r="G918" s="59">
        <f t="shared" si="118"/>
        <v>1915.3375487999999</v>
      </c>
      <c r="H918" s="120"/>
      <c r="I918" s="121"/>
      <c r="J918" s="122"/>
      <c r="K918" s="26">
        <f>4+5</f>
        <v>9</v>
      </c>
    </row>
    <row r="919" spans="1:11" ht="15.6" x14ac:dyDescent="0.25">
      <c r="A919" s="111">
        <f t="shared" ref="A919:A924" si="119">A918+1</f>
        <v>3</v>
      </c>
      <c r="B919" s="112"/>
      <c r="C919" s="59" t="s">
        <v>177</v>
      </c>
      <c r="D919" s="111">
        <f>(75.843+3*1.525)*10.764</f>
        <v>865.61935200000005</v>
      </c>
      <c r="E919" s="112"/>
      <c r="F919" s="59">
        <v>0</v>
      </c>
      <c r="G919" s="59">
        <f t="shared" si="118"/>
        <v>1384.9909632000001</v>
      </c>
      <c r="H919" s="120"/>
      <c r="I919" s="121"/>
      <c r="J919" s="122"/>
    </row>
    <row r="920" spans="1:11" ht="15.75" customHeight="1" x14ac:dyDescent="0.25">
      <c r="A920" s="111">
        <f t="shared" si="119"/>
        <v>4</v>
      </c>
      <c r="B920" s="112"/>
      <c r="C920" s="59" t="s">
        <v>177</v>
      </c>
      <c r="D920" s="111">
        <f>(75.843+3*1.525)*10.764</f>
        <v>865.61935200000005</v>
      </c>
      <c r="E920" s="112"/>
      <c r="F920" s="59">
        <v>0</v>
      </c>
      <c r="G920" s="59">
        <f t="shared" si="118"/>
        <v>1384.9909632000001</v>
      </c>
      <c r="H920" s="120"/>
      <c r="I920" s="121"/>
      <c r="J920" s="122"/>
    </row>
    <row r="921" spans="1:11" ht="15.6" x14ac:dyDescent="0.25">
      <c r="A921" s="111">
        <f t="shared" si="119"/>
        <v>5</v>
      </c>
      <c r="B921" s="112"/>
      <c r="C921" s="59" t="s">
        <v>323</v>
      </c>
      <c r="D921" s="111">
        <f>(92.498+2.9*1.675)*10.764</f>
        <v>1047.934602</v>
      </c>
      <c r="E921" s="112"/>
      <c r="F921" s="59">
        <v>0</v>
      </c>
      <c r="G921" s="59">
        <f t="shared" si="118"/>
        <v>1676.6953632000002</v>
      </c>
      <c r="H921" s="120"/>
      <c r="I921" s="121"/>
      <c r="J921" s="122"/>
    </row>
    <row r="922" spans="1:11" ht="15.6" x14ac:dyDescent="0.25">
      <c r="A922" s="111">
        <f t="shared" si="119"/>
        <v>6</v>
      </c>
      <c r="B922" s="112"/>
      <c r="C922" s="59" t="s">
        <v>323</v>
      </c>
      <c r="D922" s="111">
        <f>(92.498+2.9*1.675)*10.764</f>
        <v>1047.934602</v>
      </c>
      <c r="E922" s="112"/>
      <c r="F922" s="59">
        <v>0</v>
      </c>
      <c r="G922" s="59">
        <f t="shared" si="118"/>
        <v>1676.6953632000002</v>
      </c>
      <c r="H922" s="120"/>
      <c r="I922" s="121"/>
      <c r="J922" s="122"/>
    </row>
    <row r="923" spans="1:11" ht="15.6" x14ac:dyDescent="0.25">
      <c r="A923" s="111">
        <f t="shared" si="119"/>
        <v>7</v>
      </c>
      <c r="B923" s="112"/>
      <c r="C923" s="59" t="s">
        <v>324</v>
      </c>
      <c r="D923" s="111">
        <f>(119.465+3.2*0.8+0.85*2.9+2.9*1.675)*10.764</f>
        <v>1392.2964899999999</v>
      </c>
      <c r="E923" s="112"/>
      <c r="F923" s="59">
        <v>0</v>
      </c>
      <c r="G923" s="59">
        <f t="shared" si="118"/>
        <v>2227.6743839999999</v>
      </c>
      <c r="H923" s="120"/>
      <c r="I923" s="121"/>
      <c r="J923" s="122"/>
    </row>
    <row r="924" spans="1:11" ht="15.6" x14ac:dyDescent="0.25">
      <c r="A924" s="111">
        <f t="shared" si="119"/>
        <v>8</v>
      </c>
      <c r="B924" s="112"/>
      <c r="C924" s="59" t="s">
        <v>324</v>
      </c>
      <c r="D924" s="111">
        <f>(122.022+3.2*0.8+0.85*2.9+2.9*1.675)*10.764</f>
        <v>1419.8200380000001</v>
      </c>
      <c r="E924" s="112"/>
      <c r="F924" s="59">
        <v>0</v>
      </c>
      <c r="G924" s="59">
        <f t="shared" si="118"/>
        <v>2271.7120608</v>
      </c>
      <c r="H924" s="123"/>
      <c r="I924" s="124"/>
      <c r="J924" s="125"/>
    </row>
    <row r="925" spans="1:11" ht="15.6" x14ac:dyDescent="0.25">
      <c r="A925" s="126" t="s">
        <v>347</v>
      </c>
      <c r="B925" s="127"/>
      <c r="C925" s="127"/>
      <c r="D925" s="127"/>
      <c r="E925" s="127"/>
      <c r="F925" s="127"/>
      <c r="G925" s="127"/>
      <c r="H925" s="127"/>
      <c r="I925" s="127"/>
      <c r="J925" s="128"/>
    </row>
    <row r="926" spans="1:11" ht="15.6" x14ac:dyDescent="0.25">
      <c r="A926" s="111">
        <v>1</v>
      </c>
      <c r="B926" s="112"/>
      <c r="C926" s="59" t="s">
        <v>178</v>
      </c>
      <c r="D926" s="111">
        <f>(105.686+3.05*1.815)*10.764</f>
        <v>1197.1909169999999</v>
      </c>
      <c r="E926" s="112"/>
      <c r="F926" s="59">
        <v>0</v>
      </c>
      <c r="G926" s="59">
        <f t="shared" ref="G926:G933" si="120">D926*1.6+F926</f>
        <v>1915.5054671999999</v>
      </c>
      <c r="H926" s="117" t="str">
        <f>A925</f>
        <v>18th to 21st, 24th to 28th Floor</v>
      </c>
      <c r="I926" s="118"/>
      <c r="J926" s="119"/>
    </row>
    <row r="927" spans="1:11" ht="15.6" x14ac:dyDescent="0.25">
      <c r="A927" s="111">
        <f>A926+1</f>
        <v>2</v>
      </c>
      <c r="B927" s="112"/>
      <c r="C927" s="59" t="s">
        <v>178</v>
      </c>
      <c r="D927" s="111">
        <f>(105.686+3.05*1.815)*10.764</f>
        <v>1197.1909169999999</v>
      </c>
      <c r="E927" s="112"/>
      <c r="F927" s="59">
        <v>0</v>
      </c>
      <c r="G927" s="59">
        <f t="shared" si="120"/>
        <v>1915.5054671999999</v>
      </c>
      <c r="H927" s="120"/>
      <c r="I927" s="121"/>
      <c r="J927" s="122"/>
      <c r="K927" s="26">
        <v>1</v>
      </c>
    </row>
    <row r="928" spans="1:11" ht="15.6" x14ac:dyDescent="0.25">
      <c r="A928" s="111">
        <f t="shared" ref="A928:A933" si="121">A927+1</f>
        <v>3</v>
      </c>
      <c r="B928" s="112"/>
      <c r="C928" s="59" t="s">
        <v>177</v>
      </c>
      <c r="D928" s="111">
        <f>(75.843+3*1.525)*10.764</f>
        <v>865.61935200000005</v>
      </c>
      <c r="E928" s="112"/>
      <c r="F928" s="59">
        <v>0</v>
      </c>
      <c r="G928" s="59">
        <f t="shared" si="120"/>
        <v>1384.9909632000001</v>
      </c>
      <c r="H928" s="120"/>
      <c r="I928" s="121"/>
      <c r="J928" s="122"/>
    </row>
    <row r="929" spans="1:11" ht="15.75" customHeight="1" x14ac:dyDescent="0.25">
      <c r="A929" s="111">
        <f t="shared" si="121"/>
        <v>4</v>
      </c>
      <c r="B929" s="112"/>
      <c r="C929" s="59" t="s">
        <v>177</v>
      </c>
      <c r="D929" s="111">
        <f>(75.843+3*1.525)*10.764</f>
        <v>865.61935200000005</v>
      </c>
      <c r="E929" s="112"/>
      <c r="F929" s="59">
        <v>0</v>
      </c>
      <c r="G929" s="59">
        <f t="shared" si="120"/>
        <v>1384.9909632000001</v>
      </c>
      <c r="H929" s="120"/>
      <c r="I929" s="121"/>
      <c r="J929" s="122"/>
    </row>
    <row r="930" spans="1:11" ht="15.6" x14ac:dyDescent="0.25">
      <c r="A930" s="111">
        <f t="shared" si="121"/>
        <v>5</v>
      </c>
      <c r="B930" s="112"/>
      <c r="C930" s="59" t="s">
        <v>323</v>
      </c>
      <c r="D930" s="111">
        <f>(92.421+3.05*1.675)*10.764</f>
        <v>1049.8102289999999</v>
      </c>
      <c r="E930" s="112"/>
      <c r="F930" s="59">
        <v>0</v>
      </c>
      <c r="G930" s="59">
        <f t="shared" si="120"/>
        <v>1679.6963664</v>
      </c>
      <c r="H930" s="120"/>
      <c r="I930" s="121"/>
      <c r="J930" s="122"/>
    </row>
    <row r="931" spans="1:11" ht="15.6" x14ac:dyDescent="0.25">
      <c r="A931" s="111">
        <f t="shared" si="121"/>
        <v>6</v>
      </c>
      <c r="B931" s="112"/>
      <c r="C931" s="59" t="s">
        <v>323</v>
      </c>
      <c r="D931" s="111">
        <f>(92.421+3.05*1.675)*10.764</f>
        <v>1049.8102289999999</v>
      </c>
      <c r="E931" s="112"/>
      <c r="F931" s="59">
        <v>0</v>
      </c>
      <c r="G931" s="59">
        <f t="shared" si="120"/>
        <v>1679.6963664</v>
      </c>
      <c r="H931" s="120"/>
      <c r="I931" s="121"/>
      <c r="J931" s="122"/>
    </row>
    <row r="932" spans="1:11" ht="15.6" x14ac:dyDescent="0.25">
      <c r="A932" s="111">
        <f t="shared" si="121"/>
        <v>7</v>
      </c>
      <c r="B932" s="112"/>
      <c r="C932" s="59" t="s">
        <v>324</v>
      </c>
      <c r="D932" s="111">
        <f>(119.465+3.2*1.815+2.6*1.675)*10.764</f>
        <v>1395.3157919999999</v>
      </c>
      <c r="E932" s="112"/>
      <c r="F932" s="59">
        <v>0</v>
      </c>
      <c r="G932" s="59">
        <f t="shared" si="120"/>
        <v>2232.5052671999997</v>
      </c>
      <c r="H932" s="120"/>
      <c r="I932" s="121"/>
      <c r="J932" s="122"/>
    </row>
    <row r="933" spans="1:11" ht="15.6" x14ac:dyDescent="0.25">
      <c r="A933" s="111">
        <f t="shared" si="121"/>
        <v>8</v>
      </c>
      <c r="B933" s="112"/>
      <c r="C933" s="59" t="s">
        <v>324</v>
      </c>
      <c r="D933" s="111">
        <f>(122.022+3.2*1.815+2.6*1.675)*10.764</f>
        <v>1422.83934</v>
      </c>
      <c r="E933" s="112"/>
      <c r="F933" s="59">
        <v>0</v>
      </c>
      <c r="G933" s="59">
        <f t="shared" si="120"/>
        <v>2276.5429440000003</v>
      </c>
      <c r="H933" s="123"/>
      <c r="I933" s="124"/>
      <c r="J933" s="125"/>
    </row>
    <row r="934" spans="1:11" ht="15.6" x14ac:dyDescent="0.25">
      <c r="A934" s="114" t="s">
        <v>331</v>
      </c>
      <c r="B934" s="115"/>
      <c r="C934" s="115"/>
      <c r="D934" s="115"/>
      <c r="E934" s="115"/>
      <c r="F934" s="115"/>
      <c r="G934" s="115"/>
      <c r="H934" s="115"/>
      <c r="I934" s="115"/>
      <c r="J934" s="116"/>
    </row>
    <row r="935" spans="1:11" ht="15.6" x14ac:dyDescent="0.25">
      <c r="A935" s="111">
        <v>1</v>
      </c>
      <c r="B935" s="112"/>
      <c r="C935" s="59" t="s">
        <v>178</v>
      </c>
      <c r="D935" s="111">
        <f>(105.686+3.05*1.815)*10.764</f>
        <v>1197.1909169999999</v>
      </c>
      <c r="E935" s="112"/>
      <c r="F935" s="59">
        <v>0</v>
      </c>
      <c r="G935" s="59">
        <f t="shared" ref="G935:G942" si="122">D935*1.6+F935</f>
        <v>1915.5054671999999</v>
      </c>
      <c r="H935" s="117" t="str">
        <f>A934</f>
        <v>22nd Floor (Part Refuge Area)</v>
      </c>
      <c r="I935" s="118"/>
      <c r="J935" s="119"/>
    </row>
    <row r="936" spans="1:11" ht="15.6" x14ac:dyDescent="0.25">
      <c r="A936" s="111">
        <f>A935+1</f>
        <v>2</v>
      </c>
      <c r="B936" s="112"/>
      <c r="C936" s="59" t="s">
        <v>178</v>
      </c>
      <c r="D936" s="111">
        <f>(105.686+3.05*1.815)*10.764</f>
        <v>1197.1909169999999</v>
      </c>
      <c r="E936" s="112"/>
      <c r="F936" s="59">
        <v>0</v>
      </c>
      <c r="G936" s="59">
        <f t="shared" si="122"/>
        <v>1915.5054671999999</v>
      </c>
      <c r="H936" s="120"/>
      <c r="I936" s="121"/>
      <c r="J936" s="122"/>
      <c r="K936" s="26">
        <v>1</v>
      </c>
    </row>
    <row r="937" spans="1:11" ht="15.6" x14ac:dyDescent="0.25">
      <c r="A937" s="111">
        <f t="shared" ref="A937:A942" si="123">A936+1</f>
        <v>3</v>
      </c>
      <c r="B937" s="112"/>
      <c r="C937" s="59" t="s">
        <v>177</v>
      </c>
      <c r="D937" s="111">
        <f>(75.843+3.05*1.525)*10.764</f>
        <v>866.44010700000001</v>
      </c>
      <c r="E937" s="112"/>
      <c r="F937" s="59">
        <v>0</v>
      </c>
      <c r="G937" s="59">
        <f t="shared" si="122"/>
        <v>1386.3041712000002</v>
      </c>
      <c r="H937" s="120"/>
      <c r="I937" s="121"/>
      <c r="J937" s="122"/>
    </row>
    <row r="938" spans="1:11" ht="15.75" customHeight="1" x14ac:dyDescent="0.25">
      <c r="A938" s="111">
        <f t="shared" si="123"/>
        <v>4</v>
      </c>
      <c r="B938" s="112"/>
      <c r="C938" s="59" t="s">
        <v>177</v>
      </c>
      <c r="D938" s="111">
        <f>(75.843+3.05*1.525)*10.764</f>
        <v>866.44010700000001</v>
      </c>
      <c r="E938" s="112"/>
      <c r="F938" s="59">
        <v>0</v>
      </c>
      <c r="G938" s="59">
        <f t="shared" si="122"/>
        <v>1386.3041712000002</v>
      </c>
      <c r="H938" s="120"/>
      <c r="I938" s="121"/>
      <c r="J938" s="122"/>
    </row>
    <row r="939" spans="1:11" ht="15.6" x14ac:dyDescent="0.25">
      <c r="A939" s="111">
        <f t="shared" si="123"/>
        <v>5</v>
      </c>
      <c r="B939" s="112"/>
      <c r="C939" s="117" t="s">
        <v>223</v>
      </c>
      <c r="D939" s="118"/>
      <c r="E939" s="118"/>
      <c r="F939" s="119"/>
      <c r="G939" s="59">
        <f t="shared" si="122"/>
        <v>0</v>
      </c>
      <c r="H939" s="120"/>
      <c r="I939" s="121"/>
      <c r="J939" s="122"/>
    </row>
    <row r="940" spans="1:11" ht="15.6" x14ac:dyDescent="0.25">
      <c r="A940" s="111">
        <f t="shared" si="123"/>
        <v>6</v>
      </c>
      <c r="B940" s="112"/>
      <c r="C940" s="123"/>
      <c r="D940" s="124"/>
      <c r="E940" s="124"/>
      <c r="F940" s="125"/>
      <c r="G940" s="59">
        <f t="shared" si="122"/>
        <v>0</v>
      </c>
      <c r="H940" s="120"/>
      <c r="I940" s="121"/>
      <c r="J940" s="122"/>
    </row>
    <row r="941" spans="1:11" ht="15.6" x14ac:dyDescent="0.25">
      <c r="A941" s="111">
        <f t="shared" si="123"/>
        <v>7</v>
      </c>
      <c r="B941" s="112"/>
      <c r="C941" s="59" t="s">
        <v>324</v>
      </c>
      <c r="D941" s="111">
        <f>(119.465+3.2*1.815+2.6*1.675)*10.764</f>
        <v>1395.3157919999999</v>
      </c>
      <c r="E941" s="112"/>
      <c r="F941" s="59">
        <v>0</v>
      </c>
      <c r="G941" s="59">
        <f t="shared" si="122"/>
        <v>2232.5052671999997</v>
      </c>
      <c r="H941" s="120"/>
      <c r="I941" s="121"/>
      <c r="J941" s="122"/>
    </row>
    <row r="942" spans="1:11" ht="15.6" x14ac:dyDescent="0.25">
      <c r="A942" s="111">
        <f t="shared" si="123"/>
        <v>8</v>
      </c>
      <c r="B942" s="112"/>
      <c r="C942" s="59" t="s">
        <v>324</v>
      </c>
      <c r="D942" s="111">
        <f>(122.022+3.2*1.815+2.6*1.675)*10.764</f>
        <v>1422.83934</v>
      </c>
      <c r="E942" s="112"/>
      <c r="F942" s="59">
        <v>0</v>
      </c>
      <c r="G942" s="59">
        <f t="shared" si="122"/>
        <v>2276.5429440000003</v>
      </c>
      <c r="H942" s="123"/>
      <c r="I942" s="124"/>
      <c r="J942" s="125"/>
    </row>
    <row r="943" spans="1:11" ht="15.6" x14ac:dyDescent="0.25">
      <c r="A943" s="126" t="s">
        <v>348</v>
      </c>
      <c r="B943" s="127"/>
      <c r="C943" s="127"/>
      <c r="D943" s="127"/>
      <c r="E943" s="127"/>
      <c r="F943" s="127"/>
      <c r="G943" s="127"/>
      <c r="H943" s="127"/>
      <c r="I943" s="127"/>
      <c r="J943" s="128"/>
    </row>
    <row r="944" spans="1:11" ht="15.6" x14ac:dyDescent="0.25">
      <c r="A944" s="111">
        <v>1</v>
      </c>
      <c r="B944" s="112"/>
      <c r="C944" s="59" t="s">
        <v>178</v>
      </c>
      <c r="D944" s="111">
        <f>(105.686+3.05*1.815)*10.764</f>
        <v>1197.1909169999999</v>
      </c>
      <c r="E944" s="112"/>
      <c r="F944" s="59">
        <v>0</v>
      </c>
      <c r="G944" s="59">
        <f t="shared" ref="G944:G951" si="124">D944*1.6+F944</f>
        <v>1915.5054671999999</v>
      </c>
      <c r="H944" s="117" t="str">
        <f>A943</f>
        <v>23rd Floor</v>
      </c>
      <c r="I944" s="118"/>
      <c r="J944" s="119"/>
    </row>
    <row r="945" spans="1:11" ht="15.6" x14ac:dyDescent="0.25">
      <c r="A945" s="111">
        <f>A944+1</f>
        <v>2</v>
      </c>
      <c r="B945" s="112"/>
      <c r="C945" s="59" t="s">
        <v>178</v>
      </c>
      <c r="D945" s="111">
        <f>(105.686+3.05*1.815)*10.764</f>
        <v>1197.1909169999999</v>
      </c>
      <c r="E945" s="112"/>
      <c r="F945" s="59">
        <v>0</v>
      </c>
      <c r="G945" s="59">
        <f t="shared" si="124"/>
        <v>1915.5054671999999</v>
      </c>
      <c r="H945" s="120"/>
      <c r="I945" s="121"/>
      <c r="J945" s="122"/>
      <c r="K945" s="26">
        <v>1</v>
      </c>
    </row>
    <row r="946" spans="1:11" ht="15.6" x14ac:dyDescent="0.25">
      <c r="A946" s="111">
        <f t="shared" ref="A946:A951" si="125">A945+1</f>
        <v>3</v>
      </c>
      <c r="B946" s="112"/>
      <c r="C946" s="59" t="s">
        <v>177</v>
      </c>
      <c r="D946" s="111">
        <f>(75.843+3*1.525)*10.764</f>
        <v>865.61935200000005</v>
      </c>
      <c r="E946" s="112"/>
      <c r="F946" s="59">
        <v>0</v>
      </c>
      <c r="G946" s="59">
        <f t="shared" si="124"/>
        <v>1384.9909632000001</v>
      </c>
      <c r="H946" s="120"/>
      <c r="I946" s="121"/>
      <c r="J946" s="122"/>
    </row>
    <row r="947" spans="1:11" ht="15.75" customHeight="1" x14ac:dyDescent="0.25">
      <c r="A947" s="111">
        <f t="shared" si="125"/>
        <v>4</v>
      </c>
      <c r="B947" s="112"/>
      <c r="C947" s="59" t="s">
        <v>177</v>
      </c>
      <c r="D947" s="111">
        <f>(75.843+3*1.525)*10.764</f>
        <v>865.61935200000005</v>
      </c>
      <c r="E947" s="112"/>
      <c r="F947" s="59">
        <v>0</v>
      </c>
      <c r="G947" s="59">
        <f t="shared" si="124"/>
        <v>1384.9909632000001</v>
      </c>
      <c r="H947" s="120"/>
      <c r="I947" s="121"/>
      <c r="J947" s="122"/>
    </row>
    <row r="948" spans="1:11" ht="15.6" x14ac:dyDescent="0.25">
      <c r="A948" s="111">
        <f t="shared" si="125"/>
        <v>5</v>
      </c>
      <c r="B948" s="112"/>
      <c r="C948" s="59" t="s">
        <v>323</v>
      </c>
      <c r="D948" s="111">
        <f>(92.421+3.05*1.675)*10.764</f>
        <v>1049.8102289999999</v>
      </c>
      <c r="E948" s="112"/>
      <c r="F948" s="59">
        <v>0</v>
      </c>
      <c r="G948" s="59">
        <f t="shared" si="124"/>
        <v>1679.6963664</v>
      </c>
      <c r="H948" s="120"/>
      <c r="I948" s="121"/>
      <c r="J948" s="122"/>
    </row>
    <row r="949" spans="1:11" ht="15.6" x14ac:dyDescent="0.25">
      <c r="A949" s="111">
        <f t="shared" si="125"/>
        <v>6</v>
      </c>
      <c r="B949" s="112"/>
      <c r="C949" s="59" t="s">
        <v>323</v>
      </c>
      <c r="D949" s="111">
        <f>(92.421+3.05*1.675)*10.764</f>
        <v>1049.8102289999999</v>
      </c>
      <c r="E949" s="112"/>
      <c r="F949" s="59">
        <v>0</v>
      </c>
      <c r="G949" s="59">
        <f t="shared" si="124"/>
        <v>1679.6963664</v>
      </c>
      <c r="H949" s="120"/>
      <c r="I949" s="121"/>
      <c r="J949" s="122"/>
    </row>
    <row r="950" spans="1:11" ht="15.6" x14ac:dyDescent="0.25">
      <c r="A950" s="111">
        <f t="shared" si="125"/>
        <v>7</v>
      </c>
      <c r="B950" s="112"/>
      <c r="C950" s="59" t="s">
        <v>324</v>
      </c>
      <c r="D950" s="111">
        <f>(119.465+3.2*1.815+2.6*1.675)*10.764</f>
        <v>1395.3157919999999</v>
      </c>
      <c r="E950" s="112"/>
      <c r="F950" s="59">
        <v>0</v>
      </c>
      <c r="G950" s="59">
        <f t="shared" si="124"/>
        <v>2232.5052671999997</v>
      </c>
      <c r="H950" s="120"/>
      <c r="I950" s="121"/>
      <c r="J950" s="122"/>
    </row>
    <row r="951" spans="1:11" ht="15.6" x14ac:dyDescent="0.25">
      <c r="A951" s="111">
        <f t="shared" si="125"/>
        <v>8</v>
      </c>
      <c r="B951" s="112"/>
      <c r="C951" s="59" t="s">
        <v>324</v>
      </c>
      <c r="D951" s="111">
        <f>(122.022+3.2*1.815+2.6*1.675)*10.764</f>
        <v>1422.83934</v>
      </c>
      <c r="E951" s="112"/>
      <c r="F951" s="59">
        <v>0</v>
      </c>
      <c r="G951" s="59">
        <f t="shared" si="124"/>
        <v>2276.5429440000003</v>
      </c>
      <c r="H951" s="123"/>
      <c r="I951" s="124"/>
      <c r="J951" s="125"/>
    </row>
    <row r="952" spans="1:11" ht="15.6" x14ac:dyDescent="0.25">
      <c r="A952" s="114" t="s">
        <v>332</v>
      </c>
      <c r="B952" s="115"/>
      <c r="C952" s="115"/>
      <c r="D952" s="115"/>
      <c r="E952" s="115"/>
      <c r="F952" s="115"/>
      <c r="G952" s="115"/>
      <c r="H952" s="115"/>
      <c r="I952" s="115"/>
      <c r="J952" s="116"/>
    </row>
    <row r="953" spans="1:11" ht="15.6" x14ac:dyDescent="0.25">
      <c r="A953" s="111">
        <v>1</v>
      </c>
      <c r="B953" s="112"/>
      <c r="C953" s="59" t="s">
        <v>178</v>
      </c>
      <c r="D953" s="111">
        <f>(105.6+3*1.815)*10.764</f>
        <v>1195.2883799999997</v>
      </c>
      <c r="E953" s="112"/>
      <c r="F953" s="59">
        <v>0</v>
      </c>
      <c r="G953" s="59">
        <f t="shared" ref="G953:G960" si="126">D953*1.6+F953</f>
        <v>1912.4614079999997</v>
      </c>
      <c r="H953" s="117" t="str">
        <f>A952</f>
        <v>29th Floor (Part Refuge Area)</v>
      </c>
      <c r="I953" s="118"/>
      <c r="J953" s="119"/>
    </row>
    <row r="954" spans="1:11" ht="15.6" x14ac:dyDescent="0.25">
      <c r="A954" s="111">
        <f>A953+1</f>
        <v>2</v>
      </c>
      <c r="B954" s="112"/>
      <c r="C954" s="59" t="s">
        <v>178</v>
      </c>
      <c r="D954" s="111">
        <f>(105.6+3*1.815)*10.764</f>
        <v>1195.2883799999997</v>
      </c>
      <c r="E954" s="112"/>
      <c r="F954" s="59">
        <v>0</v>
      </c>
      <c r="G954" s="59">
        <f t="shared" si="126"/>
        <v>1912.4614079999997</v>
      </c>
      <c r="H954" s="120"/>
      <c r="I954" s="121"/>
      <c r="J954" s="122"/>
      <c r="K954" s="26">
        <v>1</v>
      </c>
    </row>
    <row r="955" spans="1:11" ht="15.6" x14ac:dyDescent="0.25">
      <c r="A955" s="111">
        <f t="shared" ref="A955:A960" si="127">A954+1</f>
        <v>3</v>
      </c>
      <c r="B955" s="112"/>
      <c r="C955" s="59" t="s">
        <v>177</v>
      </c>
      <c r="D955" s="111">
        <f>(75.843+3.05*1.525)*10.764</f>
        <v>866.44010700000001</v>
      </c>
      <c r="E955" s="112"/>
      <c r="F955" s="59">
        <v>0</v>
      </c>
      <c r="G955" s="59">
        <f t="shared" si="126"/>
        <v>1386.3041712000002</v>
      </c>
      <c r="H955" s="120"/>
      <c r="I955" s="121"/>
      <c r="J955" s="122"/>
    </row>
    <row r="956" spans="1:11" ht="15.75" customHeight="1" x14ac:dyDescent="0.25">
      <c r="A956" s="111">
        <f t="shared" si="127"/>
        <v>4</v>
      </c>
      <c r="B956" s="112"/>
      <c r="C956" s="59" t="s">
        <v>177</v>
      </c>
      <c r="D956" s="111">
        <f>(75.843+3.05*1.525)*10.764</f>
        <v>866.44010700000001</v>
      </c>
      <c r="E956" s="112"/>
      <c r="F956" s="59">
        <v>0</v>
      </c>
      <c r="G956" s="59">
        <f t="shared" si="126"/>
        <v>1386.3041712000002</v>
      </c>
      <c r="H956" s="120"/>
      <c r="I956" s="121"/>
      <c r="J956" s="122"/>
    </row>
    <row r="957" spans="1:11" ht="15.6" x14ac:dyDescent="0.25">
      <c r="A957" s="111">
        <f t="shared" si="127"/>
        <v>5</v>
      </c>
      <c r="B957" s="112"/>
      <c r="C957" s="117" t="s">
        <v>223</v>
      </c>
      <c r="D957" s="118"/>
      <c r="E957" s="118"/>
      <c r="F957" s="119"/>
      <c r="G957" s="59">
        <f t="shared" si="126"/>
        <v>0</v>
      </c>
      <c r="H957" s="120"/>
      <c r="I957" s="121"/>
      <c r="J957" s="122"/>
    </row>
    <row r="958" spans="1:11" ht="15.6" x14ac:dyDescent="0.25">
      <c r="A958" s="111">
        <f t="shared" si="127"/>
        <v>6</v>
      </c>
      <c r="B958" s="112"/>
      <c r="C958" s="123"/>
      <c r="D958" s="124"/>
      <c r="E958" s="124"/>
      <c r="F958" s="125"/>
      <c r="G958" s="59">
        <f t="shared" si="126"/>
        <v>0</v>
      </c>
      <c r="H958" s="120"/>
      <c r="I958" s="121"/>
      <c r="J958" s="122"/>
    </row>
    <row r="959" spans="1:11" ht="15.6" x14ac:dyDescent="0.25">
      <c r="A959" s="111">
        <f t="shared" si="127"/>
        <v>7</v>
      </c>
      <c r="B959" s="112"/>
      <c r="C959" s="59" t="s">
        <v>324</v>
      </c>
      <c r="D959" s="111">
        <f>(119.465+3.05*1.815+2.9*1.675)*10.764</f>
        <v>1397.7942029999999</v>
      </c>
      <c r="E959" s="112"/>
      <c r="F959" s="59">
        <v>0</v>
      </c>
      <c r="G959" s="59">
        <f t="shared" si="126"/>
        <v>2236.4707248</v>
      </c>
      <c r="H959" s="120"/>
      <c r="I959" s="121"/>
      <c r="J959" s="122"/>
    </row>
    <row r="960" spans="1:11" ht="15.6" x14ac:dyDescent="0.25">
      <c r="A960" s="111">
        <f t="shared" si="127"/>
        <v>8</v>
      </c>
      <c r="B960" s="112"/>
      <c r="C960" s="59" t="s">
        <v>324</v>
      </c>
      <c r="D960" s="111">
        <f>(122.022+3.05*1.815+2.9*1.675)*10.764</f>
        <v>1425.3177509999998</v>
      </c>
      <c r="E960" s="112"/>
      <c r="F960" s="59">
        <v>0</v>
      </c>
      <c r="G960" s="59">
        <f t="shared" si="126"/>
        <v>2280.5084015999996</v>
      </c>
      <c r="H960" s="123"/>
      <c r="I960" s="124"/>
      <c r="J960" s="125"/>
    </row>
    <row r="961" spans="1:11" ht="15.6" x14ac:dyDescent="0.25">
      <c r="A961" s="114" t="s">
        <v>334</v>
      </c>
      <c r="B961" s="115"/>
      <c r="C961" s="115"/>
      <c r="D961" s="115"/>
      <c r="E961" s="115"/>
      <c r="F961" s="115"/>
      <c r="G961" s="115"/>
      <c r="H961" s="115"/>
      <c r="I961" s="115"/>
      <c r="J961" s="116"/>
    </row>
    <row r="962" spans="1:11" ht="15.6" x14ac:dyDescent="0.25">
      <c r="A962" s="111">
        <v>1</v>
      </c>
      <c r="B962" s="112"/>
      <c r="C962" s="59" t="s">
        <v>178</v>
      </c>
      <c r="D962" s="111">
        <f>(105.6+3*1.815)*10.764</f>
        <v>1195.2883799999997</v>
      </c>
      <c r="E962" s="112"/>
      <c r="F962" s="59">
        <v>0</v>
      </c>
      <c r="G962" s="59">
        <f t="shared" ref="G962:G969" si="128">D962*1.6+F962</f>
        <v>1912.4614079999997</v>
      </c>
      <c r="H962" s="117" t="str">
        <f>A961</f>
        <v>30th Floor</v>
      </c>
      <c r="I962" s="118"/>
      <c r="J962" s="119"/>
    </row>
    <row r="963" spans="1:11" ht="15.6" x14ac:dyDescent="0.25">
      <c r="A963" s="111">
        <f>A962+1</f>
        <v>2</v>
      </c>
      <c r="B963" s="112"/>
      <c r="C963" s="59" t="s">
        <v>178</v>
      </c>
      <c r="D963" s="111">
        <f>(105.6+3*1.815)*10.764</f>
        <v>1195.2883799999997</v>
      </c>
      <c r="E963" s="112"/>
      <c r="F963" s="59">
        <v>0</v>
      </c>
      <c r="G963" s="59">
        <f t="shared" si="128"/>
        <v>1912.4614079999997</v>
      </c>
      <c r="H963" s="120"/>
      <c r="I963" s="121"/>
      <c r="J963" s="122"/>
      <c r="K963" s="26">
        <v>5</v>
      </c>
    </row>
    <row r="964" spans="1:11" ht="15.6" x14ac:dyDescent="0.25">
      <c r="A964" s="111">
        <f t="shared" ref="A964:A969" si="129">A963+1</f>
        <v>3</v>
      </c>
      <c r="B964" s="112"/>
      <c r="C964" s="59" t="s">
        <v>177</v>
      </c>
      <c r="D964" s="111">
        <f>(75.843+3.05*1.525)*10.764</f>
        <v>866.44010700000001</v>
      </c>
      <c r="E964" s="112"/>
      <c r="F964" s="59">
        <v>0</v>
      </c>
      <c r="G964" s="59">
        <f t="shared" si="128"/>
        <v>1386.3041712000002</v>
      </c>
      <c r="H964" s="120"/>
      <c r="I964" s="121"/>
      <c r="J964" s="122"/>
    </row>
    <row r="965" spans="1:11" ht="15.75" customHeight="1" x14ac:dyDescent="0.25">
      <c r="A965" s="111">
        <f t="shared" si="129"/>
        <v>4</v>
      </c>
      <c r="B965" s="112"/>
      <c r="C965" s="59" t="s">
        <v>177</v>
      </c>
      <c r="D965" s="111">
        <f>(75.843+3.05*1.525)*10.764</f>
        <v>866.44010700000001</v>
      </c>
      <c r="E965" s="112"/>
      <c r="F965" s="59">
        <v>0</v>
      </c>
      <c r="G965" s="59">
        <f t="shared" si="128"/>
        <v>1386.3041712000002</v>
      </c>
      <c r="H965" s="120"/>
      <c r="I965" s="121"/>
      <c r="J965" s="122"/>
    </row>
    <row r="966" spans="1:11" ht="15.6" x14ac:dyDescent="0.25">
      <c r="A966" s="111">
        <f t="shared" si="129"/>
        <v>5</v>
      </c>
      <c r="B966" s="112"/>
      <c r="C966" s="59" t="s">
        <v>323</v>
      </c>
      <c r="D966" s="111">
        <f>(92.421+3*1.525)*10.764</f>
        <v>1044.064944</v>
      </c>
      <c r="E966" s="112"/>
      <c r="F966" s="59">
        <v>0</v>
      </c>
      <c r="G966" s="59">
        <f t="shared" si="128"/>
        <v>1670.5039104</v>
      </c>
      <c r="H966" s="120"/>
      <c r="I966" s="121"/>
      <c r="J966" s="122"/>
    </row>
    <row r="967" spans="1:11" ht="15.6" x14ac:dyDescent="0.25">
      <c r="A967" s="111">
        <f t="shared" si="129"/>
        <v>6</v>
      </c>
      <c r="B967" s="112"/>
      <c r="C967" s="59" t="s">
        <v>323</v>
      </c>
      <c r="D967" s="111">
        <f>(92.421+3*1.525)*10.764</f>
        <v>1044.064944</v>
      </c>
      <c r="E967" s="112"/>
      <c r="F967" s="59">
        <v>0</v>
      </c>
      <c r="G967" s="59">
        <f t="shared" si="128"/>
        <v>1670.5039104</v>
      </c>
      <c r="H967" s="120"/>
      <c r="I967" s="121"/>
      <c r="J967" s="122"/>
    </row>
    <row r="968" spans="1:11" ht="15.6" x14ac:dyDescent="0.25">
      <c r="A968" s="111">
        <f t="shared" si="129"/>
        <v>7</v>
      </c>
      <c r="B968" s="112"/>
      <c r="C968" s="59" t="s">
        <v>324</v>
      </c>
      <c r="D968" s="111">
        <f>(119.465+3.05*1.815+2.9*1.675)*10.764</f>
        <v>1397.7942029999999</v>
      </c>
      <c r="E968" s="112"/>
      <c r="F968" s="59">
        <v>0</v>
      </c>
      <c r="G968" s="59">
        <f t="shared" si="128"/>
        <v>2236.4707248</v>
      </c>
      <c r="H968" s="120"/>
      <c r="I968" s="121"/>
      <c r="J968" s="122"/>
    </row>
    <row r="969" spans="1:11" ht="15.6" x14ac:dyDescent="0.25">
      <c r="A969" s="111">
        <f t="shared" si="129"/>
        <v>8</v>
      </c>
      <c r="B969" s="112"/>
      <c r="C969" s="59" t="s">
        <v>324</v>
      </c>
      <c r="D969" s="111">
        <f>(122.022+3.05*1.815+2.9*1.675)*10.764</f>
        <v>1425.3177509999998</v>
      </c>
      <c r="E969" s="112"/>
      <c r="F969" s="59">
        <v>0</v>
      </c>
      <c r="G969" s="59">
        <f t="shared" si="128"/>
        <v>2280.5084015999996</v>
      </c>
      <c r="H969" s="123"/>
      <c r="I969" s="124"/>
      <c r="J969" s="125"/>
    </row>
    <row r="970" spans="1:11" ht="15.6" x14ac:dyDescent="0.25">
      <c r="A970" s="114" t="s">
        <v>333</v>
      </c>
      <c r="B970" s="115"/>
      <c r="C970" s="115"/>
      <c r="D970" s="115"/>
      <c r="E970" s="115"/>
      <c r="F970" s="115"/>
      <c r="G970" s="115"/>
      <c r="H970" s="115"/>
      <c r="I970" s="115"/>
      <c r="J970" s="116"/>
    </row>
    <row r="971" spans="1:11" ht="15.6" x14ac:dyDescent="0.25">
      <c r="A971" s="111">
        <v>1</v>
      </c>
      <c r="B971" s="112"/>
      <c r="C971" s="59" t="s">
        <v>178</v>
      </c>
      <c r="D971" s="111">
        <f>(105.6+3*1.815)*10.764</f>
        <v>1195.2883799999997</v>
      </c>
      <c r="E971" s="112"/>
      <c r="F971" s="59">
        <v>0</v>
      </c>
      <c r="G971" s="59">
        <f t="shared" ref="G971:G978" si="130">D971*1.6+F971</f>
        <v>1912.4614079999997</v>
      </c>
      <c r="H971" s="117" t="str">
        <f>A970</f>
        <v>31st to 35th Floor</v>
      </c>
      <c r="I971" s="118"/>
      <c r="J971" s="119"/>
    </row>
    <row r="972" spans="1:11" ht="15.6" x14ac:dyDescent="0.25">
      <c r="A972" s="111">
        <f>A971+1</f>
        <v>2</v>
      </c>
      <c r="B972" s="112"/>
      <c r="C972" s="59" t="s">
        <v>178</v>
      </c>
      <c r="D972" s="111">
        <f>(105.6+3*1.815)*10.764</f>
        <v>1195.2883799999997</v>
      </c>
      <c r="E972" s="112"/>
      <c r="F972" s="59">
        <v>0</v>
      </c>
      <c r="G972" s="59">
        <f t="shared" si="130"/>
        <v>1912.4614079999997</v>
      </c>
      <c r="H972" s="120"/>
      <c r="I972" s="121"/>
      <c r="J972" s="122"/>
      <c r="K972" s="26">
        <v>1</v>
      </c>
    </row>
    <row r="973" spans="1:11" ht="15.6" x14ac:dyDescent="0.25">
      <c r="A973" s="111">
        <f t="shared" ref="A973:A978" si="131">A972+1</f>
        <v>3</v>
      </c>
      <c r="B973" s="112"/>
      <c r="C973" s="59" t="s">
        <v>177</v>
      </c>
      <c r="D973" s="111">
        <f>(75.843+3.05*1.525)*10.764</f>
        <v>866.44010700000001</v>
      </c>
      <c r="E973" s="112"/>
      <c r="F973" s="59">
        <v>0</v>
      </c>
      <c r="G973" s="59">
        <f t="shared" si="130"/>
        <v>1386.3041712000002</v>
      </c>
      <c r="H973" s="120"/>
      <c r="I973" s="121"/>
      <c r="J973" s="122"/>
    </row>
    <row r="974" spans="1:11" ht="15.75" customHeight="1" x14ac:dyDescent="0.25">
      <c r="A974" s="111">
        <f t="shared" si="131"/>
        <v>4</v>
      </c>
      <c r="B974" s="112"/>
      <c r="C974" s="59" t="s">
        <v>177</v>
      </c>
      <c r="D974" s="111">
        <f>(75.843+3.05*1.525)*10.764</f>
        <v>866.44010700000001</v>
      </c>
      <c r="E974" s="112"/>
      <c r="F974" s="59">
        <v>0</v>
      </c>
      <c r="G974" s="59">
        <f t="shared" si="130"/>
        <v>1386.3041712000002</v>
      </c>
      <c r="H974" s="120"/>
      <c r="I974" s="121"/>
      <c r="J974" s="122"/>
    </row>
    <row r="975" spans="1:11" ht="15.75" customHeight="1" x14ac:dyDescent="0.25">
      <c r="A975" s="111">
        <f t="shared" si="131"/>
        <v>5</v>
      </c>
      <c r="B975" s="112"/>
      <c r="C975" s="59" t="s">
        <v>323</v>
      </c>
      <c r="D975" s="111">
        <f>(92.421+3*1.525)*10.764</f>
        <v>1044.064944</v>
      </c>
      <c r="E975" s="112"/>
      <c r="F975" s="59">
        <v>0</v>
      </c>
      <c r="G975" s="59">
        <f t="shared" si="130"/>
        <v>1670.5039104</v>
      </c>
      <c r="H975" s="120"/>
      <c r="I975" s="121"/>
      <c r="J975" s="122"/>
    </row>
    <row r="976" spans="1:11" ht="15.6" x14ac:dyDescent="0.25">
      <c r="A976" s="111">
        <f t="shared" si="131"/>
        <v>6</v>
      </c>
      <c r="B976" s="112"/>
      <c r="C976" s="59" t="s">
        <v>323</v>
      </c>
      <c r="D976" s="111">
        <f>(92.421+3*1.525)*10.764</f>
        <v>1044.064944</v>
      </c>
      <c r="E976" s="112"/>
      <c r="F976" s="59">
        <v>0</v>
      </c>
      <c r="G976" s="59">
        <f t="shared" si="130"/>
        <v>1670.5039104</v>
      </c>
      <c r="H976" s="120"/>
      <c r="I976" s="121"/>
      <c r="J976" s="122"/>
    </row>
    <row r="977" spans="1:12" ht="15.6" x14ac:dyDescent="0.25">
      <c r="A977" s="111">
        <f t="shared" si="131"/>
        <v>7</v>
      </c>
      <c r="B977" s="112"/>
      <c r="C977" s="59" t="s">
        <v>324</v>
      </c>
      <c r="D977" s="111">
        <f>(119.465+3.05*1.815+2.9*1.675)*10.764</f>
        <v>1397.7942029999999</v>
      </c>
      <c r="E977" s="112"/>
      <c r="F977" s="59">
        <v>0</v>
      </c>
      <c r="G977" s="59">
        <f t="shared" si="130"/>
        <v>2236.4707248</v>
      </c>
      <c r="H977" s="120"/>
      <c r="I977" s="121"/>
      <c r="J977" s="122"/>
    </row>
    <row r="978" spans="1:12" ht="15.6" x14ac:dyDescent="0.25">
      <c r="A978" s="111">
        <f t="shared" si="131"/>
        <v>8</v>
      </c>
      <c r="B978" s="112"/>
      <c r="C978" s="59" t="s">
        <v>324</v>
      </c>
      <c r="D978" s="111">
        <f>(122.022+3.05*1.815+2.9*1.675)*10.764</f>
        <v>1425.3177509999998</v>
      </c>
      <c r="E978" s="112"/>
      <c r="F978" s="59">
        <v>0</v>
      </c>
      <c r="G978" s="59">
        <f t="shared" si="130"/>
        <v>2280.5084015999996</v>
      </c>
      <c r="H978" s="123"/>
      <c r="I978" s="124"/>
      <c r="J978" s="125"/>
      <c r="K978" s="26">
        <v>1</v>
      </c>
    </row>
    <row r="979" spans="1:12" ht="15.6" x14ac:dyDescent="0.25">
      <c r="A979" s="114" t="s">
        <v>303</v>
      </c>
      <c r="B979" s="115"/>
      <c r="C979" s="115"/>
      <c r="D979" s="115"/>
      <c r="E979" s="115"/>
      <c r="F979" s="115"/>
      <c r="G979" s="115"/>
      <c r="H979" s="115"/>
      <c r="I979" s="115"/>
      <c r="J979" s="116"/>
    </row>
    <row r="980" spans="1:12" ht="15.75" customHeight="1" x14ac:dyDescent="0.25">
      <c r="A980" s="111">
        <v>1</v>
      </c>
      <c r="B980" s="112"/>
      <c r="C980" s="59" t="s">
        <v>336</v>
      </c>
      <c r="D980" s="111">
        <f>(212.5+6.5*2.285)*10.764</f>
        <v>2447.2223099999997</v>
      </c>
      <c r="E980" s="112"/>
      <c r="F980" s="59">
        <v>0</v>
      </c>
      <c r="G980" s="59">
        <f t="shared" ref="G980:G984" si="132">D980*1.6+F980</f>
        <v>3915.5556959999994</v>
      </c>
      <c r="H980" s="117" t="str">
        <f>A979</f>
        <v>36th Floor ( Part Refuge Area)</v>
      </c>
      <c r="I980" s="118"/>
      <c r="J980" s="119"/>
    </row>
    <row r="981" spans="1:12" ht="15.6" x14ac:dyDescent="0.25">
      <c r="A981" s="111">
        <f>A980+1</f>
        <v>2</v>
      </c>
      <c r="B981" s="112"/>
      <c r="C981" s="59" t="s">
        <v>178</v>
      </c>
      <c r="D981" s="111">
        <f>(154.381+3*1.9+3*1.475)*10.764</f>
        <v>1770.7425839999999</v>
      </c>
      <c r="E981" s="112"/>
      <c r="F981" s="59">
        <v>0</v>
      </c>
      <c r="G981" s="59">
        <f t="shared" si="132"/>
        <v>2833.1881343999999</v>
      </c>
      <c r="H981" s="120"/>
      <c r="I981" s="121"/>
      <c r="J981" s="122"/>
    </row>
    <row r="982" spans="1:12" ht="15.6" x14ac:dyDescent="0.25">
      <c r="A982" s="111" t="s">
        <v>335</v>
      </c>
      <c r="B982" s="112"/>
      <c r="C982" s="111" t="s">
        <v>223</v>
      </c>
      <c r="D982" s="113"/>
      <c r="E982" s="113"/>
      <c r="F982" s="113"/>
      <c r="G982" s="112"/>
      <c r="H982" s="120"/>
      <c r="I982" s="121"/>
      <c r="J982" s="122"/>
    </row>
    <row r="983" spans="1:12" ht="15.6" x14ac:dyDescent="0.25">
      <c r="A983" s="111">
        <f>A981+1</f>
        <v>3</v>
      </c>
      <c r="B983" s="112"/>
      <c r="C983" s="59" t="s">
        <v>323</v>
      </c>
      <c r="D983" s="111">
        <f>(105.32+6.5*1.675)*10.764</f>
        <v>1250.8575299999998</v>
      </c>
      <c r="E983" s="112"/>
      <c r="F983" s="59">
        <v>0</v>
      </c>
      <c r="G983" s="59">
        <f t="shared" si="132"/>
        <v>2001.3720479999997</v>
      </c>
      <c r="H983" s="120"/>
      <c r="I983" s="121"/>
      <c r="J983" s="122"/>
      <c r="K983" s="111">
        <v>10.763999999999999</v>
      </c>
      <c r="L983" s="112"/>
    </row>
    <row r="984" spans="1:12" ht="15.6" x14ac:dyDescent="0.25">
      <c r="A984" s="111">
        <f t="shared" ref="A984" si="133">A983+1</f>
        <v>4</v>
      </c>
      <c r="B984" s="112"/>
      <c r="C984" s="59" t="s">
        <v>337</v>
      </c>
      <c r="D984" s="111">
        <f>(243.904+(6*1.815)*2+ 2.65*(1.675+1.675))*10.764</f>
        <v>2955.3799859999995</v>
      </c>
      <c r="E984" s="112"/>
      <c r="F984" s="59">
        <v>0</v>
      </c>
      <c r="G984" s="59">
        <f t="shared" si="132"/>
        <v>4728.6079775999997</v>
      </c>
      <c r="H984" s="120"/>
      <c r="I984" s="121"/>
      <c r="J984" s="122"/>
    </row>
    <row r="985" spans="1:12" ht="15.6" x14ac:dyDescent="0.25">
      <c r="A985" s="114" t="s">
        <v>338</v>
      </c>
      <c r="B985" s="115"/>
      <c r="C985" s="115"/>
      <c r="D985" s="115"/>
      <c r="E985" s="115"/>
      <c r="F985" s="115"/>
      <c r="G985" s="115"/>
      <c r="H985" s="115"/>
      <c r="I985" s="115"/>
      <c r="J985" s="116"/>
    </row>
    <row r="986" spans="1:12" ht="15.6" x14ac:dyDescent="0.25">
      <c r="A986" s="111">
        <v>1</v>
      </c>
      <c r="B986" s="112"/>
      <c r="C986" s="59" t="s">
        <v>336</v>
      </c>
      <c r="D986" s="111">
        <f>(212.5+6.5*2.285)*10.764</f>
        <v>2447.2223099999997</v>
      </c>
      <c r="E986" s="112"/>
      <c r="F986" s="59">
        <v>0</v>
      </c>
      <c r="G986" s="59">
        <f t="shared" ref="G986:G989" si="134">D986*1.6+F986</f>
        <v>3915.5556959999994</v>
      </c>
      <c r="H986" s="117" t="str">
        <f>A985</f>
        <v>37th Floor</v>
      </c>
      <c r="I986" s="118"/>
      <c r="J986" s="119"/>
    </row>
    <row r="987" spans="1:12" ht="15.6" x14ac:dyDescent="0.25">
      <c r="A987" s="111">
        <f>A986+1</f>
        <v>2</v>
      </c>
      <c r="B987" s="112"/>
      <c r="C987" s="59" t="s">
        <v>178</v>
      </c>
      <c r="D987" s="111">
        <f>(154.381+3*1.9+3*1.475)*10.764</f>
        <v>1770.7425839999999</v>
      </c>
      <c r="E987" s="112"/>
      <c r="F987" s="59">
        <v>0</v>
      </c>
      <c r="G987" s="59">
        <f t="shared" si="134"/>
        <v>2833.1881343999999</v>
      </c>
      <c r="H987" s="120"/>
      <c r="I987" s="121"/>
      <c r="J987" s="122"/>
    </row>
    <row r="988" spans="1:12" ht="15.6" x14ac:dyDescent="0.25">
      <c r="A988" s="111">
        <f t="shared" ref="A988:A989" si="135">A987+1</f>
        <v>3</v>
      </c>
      <c r="B988" s="112"/>
      <c r="C988" s="59" t="s">
        <v>336</v>
      </c>
      <c r="D988" s="111">
        <f>(185.683+6.5*1.675)*10.764</f>
        <v>2115.8848619999999</v>
      </c>
      <c r="E988" s="112"/>
      <c r="F988" s="59">
        <v>0</v>
      </c>
      <c r="G988" s="59">
        <f t="shared" si="134"/>
        <v>3385.4157792000001</v>
      </c>
      <c r="H988" s="120"/>
      <c r="I988" s="121"/>
      <c r="J988" s="122"/>
    </row>
    <row r="989" spans="1:12" ht="15.6" x14ac:dyDescent="0.25">
      <c r="A989" s="111">
        <f t="shared" si="135"/>
        <v>4</v>
      </c>
      <c r="B989" s="112"/>
      <c r="C989" s="59" t="s">
        <v>337</v>
      </c>
      <c r="D989" s="111">
        <f>(243.904+(6*1.815)*2+ 2.65*(1.675+1.675))*10.764</f>
        <v>2955.3799859999995</v>
      </c>
      <c r="E989" s="112"/>
      <c r="F989" s="59">
        <v>0</v>
      </c>
      <c r="G989" s="59">
        <f t="shared" si="134"/>
        <v>4728.6079775999997</v>
      </c>
      <c r="H989" s="123"/>
      <c r="I989" s="124"/>
      <c r="J989" s="125"/>
    </row>
    <row r="990" spans="1:12" ht="15.6" hidden="1" x14ac:dyDescent="0.25">
      <c r="A990" s="146" t="s">
        <v>340</v>
      </c>
      <c r="B990" s="147"/>
      <c r="C990" s="147"/>
      <c r="D990" s="147"/>
      <c r="E990" s="147"/>
      <c r="F990" s="147"/>
      <c r="G990" s="147"/>
      <c r="H990" s="147"/>
      <c r="I990" s="147"/>
      <c r="J990" s="148"/>
    </row>
    <row r="991" spans="1:12" ht="15.6" hidden="1" x14ac:dyDescent="0.25">
      <c r="A991" s="129" t="s">
        <v>339</v>
      </c>
      <c r="B991" s="130"/>
      <c r="C991" s="130"/>
      <c r="D991" s="130"/>
      <c r="E991" s="130"/>
      <c r="F991" s="130"/>
      <c r="G991" s="130"/>
      <c r="H991" s="130"/>
      <c r="I991" s="130"/>
      <c r="J991" s="131"/>
    </row>
    <row r="992" spans="1:12" ht="15.6" hidden="1" x14ac:dyDescent="0.25">
      <c r="A992" s="132" t="s">
        <v>341</v>
      </c>
      <c r="B992" s="149"/>
      <c r="C992" s="149"/>
      <c r="D992" s="149"/>
      <c r="E992" s="149"/>
      <c r="F992" s="149"/>
      <c r="G992" s="149"/>
      <c r="H992" s="149"/>
      <c r="I992" s="149"/>
      <c r="J992" s="133"/>
    </row>
    <row r="993" spans="1:10" ht="15.6" hidden="1" x14ac:dyDescent="0.25">
      <c r="A993" s="132">
        <v>1</v>
      </c>
      <c r="B993" s="133"/>
      <c r="C993" s="93" t="s">
        <v>178</v>
      </c>
      <c r="D993" s="132">
        <f>(106.176+3*1.815)*10.764</f>
        <v>1201.4884440000001</v>
      </c>
      <c r="E993" s="133"/>
      <c r="F993" s="93">
        <v>0</v>
      </c>
      <c r="G993" s="93">
        <f t="shared" ref="G993:G998" si="136">D993*1.6+F993</f>
        <v>1922.3815104000003</v>
      </c>
      <c r="H993" s="134" t="str">
        <f>A992</f>
        <v>Ground Floor for Residential, Entrance Lobby, LT Panel Room, Fire Control Room &amp; Parking</v>
      </c>
      <c r="I993" s="135"/>
      <c r="J993" s="136"/>
    </row>
    <row r="994" spans="1:10" ht="15.6" hidden="1" x14ac:dyDescent="0.25">
      <c r="A994" s="132">
        <f>A993+1</f>
        <v>2</v>
      </c>
      <c r="B994" s="133"/>
      <c r="C994" s="93" t="s">
        <v>178</v>
      </c>
      <c r="D994" s="132">
        <f>(106.176+3*1.815)*10.764</f>
        <v>1201.4884440000001</v>
      </c>
      <c r="E994" s="133"/>
      <c r="F994" s="93">
        <v>0</v>
      </c>
      <c r="G994" s="93">
        <f t="shared" si="136"/>
        <v>1922.3815104000003</v>
      </c>
      <c r="H994" s="137"/>
      <c r="I994" s="138"/>
      <c r="J994" s="139"/>
    </row>
    <row r="995" spans="1:10" ht="15.6" hidden="1" x14ac:dyDescent="0.25">
      <c r="A995" s="132">
        <f t="shared" ref="A995:A1000" si="137">A994+1</f>
        <v>3</v>
      </c>
      <c r="B995" s="133"/>
      <c r="C995" s="93" t="s">
        <v>324</v>
      </c>
      <c r="D995" s="132">
        <f>(121.566+3.5*1.815+2.6*1.675)*10.764</f>
        <v>1423.791954</v>
      </c>
      <c r="E995" s="133"/>
      <c r="F995" s="93">
        <v>0</v>
      </c>
      <c r="G995" s="93">
        <f t="shared" si="136"/>
        <v>2278.0671264000002</v>
      </c>
      <c r="H995" s="137"/>
      <c r="I995" s="138"/>
      <c r="J995" s="139"/>
    </row>
    <row r="996" spans="1:10" ht="15.6" hidden="1" x14ac:dyDescent="0.25">
      <c r="A996" s="132">
        <f t="shared" si="137"/>
        <v>4</v>
      </c>
      <c r="B996" s="133"/>
      <c r="C996" s="93" t="s">
        <v>324</v>
      </c>
      <c r="D996" s="132">
        <f>(118.977+3.5*1.815+2.6*1.675)*10.764</f>
        <v>1395.9239580000001</v>
      </c>
      <c r="E996" s="133"/>
      <c r="F996" s="93">
        <v>0</v>
      </c>
      <c r="G996" s="93">
        <f t="shared" si="136"/>
        <v>2233.4783328000003</v>
      </c>
      <c r="H996" s="137"/>
      <c r="I996" s="138"/>
      <c r="J996" s="139"/>
    </row>
    <row r="997" spans="1:10" ht="15.6" hidden="1" x14ac:dyDescent="0.25">
      <c r="A997" s="132">
        <f t="shared" si="137"/>
        <v>5</v>
      </c>
      <c r="B997" s="133"/>
      <c r="C997" s="93" t="s">
        <v>323</v>
      </c>
      <c r="D997" s="132">
        <f>(92.445+3*1.675)*10.764</f>
        <v>1049.1670799999999</v>
      </c>
      <c r="E997" s="133"/>
      <c r="F997" s="93">
        <v>0</v>
      </c>
      <c r="G997" s="93">
        <f t="shared" si="136"/>
        <v>1678.667328</v>
      </c>
      <c r="H997" s="137"/>
      <c r="I997" s="138"/>
      <c r="J997" s="139"/>
    </row>
    <row r="998" spans="1:10" ht="15.6" hidden="1" x14ac:dyDescent="0.25">
      <c r="A998" s="132">
        <f t="shared" si="137"/>
        <v>6</v>
      </c>
      <c r="B998" s="133"/>
      <c r="C998" s="93" t="s">
        <v>323</v>
      </c>
      <c r="D998" s="132">
        <f>(92.445+3*1.675)*10.764</f>
        <v>1049.1670799999999</v>
      </c>
      <c r="E998" s="133"/>
      <c r="F998" s="93">
        <v>0</v>
      </c>
      <c r="G998" s="93">
        <f t="shared" si="136"/>
        <v>1678.667328</v>
      </c>
      <c r="H998" s="137"/>
      <c r="I998" s="138"/>
      <c r="J998" s="139"/>
    </row>
    <row r="999" spans="1:10" ht="15.6" hidden="1" x14ac:dyDescent="0.25">
      <c r="A999" s="132">
        <f t="shared" si="137"/>
        <v>7</v>
      </c>
      <c r="B999" s="133"/>
      <c r="C999" s="134" t="s">
        <v>322</v>
      </c>
      <c r="D999" s="135"/>
      <c r="E999" s="135"/>
      <c r="F999" s="135"/>
      <c r="G999" s="136"/>
      <c r="H999" s="137"/>
      <c r="I999" s="138"/>
      <c r="J999" s="139"/>
    </row>
    <row r="1000" spans="1:10" ht="15.6" hidden="1" x14ac:dyDescent="0.25">
      <c r="A1000" s="132">
        <f t="shared" si="137"/>
        <v>8</v>
      </c>
      <c r="B1000" s="133"/>
      <c r="C1000" s="140"/>
      <c r="D1000" s="141"/>
      <c r="E1000" s="141"/>
      <c r="F1000" s="141"/>
      <c r="G1000" s="142"/>
      <c r="H1000" s="140"/>
      <c r="I1000" s="141"/>
      <c r="J1000" s="142"/>
    </row>
    <row r="1001" spans="1:10" ht="15.6" hidden="1" x14ac:dyDescent="0.25">
      <c r="A1001" s="129" t="s">
        <v>278</v>
      </c>
      <c r="B1001" s="130"/>
      <c r="C1001" s="130"/>
      <c r="D1001" s="130"/>
      <c r="E1001" s="130"/>
      <c r="F1001" s="130"/>
      <c r="G1001" s="130"/>
      <c r="H1001" s="130"/>
      <c r="I1001" s="130"/>
      <c r="J1001" s="131"/>
    </row>
    <row r="1002" spans="1:10" ht="15.6" hidden="1" x14ac:dyDescent="0.25">
      <c r="A1002" s="132">
        <v>1</v>
      </c>
      <c r="B1002" s="133"/>
      <c r="C1002" s="93" t="s">
        <v>178</v>
      </c>
      <c r="D1002" s="132">
        <f>(106.176+3*1.815)*10.764</f>
        <v>1201.4884440000001</v>
      </c>
      <c r="E1002" s="133"/>
      <c r="F1002" s="93">
        <v>0</v>
      </c>
      <c r="G1002" s="93">
        <f t="shared" ref="G1002:G1007" si="138">D1002*1.6+F1002</f>
        <v>1922.3815104000003</v>
      </c>
      <c r="H1002" s="134" t="str">
        <f>A1001</f>
        <v>1st Floor</v>
      </c>
      <c r="I1002" s="135"/>
      <c r="J1002" s="136"/>
    </row>
    <row r="1003" spans="1:10" ht="15.6" hidden="1" x14ac:dyDescent="0.25">
      <c r="A1003" s="132">
        <f>A1002+1</f>
        <v>2</v>
      </c>
      <c r="B1003" s="133"/>
      <c r="C1003" s="93" t="s">
        <v>178</v>
      </c>
      <c r="D1003" s="132">
        <f>(106.176+3*1.815)*10.764</f>
        <v>1201.4884440000001</v>
      </c>
      <c r="E1003" s="133"/>
      <c r="F1003" s="93">
        <v>0</v>
      </c>
      <c r="G1003" s="93">
        <f t="shared" si="138"/>
        <v>1922.3815104000003</v>
      </c>
      <c r="H1003" s="137"/>
      <c r="I1003" s="138"/>
      <c r="J1003" s="139"/>
    </row>
    <row r="1004" spans="1:10" ht="15.6" hidden="1" x14ac:dyDescent="0.25">
      <c r="A1004" s="132">
        <f t="shared" ref="A1004:A1009" si="139">A1003+1</f>
        <v>3</v>
      </c>
      <c r="B1004" s="133"/>
      <c r="C1004" s="93" t="s">
        <v>324</v>
      </c>
      <c r="D1004" s="132">
        <f>(121.566+3.5*1.815+2.6*1.675)*10.764</f>
        <v>1423.791954</v>
      </c>
      <c r="E1004" s="133"/>
      <c r="F1004" s="93">
        <v>0</v>
      </c>
      <c r="G1004" s="93">
        <f t="shared" si="138"/>
        <v>2278.0671264000002</v>
      </c>
      <c r="H1004" s="137"/>
      <c r="I1004" s="138"/>
      <c r="J1004" s="139"/>
    </row>
    <row r="1005" spans="1:10" ht="15.6" hidden="1" x14ac:dyDescent="0.25">
      <c r="A1005" s="132">
        <f t="shared" si="139"/>
        <v>4</v>
      </c>
      <c r="B1005" s="133"/>
      <c r="C1005" s="93" t="s">
        <v>324</v>
      </c>
      <c r="D1005" s="132">
        <f>(118.977+3.5*1.815+2.6*1.675)*10.764</f>
        <v>1395.9239580000001</v>
      </c>
      <c r="E1005" s="133"/>
      <c r="F1005" s="93">
        <v>0</v>
      </c>
      <c r="G1005" s="93">
        <f t="shared" si="138"/>
        <v>2233.4783328000003</v>
      </c>
      <c r="H1005" s="137"/>
      <c r="I1005" s="138"/>
      <c r="J1005" s="139"/>
    </row>
    <row r="1006" spans="1:10" ht="15.6" hidden="1" x14ac:dyDescent="0.25">
      <c r="A1006" s="132">
        <f t="shared" si="139"/>
        <v>5</v>
      </c>
      <c r="B1006" s="133"/>
      <c r="C1006" s="93" t="s">
        <v>323</v>
      </c>
      <c r="D1006" s="132">
        <f>(92.484+3*1.815+2.6*1.675)*10.764</f>
        <v>1100.984976</v>
      </c>
      <c r="E1006" s="133"/>
      <c r="F1006" s="93">
        <v>0</v>
      </c>
      <c r="G1006" s="93">
        <f t="shared" si="138"/>
        <v>1761.5759616</v>
      </c>
      <c r="H1006" s="137"/>
      <c r="I1006" s="138"/>
      <c r="J1006" s="139"/>
    </row>
    <row r="1007" spans="1:10" ht="15.6" hidden="1" x14ac:dyDescent="0.25">
      <c r="A1007" s="132">
        <f t="shared" si="139"/>
        <v>6</v>
      </c>
      <c r="B1007" s="133"/>
      <c r="C1007" s="93" t="s">
        <v>323</v>
      </c>
      <c r="D1007" s="132">
        <f>(92.484+3*1.815+2.6*1.675)*10.764</f>
        <v>1100.984976</v>
      </c>
      <c r="E1007" s="133"/>
      <c r="F1007" s="93">
        <v>0</v>
      </c>
      <c r="G1007" s="93">
        <f t="shared" si="138"/>
        <v>1761.5759616</v>
      </c>
      <c r="H1007" s="137"/>
      <c r="I1007" s="138"/>
      <c r="J1007" s="139"/>
    </row>
    <row r="1008" spans="1:10" ht="15.6" hidden="1" x14ac:dyDescent="0.25">
      <c r="A1008" s="132">
        <f t="shared" si="139"/>
        <v>7</v>
      </c>
      <c r="B1008" s="133"/>
      <c r="C1008" s="134" t="s">
        <v>325</v>
      </c>
      <c r="D1008" s="135"/>
      <c r="E1008" s="135"/>
      <c r="F1008" s="135"/>
      <c r="G1008" s="136"/>
      <c r="H1008" s="137"/>
      <c r="I1008" s="138"/>
      <c r="J1008" s="139"/>
    </row>
    <row r="1009" spans="1:10" ht="15.6" hidden="1" x14ac:dyDescent="0.25">
      <c r="A1009" s="132">
        <f t="shared" si="139"/>
        <v>8</v>
      </c>
      <c r="B1009" s="133"/>
      <c r="C1009" s="140"/>
      <c r="D1009" s="141"/>
      <c r="E1009" s="141"/>
      <c r="F1009" s="141"/>
      <c r="G1009" s="142"/>
      <c r="H1009" s="140"/>
      <c r="I1009" s="141"/>
      <c r="J1009" s="142"/>
    </row>
    <row r="1010" spans="1:10" ht="15.6" hidden="1" x14ac:dyDescent="0.25">
      <c r="A1010" s="129" t="s">
        <v>342</v>
      </c>
      <c r="B1010" s="130"/>
      <c r="C1010" s="130"/>
      <c r="D1010" s="130"/>
      <c r="E1010" s="130"/>
      <c r="F1010" s="130"/>
      <c r="G1010" s="130"/>
      <c r="H1010" s="130"/>
      <c r="I1010" s="130"/>
      <c r="J1010" s="131"/>
    </row>
    <row r="1011" spans="1:10" ht="15.6" hidden="1" x14ac:dyDescent="0.25">
      <c r="A1011" s="132">
        <v>1</v>
      </c>
      <c r="B1011" s="133"/>
      <c r="C1011" s="93" t="s">
        <v>178</v>
      </c>
      <c r="D1011" s="132">
        <f>(106.176+3*1.815)*10.764</f>
        <v>1201.4884440000001</v>
      </c>
      <c r="E1011" s="133"/>
      <c r="F1011" s="93">
        <v>0</v>
      </c>
      <c r="G1011" s="93">
        <f t="shared" ref="G1011:G1016" si="140">D1011*1.6+F1011</f>
        <v>1922.3815104000003</v>
      </c>
      <c r="H1011" s="134" t="str">
        <f>A1010</f>
        <v>2nd Floor</v>
      </c>
      <c r="I1011" s="135"/>
      <c r="J1011" s="136"/>
    </row>
    <row r="1012" spans="1:10" ht="15.6" hidden="1" x14ac:dyDescent="0.25">
      <c r="A1012" s="132">
        <f>A1011+1</f>
        <v>2</v>
      </c>
      <c r="B1012" s="133"/>
      <c r="C1012" s="93" t="s">
        <v>178</v>
      </c>
      <c r="D1012" s="132">
        <f>(106.176+3*1.815)*10.764</f>
        <v>1201.4884440000001</v>
      </c>
      <c r="E1012" s="133"/>
      <c r="F1012" s="93">
        <v>0</v>
      </c>
      <c r="G1012" s="93">
        <f t="shared" si="140"/>
        <v>1922.3815104000003</v>
      </c>
      <c r="H1012" s="137"/>
      <c r="I1012" s="138"/>
      <c r="J1012" s="139"/>
    </row>
    <row r="1013" spans="1:10" ht="15.6" hidden="1" x14ac:dyDescent="0.25">
      <c r="A1013" s="132">
        <f t="shared" ref="A1013:A1018" si="141">A1012+1</f>
        <v>3</v>
      </c>
      <c r="B1013" s="133"/>
      <c r="C1013" s="93" t="s">
        <v>324</v>
      </c>
      <c r="D1013" s="132">
        <f>(121.566+3.5*1.815+2.6*1.675)*10.764</f>
        <v>1423.791954</v>
      </c>
      <c r="E1013" s="133"/>
      <c r="F1013" s="93">
        <v>0</v>
      </c>
      <c r="G1013" s="93">
        <f t="shared" si="140"/>
        <v>2278.0671264000002</v>
      </c>
      <c r="H1013" s="137"/>
      <c r="I1013" s="138"/>
      <c r="J1013" s="139"/>
    </row>
    <row r="1014" spans="1:10" ht="15.6" hidden="1" x14ac:dyDescent="0.25">
      <c r="A1014" s="132">
        <f t="shared" si="141"/>
        <v>4</v>
      </c>
      <c r="B1014" s="133"/>
      <c r="C1014" s="93" t="s">
        <v>324</v>
      </c>
      <c r="D1014" s="132">
        <f>(119.244+3.2*1.815+2.55*1.675)*10.764</f>
        <v>1392.0354629999999</v>
      </c>
      <c r="E1014" s="133"/>
      <c r="F1014" s="93">
        <v>0</v>
      </c>
      <c r="G1014" s="93">
        <f t="shared" si="140"/>
        <v>2227.2567408</v>
      </c>
      <c r="H1014" s="137"/>
      <c r="I1014" s="138"/>
      <c r="J1014" s="139"/>
    </row>
    <row r="1015" spans="1:10" ht="15.6" hidden="1" x14ac:dyDescent="0.25">
      <c r="A1015" s="132">
        <f t="shared" si="141"/>
        <v>5</v>
      </c>
      <c r="B1015" s="133"/>
      <c r="C1015" s="93" t="s">
        <v>323</v>
      </c>
      <c r="D1015" s="132">
        <f>(92.484+3*1.815+2.6*1.675)*10.764</f>
        <v>1100.984976</v>
      </c>
      <c r="E1015" s="133"/>
      <c r="F1015" s="93">
        <v>0</v>
      </c>
      <c r="G1015" s="93">
        <f t="shared" si="140"/>
        <v>1761.5759616</v>
      </c>
      <c r="H1015" s="137"/>
      <c r="I1015" s="138"/>
      <c r="J1015" s="139"/>
    </row>
    <row r="1016" spans="1:10" ht="15.6" hidden="1" x14ac:dyDescent="0.25">
      <c r="A1016" s="132">
        <f t="shared" si="141"/>
        <v>6</v>
      </c>
      <c r="B1016" s="133"/>
      <c r="C1016" s="93" t="s">
        <v>323</v>
      </c>
      <c r="D1016" s="132">
        <f>(92.484+3*1.815+2.6*1.675)*10.764</f>
        <v>1100.984976</v>
      </c>
      <c r="E1016" s="133"/>
      <c r="F1016" s="93">
        <v>0</v>
      </c>
      <c r="G1016" s="93">
        <f t="shared" si="140"/>
        <v>1761.5759616</v>
      </c>
      <c r="H1016" s="137"/>
      <c r="I1016" s="138"/>
      <c r="J1016" s="139"/>
    </row>
    <row r="1017" spans="1:10" ht="15.6" hidden="1" x14ac:dyDescent="0.25">
      <c r="A1017" s="132">
        <f t="shared" si="141"/>
        <v>7</v>
      </c>
      <c r="B1017" s="133"/>
      <c r="C1017" s="134" t="s">
        <v>343</v>
      </c>
      <c r="D1017" s="135"/>
      <c r="E1017" s="135"/>
      <c r="F1017" s="135"/>
      <c r="G1017" s="136"/>
      <c r="H1017" s="137"/>
      <c r="I1017" s="138"/>
      <c r="J1017" s="139"/>
    </row>
    <row r="1018" spans="1:10" ht="15.6" hidden="1" x14ac:dyDescent="0.25">
      <c r="A1018" s="132">
        <f t="shared" si="141"/>
        <v>8</v>
      </c>
      <c r="B1018" s="133"/>
      <c r="C1018" s="140"/>
      <c r="D1018" s="141"/>
      <c r="E1018" s="141"/>
      <c r="F1018" s="141"/>
      <c r="G1018" s="142"/>
      <c r="H1018" s="140"/>
      <c r="I1018" s="141"/>
      <c r="J1018" s="142"/>
    </row>
    <row r="1019" spans="1:10" ht="15.6" hidden="1" x14ac:dyDescent="0.25">
      <c r="A1019" s="129" t="s">
        <v>261</v>
      </c>
      <c r="B1019" s="130"/>
      <c r="C1019" s="130"/>
      <c r="D1019" s="130"/>
      <c r="E1019" s="130"/>
      <c r="F1019" s="130"/>
      <c r="G1019" s="130"/>
      <c r="H1019" s="130"/>
      <c r="I1019" s="130"/>
      <c r="J1019" s="131"/>
    </row>
    <row r="1020" spans="1:10" ht="15.6" hidden="1" x14ac:dyDescent="0.25">
      <c r="A1020" s="132">
        <v>1</v>
      </c>
      <c r="B1020" s="133"/>
      <c r="C1020" s="93" t="s">
        <v>178</v>
      </c>
      <c r="D1020" s="132">
        <f>(106.176+3*1.815)*10.764</f>
        <v>1201.4884440000001</v>
      </c>
      <c r="E1020" s="133"/>
      <c r="F1020" s="93">
        <v>0</v>
      </c>
      <c r="G1020" s="93">
        <f t="shared" ref="G1020:G1025" si="142">D1020*1.6+F1020</f>
        <v>1922.3815104000003</v>
      </c>
      <c r="H1020" s="134" t="str">
        <f>A1019</f>
        <v>3rd Floor</v>
      </c>
      <c r="I1020" s="135"/>
      <c r="J1020" s="136"/>
    </row>
    <row r="1021" spans="1:10" ht="15.6" hidden="1" x14ac:dyDescent="0.25">
      <c r="A1021" s="132">
        <f>A1020+1</f>
        <v>2</v>
      </c>
      <c r="B1021" s="133"/>
      <c r="C1021" s="93" t="s">
        <v>178</v>
      </c>
      <c r="D1021" s="132">
        <f>(106.176+3*1.815)*10.764</f>
        <v>1201.4884440000001</v>
      </c>
      <c r="E1021" s="133"/>
      <c r="F1021" s="93">
        <v>0</v>
      </c>
      <c r="G1021" s="93">
        <f t="shared" si="142"/>
        <v>1922.3815104000003</v>
      </c>
      <c r="H1021" s="137"/>
      <c r="I1021" s="138"/>
      <c r="J1021" s="139"/>
    </row>
    <row r="1022" spans="1:10" ht="15.6" hidden="1" x14ac:dyDescent="0.25">
      <c r="A1022" s="132">
        <f t="shared" ref="A1022:A1027" si="143">A1021+1</f>
        <v>3</v>
      </c>
      <c r="B1022" s="133"/>
      <c r="C1022" s="93" t="s">
        <v>324</v>
      </c>
      <c r="D1022" s="132">
        <f>(121.566+3.5*1.815+2.6*1.675)*10.764</f>
        <v>1423.791954</v>
      </c>
      <c r="E1022" s="133"/>
      <c r="F1022" s="93">
        <v>0</v>
      </c>
      <c r="G1022" s="93">
        <f t="shared" si="142"/>
        <v>2278.0671264000002</v>
      </c>
      <c r="H1022" s="137"/>
      <c r="I1022" s="138"/>
      <c r="J1022" s="139"/>
    </row>
    <row r="1023" spans="1:10" ht="15.6" hidden="1" x14ac:dyDescent="0.25">
      <c r="A1023" s="132">
        <f t="shared" si="143"/>
        <v>4</v>
      </c>
      <c r="B1023" s="133"/>
      <c r="C1023" s="93" t="s">
        <v>324</v>
      </c>
      <c r="D1023" s="132">
        <f>(119.244+3.2*1.815+2.55*1.675)*10.764</f>
        <v>1392.0354629999999</v>
      </c>
      <c r="E1023" s="133"/>
      <c r="F1023" s="93">
        <v>0</v>
      </c>
      <c r="G1023" s="93">
        <f t="shared" si="142"/>
        <v>2227.2567408</v>
      </c>
      <c r="H1023" s="137"/>
      <c r="I1023" s="138"/>
      <c r="J1023" s="139"/>
    </row>
    <row r="1024" spans="1:10" ht="15.6" hidden="1" x14ac:dyDescent="0.25">
      <c r="A1024" s="132">
        <f t="shared" si="143"/>
        <v>5</v>
      </c>
      <c r="B1024" s="133"/>
      <c r="C1024" s="93" t="s">
        <v>323</v>
      </c>
      <c r="D1024" s="132">
        <f>(92.484+3*1.815+2.6*1.675)*10.764</f>
        <v>1100.984976</v>
      </c>
      <c r="E1024" s="133"/>
      <c r="F1024" s="93">
        <v>0</v>
      </c>
      <c r="G1024" s="93">
        <f t="shared" si="142"/>
        <v>1761.5759616</v>
      </c>
      <c r="H1024" s="137"/>
      <c r="I1024" s="138"/>
      <c r="J1024" s="139"/>
    </row>
    <row r="1025" spans="1:10" ht="15.6" hidden="1" x14ac:dyDescent="0.25">
      <c r="A1025" s="132">
        <f t="shared" si="143"/>
        <v>6</v>
      </c>
      <c r="B1025" s="133"/>
      <c r="C1025" s="93" t="s">
        <v>323</v>
      </c>
      <c r="D1025" s="132">
        <f>(92.484+3*1.815+2.6*1.675)*10.764</f>
        <v>1100.984976</v>
      </c>
      <c r="E1025" s="133"/>
      <c r="F1025" s="93">
        <v>0</v>
      </c>
      <c r="G1025" s="93">
        <f t="shared" si="142"/>
        <v>1761.5759616</v>
      </c>
      <c r="H1025" s="137"/>
      <c r="I1025" s="138"/>
      <c r="J1025" s="139"/>
    </row>
    <row r="1026" spans="1:10" ht="15.6" hidden="1" x14ac:dyDescent="0.25">
      <c r="A1026" s="132">
        <f t="shared" si="143"/>
        <v>7</v>
      </c>
      <c r="B1026" s="133"/>
      <c r="C1026" s="134" t="s">
        <v>343</v>
      </c>
      <c r="D1026" s="135"/>
      <c r="E1026" s="135"/>
      <c r="F1026" s="135"/>
      <c r="G1026" s="136"/>
      <c r="H1026" s="137"/>
      <c r="I1026" s="138"/>
      <c r="J1026" s="139"/>
    </row>
    <row r="1027" spans="1:10" ht="15.6" hidden="1" x14ac:dyDescent="0.25">
      <c r="A1027" s="132">
        <f t="shared" si="143"/>
        <v>8</v>
      </c>
      <c r="B1027" s="133"/>
      <c r="C1027" s="140"/>
      <c r="D1027" s="141"/>
      <c r="E1027" s="141"/>
      <c r="F1027" s="141"/>
      <c r="G1027" s="142"/>
      <c r="H1027" s="140"/>
      <c r="I1027" s="141"/>
      <c r="J1027" s="142"/>
    </row>
    <row r="1028" spans="1:10" ht="15.6" hidden="1" x14ac:dyDescent="0.25">
      <c r="A1028" s="129" t="s">
        <v>262</v>
      </c>
      <c r="B1028" s="130"/>
      <c r="C1028" s="130"/>
      <c r="D1028" s="130"/>
      <c r="E1028" s="130"/>
      <c r="F1028" s="130"/>
      <c r="G1028" s="130"/>
      <c r="H1028" s="130"/>
      <c r="I1028" s="130"/>
      <c r="J1028" s="131"/>
    </row>
    <row r="1029" spans="1:10" ht="15.6" hidden="1" x14ac:dyDescent="0.25">
      <c r="A1029" s="132">
        <v>1</v>
      </c>
      <c r="B1029" s="133"/>
      <c r="C1029" s="93" t="s">
        <v>178</v>
      </c>
      <c r="D1029" s="132">
        <f>(106.176+3*1.815)*10.764</f>
        <v>1201.4884440000001</v>
      </c>
      <c r="E1029" s="133"/>
      <c r="F1029" s="93">
        <v>0</v>
      </c>
      <c r="G1029" s="93">
        <f t="shared" ref="G1029:G1034" si="144">D1029*1.6+F1029</f>
        <v>1922.3815104000003</v>
      </c>
      <c r="H1029" s="134" t="str">
        <f>A1028</f>
        <v>4th Floor</v>
      </c>
      <c r="I1029" s="135"/>
      <c r="J1029" s="136"/>
    </row>
    <row r="1030" spans="1:10" ht="15.6" hidden="1" x14ac:dyDescent="0.25">
      <c r="A1030" s="132">
        <f>A1029+1</f>
        <v>2</v>
      </c>
      <c r="B1030" s="133"/>
      <c r="C1030" s="93" t="s">
        <v>178</v>
      </c>
      <c r="D1030" s="132">
        <f>(106.176+3*1.815)*10.764</f>
        <v>1201.4884440000001</v>
      </c>
      <c r="E1030" s="133"/>
      <c r="F1030" s="93">
        <v>0</v>
      </c>
      <c r="G1030" s="93">
        <f t="shared" si="144"/>
        <v>1922.3815104000003</v>
      </c>
      <c r="H1030" s="137"/>
      <c r="I1030" s="138"/>
      <c r="J1030" s="139"/>
    </row>
    <row r="1031" spans="1:10" ht="15.6" hidden="1" x14ac:dyDescent="0.25">
      <c r="A1031" s="132">
        <f t="shared" ref="A1031:A1036" si="145">A1030+1</f>
        <v>3</v>
      </c>
      <c r="B1031" s="133"/>
      <c r="C1031" s="93" t="s">
        <v>324</v>
      </c>
      <c r="D1031" s="132">
        <f>(121.566+3.5*1.815+2.6*1.675)*10.764</f>
        <v>1423.791954</v>
      </c>
      <c r="E1031" s="133"/>
      <c r="F1031" s="93">
        <v>0</v>
      </c>
      <c r="G1031" s="93">
        <f t="shared" si="144"/>
        <v>2278.0671264000002</v>
      </c>
      <c r="H1031" s="137"/>
      <c r="I1031" s="138"/>
      <c r="J1031" s="139"/>
    </row>
    <row r="1032" spans="1:10" ht="15.6" hidden="1" x14ac:dyDescent="0.25">
      <c r="A1032" s="132">
        <f t="shared" si="145"/>
        <v>4</v>
      </c>
      <c r="B1032" s="133"/>
      <c r="C1032" s="93" t="s">
        <v>324</v>
      </c>
      <c r="D1032" s="132">
        <f>(119.244+3.2*1.815+2.55*1.675)*10.764</f>
        <v>1392.0354629999999</v>
      </c>
      <c r="E1032" s="133"/>
      <c r="F1032" s="93">
        <v>0</v>
      </c>
      <c r="G1032" s="93">
        <f t="shared" si="144"/>
        <v>2227.2567408</v>
      </c>
      <c r="H1032" s="137"/>
      <c r="I1032" s="138"/>
      <c r="J1032" s="139"/>
    </row>
    <row r="1033" spans="1:10" ht="15.6" hidden="1" x14ac:dyDescent="0.25">
      <c r="A1033" s="132">
        <f t="shared" si="145"/>
        <v>5</v>
      </c>
      <c r="B1033" s="133"/>
      <c r="C1033" s="93" t="s">
        <v>323</v>
      </c>
      <c r="D1033" s="132">
        <f>(92.484+3*1.815+2.6*1.675)*10.764</f>
        <v>1100.984976</v>
      </c>
      <c r="E1033" s="133"/>
      <c r="F1033" s="93">
        <v>0</v>
      </c>
      <c r="G1033" s="93">
        <f t="shared" si="144"/>
        <v>1761.5759616</v>
      </c>
      <c r="H1033" s="137"/>
      <c r="I1033" s="138"/>
      <c r="J1033" s="139"/>
    </row>
    <row r="1034" spans="1:10" ht="15.6" hidden="1" x14ac:dyDescent="0.25">
      <c r="A1034" s="132">
        <f t="shared" si="145"/>
        <v>6</v>
      </c>
      <c r="B1034" s="133"/>
      <c r="C1034" s="93" t="s">
        <v>323</v>
      </c>
      <c r="D1034" s="132">
        <f>(92.484+3*1.815+2.6*1.675)*10.764</f>
        <v>1100.984976</v>
      </c>
      <c r="E1034" s="133"/>
      <c r="F1034" s="93">
        <v>0</v>
      </c>
      <c r="G1034" s="93">
        <f t="shared" si="144"/>
        <v>1761.5759616</v>
      </c>
      <c r="H1034" s="137"/>
      <c r="I1034" s="138"/>
      <c r="J1034" s="139"/>
    </row>
    <row r="1035" spans="1:10" ht="15.6" hidden="1" x14ac:dyDescent="0.25">
      <c r="A1035" s="132">
        <f t="shared" si="145"/>
        <v>7</v>
      </c>
      <c r="B1035" s="133"/>
      <c r="C1035" s="134" t="s">
        <v>344</v>
      </c>
      <c r="D1035" s="135"/>
      <c r="E1035" s="135"/>
      <c r="F1035" s="135"/>
      <c r="G1035" s="136"/>
      <c r="H1035" s="137"/>
      <c r="I1035" s="138"/>
      <c r="J1035" s="139"/>
    </row>
    <row r="1036" spans="1:10" ht="15.6" hidden="1" x14ac:dyDescent="0.25">
      <c r="A1036" s="132">
        <f t="shared" si="145"/>
        <v>8</v>
      </c>
      <c r="B1036" s="133"/>
      <c r="C1036" s="140"/>
      <c r="D1036" s="141"/>
      <c r="E1036" s="141"/>
      <c r="F1036" s="141"/>
      <c r="G1036" s="142"/>
      <c r="H1036" s="140"/>
      <c r="I1036" s="141"/>
      <c r="J1036" s="142"/>
    </row>
    <row r="1037" spans="1:10" ht="15.6" hidden="1" x14ac:dyDescent="0.25">
      <c r="A1037" s="129" t="s">
        <v>263</v>
      </c>
      <c r="B1037" s="130"/>
      <c r="C1037" s="130"/>
      <c r="D1037" s="130"/>
      <c r="E1037" s="130"/>
      <c r="F1037" s="130"/>
      <c r="G1037" s="130"/>
      <c r="H1037" s="130"/>
      <c r="I1037" s="130"/>
      <c r="J1037" s="131"/>
    </row>
    <row r="1038" spans="1:10" ht="15.6" hidden="1" x14ac:dyDescent="0.25">
      <c r="A1038" s="132">
        <v>1</v>
      </c>
      <c r="B1038" s="133"/>
      <c r="C1038" s="93" t="s">
        <v>178</v>
      </c>
      <c r="D1038" s="132">
        <f>(106.176+3*1.815)*10.764</f>
        <v>1201.4884440000001</v>
      </c>
      <c r="E1038" s="133"/>
      <c r="F1038" s="93">
        <v>0</v>
      </c>
      <c r="G1038" s="93">
        <f t="shared" ref="G1038:G1045" si="146">D1038*1.6+F1038</f>
        <v>1922.3815104000003</v>
      </c>
      <c r="H1038" s="134" t="str">
        <f>A1037</f>
        <v>5th Floor</v>
      </c>
      <c r="I1038" s="135"/>
      <c r="J1038" s="136"/>
    </row>
    <row r="1039" spans="1:10" ht="15.6" hidden="1" x14ac:dyDescent="0.25">
      <c r="A1039" s="132">
        <f>A1038+1</f>
        <v>2</v>
      </c>
      <c r="B1039" s="133"/>
      <c r="C1039" s="93" t="s">
        <v>178</v>
      </c>
      <c r="D1039" s="132">
        <f>(106.176+3*1.815)*10.764</f>
        <v>1201.4884440000001</v>
      </c>
      <c r="E1039" s="133"/>
      <c r="F1039" s="93">
        <v>0</v>
      </c>
      <c r="G1039" s="93">
        <f t="shared" si="146"/>
        <v>1922.3815104000003</v>
      </c>
      <c r="H1039" s="137"/>
      <c r="I1039" s="138"/>
      <c r="J1039" s="139"/>
    </row>
    <row r="1040" spans="1:10" ht="15.6" hidden="1" x14ac:dyDescent="0.25">
      <c r="A1040" s="132">
        <f t="shared" ref="A1040:A1045" si="147">A1039+1</f>
        <v>3</v>
      </c>
      <c r="B1040" s="133"/>
      <c r="C1040" s="93" t="s">
        <v>324</v>
      </c>
      <c r="D1040" s="132">
        <f>(121.566+3.5*1.815+2.6*1.675)*10.764</f>
        <v>1423.791954</v>
      </c>
      <c r="E1040" s="133"/>
      <c r="F1040" s="93">
        <v>0</v>
      </c>
      <c r="G1040" s="93">
        <f t="shared" si="146"/>
        <v>2278.0671264000002</v>
      </c>
      <c r="H1040" s="137"/>
      <c r="I1040" s="138"/>
      <c r="J1040" s="139"/>
    </row>
    <row r="1041" spans="1:10" ht="15.6" hidden="1" x14ac:dyDescent="0.25">
      <c r="A1041" s="132">
        <f t="shared" si="147"/>
        <v>4</v>
      </c>
      <c r="B1041" s="133"/>
      <c r="C1041" s="93" t="s">
        <v>324</v>
      </c>
      <c r="D1041" s="132">
        <f>(119.244+3.2*1.815+2.55*1.675)*10.764</f>
        <v>1392.0354629999999</v>
      </c>
      <c r="E1041" s="133"/>
      <c r="F1041" s="93">
        <v>0</v>
      </c>
      <c r="G1041" s="93">
        <f t="shared" si="146"/>
        <v>2227.2567408</v>
      </c>
      <c r="H1041" s="137"/>
      <c r="I1041" s="138"/>
      <c r="J1041" s="139"/>
    </row>
    <row r="1042" spans="1:10" ht="15.6" hidden="1" x14ac:dyDescent="0.25">
      <c r="A1042" s="132">
        <f t="shared" si="147"/>
        <v>5</v>
      </c>
      <c r="B1042" s="133"/>
      <c r="C1042" s="93" t="s">
        <v>323</v>
      </c>
      <c r="D1042" s="132">
        <f>(92.484+3*1.815+2.6*1.675)*10.764</f>
        <v>1100.984976</v>
      </c>
      <c r="E1042" s="133"/>
      <c r="F1042" s="93">
        <v>0</v>
      </c>
      <c r="G1042" s="93">
        <f t="shared" si="146"/>
        <v>1761.5759616</v>
      </c>
      <c r="H1042" s="137"/>
      <c r="I1042" s="138"/>
      <c r="J1042" s="139"/>
    </row>
    <row r="1043" spans="1:10" ht="15.6" hidden="1" x14ac:dyDescent="0.25">
      <c r="A1043" s="132">
        <f t="shared" si="147"/>
        <v>6</v>
      </c>
      <c r="B1043" s="133"/>
      <c r="C1043" s="93" t="s">
        <v>323</v>
      </c>
      <c r="D1043" s="132">
        <f>(92.484+3*1.815+2.6*1.675)*10.764</f>
        <v>1100.984976</v>
      </c>
      <c r="E1043" s="133"/>
      <c r="F1043" s="93">
        <v>0</v>
      </c>
      <c r="G1043" s="93">
        <f t="shared" si="146"/>
        <v>1761.5759616</v>
      </c>
      <c r="H1043" s="137"/>
      <c r="I1043" s="138"/>
      <c r="J1043" s="139"/>
    </row>
    <row r="1044" spans="1:10" ht="15.6" hidden="1" x14ac:dyDescent="0.25">
      <c r="A1044" s="132">
        <f t="shared" si="147"/>
        <v>7</v>
      </c>
      <c r="B1044" s="133"/>
      <c r="C1044" s="93" t="s">
        <v>177</v>
      </c>
      <c r="D1044" s="132">
        <f>(76.016+3*1.525)*10.764</f>
        <v>867.48152400000004</v>
      </c>
      <c r="E1044" s="133"/>
      <c r="F1044" s="93">
        <f>(3.7*4.5+1.7*4.45)*10.764</f>
        <v>260.65026</v>
      </c>
      <c r="G1044" s="93">
        <f t="shared" si="146"/>
        <v>1648.6206984</v>
      </c>
      <c r="H1044" s="137"/>
      <c r="I1044" s="138"/>
      <c r="J1044" s="139"/>
    </row>
    <row r="1045" spans="1:10" ht="15.6" hidden="1" x14ac:dyDescent="0.25">
      <c r="A1045" s="132">
        <f t="shared" si="147"/>
        <v>8</v>
      </c>
      <c r="B1045" s="133"/>
      <c r="C1045" s="93" t="s">
        <v>177</v>
      </c>
      <c r="D1045" s="132">
        <f>(76.001+2.9*1.525)*10.764</f>
        <v>865.67855399999996</v>
      </c>
      <c r="E1045" s="133"/>
      <c r="F1045" s="93">
        <v>0</v>
      </c>
      <c r="G1045" s="93">
        <f t="shared" si="146"/>
        <v>1385.0856864</v>
      </c>
      <c r="H1045" s="140"/>
      <c r="I1045" s="141"/>
      <c r="J1045" s="142"/>
    </row>
    <row r="1046" spans="1:10" ht="15.6" x14ac:dyDescent="0.25">
      <c r="A1046" s="95"/>
      <c r="B1046" s="95"/>
      <c r="C1046" s="95"/>
      <c r="D1046" s="95"/>
      <c r="E1046" s="95"/>
      <c r="F1046" s="95"/>
      <c r="G1046" s="95"/>
      <c r="H1046" s="95"/>
      <c r="I1046" s="95"/>
      <c r="J1046" s="95"/>
    </row>
    <row r="1047" spans="1:10" ht="408.75" customHeight="1" x14ac:dyDescent="0.25">
      <c r="A1047" s="324" t="s">
        <v>415</v>
      </c>
      <c r="B1047" s="324"/>
      <c r="C1047" s="324"/>
      <c r="D1047" s="324"/>
      <c r="E1047" s="324"/>
      <c r="F1047" s="324"/>
      <c r="G1047" s="324"/>
      <c r="H1047" s="324"/>
      <c r="I1047" s="324"/>
      <c r="J1047" s="324"/>
    </row>
    <row r="1048" spans="1:10" x14ac:dyDescent="0.25">
      <c r="A1048" s="262" t="s">
        <v>25</v>
      </c>
      <c r="B1048" s="263"/>
      <c r="C1048" s="263"/>
      <c r="D1048" s="263"/>
      <c r="E1048" s="263"/>
      <c r="F1048" s="263"/>
      <c r="G1048" s="263"/>
      <c r="H1048" s="263"/>
      <c r="I1048" s="263"/>
      <c r="J1048" s="264"/>
    </row>
    <row r="1049" spans="1:10" ht="15" customHeight="1" x14ac:dyDescent="0.25">
      <c r="A1049" s="177" t="s">
        <v>28</v>
      </c>
      <c r="B1049" s="178"/>
      <c r="C1049" s="178"/>
      <c r="D1049" s="178"/>
      <c r="E1049" s="178"/>
      <c r="F1049" s="178"/>
      <c r="G1049" s="178"/>
      <c r="H1049" s="178"/>
      <c r="I1049" s="178"/>
      <c r="J1049" s="179"/>
    </row>
    <row r="1050" spans="1:10" x14ac:dyDescent="0.25">
      <c r="A1050" s="262" t="s">
        <v>26</v>
      </c>
      <c r="B1050" s="263"/>
      <c r="C1050" s="263"/>
      <c r="D1050" s="263"/>
      <c r="E1050" s="263"/>
      <c r="F1050" s="263"/>
      <c r="G1050" s="263"/>
      <c r="H1050" s="263"/>
      <c r="I1050" s="263"/>
      <c r="J1050" s="264"/>
    </row>
    <row r="1051" spans="1:10" s="9" customFormat="1" hidden="1" x14ac:dyDescent="0.25">
      <c r="A1051" s="177" t="s">
        <v>33</v>
      </c>
      <c r="B1051" s="178"/>
      <c r="C1051" s="178"/>
      <c r="D1051" s="178"/>
      <c r="E1051" s="178"/>
      <c r="F1051" s="178"/>
      <c r="G1051" s="178"/>
      <c r="H1051" s="178"/>
      <c r="I1051" s="178"/>
      <c r="J1051" s="179"/>
    </row>
    <row r="1052" spans="1:10" s="9" customFormat="1" x14ac:dyDescent="0.25">
      <c r="A1052" s="177" t="s">
        <v>98</v>
      </c>
      <c r="B1052" s="178"/>
      <c r="C1052" s="178"/>
      <c r="D1052" s="178"/>
      <c r="E1052" s="178"/>
      <c r="F1052" s="178"/>
      <c r="G1052" s="178"/>
      <c r="H1052" s="178"/>
      <c r="I1052" s="178"/>
      <c r="J1052" s="179"/>
    </row>
    <row r="1053" spans="1:10" x14ac:dyDescent="0.25">
      <c r="A1053" s="177" t="s">
        <v>99</v>
      </c>
      <c r="B1053" s="178"/>
      <c r="C1053" s="178"/>
      <c r="D1053" s="178"/>
      <c r="E1053" s="178"/>
      <c r="F1053" s="178"/>
      <c r="G1053" s="178"/>
      <c r="H1053" s="178"/>
      <c r="I1053" s="178"/>
      <c r="J1053" s="179"/>
    </row>
    <row r="1054" spans="1:10" x14ac:dyDescent="0.25">
      <c r="A1054" s="96" t="s">
        <v>100</v>
      </c>
      <c r="B1054" s="286"/>
      <c r="C1054" s="286"/>
      <c r="D1054" s="286"/>
      <c r="E1054" s="286"/>
      <c r="F1054" s="286"/>
      <c r="G1054" s="286"/>
      <c r="H1054" s="286"/>
      <c r="I1054" s="286"/>
      <c r="J1054" s="97"/>
    </row>
    <row r="1055" spans="1:10" x14ac:dyDescent="0.25">
      <c r="A1055" s="360" t="s">
        <v>315</v>
      </c>
      <c r="B1055" s="360"/>
      <c r="C1055" s="360"/>
      <c r="D1055" s="360"/>
      <c r="E1055" s="360"/>
      <c r="F1055" s="360"/>
      <c r="G1055" s="360"/>
      <c r="H1055" s="360"/>
      <c r="I1055" s="360"/>
      <c r="J1055" s="360"/>
    </row>
    <row r="1056" spans="1:10" x14ac:dyDescent="0.25">
      <c r="A1056" s="360"/>
      <c r="B1056" s="360"/>
      <c r="C1056" s="360"/>
      <c r="D1056" s="360"/>
      <c r="E1056" s="360"/>
      <c r="F1056" s="360"/>
      <c r="G1056" s="360"/>
      <c r="H1056" s="360"/>
      <c r="I1056" s="360"/>
      <c r="J1056" s="360"/>
    </row>
    <row r="1057" spans="1:10" x14ac:dyDescent="0.25">
      <c r="A1057" s="360"/>
      <c r="B1057" s="360"/>
      <c r="C1057" s="360"/>
      <c r="D1057" s="360"/>
      <c r="E1057" s="360"/>
      <c r="F1057" s="360"/>
      <c r="G1057" s="360"/>
      <c r="H1057" s="360"/>
      <c r="I1057" s="360"/>
      <c r="J1057" s="360"/>
    </row>
    <row r="1058" spans="1:10" x14ac:dyDescent="0.25">
      <c r="A1058" s="360"/>
      <c r="B1058" s="360"/>
      <c r="C1058" s="360"/>
      <c r="D1058" s="360"/>
      <c r="E1058" s="360"/>
      <c r="F1058" s="360"/>
      <c r="G1058" s="360"/>
      <c r="H1058" s="360"/>
      <c r="I1058" s="360"/>
      <c r="J1058" s="360"/>
    </row>
    <row r="1059" spans="1:10" x14ac:dyDescent="0.25">
      <c r="A1059" s="77" t="s">
        <v>316</v>
      </c>
      <c r="B1059" s="74"/>
      <c r="C1059" s="74"/>
      <c r="D1059" s="74"/>
      <c r="E1059" s="74"/>
      <c r="F1059" s="74"/>
      <c r="G1059" s="74"/>
      <c r="H1059" s="74"/>
      <c r="I1059" s="74"/>
      <c r="J1059" s="74"/>
    </row>
    <row r="1108" spans="1:2" x14ac:dyDescent="0.25">
      <c r="A1108" s="9" t="s">
        <v>370</v>
      </c>
      <c r="B1108" s="9"/>
    </row>
    <row r="1154" spans="1:1" x14ac:dyDescent="0.25">
      <c r="A1154" s="9" t="s">
        <v>385</v>
      </c>
    </row>
    <row r="1196" spans="1:1" x14ac:dyDescent="0.25">
      <c r="A1196" s="9" t="s">
        <v>385</v>
      </c>
    </row>
    <row r="1238" spans="1:1" x14ac:dyDescent="0.25">
      <c r="A1238" s="9" t="s">
        <v>386</v>
      </c>
    </row>
    <row r="1281" spans="1:2" x14ac:dyDescent="0.25">
      <c r="A1281" s="9" t="s">
        <v>388</v>
      </c>
      <c r="B1281" s="9"/>
    </row>
    <row r="1328" spans="1:2" x14ac:dyDescent="0.25">
      <c r="A1328" s="9" t="s">
        <v>113</v>
      </c>
      <c r="B1328" s="9"/>
    </row>
  </sheetData>
  <mergeCells count="2052">
    <mergeCell ref="A645:B645"/>
    <mergeCell ref="A646:B646"/>
    <mergeCell ref="A49:B56"/>
    <mergeCell ref="I49:J49"/>
    <mergeCell ref="C49:F49"/>
    <mergeCell ref="C50:J50"/>
    <mergeCell ref="C52:J52"/>
    <mergeCell ref="C54:J54"/>
    <mergeCell ref="C56:J56"/>
    <mergeCell ref="A61:B63"/>
    <mergeCell ref="C63:F63"/>
    <mergeCell ref="H63:J63"/>
    <mergeCell ref="O172:Q172"/>
    <mergeCell ref="R172:U172"/>
    <mergeCell ref="A144:B144"/>
    <mergeCell ref="C144:J144"/>
    <mergeCell ref="E145:F145"/>
    <mergeCell ref="I145:J145"/>
    <mergeCell ref="A146:B146"/>
    <mergeCell ref="C146:J146"/>
    <mergeCell ref="A147:B147"/>
    <mergeCell ref="D147:E147"/>
    <mergeCell ref="F147:G147"/>
    <mergeCell ref="H147:J147"/>
    <mergeCell ref="A148:B148"/>
    <mergeCell ref="D148:E148"/>
    <mergeCell ref="F148:G157"/>
    <mergeCell ref="H148:J157"/>
    <mergeCell ref="A149:B149"/>
    <mergeCell ref="D149:E149"/>
    <mergeCell ref="A95:B95"/>
    <mergeCell ref="E86:F86"/>
    <mergeCell ref="L172:M172"/>
    <mergeCell ref="F120:G129"/>
    <mergeCell ref="H120:J129"/>
    <mergeCell ref="C51:F51"/>
    <mergeCell ref="I51:J51"/>
    <mergeCell ref="C53:F53"/>
    <mergeCell ref="I53:J53"/>
    <mergeCell ref="C55:F55"/>
    <mergeCell ref="I55:J55"/>
    <mergeCell ref="D156:E156"/>
    <mergeCell ref="A157:B157"/>
    <mergeCell ref="D157:E157"/>
    <mergeCell ref="A139:B139"/>
    <mergeCell ref="D139:E139"/>
    <mergeCell ref="A94:B94"/>
    <mergeCell ref="A87:B87"/>
    <mergeCell ref="A66:C66"/>
    <mergeCell ref="F64:G64"/>
    <mergeCell ref="E72:F72"/>
    <mergeCell ref="I72:J72"/>
    <mergeCell ref="A73:B73"/>
    <mergeCell ref="C68:J68"/>
    <mergeCell ref="D115:E115"/>
    <mergeCell ref="A116:B116"/>
    <mergeCell ref="C116:J116"/>
    <mergeCell ref="E117:F117"/>
    <mergeCell ref="I117:J117"/>
    <mergeCell ref="A118:B118"/>
    <mergeCell ref="C118:J118"/>
    <mergeCell ref="D119:E119"/>
    <mergeCell ref="C67:J67"/>
    <mergeCell ref="A100:B100"/>
    <mergeCell ref="A795:B795"/>
    <mergeCell ref="D795:E795"/>
    <mergeCell ref="A796:B796"/>
    <mergeCell ref="D796:E796"/>
    <mergeCell ref="A150:B150"/>
    <mergeCell ref="D150:E150"/>
    <mergeCell ref="A151:B151"/>
    <mergeCell ref="A172:J172"/>
    <mergeCell ref="A173:B173"/>
    <mergeCell ref="D173:F173"/>
    <mergeCell ref="G173:J173"/>
    <mergeCell ref="A177:B177"/>
    <mergeCell ref="D177:F177"/>
    <mergeCell ref="G177:J177"/>
    <mergeCell ref="A170:F170"/>
    <mergeCell ref="G170:J170"/>
    <mergeCell ref="D151:E151"/>
    <mergeCell ref="D787:E787"/>
    <mergeCell ref="A788:B788"/>
    <mergeCell ref="D788:E788"/>
    <mergeCell ref="A789:B789"/>
    <mergeCell ref="D789:E789"/>
    <mergeCell ref="A774:J774"/>
    <mergeCell ref="D709:E709"/>
    <mergeCell ref="A710:B710"/>
    <mergeCell ref="D710:E710"/>
    <mergeCell ref="A711:B711"/>
    <mergeCell ref="A790:J790"/>
    <mergeCell ref="A791:B791"/>
    <mergeCell ref="D791:E791"/>
    <mergeCell ref="H791:J797"/>
    <mergeCell ref="A792:B792"/>
    <mergeCell ref="D792:E792"/>
    <mergeCell ref="A793:B793"/>
    <mergeCell ref="D793:E793"/>
    <mergeCell ref="A794:B794"/>
    <mergeCell ref="A130:B130"/>
    <mergeCell ref="C130:J130"/>
    <mergeCell ref="E131:F131"/>
    <mergeCell ref="I131:J131"/>
    <mergeCell ref="A132:B132"/>
    <mergeCell ref="C132:J132"/>
    <mergeCell ref="A133:B133"/>
    <mergeCell ref="D133:E133"/>
    <mergeCell ref="F133:G133"/>
    <mergeCell ref="H133:J133"/>
    <mergeCell ref="A134:B134"/>
    <mergeCell ref="D134:E134"/>
    <mergeCell ref="F134:G143"/>
    <mergeCell ref="H134:J143"/>
    <mergeCell ref="A135:B135"/>
    <mergeCell ref="D135:E135"/>
    <mergeCell ref="A136:B136"/>
    <mergeCell ref="D136:E136"/>
    <mergeCell ref="D794:E794"/>
    <mergeCell ref="A714:J714"/>
    <mergeCell ref="A715:B715"/>
    <mergeCell ref="D715:E715"/>
    <mergeCell ref="H715:J719"/>
    <mergeCell ref="A775:B775"/>
    <mergeCell ref="D775:E775"/>
    <mergeCell ref="H775:J781"/>
    <mergeCell ref="A776:B776"/>
    <mergeCell ref="D776:E776"/>
    <mergeCell ref="A777:B777"/>
    <mergeCell ref="D777:E777"/>
    <mergeCell ref="A778:B778"/>
    <mergeCell ref="D778:E778"/>
    <mergeCell ref="A779:B779"/>
    <mergeCell ref="D779:E779"/>
    <mergeCell ref="A780:B780"/>
    <mergeCell ref="D780:E780"/>
    <mergeCell ref="A781:B781"/>
    <mergeCell ref="D781:E781"/>
    <mergeCell ref="A782:J782"/>
    <mergeCell ref="A783:B783"/>
    <mergeCell ref="C783:G784"/>
    <mergeCell ref="H783:J789"/>
    <mergeCell ref="A784:B784"/>
    <mergeCell ref="A785:B785"/>
    <mergeCell ref="D785:E785"/>
    <mergeCell ref="A786:B786"/>
    <mergeCell ref="D786:E786"/>
    <mergeCell ref="A787:B787"/>
    <mergeCell ref="A740:J740"/>
    <mergeCell ref="A741:B741"/>
    <mergeCell ref="K675:T675"/>
    <mergeCell ref="A699:J699"/>
    <mergeCell ref="A700:B700"/>
    <mergeCell ref="D700:E700"/>
    <mergeCell ref="H700:J706"/>
    <mergeCell ref="A701:B701"/>
    <mergeCell ref="D701:E701"/>
    <mergeCell ref="A702:B702"/>
    <mergeCell ref="D702:E702"/>
    <mergeCell ref="A703:B703"/>
    <mergeCell ref="D703:E703"/>
    <mergeCell ref="A704:B704"/>
    <mergeCell ref="D704:E704"/>
    <mergeCell ref="A705:B705"/>
    <mergeCell ref="D705:E705"/>
    <mergeCell ref="A706:B706"/>
    <mergeCell ref="D706:E706"/>
    <mergeCell ref="D718:E718"/>
    <mergeCell ref="A719:B719"/>
    <mergeCell ref="D719:E719"/>
    <mergeCell ref="A727:J727"/>
    <mergeCell ref="A728:B728"/>
    <mergeCell ref="D728:E728"/>
    <mergeCell ref="H728:J733"/>
    <mergeCell ref="D711:E711"/>
    <mergeCell ref="A712:B712"/>
    <mergeCell ref="D712:E712"/>
    <mergeCell ref="A713:B713"/>
    <mergeCell ref="D713:E713"/>
    <mergeCell ref="A724:B724"/>
    <mergeCell ref="D724:E724"/>
    <mergeCell ref="A950:B950"/>
    <mergeCell ref="D950:E950"/>
    <mergeCell ref="A951:B951"/>
    <mergeCell ref="D951:E951"/>
    <mergeCell ref="C692:G693"/>
    <mergeCell ref="D684:E684"/>
    <mergeCell ref="H684:J690"/>
    <mergeCell ref="A685:B685"/>
    <mergeCell ref="D685:E685"/>
    <mergeCell ref="A686:B686"/>
    <mergeCell ref="D686:E686"/>
    <mergeCell ref="A687:B687"/>
    <mergeCell ref="D687:E687"/>
    <mergeCell ref="A688:B688"/>
    <mergeCell ref="D688:E688"/>
    <mergeCell ref="A691:J691"/>
    <mergeCell ref="A692:B692"/>
    <mergeCell ref="H692:J698"/>
    <mergeCell ref="A693:B693"/>
    <mergeCell ref="A929:B929"/>
    <mergeCell ref="D929:E929"/>
    <mergeCell ref="A707:J707"/>
    <mergeCell ref="A708:B708"/>
    <mergeCell ref="D708:E708"/>
    <mergeCell ref="H708:J713"/>
    <mergeCell ref="A709:B709"/>
    <mergeCell ref="H737:J739"/>
    <mergeCell ref="A721:B721"/>
    <mergeCell ref="C721:G722"/>
    <mergeCell ref="A697:B697"/>
    <mergeCell ref="A726:B726"/>
    <mergeCell ref="A647:B647"/>
    <mergeCell ref="D647:E647"/>
    <mergeCell ref="A648:B648"/>
    <mergeCell ref="D638:E638"/>
    <mergeCell ref="A639:B639"/>
    <mergeCell ref="D639:E639"/>
    <mergeCell ref="A930:B930"/>
    <mergeCell ref="D930:E930"/>
    <mergeCell ref="A931:B931"/>
    <mergeCell ref="D931:E931"/>
    <mergeCell ref="A932:B932"/>
    <mergeCell ref="D932:E932"/>
    <mergeCell ref="A933:B933"/>
    <mergeCell ref="D933:E933"/>
    <mergeCell ref="D698:E698"/>
    <mergeCell ref="D741:E741"/>
    <mergeCell ref="A742:B742"/>
    <mergeCell ref="D742:E742"/>
    <mergeCell ref="A716:B716"/>
    <mergeCell ref="D716:E716"/>
    <mergeCell ref="A717:B717"/>
    <mergeCell ref="D717:E717"/>
    <mergeCell ref="A729:B729"/>
    <mergeCell ref="D729:E729"/>
    <mergeCell ref="A730:B730"/>
    <mergeCell ref="D730:E730"/>
    <mergeCell ref="A731:B731"/>
    <mergeCell ref="D731:E731"/>
    <mergeCell ref="A797:B797"/>
    <mergeCell ref="D797:E797"/>
    <mergeCell ref="A732:B732"/>
    <mergeCell ref="D732:E732"/>
    <mergeCell ref="A1037:J1037"/>
    <mergeCell ref="A1038:B1038"/>
    <mergeCell ref="D1038:E1038"/>
    <mergeCell ref="H1038:J1045"/>
    <mergeCell ref="A1039:B1039"/>
    <mergeCell ref="D1039:E1039"/>
    <mergeCell ref="A1040:B1040"/>
    <mergeCell ref="D1040:E1040"/>
    <mergeCell ref="A1041:B1041"/>
    <mergeCell ref="D1041:E1041"/>
    <mergeCell ref="A1042:B1042"/>
    <mergeCell ref="D1042:E1042"/>
    <mergeCell ref="A1043:B1043"/>
    <mergeCell ref="D1043:E1043"/>
    <mergeCell ref="A1044:B1044"/>
    <mergeCell ref="D1044:E1044"/>
    <mergeCell ref="A1045:B1045"/>
    <mergeCell ref="D1045:E1045"/>
    <mergeCell ref="A1028:J1028"/>
    <mergeCell ref="A1029:B1029"/>
    <mergeCell ref="D1029:E1029"/>
    <mergeCell ref="H1029:J1036"/>
    <mergeCell ref="A1030:B1030"/>
    <mergeCell ref="D1030:E1030"/>
    <mergeCell ref="A1031:B1031"/>
    <mergeCell ref="D1031:E1031"/>
    <mergeCell ref="A1032:B1032"/>
    <mergeCell ref="H721:J726"/>
    <mergeCell ref="A722:B722"/>
    <mergeCell ref="A723:B723"/>
    <mergeCell ref="D723:E723"/>
    <mergeCell ref="D1032:E1032"/>
    <mergeCell ref="A1033:B1033"/>
    <mergeCell ref="D1033:E1033"/>
    <mergeCell ref="A1034:B1034"/>
    <mergeCell ref="D1034:E1034"/>
    <mergeCell ref="A1035:B1035"/>
    <mergeCell ref="A1036:B1036"/>
    <mergeCell ref="C1035:G1036"/>
    <mergeCell ref="A1019:J1019"/>
    <mergeCell ref="A1020:B1020"/>
    <mergeCell ref="D1020:E1020"/>
    <mergeCell ref="H1020:J1027"/>
    <mergeCell ref="A1021:B1021"/>
    <mergeCell ref="D1021:E1021"/>
    <mergeCell ref="A1022:B1022"/>
    <mergeCell ref="D1022:E1022"/>
    <mergeCell ref="A1023:B1023"/>
    <mergeCell ref="D1023:E1023"/>
    <mergeCell ref="A1024:B1024"/>
    <mergeCell ref="D1024:E1024"/>
    <mergeCell ref="A1025:B1025"/>
    <mergeCell ref="D1025:E1025"/>
    <mergeCell ref="A1026:B1026"/>
    <mergeCell ref="A1027:B1027"/>
    <mergeCell ref="C1026:G1027"/>
    <mergeCell ref="A1000:B1000"/>
    <mergeCell ref="C999:G1000"/>
    <mergeCell ref="C1008:G1009"/>
    <mergeCell ref="A1010:J1010"/>
    <mergeCell ref="A1011:B1011"/>
    <mergeCell ref="D1011:E1011"/>
    <mergeCell ref="H1011:J1018"/>
    <mergeCell ref="A1012:B1012"/>
    <mergeCell ref="D1012:E1012"/>
    <mergeCell ref="A1013:B1013"/>
    <mergeCell ref="D1013:E1013"/>
    <mergeCell ref="A1014:B1014"/>
    <mergeCell ref="D1014:E1014"/>
    <mergeCell ref="A1015:B1015"/>
    <mergeCell ref="D1015:E1015"/>
    <mergeCell ref="A1016:B1016"/>
    <mergeCell ref="D1016:E1016"/>
    <mergeCell ref="A1017:B1017"/>
    <mergeCell ref="A1018:B1018"/>
    <mergeCell ref="C1017:G1018"/>
    <mergeCell ref="A997:B997"/>
    <mergeCell ref="D997:E997"/>
    <mergeCell ref="A998:B998"/>
    <mergeCell ref="D998:E998"/>
    <mergeCell ref="A999:B999"/>
    <mergeCell ref="A180:B180"/>
    <mergeCell ref="D180:F180"/>
    <mergeCell ref="G180:J180"/>
    <mergeCell ref="A179:B179"/>
    <mergeCell ref="D179:F179"/>
    <mergeCell ref="G179:J179"/>
    <mergeCell ref="A907:J907"/>
    <mergeCell ref="A908:B908"/>
    <mergeCell ref="D908:E908"/>
    <mergeCell ref="H908:J915"/>
    <mergeCell ref="A909:B909"/>
    <mergeCell ref="D909:E909"/>
    <mergeCell ref="A910:B910"/>
    <mergeCell ref="D910:E910"/>
    <mergeCell ref="A911:B911"/>
    <mergeCell ref="D911:E911"/>
    <mergeCell ref="A912:B912"/>
    <mergeCell ref="A913:B913"/>
    <mergeCell ref="A914:B914"/>
    <mergeCell ref="D914:E914"/>
    <mergeCell ref="A915:B915"/>
    <mergeCell ref="D915:E915"/>
    <mergeCell ref="C912:F913"/>
    <mergeCell ref="A733:B733"/>
    <mergeCell ref="D733:E733"/>
    <mergeCell ref="A725:B725"/>
    <mergeCell ref="D725:E725"/>
    <mergeCell ref="A1055:J1058"/>
    <mergeCell ref="C62:F62"/>
    <mergeCell ref="H62:J62"/>
    <mergeCell ref="C34:J34"/>
    <mergeCell ref="A35:B35"/>
    <mergeCell ref="C35:J35"/>
    <mergeCell ref="D261:E261"/>
    <mergeCell ref="A262:B262"/>
    <mergeCell ref="C262:G262"/>
    <mergeCell ref="A263:B263"/>
    <mergeCell ref="D263:E263"/>
    <mergeCell ref="A264:B264"/>
    <mergeCell ref="D264:E264"/>
    <mergeCell ref="A265:B265"/>
    <mergeCell ref="D265:E265"/>
    <mergeCell ref="A266:B266"/>
    <mergeCell ref="D266:E266"/>
    <mergeCell ref="A174:B174"/>
    <mergeCell ref="D174:F174"/>
    <mergeCell ref="G174:J174"/>
    <mergeCell ref="D175:F175"/>
    <mergeCell ref="G175:J175"/>
    <mergeCell ref="A186:J186"/>
    <mergeCell ref="A181:B181"/>
    <mergeCell ref="D181:F181"/>
    <mergeCell ref="G181:J181"/>
    <mergeCell ref="A178:B178"/>
    <mergeCell ref="D178:F178"/>
    <mergeCell ref="G178:J178"/>
    <mergeCell ref="A187:J187"/>
    <mergeCell ref="A188:B188"/>
    <mergeCell ref="A627:B627"/>
    <mergeCell ref="A628:B628"/>
    <mergeCell ref="A630:J630"/>
    <mergeCell ref="A631:B631"/>
    <mergeCell ref="D631:E631"/>
    <mergeCell ref="A632:B632"/>
    <mergeCell ref="D632:E632"/>
    <mergeCell ref="H106:J115"/>
    <mergeCell ref="A107:B107"/>
    <mergeCell ref="D107:E107"/>
    <mergeCell ref="A108:B108"/>
    <mergeCell ref="D108:E108"/>
    <mergeCell ref="A109:B109"/>
    <mergeCell ref="D109:E109"/>
    <mergeCell ref="A110:B110"/>
    <mergeCell ref="D110:E110"/>
    <mergeCell ref="A111:B111"/>
    <mergeCell ref="D111:E111"/>
    <mergeCell ref="A112:B112"/>
    <mergeCell ref="D112:E112"/>
    <mergeCell ref="A113:B113"/>
    <mergeCell ref="D113:E113"/>
    <mergeCell ref="A114:B114"/>
    <mergeCell ref="D114:E114"/>
    <mergeCell ref="D188:E188"/>
    <mergeCell ref="H188:J189"/>
    <mergeCell ref="A189:B189"/>
    <mergeCell ref="D189:E189"/>
    <mergeCell ref="A140:B140"/>
    <mergeCell ref="D140:E140"/>
    <mergeCell ref="A141:B141"/>
    <mergeCell ref="H610:J615"/>
    <mergeCell ref="D141:E141"/>
    <mergeCell ref="A666:B666"/>
    <mergeCell ref="D666:E666"/>
    <mergeCell ref="A672:B672"/>
    <mergeCell ref="D672:E672"/>
    <mergeCell ref="A673:B673"/>
    <mergeCell ref="D673:E673"/>
    <mergeCell ref="A667:J667"/>
    <mergeCell ref="A720:J720"/>
    <mergeCell ref="A678:B678"/>
    <mergeCell ref="D678:E678"/>
    <mergeCell ref="A679:B679"/>
    <mergeCell ref="D679:E679"/>
    <mergeCell ref="A680:B680"/>
    <mergeCell ref="D680:E680"/>
    <mergeCell ref="A681:B681"/>
    <mergeCell ref="D681:E681"/>
    <mergeCell ref="A682:B682"/>
    <mergeCell ref="D682:E682"/>
    <mergeCell ref="C676:G677"/>
    <mergeCell ref="A668:B668"/>
    <mergeCell ref="D668:E668"/>
    <mergeCell ref="A669:B669"/>
    <mergeCell ref="D669:E669"/>
    <mergeCell ref="A694:B694"/>
    <mergeCell ref="D694:E694"/>
    <mergeCell ref="A689:B689"/>
    <mergeCell ref="D689:E689"/>
    <mergeCell ref="A690:B690"/>
    <mergeCell ref="D690:E690"/>
    <mergeCell ref="D697:E697"/>
    <mergeCell ref="A698:B698"/>
    <mergeCell ref="A675:J675"/>
    <mergeCell ref="A676:B676"/>
    <mergeCell ref="H676:J682"/>
    <mergeCell ref="A677:B677"/>
    <mergeCell ref="A123:B123"/>
    <mergeCell ref="D123:E123"/>
    <mergeCell ref="A124:B124"/>
    <mergeCell ref="D124:E124"/>
    <mergeCell ref="A125:B125"/>
    <mergeCell ref="D125:E125"/>
    <mergeCell ref="F119:G119"/>
    <mergeCell ref="A126:B126"/>
    <mergeCell ref="D126:E126"/>
    <mergeCell ref="A683:J683"/>
    <mergeCell ref="A684:B684"/>
    <mergeCell ref="A120:B120"/>
    <mergeCell ref="D120:E120"/>
    <mergeCell ref="A191:B191"/>
    <mergeCell ref="D191:E191"/>
    <mergeCell ref="D601:E601"/>
    <mergeCell ref="A649:B649"/>
    <mergeCell ref="D649:E649"/>
    <mergeCell ref="H652:J657"/>
    <mergeCell ref="H645:J650"/>
    <mergeCell ref="H638:J643"/>
    <mergeCell ref="H631:J636"/>
    <mergeCell ref="H624:J629"/>
    <mergeCell ref="H617:J622"/>
    <mergeCell ref="A671:B671"/>
    <mergeCell ref="D671:E671"/>
    <mergeCell ref="A674:B674"/>
    <mergeCell ref="D674:E674"/>
    <mergeCell ref="A618:B618"/>
    <mergeCell ref="D726:E726"/>
    <mergeCell ref="A633:B633"/>
    <mergeCell ref="D633:E633"/>
    <mergeCell ref="A634:B634"/>
    <mergeCell ref="D634:E634"/>
    <mergeCell ref="A635:B635"/>
    <mergeCell ref="D635:E635"/>
    <mergeCell ref="A636:B636"/>
    <mergeCell ref="D636:E636"/>
    <mergeCell ref="A637:J637"/>
    <mergeCell ref="A638:B638"/>
    <mergeCell ref="A662:B662"/>
    <mergeCell ref="D641:E641"/>
    <mergeCell ref="A661:B661"/>
    <mergeCell ref="D661:E661"/>
    <mergeCell ref="D662:E662"/>
    <mergeCell ref="A663:B663"/>
    <mergeCell ref="D663:E663"/>
    <mergeCell ref="A664:B664"/>
    <mergeCell ref="D664:E664"/>
    <mergeCell ref="A643:B643"/>
    <mergeCell ref="D643:E643"/>
    <mergeCell ref="A670:B670"/>
    <mergeCell ref="D670:E670"/>
    <mergeCell ref="A696:B696"/>
    <mergeCell ref="D696:E696"/>
    <mergeCell ref="A695:B695"/>
    <mergeCell ref="D695:E695"/>
    <mergeCell ref="H668:J674"/>
    <mergeCell ref="A718:B718"/>
    <mergeCell ref="D653:E653"/>
    <mergeCell ref="A644:J644"/>
    <mergeCell ref="D618:E618"/>
    <mergeCell ref="A619:B619"/>
    <mergeCell ref="D619:E619"/>
    <mergeCell ref="A655:B655"/>
    <mergeCell ref="D655:E655"/>
    <mergeCell ref="A656:B656"/>
    <mergeCell ref="D656:E656"/>
    <mergeCell ref="A657:B657"/>
    <mergeCell ref="D657:E657"/>
    <mergeCell ref="A658:J658"/>
    <mergeCell ref="A659:B659"/>
    <mergeCell ref="D659:E659"/>
    <mergeCell ref="A660:B660"/>
    <mergeCell ref="D660:E660"/>
    <mergeCell ref="A642:B642"/>
    <mergeCell ref="D642:E642"/>
    <mergeCell ref="A640:B640"/>
    <mergeCell ref="D640:E640"/>
    <mergeCell ref="A641:B641"/>
    <mergeCell ref="A654:B654"/>
    <mergeCell ref="D654:E654"/>
    <mergeCell ref="D648:E648"/>
    <mergeCell ref="A650:B650"/>
    <mergeCell ref="D650:E650"/>
    <mergeCell ref="C645:G646"/>
    <mergeCell ref="A651:J651"/>
    <mergeCell ref="A652:B652"/>
    <mergeCell ref="D652:E652"/>
    <mergeCell ref="A653:B653"/>
    <mergeCell ref="A626:B626"/>
    <mergeCell ref="D626:E626"/>
    <mergeCell ref="D627:E627"/>
    <mergeCell ref="A665:B665"/>
    <mergeCell ref="D665:E665"/>
    <mergeCell ref="D96:E96"/>
    <mergeCell ref="D95:E95"/>
    <mergeCell ref="D628:E628"/>
    <mergeCell ref="A629:B629"/>
    <mergeCell ref="D629:E629"/>
    <mergeCell ref="A621:B621"/>
    <mergeCell ref="D621:E621"/>
    <mergeCell ref="A622:B622"/>
    <mergeCell ref="D622:E622"/>
    <mergeCell ref="A623:J623"/>
    <mergeCell ref="A624:B624"/>
    <mergeCell ref="D624:E624"/>
    <mergeCell ref="A625:B625"/>
    <mergeCell ref="D625:E625"/>
    <mergeCell ref="A604:B604"/>
    <mergeCell ref="D604:E604"/>
    <mergeCell ref="A609:J609"/>
    <mergeCell ref="A610:B610"/>
    <mergeCell ref="D610:E610"/>
    <mergeCell ref="A611:B611"/>
    <mergeCell ref="D611:E611"/>
    <mergeCell ref="H603:J608"/>
    <mergeCell ref="D603:E603"/>
    <mergeCell ref="A616:J616"/>
    <mergeCell ref="C104:J104"/>
    <mergeCell ref="A105:B105"/>
    <mergeCell ref="A122:B122"/>
    <mergeCell ref="D122:E122"/>
    <mergeCell ref="A617:B617"/>
    <mergeCell ref="D617:E617"/>
    <mergeCell ref="A1:J1"/>
    <mergeCell ref="A69:E69"/>
    <mergeCell ref="F69:J69"/>
    <mergeCell ref="F43:J43"/>
    <mergeCell ref="C31:D31"/>
    <mergeCell ref="F40:J40"/>
    <mergeCell ref="F41:J41"/>
    <mergeCell ref="H64:J64"/>
    <mergeCell ref="A42:E42"/>
    <mergeCell ref="C48:F48"/>
    <mergeCell ref="I29:J29"/>
    <mergeCell ref="A44:E44"/>
    <mergeCell ref="I66:J66"/>
    <mergeCell ref="E29:F29"/>
    <mergeCell ref="G29:H29"/>
    <mergeCell ref="D66:E66"/>
    <mergeCell ref="H46:J46"/>
    <mergeCell ref="A48:B48"/>
    <mergeCell ref="H48:J48"/>
    <mergeCell ref="F66:H66"/>
    <mergeCell ref="F13:J13"/>
    <mergeCell ref="A12:E15"/>
    <mergeCell ref="F14:H14"/>
    <mergeCell ref="I14:J14"/>
    <mergeCell ref="F15:H15"/>
    <mergeCell ref="I15:J15"/>
    <mergeCell ref="A2:J2"/>
    <mergeCell ref="A3:E3"/>
    <mergeCell ref="F3:J3"/>
    <mergeCell ref="A4:E4"/>
    <mergeCell ref="F4:J4"/>
    <mergeCell ref="A6:E6"/>
    <mergeCell ref="A5:E5"/>
    <mergeCell ref="F5:J5"/>
    <mergeCell ref="A7:E7"/>
    <mergeCell ref="A1052:J1052"/>
    <mergeCell ref="A1049:J1049"/>
    <mergeCell ref="A1053:J1053"/>
    <mergeCell ref="A1054:J1054"/>
    <mergeCell ref="A1048:J1048"/>
    <mergeCell ref="A1050:J1050"/>
    <mergeCell ref="A1047:J1047"/>
    <mergeCell ref="A1051:J1051"/>
    <mergeCell ref="D84:E84"/>
    <mergeCell ref="A166:F166"/>
    <mergeCell ref="A169:F169"/>
    <mergeCell ref="G169:J169"/>
    <mergeCell ref="A162:J162"/>
    <mergeCell ref="G163:J163"/>
    <mergeCell ref="A74:B74"/>
    <mergeCell ref="D74:E74"/>
    <mergeCell ref="H74:J74"/>
    <mergeCell ref="A75:B75"/>
    <mergeCell ref="D75:E75"/>
    <mergeCell ref="F75:G84"/>
    <mergeCell ref="C73:J73"/>
    <mergeCell ref="A77:B77"/>
    <mergeCell ref="D77:E77"/>
    <mergeCell ref="A620:B620"/>
    <mergeCell ref="D620:E620"/>
    <mergeCell ref="F7:J7"/>
    <mergeCell ref="A9:E9"/>
    <mergeCell ref="F9:J9"/>
    <mergeCell ref="B18:E18"/>
    <mergeCell ref="G18:J18"/>
    <mergeCell ref="A39:E39"/>
    <mergeCell ref="G20:J20"/>
    <mergeCell ref="A16:E16"/>
    <mergeCell ref="F8:J8"/>
    <mergeCell ref="F16:J16"/>
    <mergeCell ref="B19:E19"/>
    <mergeCell ref="A8:E8"/>
    <mergeCell ref="F28:J28"/>
    <mergeCell ref="G19:J19"/>
    <mergeCell ref="F21:G21"/>
    <mergeCell ref="H21:J21"/>
    <mergeCell ref="A26:E26"/>
    <mergeCell ref="B20:E20"/>
    <mergeCell ref="A21:B21"/>
    <mergeCell ref="A25:E25"/>
    <mergeCell ref="E31:F31"/>
    <mergeCell ref="F25:J25"/>
    <mergeCell ref="F27:J27"/>
    <mergeCell ref="G31:H31"/>
    <mergeCell ref="A27:E27"/>
    <mergeCell ref="A28:E28"/>
    <mergeCell ref="F24:J24"/>
    <mergeCell ref="C30:D30"/>
    <mergeCell ref="A11:E11"/>
    <mergeCell ref="F11:J11"/>
    <mergeCell ref="A45:J45"/>
    <mergeCell ref="D64:E64"/>
    <mergeCell ref="A78:B78"/>
    <mergeCell ref="D78:E78"/>
    <mergeCell ref="A79:B79"/>
    <mergeCell ref="D79:E79"/>
    <mergeCell ref="A80:B80"/>
    <mergeCell ref="D80:E80"/>
    <mergeCell ref="D81:E81"/>
    <mergeCell ref="A10:E10"/>
    <mergeCell ref="F10:J10"/>
    <mergeCell ref="C21:E21"/>
    <mergeCell ref="A17:B17"/>
    <mergeCell ref="C17:J17"/>
    <mergeCell ref="A22:E23"/>
    <mergeCell ref="A36:J36"/>
    <mergeCell ref="I30:J30"/>
    <mergeCell ref="A29:B29"/>
    <mergeCell ref="C29:D29"/>
    <mergeCell ref="F44:J44"/>
    <mergeCell ref="A40:E40"/>
    <mergeCell ref="I31:J31"/>
    <mergeCell ref="A32:J32"/>
    <mergeCell ref="A33:J33"/>
    <mergeCell ref="A41:E41"/>
    <mergeCell ref="A37:J38"/>
    <mergeCell ref="C61:F61"/>
    <mergeCell ref="A34:B34"/>
    <mergeCell ref="F74:G74"/>
    <mergeCell ref="A31:B31"/>
    <mergeCell ref="A47:B47"/>
    <mergeCell ref="H61:J61"/>
    <mergeCell ref="F6:J6"/>
    <mergeCell ref="F12:J12"/>
    <mergeCell ref="F26:J26"/>
    <mergeCell ref="E30:F30"/>
    <mergeCell ref="G30:H30"/>
    <mergeCell ref="G166:J166"/>
    <mergeCell ref="G164:J164"/>
    <mergeCell ref="H75:J84"/>
    <mergeCell ref="A76:B76"/>
    <mergeCell ref="A158:J158"/>
    <mergeCell ref="A159:J159"/>
    <mergeCell ref="A160:J161"/>
    <mergeCell ref="I86:J86"/>
    <mergeCell ref="D121:E121"/>
    <mergeCell ref="D94:E94"/>
    <mergeCell ref="A82:B82"/>
    <mergeCell ref="C87:J87"/>
    <mergeCell ref="A142:B142"/>
    <mergeCell ref="D142:E142"/>
    <mergeCell ref="A143:B143"/>
    <mergeCell ref="D143:E143"/>
    <mergeCell ref="F39:J39"/>
    <mergeCell ref="F22:J23"/>
    <mergeCell ref="A24:E24"/>
    <mergeCell ref="D76:E76"/>
    <mergeCell ref="A65:J65"/>
    <mergeCell ref="A30:B30"/>
    <mergeCell ref="A64:C64"/>
    <mergeCell ref="F42:J42"/>
    <mergeCell ref="A43:E43"/>
    <mergeCell ref="C46:F46"/>
    <mergeCell ref="A46:B46"/>
    <mergeCell ref="H119:J119"/>
    <mergeCell ref="A119:B119"/>
    <mergeCell ref="D91:E91"/>
    <mergeCell ref="F91:G100"/>
    <mergeCell ref="H91:J100"/>
    <mergeCell ref="A92:B92"/>
    <mergeCell ref="D92:E92"/>
    <mergeCell ref="A93:B93"/>
    <mergeCell ref="A67:B67"/>
    <mergeCell ref="H105:J105"/>
    <mergeCell ref="A106:B106"/>
    <mergeCell ref="D106:E106"/>
    <mergeCell ref="F106:G115"/>
    <mergeCell ref="A115:B115"/>
    <mergeCell ref="A96:B96"/>
    <mergeCell ref="A71:B71"/>
    <mergeCell ref="C71:J71"/>
    <mergeCell ref="A68:B68"/>
    <mergeCell ref="D93:E93"/>
    <mergeCell ref="A98:B98"/>
    <mergeCell ref="D98:E98"/>
    <mergeCell ref="A99:B99"/>
    <mergeCell ref="D99:E99"/>
    <mergeCell ref="A88:B89"/>
    <mergeCell ref="C88:E89"/>
    <mergeCell ref="F88:G89"/>
    <mergeCell ref="H88:J89"/>
    <mergeCell ref="A101:B101"/>
    <mergeCell ref="C101:J101"/>
    <mergeCell ref="E102:F102"/>
    <mergeCell ref="D105:E105"/>
    <mergeCell ref="F105:G105"/>
    <mergeCell ref="I102:J102"/>
    <mergeCell ref="A104:B104"/>
    <mergeCell ref="D82:E82"/>
    <mergeCell ref="A83:B83"/>
    <mergeCell ref="D83:E83"/>
    <mergeCell ref="A84:B84"/>
    <mergeCell ref="A85:B85"/>
    <mergeCell ref="C85:J85"/>
    <mergeCell ref="A70:J70"/>
    <mergeCell ref="A90:B90"/>
    <mergeCell ref="A103:B103"/>
    <mergeCell ref="C103:E103"/>
    <mergeCell ref="F103:G103"/>
    <mergeCell ref="H103:J103"/>
    <mergeCell ref="D100:E100"/>
    <mergeCell ref="A97:B97"/>
    <mergeCell ref="D97:E97"/>
    <mergeCell ref="A81:B81"/>
    <mergeCell ref="D90:E90"/>
    <mergeCell ref="F90:G90"/>
    <mergeCell ref="H90:J90"/>
    <mergeCell ref="A91:B91"/>
    <mergeCell ref="A127:B127"/>
    <mergeCell ref="D127:E127"/>
    <mergeCell ref="A168:F168"/>
    <mergeCell ref="G168:J168"/>
    <mergeCell ref="A167:F167"/>
    <mergeCell ref="G167:J167"/>
    <mergeCell ref="A165:F165"/>
    <mergeCell ref="A128:B128"/>
    <mergeCell ref="D128:E128"/>
    <mergeCell ref="A129:B129"/>
    <mergeCell ref="D129:E129"/>
    <mergeCell ref="A164:F164"/>
    <mergeCell ref="A163:F163"/>
    <mergeCell ref="G165:J165"/>
    <mergeCell ref="G171:J171"/>
    <mergeCell ref="A171:F171"/>
    <mergeCell ref="D176:F176"/>
    <mergeCell ref="G176:J176"/>
    <mergeCell ref="A175:A176"/>
    <mergeCell ref="A137:B137"/>
    <mergeCell ref="D137:E137"/>
    <mergeCell ref="A138:B138"/>
    <mergeCell ref="D138:E138"/>
    <mergeCell ref="A152:B152"/>
    <mergeCell ref="D152:E152"/>
    <mergeCell ref="A153:B153"/>
    <mergeCell ref="D153:E153"/>
    <mergeCell ref="A154:B154"/>
    <mergeCell ref="D154:E154"/>
    <mergeCell ref="A155:B155"/>
    <mergeCell ref="D155:E155"/>
    <mergeCell ref="A156:B156"/>
    <mergeCell ref="A121:B121"/>
    <mergeCell ref="A593:B593"/>
    <mergeCell ref="D598:E598"/>
    <mergeCell ref="A594:B594"/>
    <mergeCell ref="D599:E599"/>
    <mergeCell ref="A182:J182"/>
    <mergeCell ref="A183:J183"/>
    <mergeCell ref="A184:B184"/>
    <mergeCell ref="D184:E184"/>
    <mergeCell ref="A590:J590"/>
    <mergeCell ref="A591:J591"/>
    <mergeCell ref="A592:J592"/>
    <mergeCell ref="D593:E593"/>
    <mergeCell ref="D594:E594"/>
    <mergeCell ref="D595:E595"/>
    <mergeCell ref="D596:E596"/>
    <mergeCell ref="H598:J601"/>
    <mergeCell ref="H593:J596"/>
    <mergeCell ref="A597:J597"/>
    <mergeCell ref="A598:B598"/>
    <mergeCell ref="A599:B599"/>
    <mergeCell ref="A600:B600"/>
    <mergeCell ref="H184:J184"/>
    <mergeCell ref="A185:J185"/>
    <mergeCell ref="A313:J313"/>
    <mergeCell ref="H191:J194"/>
    <mergeCell ref="A258:J258"/>
    <mergeCell ref="A259:B259"/>
    <mergeCell ref="D259:E259"/>
    <mergeCell ref="H259:J266"/>
    <mergeCell ref="A260:B260"/>
    <mergeCell ref="D260:E260"/>
    <mergeCell ref="A261:B261"/>
    <mergeCell ref="A739:B739"/>
    <mergeCell ref="D739:E739"/>
    <mergeCell ref="A595:B595"/>
    <mergeCell ref="A596:B596"/>
    <mergeCell ref="D600:E600"/>
    <mergeCell ref="A601:B601"/>
    <mergeCell ref="A734:J734"/>
    <mergeCell ref="A735:J735"/>
    <mergeCell ref="A736:J736"/>
    <mergeCell ref="A737:B737"/>
    <mergeCell ref="D737:E737"/>
    <mergeCell ref="A738:B738"/>
    <mergeCell ref="D738:E738"/>
    <mergeCell ref="A605:B605"/>
    <mergeCell ref="D605:E605"/>
    <mergeCell ref="A606:B606"/>
    <mergeCell ref="D606:E606"/>
    <mergeCell ref="A607:B607"/>
    <mergeCell ref="D607:E607"/>
    <mergeCell ref="A608:B608"/>
    <mergeCell ref="D608:E608"/>
    <mergeCell ref="A603:B603"/>
    <mergeCell ref="H659:J666"/>
    <mergeCell ref="A602:J602"/>
    <mergeCell ref="A612:B612"/>
    <mergeCell ref="D612:E612"/>
    <mergeCell ref="A613:B613"/>
    <mergeCell ref="D613:E613"/>
    <mergeCell ref="A614:B614"/>
    <mergeCell ref="D614:E614"/>
    <mergeCell ref="A615:B615"/>
    <mergeCell ref="D615:E615"/>
    <mergeCell ref="A190:J190"/>
    <mergeCell ref="A192:B192"/>
    <mergeCell ref="D192:E192"/>
    <mergeCell ref="A193:B193"/>
    <mergeCell ref="A194:B194"/>
    <mergeCell ref="C193:G193"/>
    <mergeCell ref="C194:G194"/>
    <mergeCell ref="A200:B200"/>
    <mergeCell ref="D200:E200"/>
    <mergeCell ref="A201:B201"/>
    <mergeCell ref="D201:E201"/>
    <mergeCell ref="A202:B202"/>
    <mergeCell ref="D202:E202"/>
    <mergeCell ref="A203:B203"/>
    <mergeCell ref="D203:E203"/>
    <mergeCell ref="H196:J203"/>
    <mergeCell ref="A195:J195"/>
    <mergeCell ref="A196:B196"/>
    <mergeCell ref="D196:E196"/>
    <mergeCell ref="A197:B197"/>
    <mergeCell ref="D197:E197"/>
    <mergeCell ref="A198:B198"/>
    <mergeCell ref="D198:E198"/>
    <mergeCell ref="A199:B199"/>
    <mergeCell ref="C199:G199"/>
    <mergeCell ref="A209:B209"/>
    <mergeCell ref="D209:E209"/>
    <mergeCell ref="A210:B210"/>
    <mergeCell ref="D210:E210"/>
    <mergeCell ref="A211:B211"/>
    <mergeCell ref="D211:E211"/>
    <mergeCell ref="A212:B212"/>
    <mergeCell ref="D212:E212"/>
    <mergeCell ref="H205:J212"/>
    <mergeCell ref="A204:J204"/>
    <mergeCell ref="A205:B205"/>
    <mergeCell ref="D205:E205"/>
    <mergeCell ref="A206:B206"/>
    <mergeCell ref="D206:E206"/>
    <mergeCell ref="A207:B207"/>
    <mergeCell ref="D207:E207"/>
    <mergeCell ref="A208:B208"/>
    <mergeCell ref="C208:G208"/>
    <mergeCell ref="A213:J213"/>
    <mergeCell ref="A214:B214"/>
    <mergeCell ref="D214:E214"/>
    <mergeCell ref="H214:J221"/>
    <mergeCell ref="A215:B215"/>
    <mergeCell ref="D215:E215"/>
    <mergeCell ref="A216:B216"/>
    <mergeCell ref="D216:E216"/>
    <mergeCell ref="A217:B217"/>
    <mergeCell ref="C217:G217"/>
    <mergeCell ref="A218:B218"/>
    <mergeCell ref="D218:E218"/>
    <mergeCell ref="A219:B219"/>
    <mergeCell ref="D219:E219"/>
    <mergeCell ref="A220:B220"/>
    <mergeCell ref="D220:E220"/>
    <mergeCell ref="A221:B221"/>
    <mergeCell ref="D221:E221"/>
    <mergeCell ref="A222:J222"/>
    <mergeCell ref="A223:B223"/>
    <mergeCell ref="D223:E223"/>
    <mergeCell ref="H223:J230"/>
    <mergeCell ref="A224:B224"/>
    <mergeCell ref="D224:E224"/>
    <mergeCell ref="A225:B225"/>
    <mergeCell ref="D225:E225"/>
    <mergeCell ref="A226:B226"/>
    <mergeCell ref="C226:G226"/>
    <mergeCell ref="A227:B227"/>
    <mergeCell ref="D227:E227"/>
    <mergeCell ref="A228:B228"/>
    <mergeCell ref="D228:E228"/>
    <mergeCell ref="A229:B229"/>
    <mergeCell ref="D229:E229"/>
    <mergeCell ref="A230:B230"/>
    <mergeCell ref="D230:E230"/>
    <mergeCell ref="D248:E248"/>
    <mergeCell ref="A231:J231"/>
    <mergeCell ref="A232:B232"/>
    <mergeCell ref="D232:E232"/>
    <mergeCell ref="H232:J239"/>
    <mergeCell ref="A233:B233"/>
    <mergeCell ref="D233:E233"/>
    <mergeCell ref="A234:B234"/>
    <mergeCell ref="D234:E234"/>
    <mergeCell ref="A235:B235"/>
    <mergeCell ref="C235:G235"/>
    <mergeCell ref="A236:B236"/>
    <mergeCell ref="D236:E236"/>
    <mergeCell ref="A237:B237"/>
    <mergeCell ref="D237:E237"/>
    <mergeCell ref="A238:B238"/>
    <mergeCell ref="D238:E238"/>
    <mergeCell ref="A239:B239"/>
    <mergeCell ref="D239:E239"/>
    <mergeCell ref="A249:J249"/>
    <mergeCell ref="A250:B250"/>
    <mergeCell ref="D250:E250"/>
    <mergeCell ref="H250:J257"/>
    <mergeCell ref="A251:B251"/>
    <mergeCell ref="D251:E251"/>
    <mergeCell ref="A252:B252"/>
    <mergeCell ref="D252:E252"/>
    <mergeCell ref="A253:B253"/>
    <mergeCell ref="A254:B254"/>
    <mergeCell ref="A255:B255"/>
    <mergeCell ref="A256:B256"/>
    <mergeCell ref="A257:B257"/>
    <mergeCell ref="D257:E257"/>
    <mergeCell ref="C253:G256"/>
    <mergeCell ref="A240:J240"/>
    <mergeCell ref="A241:B241"/>
    <mergeCell ref="D241:E241"/>
    <mergeCell ref="H241:J248"/>
    <mergeCell ref="A242:B242"/>
    <mergeCell ref="D242:E242"/>
    <mergeCell ref="A243:B243"/>
    <mergeCell ref="D243:E243"/>
    <mergeCell ref="A244:B244"/>
    <mergeCell ref="C244:G244"/>
    <mergeCell ref="A245:B245"/>
    <mergeCell ref="D245:E245"/>
    <mergeCell ref="A246:B246"/>
    <mergeCell ref="D246:E246"/>
    <mergeCell ref="A247:B247"/>
    <mergeCell ref="D247:E247"/>
    <mergeCell ref="A248:B248"/>
    <mergeCell ref="D284:E284"/>
    <mergeCell ref="D280:E280"/>
    <mergeCell ref="A267:J267"/>
    <mergeCell ref="A268:B268"/>
    <mergeCell ref="D268:E268"/>
    <mergeCell ref="H268:J275"/>
    <mergeCell ref="A269:B269"/>
    <mergeCell ref="D269:E269"/>
    <mergeCell ref="A270:B270"/>
    <mergeCell ref="D270:E270"/>
    <mergeCell ref="A271:B271"/>
    <mergeCell ref="C271:G271"/>
    <mergeCell ref="A272:B272"/>
    <mergeCell ref="D272:E272"/>
    <mergeCell ref="A273:B273"/>
    <mergeCell ref="D273:E273"/>
    <mergeCell ref="A274:B274"/>
    <mergeCell ref="D274:E274"/>
    <mergeCell ref="A275:B275"/>
    <mergeCell ref="D275:E275"/>
    <mergeCell ref="A285:J285"/>
    <mergeCell ref="A286:B286"/>
    <mergeCell ref="D286:E286"/>
    <mergeCell ref="H286:J293"/>
    <mergeCell ref="A287:B287"/>
    <mergeCell ref="D287:E287"/>
    <mergeCell ref="A288:B288"/>
    <mergeCell ref="D288:E288"/>
    <mergeCell ref="A289:B289"/>
    <mergeCell ref="D289:E289"/>
    <mergeCell ref="A290:B290"/>
    <mergeCell ref="A291:B291"/>
    <mergeCell ref="A292:B292"/>
    <mergeCell ref="A293:B293"/>
    <mergeCell ref="D293:E293"/>
    <mergeCell ref="C290:G292"/>
    <mergeCell ref="A276:J276"/>
    <mergeCell ref="A277:B277"/>
    <mergeCell ref="D277:E277"/>
    <mergeCell ref="H277:J284"/>
    <mergeCell ref="A278:B278"/>
    <mergeCell ref="D278:E278"/>
    <mergeCell ref="A279:B279"/>
    <mergeCell ref="D279:E279"/>
    <mergeCell ref="A280:B280"/>
    <mergeCell ref="A281:B281"/>
    <mergeCell ref="D281:E281"/>
    <mergeCell ref="A282:B282"/>
    <mergeCell ref="D282:E282"/>
    <mergeCell ref="A283:B283"/>
    <mergeCell ref="D283:E283"/>
    <mergeCell ref="A284:B284"/>
    <mergeCell ref="A294:J294"/>
    <mergeCell ref="A295:B295"/>
    <mergeCell ref="D295:E295"/>
    <mergeCell ref="H295:J302"/>
    <mergeCell ref="A296:B296"/>
    <mergeCell ref="D296:E296"/>
    <mergeCell ref="A297:B297"/>
    <mergeCell ref="D297:E297"/>
    <mergeCell ref="A298:B298"/>
    <mergeCell ref="D298:E298"/>
    <mergeCell ref="A299:B299"/>
    <mergeCell ref="A300:B300"/>
    <mergeCell ref="A301:B301"/>
    <mergeCell ref="A302:B302"/>
    <mergeCell ref="D302:E302"/>
    <mergeCell ref="D299:E299"/>
    <mergeCell ref="D300:E300"/>
    <mergeCell ref="D301:E301"/>
    <mergeCell ref="A303:J303"/>
    <mergeCell ref="A304:B304"/>
    <mergeCell ref="D304:E304"/>
    <mergeCell ref="H304:J311"/>
    <mergeCell ref="A305:B305"/>
    <mergeCell ref="D305:E305"/>
    <mergeCell ref="A306:B306"/>
    <mergeCell ref="D306:E306"/>
    <mergeCell ref="A307:B307"/>
    <mergeCell ref="D307:E307"/>
    <mergeCell ref="A308:B308"/>
    <mergeCell ref="D308:E308"/>
    <mergeCell ref="A309:B309"/>
    <mergeCell ref="D309:E309"/>
    <mergeCell ref="A310:B310"/>
    <mergeCell ref="D310:E310"/>
    <mergeCell ref="A311:B311"/>
    <mergeCell ref="D311:E311"/>
    <mergeCell ref="A331:B331"/>
    <mergeCell ref="D331:E331"/>
    <mergeCell ref="A312:J312"/>
    <mergeCell ref="A314:J314"/>
    <mergeCell ref="A315:B315"/>
    <mergeCell ref="D315:E315"/>
    <mergeCell ref="H315:J322"/>
    <mergeCell ref="A316:B316"/>
    <mergeCell ref="D316:E316"/>
    <mergeCell ref="A317:B317"/>
    <mergeCell ref="D317:E317"/>
    <mergeCell ref="A318:B318"/>
    <mergeCell ref="D318:E318"/>
    <mergeCell ref="A319:B319"/>
    <mergeCell ref="D319:E319"/>
    <mergeCell ref="A320:B320"/>
    <mergeCell ref="D320:E320"/>
    <mergeCell ref="A321:B321"/>
    <mergeCell ref="D321:E321"/>
    <mergeCell ref="A322:B322"/>
    <mergeCell ref="D322:E322"/>
    <mergeCell ref="A332:J332"/>
    <mergeCell ref="A333:B333"/>
    <mergeCell ref="D333:E333"/>
    <mergeCell ref="H333:J340"/>
    <mergeCell ref="A334:B334"/>
    <mergeCell ref="D334:E334"/>
    <mergeCell ref="A335:B335"/>
    <mergeCell ref="D335:E335"/>
    <mergeCell ref="A336:B336"/>
    <mergeCell ref="D336:E336"/>
    <mergeCell ref="A337:B337"/>
    <mergeCell ref="A338:B338"/>
    <mergeCell ref="A339:B339"/>
    <mergeCell ref="A340:B340"/>
    <mergeCell ref="D340:E340"/>
    <mergeCell ref="C337:G339"/>
    <mergeCell ref="A323:J323"/>
    <mergeCell ref="A324:B324"/>
    <mergeCell ref="D324:E324"/>
    <mergeCell ref="H324:J331"/>
    <mergeCell ref="A325:B325"/>
    <mergeCell ref="D325:E325"/>
    <mergeCell ref="A326:B326"/>
    <mergeCell ref="D326:E326"/>
    <mergeCell ref="A327:B327"/>
    <mergeCell ref="D327:E327"/>
    <mergeCell ref="A328:B328"/>
    <mergeCell ref="D328:E328"/>
    <mergeCell ref="A329:B329"/>
    <mergeCell ref="D329:E329"/>
    <mergeCell ref="A330:B330"/>
    <mergeCell ref="D330:E330"/>
    <mergeCell ref="A350:J350"/>
    <mergeCell ref="A351:B351"/>
    <mergeCell ref="D351:E351"/>
    <mergeCell ref="A352:B352"/>
    <mergeCell ref="D352:E352"/>
    <mergeCell ref="A353:B353"/>
    <mergeCell ref="D353:E353"/>
    <mergeCell ref="A354:B354"/>
    <mergeCell ref="D354:E354"/>
    <mergeCell ref="A349:B349"/>
    <mergeCell ref="H347:J349"/>
    <mergeCell ref="A341:J341"/>
    <mergeCell ref="A343:J343"/>
    <mergeCell ref="A344:B344"/>
    <mergeCell ref="D344:E344"/>
    <mergeCell ref="A345:B345"/>
    <mergeCell ref="D345:E345"/>
    <mergeCell ref="A347:B347"/>
    <mergeCell ref="H344:J345"/>
    <mergeCell ref="A346:J346"/>
    <mergeCell ref="A348:B348"/>
    <mergeCell ref="C347:G347"/>
    <mergeCell ref="C348:G348"/>
    <mergeCell ref="D349:E349"/>
    <mergeCell ref="A342:J342"/>
    <mergeCell ref="A360:B360"/>
    <mergeCell ref="D360:E360"/>
    <mergeCell ref="H351:J360"/>
    <mergeCell ref="A361:J361"/>
    <mergeCell ref="A362:B362"/>
    <mergeCell ref="D362:E362"/>
    <mergeCell ref="H362:J371"/>
    <mergeCell ref="A363:B363"/>
    <mergeCell ref="D363:E363"/>
    <mergeCell ref="A364:B364"/>
    <mergeCell ref="D364:E364"/>
    <mergeCell ref="A365:B365"/>
    <mergeCell ref="D365:E365"/>
    <mergeCell ref="A366:B366"/>
    <mergeCell ref="A367:B367"/>
    <mergeCell ref="A368:B368"/>
    <mergeCell ref="A369:B369"/>
    <mergeCell ref="A370:B370"/>
    <mergeCell ref="A371:B371"/>
    <mergeCell ref="D371:E371"/>
    <mergeCell ref="D366:E366"/>
    <mergeCell ref="A355:B355"/>
    <mergeCell ref="A356:B356"/>
    <mergeCell ref="A357:B357"/>
    <mergeCell ref="A358:B358"/>
    <mergeCell ref="A359:B359"/>
    <mergeCell ref="C367:G370"/>
    <mergeCell ref="C356:G359"/>
    <mergeCell ref="D355:E355"/>
    <mergeCell ref="A372:J372"/>
    <mergeCell ref="A373:B373"/>
    <mergeCell ref="D373:E373"/>
    <mergeCell ref="H373:J382"/>
    <mergeCell ref="A374:B374"/>
    <mergeCell ref="D374:E374"/>
    <mergeCell ref="A375:B375"/>
    <mergeCell ref="D375:E375"/>
    <mergeCell ref="A376:B376"/>
    <mergeCell ref="D376:E376"/>
    <mergeCell ref="A377:B377"/>
    <mergeCell ref="D377:E377"/>
    <mergeCell ref="A378:B378"/>
    <mergeCell ref="C378:G381"/>
    <mergeCell ref="A379:B379"/>
    <mergeCell ref="A380:B380"/>
    <mergeCell ref="A381:B381"/>
    <mergeCell ref="A382:B382"/>
    <mergeCell ref="D382:E382"/>
    <mergeCell ref="A383:J383"/>
    <mergeCell ref="A384:B384"/>
    <mergeCell ref="D384:E384"/>
    <mergeCell ref="H384:J393"/>
    <mergeCell ref="A385:B385"/>
    <mergeCell ref="D385:E385"/>
    <mergeCell ref="A386:B386"/>
    <mergeCell ref="D386:E386"/>
    <mergeCell ref="A387:B387"/>
    <mergeCell ref="D387:E387"/>
    <mergeCell ref="A388:B388"/>
    <mergeCell ref="D388:E388"/>
    <mergeCell ref="A389:B389"/>
    <mergeCell ref="C389:G392"/>
    <mergeCell ref="A390:B390"/>
    <mergeCell ref="A391:B391"/>
    <mergeCell ref="A392:B392"/>
    <mergeCell ref="A393:B393"/>
    <mergeCell ref="D393:E393"/>
    <mergeCell ref="A414:B414"/>
    <mergeCell ref="A415:B415"/>
    <mergeCell ref="D415:E415"/>
    <mergeCell ref="A394:J394"/>
    <mergeCell ref="A395:B395"/>
    <mergeCell ref="D395:E395"/>
    <mergeCell ref="H395:J404"/>
    <mergeCell ref="A396:B396"/>
    <mergeCell ref="D396:E396"/>
    <mergeCell ref="A397:B397"/>
    <mergeCell ref="D397:E397"/>
    <mergeCell ref="A398:B398"/>
    <mergeCell ref="D398:E398"/>
    <mergeCell ref="A399:B399"/>
    <mergeCell ref="D399:E399"/>
    <mergeCell ref="A400:B400"/>
    <mergeCell ref="C400:G403"/>
    <mergeCell ref="A401:B401"/>
    <mergeCell ref="A402:B402"/>
    <mergeCell ref="A403:B403"/>
    <mergeCell ref="A404:B404"/>
    <mergeCell ref="D404:E404"/>
    <mergeCell ref="A416:J416"/>
    <mergeCell ref="A417:B417"/>
    <mergeCell ref="H417:J426"/>
    <mergeCell ref="A418:B418"/>
    <mergeCell ref="A419:B419"/>
    <mergeCell ref="A420:B420"/>
    <mergeCell ref="A421:B421"/>
    <mergeCell ref="D421:E421"/>
    <mergeCell ref="A422:B422"/>
    <mergeCell ref="C422:G425"/>
    <mergeCell ref="A423:B423"/>
    <mergeCell ref="A424:B424"/>
    <mergeCell ref="A425:B425"/>
    <mergeCell ref="A426:B426"/>
    <mergeCell ref="D426:E426"/>
    <mergeCell ref="C417:G420"/>
    <mergeCell ref="A405:J405"/>
    <mergeCell ref="A406:B406"/>
    <mergeCell ref="D406:E406"/>
    <mergeCell ref="H406:J415"/>
    <mergeCell ref="A407:B407"/>
    <mergeCell ref="D407:E407"/>
    <mergeCell ref="A408:B408"/>
    <mergeCell ref="D408:E408"/>
    <mergeCell ref="A409:B409"/>
    <mergeCell ref="D409:E409"/>
    <mergeCell ref="A410:B410"/>
    <mergeCell ref="D410:E410"/>
    <mergeCell ref="A411:B411"/>
    <mergeCell ref="C411:G414"/>
    <mergeCell ref="A412:B412"/>
    <mergeCell ref="A413:B413"/>
    <mergeCell ref="A427:J427"/>
    <mergeCell ref="A428:B428"/>
    <mergeCell ref="D428:E428"/>
    <mergeCell ref="H428:J437"/>
    <mergeCell ref="A429:B429"/>
    <mergeCell ref="D429:E429"/>
    <mergeCell ref="A430:B430"/>
    <mergeCell ref="D430:E430"/>
    <mergeCell ref="A431:B431"/>
    <mergeCell ref="D431:E431"/>
    <mergeCell ref="A432:B432"/>
    <mergeCell ref="D432:E432"/>
    <mergeCell ref="A433:B433"/>
    <mergeCell ref="C433:G436"/>
    <mergeCell ref="A434:B434"/>
    <mergeCell ref="A435:B435"/>
    <mergeCell ref="A436:B436"/>
    <mergeCell ref="A437:B437"/>
    <mergeCell ref="D437:E437"/>
    <mergeCell ref="A438:J438"/>
    <mergeCell ref="A439:B439"/>
    <mergeCell ref="D439:E439"/>
    <mergeCell ref="H439:J448"/>
    <mergeCell ref="A440:B440"/>
    <mergeCell ref="D440:E440"/>
    <mergeCell ref="A441:B441"/>
    <mergeCell ref="D441:E441"/>
    <mergeCell ref="A442:B442"/>
    <mergeCell ref="D442:E442"/>
    <mergeCell ref="A443:B443"/>
    <mergeCell ref="D443:E443"/>
    <mergeCell ref="A444:B444"/>
    <mergeCell ref="C444:G447"/>
    <mergeCell ref="A445:B445"/>
    <mergeCell ref="A446:B446"/>
    <mergeCell ref="A447:B447"/>
    <mergeCell ref="A448:B448"/>
    <mergeCell ref="D448:E448"/>
    <mergeCell ref="A449:J449"/>
    <mergeCell ref="A450:B450"/>
    <mergeCell ref="D450:E450"/>
    <mergeCell ref="H450:J459"/>
    <mergeCell ref="A451:B451"/>
    <mergeCell ref="D451:E451"/>
    <mergeCell ref="A452:B452"/>
    <mergeCell ref="D452:E452"/>
    <mergeCell ref="A453:B453"/>
    <mergeCell ref="D453:E453"/>
    <mergeCell ref="A454:B454"/>
    <mergeCell ref="D454:E454"/>
    <mergeCell ref="A455:B455"/>
    <mergeCell ref="A456:B456"/>
    <mergeCell ref="A457:B457"/>
    <mergeCell ref="A458:B458"/>
    <mergeCell ref="A459:B459"/>
    <mergeCell ref="D459:E459"/>
    <mergeCell ref="D455:E455"/>
    <mergeCell ref="D456:E456"/>
    <mergeCell ref="D457:E457"/>
    <mergeCell ref="D458:E458"/>
    <mergeCell ref="A460:J460"/>
    <mergeCell ref="A461:B461"/>
    <mergeCell ref="H461:J470"/>
    <mergeCell ref="A462:B462"/>
    <mergeCell ref="A463:B463"/>
    <mergeCell ref="A464:B464"/>
    <mergeCell ref="A465:B465"/>
    <mergeCell ref="D465:E465"/>
    <mergeCell ref="A466:B466"/>
    <mergeCell ref="D466:E466"/>
    <mergeCell ref="A467:B467"/>
    <mergeCell ref="D467:E467"/>
    <mergeCell ref="A468:B468"/>
    <mergeCell ref="D468:E468"/>
    <mergeCell ref="A469:B469"/>
    <mergeCell ref="D469:E469"/>
    <mergeCell ref="A470:B470"/>
    <mergeCell ref="D470:E470"/>
    <mergeCell ref="C461:G464"/>
    <mergeCell ref="A482:B482"/>
    <mergeCell ref="D482:E482"/>
    <mergeCell ref="H482:J490"/>
    <mergeCell ref="A483:B483"/>
    <mergeCell ref="D483:E483"/>
    <mergeCell ref="A484:B484"/>
    <mergeCell ref="D484:E484"/>
    <mergeCell ref="A485:B485"/>
    <mergeCell ref="D485:E485"/>
    <mergeCell ref="A486:B486"/>
    <mergeCell ref="D486:E486"/>
    <mergeCell ref="A487:B487"/>
    <mergeCell ref="D487:E487"/>
    <mergeCell ref="A488:B488"/>
    <mergeCell ref="D488:E488"/>
    <mergeCell ref="A489:B489"/>
    <mergeCell ref="D489:E489"/>
    <mergeCell ref="A490:B490"/>
    <mergeCell ref="D490:E490"/>
    <mergeCell ref="D528:E528"/>
    <mergeCell ref="A529:B529"/>
    <mergeCell ref="D529:E529"/>
    <mergeCell ref="A530:B530"/>
    <mergeCell ref="D530:E530"/>
    <mergeCell ref="A531:B531"/>
    <mergeCell ref="D531:E531"/>
    <mergeCell ref="A532:B532"/>
    <mergeCell ref="D532:E532"/>
    <mergeCell ref="A533:B533"/>
    <mergeCell ref="D533:E533"/>
    <mergeCell ref="A471:J471"/>
    <mergeCell ref="A472:B472"/>
    <mergeCell ref="D472:E472"/>
    <mergeCell ref="H472:J480"/>
    <mergeCell ref="A473:B473"/>
    <mergeCell ref="D473:E473"/>
    <mergeCell ref="A474:B474"/>
    <mergeCell ref="D474:E474"/>
    <mergeCell ref="A475:B475"/>
    <mergeCell ref="D475:E475"/>
    <mergeCell ref="A476:B476"/>
    <mergeCell ref="D476:E476"/>
    <mergeCell ref="A477:B477"/>
    <mergeCell ref="D477:E477"/>
    <mergeCell ref="A478:B478"/>
    <mergeCell ref="D478:E478"/>
    <mergeCell ref="A479:B479"/>
    <mergeCell ref="D479:E479"/>
    <mergeCell ref="A480:B480"/>
    <mergeCell ref="D480:E480"/>
    <mergeCell ref="A481:J481"/>
    <mergeCell ref="A491:J491"/>
    <mergeCell ref="A492:B492"/>
    <mergeCell ref="D492:E492"/>
    <mergeCell ref="A493:B493"/>
    <mergeCell ref="D493:E493"/>
    <mergeCell ref="A494:B494"/>
    <mergeCell ref="D494:E494"/>
    <mergeCell ref="A495:B495"/>
    <mergeCell ref="D495:E495"/>
    <mergeCell ref="A496:B496"/>
    <mergeCell ref="D496:E496"/>
    <mergeCell ref="A497:B497"/>
    <mergeCell ref="D497:E497"/>
    <mergeCell ref="A498:B498"/>
    <mergeCell ref="D498:E498"/>
    <mergeCell ref="A499:B499"/>
    <mergeCell ref="D499:E499"/>
    <mergeCell ref="H492:J500"/>
    <mergeCell ref="A500:B500"/>
    <mergeCell ref="D500:E500"/>
    <mergeCell ref="A501:J501"/>
    <mergeCell ref="A502:J502"/>
    <mergeCell ref="A503:J503"/>
    <mergeCell ref="A504:B504"/>
    <mergeCell ref="C504:G507"/>
    <mergeCell ref="H504:J513"/>
    <mergeCell ref="A505:B505"/>
    <mergeCell ref="A506:B506"/>
    <mergeCell ref="A507:B507"/>
    <mergeCell ref="A508:B508"/>
    <mergeCell ref="D508:E508"/>
    <mergeCell ref="A509:B509"/>
    <mergeCell ref="D509:E509"/>
    <mergeCell ref="A510:B510"/>
    <mergeCell ref="D510:E510"/>
    <mergeCell ref="A511:B511"/>
    <mergeCell ref="D511:E511"/>
    <mergeCell ref="A512:B512"/>
    <mergeCell ref="D512:E512"/>
    <mergeCell ref="A513:B513"/>
    <mergeCell ref="D513:E513"/>
    <mergeCell ref="A545:B545"/>
    <mergeCell ref="A546:B546"/>
    <mergeCell ref="A547:B547"/>
    <mergeCell ref="A514:J514"/>
    <mergeCell ref="A515:B515"/>
    <mergeCell ref="D515:E515"/>
    <mergeCell ref="H515:J524"/>
    <mergeCell ref="A516:B516"/>
    <mergeCell ref="D516:E516"/>
    <mergeCell ref="A517:B517"/>
    <mergeCell ref="D517:E517"/>
    <mergeCell ref="A518:B518"/>
    <mergeCell ref="D518:E518"/>
    <mergeCell ref="A519:B519"/>
    <mergeCell ref="D519:E519"/>
    <mergeCell ref="A520:B520"/>
    <mergeCell ref="D520:E520"/>
    <mergeCell ref="A521:B521"/>
    <mergeCell ref="D521:E521"/>
    <mergeCell ref="A522:B522"/>
    <mergeCell ref="D522:E522"/>
    <mergeCell ref="A523:B523"/>
    <mergeCell ref="D523:E523"/>
    <mergeCell ref="A524:B524"/>
    <mergeCell ref="D524:E524"/>
    <mergeCell ref="A525:J525"/>
    <mergeCell ref="A526:B526"/>
    <mergeCell ref="D526:E526"/>
    <mergeCell ref="H526:J533"/>
    <mergeCell ref="A527:B527"/>
    <mergeCell ref="D527:E527"/>
    <mergeCell ref="A528:B528"/>
    <mergeCell ref="A568:B568"/>
    <mergeCell ref="D568:E568"/>
    <mergeCell ref="A569:B569"/>
    <mergeCell ref="D572:E572"/>
    <mergeCell ref="C573:G573"/>
    <mergeCell ref="D574:E574"/>
    <mergeCell ref="D575:E575"/>
    <mergeCell ref="A571:J571"/>
    <mergeCell ref="A572:B572"/>
    <mergeCell ref="H572:J579"/>
    <mergeCell ref="A573:B573"/>
    <mergeCell ref="A574:B574"/>
    <mergeCell ref="A575:B575"/>
    <mergeCell ref="A576:B576"/>
    <mergeCell ref="A534:J534"/>
    <mergeCell ref="A535:B535"/>
    <mergeCell ref="H535:J542"/>
    <mergeCell ref="A536:B536"/>
    <mergeCell ref="A537:B537"/>
    <mergeCell ref="A538:B538"/>
    <mergeCell ref="A539:B539"/>
    <mergeCell ref="D539:E539"/>
    <mergeCell ref="A540:B540"/>
    <mergeCell ref="D540:E540"/>
    <mergeCell ref="A541:B541"/>
    <mergeCell ref="D541:E541"/>
    <mergeCell ref="A542:B542"/>
    <mergeCell ref="D542:E542"/>
    <mergeCell ref="C535:G538"/>
    <mergeCell ref="A543:J543"/>
    <mergeCell ref="A544:B544"/>
    <mergeCell ref="H544:J551"/>
    <mergeCell ref="D588:E588"/>
    <mergeCell ref="A589:B589"/>
    <mergeCell ref="D589:E589"/>
    <mergeCell ref="A548:B548"/>
    <mergeCell ref="D548:E548"/>
    <mergeCell ref="A549:B549"/>
    <mergeCell ref="D549:E549"/>
    <mergeCell ref="A550:B550"/>
    <mergeCell ref="D550:E550"/>
    <mergeCell ref="A551:B551"/>
    <mergeCell ref="D551:E551"/>
    <mergeCell ref="D544:E544"/>
    <mergeCell ref="D545:E545"/>
    <mergeCell ref="D546:E546"/>
    <mergeCell ref="D547:E547"/>
    <mergeCell ref="D576:E576"/>
    <mergeCell ref="A577:B577"/>
    <mergeCell ref="D577:E577"/>
    <mergeCell ref="A578:B578"/>
    <mergeCell ref="D578:E578"/>
    <mergeCell ref="A562:J562"/>
    <mergeCell ref="A563:B563"/>
    <mergeCell ref="D563:E563"/>
    <mergeCell ref="H563:J570"/>
    <mergeCell ref="A564:B564"/>
    <mergeCell ref="D564:E564"/>
    <mergeCell ref="A565:B565"/>
    <mergeCell ref="D565:E565"/>
    <mergeCell ref="A566:B566"/>
    <mergeCell ref="D566:E566"/>
    <mergeCell ref="A567:B567"/>
    <mergeCell ref="D567:E567"/>
    <mergeCell ref="A552:J552"/>
    <mergeCell ref="A553:B553"/>
    <mergeCell ref="D553:E553"/>
    <mergeCell ref="H553:J561"/>
    <mergeCell ref="A554:B554"/>
    <mergeCell ref="D554:E554"/>
    <mergeCell ref="A555:B555"/>
    <mergeCell ref="D555:E555"/>
    <mergeCell ref="A556:B556"/>
    <mergeCell ref="D556:E556"/>
    <mergeCell ref="A557:B557"/>
    <mergeCell ref="D557:E557"/>
    <mergeCell ref="A558:B558"/>
    <mergeCell ref="D558:E558"/>
    <mergeCell ref="A559:B559"/>
    <mergeCell ref="D559:E559"/>
    <mergeCell ref="A560:B560"/>
    <mergeCell ref="D560:E560"/>
    <mergeCell ref="A561:B561"/>
    <mergeCell ref="D561:E561"/>
    <mergeCell ref="A743:B743"/>
    <mergeCell ref="D743:E743"/>
    <mergeCell ref="A744:B744"/>
    <mergeCell ref="D744:E744"/>
    <mergeCell ref="A745:B745"/>
    <mergeCell ref="D745:E745"/>
    <mergeCell ref="A746:B746"/>
    <mergeCell ref="D746:E746"/>
    <mergeCell ref="H741:J746"/>
    <mergeCell ref="A747:J747"/>
    <mergeCell ref="D569:E569"/>
    <mergeCell ref="A570:B570"/>
    <mergeCell ref="D570:E570"/>
    <mergeCell ref="A579:B579"/>
    <mergeCell ref="D579:E579"/>
    <mergeCell ref="A580:J580"/>
    <mergeCell ref="A581:B581"/>
    <mergeCell ref="D581:E581"/>
    <mergeCell ref="H581:J589"/>
    <mergeCell ref="A582:B582"/>
    <mergeCell ref="D582:E582"/>
    <mergeCell ref="A583:B583"/>
    <mergeCell ref="D583:E583"/>
    <mergeCell ref="A584:B584"/>
    <mergeCell ref="D584:E584"/>
    <mergeCell ref="A585:B585"/>
    <mergeCell ref="D585:E585"/>
    <mergeCell ref="A586:B586"/>
    <mergeCell ref="D586:E586"/>
    <mergeCell ref="A587:B587"/>
    <mergeCell ref="D587:E587"/>
    <mergeCell ref="A588:B588"/>
    <mergeCell ref="A748:B748"/>
    <mergeCell ref="D748:E748"/>
    <mergeCell ref="H748:J755"/>
    <mergeCell ref="A749:B749"/>
    <mergeCell ref="D749:E749"/>
    <mergeCell ref="A752:B752"/>
    <mergeCell ref="D752:E752"/>
    <mergeCell ref="A753:B753"/>
    <mergeCell ref="D753:E753"/>
    <mergeCell ref="A754:B754"/>
    <mergeCell ref="D754:E754"/>
    <mergeCell ref="A755:B755"/>
    <mergeCell ref="D755:E755"/>
    <mergeCell ref="A750:B750"/>
    <mergeCell ref="D750:E750"/>
    <mergeCell ref="A751:B751"/>
    <mergeCell ref="D751:E751"/>
    <mergeCell ref="A756:J756"/>
    <mergeCell ref="A757:B757"/>
    <mergeCell ref="D757:E757"/>
    <mergeCell ref="H757:J764"/>
    <mergeCell ref="A758:B758"/>
    <mergeCell ref="D758:E758"/>
    <mergeCell ref="A759:B759"/>
    <mergeCell ref="D759:E759"/>
    <mergeCell ref="A760:B760"/>
    <mergeCell ref="D760:E760"/>
    <mergeCell ref="A761:B761"/>
    <mergeCell ref="D761:E761"/>
    <mergeCell ref="A762:B762"/>
    <mergeCell ref="D762:E762"/>
    <mergeCell ref="A763:B763"/>
    <mergeCell ref="D763:E763"/>
    <mergeCell ref="A764:B764"/>
    <mergeCell ref="D764:E764"/>
    <mergeCell ref="A765:J765"/>
    <mergeCell ref="A766:B766"/>
    <mergeCell ref="H766:J773"/>
    <mergeCell ref="A767:B767"/>
    <mergeCell ref="A768:B768"/>
    <mergeCell ref="D768:E768"/>
    <mergeCell ref="A769:B769"/>
    <mergeCell ref="D769:E769"/>
    <mergeCell ref="A770:B770"/>
    <mergeCell ref="D770:E770"/>
    <mergeCell ref="A771:B771"/>
    <mergeCell ref="D771:E771"/>
    <mergeCell ref="A772:B772"/>
    <mergeCell ref="D772:E772"/>
    <mergeCell ref="A773:B773"/>
    <mergeCell ref="D773:E773"/>
    <mergeCell ref="C766:G767"/>
    <mergeCell ref="D810:E810"/>
    <mergeCell ref="A811:B811"/>
    <mergeCell ref="D811:E811"/>
    <mergeCell ref="A812:B812"/>
    <mergeCell ref="D812:E812"/>
    <mergeCell ref="A813:B813"/>
    <mergeCell ref="D813:E813"/>
    <mergeCell ref="A814:B814"/>
    <mergeCell ref="D814:E814"/>
    <mergeCell ref="A815:J815"/>
    <mergeCell ref="A816:B816"/>
    <mergeCell ref="C816:G817"/>
    <mergeCell ref="H816:J823"/>
    <mergeCell ref="A817:B817"/>
    <mergeCell ref="A818:B818"/>
    <mergeCell ref="D818:E818"/>
    <mergeCell ref="A819:B819"/>
    <mergeCell ref="D819:E819"/>
    <mergeCell ref="A820:B820"/>
    <mergeCell ref="D820:E820"/>
    <mergeCell ref="A821:B821"/>
    <mergeCell ref="D821:E821"/>
    <mergeCell ref="A822:B822"/>
    <mergeCell ref="D822:E822"/>
    <mergeCell ref="A823:B823"/>
    <mergeCell ref="D823:E823"/>
    <mergeCell ref="A798:J798"/>
    <mergeCell ref="A799:B799"/>
    <mergeCell ref="H799:J805"/>
    <mergeCell ref="A800:B800"/>
    <mergeCell ref="A801:B801"/>
    <mergeCell ref="D801:E801"/>
    <mergeCell ref="A802:B802"/>
    <mergeCell ref="D802:E802"/>
    <mergeCell ref="A803:B803"/>
    <mergeCell ref="D803:E803"/>
    <mergeCell ref="A804:B804"/>
    <mergeCell ref="D804:E804"/>
    <mergeCell ref="A805:B805"/>
    <mergeCell ref="D805:E805"/>
    <mergeCell ref="C799:G800"/>
    <mergeCell ref="D827:E827"/>
    <mergeCell ref="A828:B828"/>
    <mergeCell ref="D828:E828"/>
    <mergeCell ref="A824:J824"/>
    <mergeCell ref="A825:B825"/>
    <mergeCell ref="H825:J832"/>
    <mergeCell ref="A826:B826"/>
    <mergeCell ref="A827:B827"/>
    <mergeCell ref="A806:J806"/>
    <mergeCell ref="A807:B807"/>
    <mergeCell ref="D807:E807"/>
    <mergeCell ref="H807:J814"/>
    <mergeCell ref="A808:B808"/>
    <mergeCell ref="D808:E808"/>
    <mergeCell ref="A809:B809"/>
    <mergeCell ref="D809:E809"/>
    <mergeCell ref="A810:B810"/>
    <mergeCell ref="A829:B829"/>
    <mergeCell ref="D829:E829"/>
    <mergeCell ref="A830:B830"/>
    <mergeCell ref="D830:E830"/>
    <mergeCell ref="A831:B831"/>
    <mergeCell ref="D831:E831"/>
    <mergeCell ref="A832:B832"/>
    <mergeCell ref="D832:E832"/>
    <mergeCell ref="D825:E825"/>
    <mergeCell ref="D826:E826"/>
    <mergeCell ref="D838:E838"/>
    <mergeCell ref="A839:B839"/>
    <mergeCell ref="D839:E839"/>
    <mergeCell ref="A842:J842"/>
    <mergeCell ref="A840:B840"/>
    <mergeCell ref="D840:E840"/>
    <mergeCell ref="A841:B841"/>
    <mergeCell ref="D841:E841"/>
    <mergeCell ref="A833:J833"/>
    <mergeCell ref="A834:B834"/>
    <mergeCell ref="C834:G835"/>
    <mergeCell ref="H834:J841"/>
    <mergeCell ref="A835:B835"/>
    <mergeCell ref="A836:B836"/>
    <mergeCell ref="D836:E836"/>
    <mergeCell ref="A837:B837"/>
    <mergeCell ref="D837:E837"/>
    <mergeCell ref="A838:B838"/>
    <mergeCell ref="A843:B843"/>
    <mergeCell ref="H843:J850"/>
    <mergeCell ref="A844:B844"/>
    <mergeCell ref="D844:E844"/>
    <mergeCell ref="A845:B845"/>
    <mergeCell ref="D845:E845"/>
    <mergeCell ref="A846:B846"/>
    <mergeCell ref="D846:E846"/>
    <mergeCell ref="A847:B847"/>
    <mergeCell ref="D847:E847"/>
    <mergeCell ref="A848:B848"/>
    <mergeCell ref="D848:E848"/>
    <mergeCell ref="A849:B849"/>
    <mergeCell ref="D849:E849"/>
    <mergeCell ref="A850:B850"/>
    <mergeCell ref="D850:E850"/>
    <mergeCell ref="C843:G843"/>
    <mergeCell ref="A869:B869"/>
    <mergeCell ref="D869:E869"/>
    <mergeCell ref="A870:B870"/>
    <mergeCell ref="D870:E870"/>
    <mergeCell ref="A871:J871"/>
    <mergeCell ref="A872:B872"/>
    <mergeCell ref="D872:E872"/>
    <mergeCell ref="H872:J879"/>
    <mergeCell ref="A873:B873"/>
    <mergeCell ref="D993:E993"/>
    <mergeCell ref="H993:J1000"/>
    <mergeCell ref="A994:B994"/>
    <mergeCell ref="A851:J851"/>
    <mergeCell ref="A853:J853"/>
    <mergeCell ref="A852:J852"/>
    <mergeCell ref="D873:E873"/>
    <mergeCell ref="A874:B874"/>
    <mergeCell ref="A875:B875"/>
    <mergeCell ref="A876:B876"/>
    <mergeCell ref="D876:E876"/>
    <mergeCell ref="A877:B877"/>
    <mergeCell ref="D877:E877"/>
    <mergeCell ref="A878:B878"/>
    <mergeCell ref="A990:J990"/>
    <mergeCell ref="A991:J991"/>
    <mergeCell ref="A992:J992"/>
    <mergeCell ref="A993:B993"/>
    <mergeCell ref="D879:E879"/>
    <mergeCell ref="A995:B995"/>
    <mergeCell ref="D995:E995"/>
    <mergeCell ref="A996:B996"/>
    <mergeCell ref="D996:E996"/>
    <mergeCell ref="A854:B854"/>
    <mergeCell ref="D854:E854"/>
    <mergeCell ref="A855:B855"/>
    <mergeCell ref="D855:E855"/>
    <mergeCell ref="A856:B856"/>
    <mergeCell ref="A857:B857"/>
    <mergeCell ref="A858:B858"/>
    <mergeCell ref="D858:E858"/>
    <mergeCell ref="A859:B859"/>
    <mergeCell ref="D859:E859"/>
    <mergeCell ref="A860:B860"/>
    <mergeCell ref="D860:E860"/>
    <mergeCell ref="A861:B861"/>
    <mergeCell ref="D861:E861"/>
    <mergeCell ref="H854:J861"/>
    <mergeCell ref="C856:G857"/>
    <mergeCell ref="D868:E868"/>
    <mergeCell ref="C865:G866"/>
    <mergeCell ref="K845:L845"/>
    <mergeCell ref="A1001:J1001"/>
    <mergeCell ref="A1002:B1002"/>
    <mergeCell ref="D1002:E1002"/>
    <mergeCell ref="H1002:J1009"/>
    <mergeCell ref="A1003:B1003"/>
    <mergeCell ref="D1003:E1003"/>
    <mergeCell ref="A1004:B1004"/>
    <mergeCell ref="D1004:E1004"/>
    <mergeCell ref="A1005:B1005"/>
    <mergeCell ref="D1005:E1005"/>
    <mergeCell ref="A1006:B1006"/>
    <mergeCell ref="D1006:E1006"/>
    <mergeCell ref="A1007:B1007"/>
    <mergeCell ref="D1007:E1007"/>
    <mergeCell ref="A1008:B1008"/>
    <mergeCell ref="A1009:B1009"/>
    <mergeCell ref="A862:J862"/>
    <mergeCell ref="A863:B863"/>
    <mergeCell ref="D863:E863"/>
    <mergeCell ref="H863:J870"/>
    <mergeCell ref="A864:B864"/>
    <mergeCell ref="D864:E864"/>
    <mergeCell ref="A865:B865"/>
    <mergeCell ref="A866:B866"/>
    <mergeCell ref="A867:B867"/>
    <mergeCell ref="D867:E867"/>
    <mergeCell ref="A868:B868"/>
    <mergeCell ref="K983:L983"/>
    <mergeCell ref="D994:E994"/>
    <mergeCell ref="D878:E878"/>
    <mergeCell ref="A879:B879"/>
    <mergeCell ref="C874:G875"/>
    <mergeCell ref="A979:J979"/>
    <mergeCell ref="A980:B980"/>
    <mergeCell ref="D980:E980"/>
    <mergeCell ref="H980:J984"/>
    <mergeCell ref="A981:B981"/>
    <mergeCell ref="D981:E981"/>
    <mergeCell ref="A983:B983"/>
    <mergeCell ref="D983:E983"/>
    <mergeCell ref="A984:B984"/>
    <mergeCell ref="D984:E984"/>
    <mergeCell ref="A880:J880"/>
    <mergeCell ref="A881:B881"/>
    <mergeCell ref="D881:E881"/>
    <mergeCell ref="H881:J888"/>
    <mergeCell ref="A882:B882"/>
    <mergeCell ref="D882:E882"/>
    <mergeCell ref="A883:B883"/>
    <mergeCell ref="C883:G884"/>
    <mergeCell ref="A884:B884"/>
    <mergeCell ref="A925:J925"/>
    <mergeCell ref="A926:B926"/>
    <mergeCell ref="D926:E926"/>
    <mergeCell ref="H926:J933"/>
    <mergeCell ref="A927:B927"/>
    <mergeCell ref="D927:E927"/>
    <mergeCell ref="A928:B928"/>
    <mergeCell ref="D928:E928"/>
    <mergeCell ref="A885:B885"/>
    <mergeCell ref="D885:E885"/>
    <mergeCell ref="A886:B886"/>
    <mergeCell ref="D886:E886"/>
    <mergeCell ref="A887:B887"/>
    <mergeCell ref="D887:E887"/>
    <mergeCell ref="A888:B888"/>
    <mergeCell ref="D888:E888"/>
    <mergeCell ref="A889:J889"/>
    <mergeCell ref="A890:B890"/>
    <mergeCell ref="D890:E890"/>
    <mergeCell ref="H890:J897"/>
    <mergeCell ref="A891:B891"/>
    <mergeCell ref="D891:E891"/>
    <mergeCell ref="A892:B892"/>
    <mergeCell ref="D892:E892"/>
    <mergeCell ref="A893:B893"/>
    <mergeCell ref="D893:E893"/>
    <mergeCell ref="A894:B894"/>
    <mergeCell ref="D894:E894"/>
    <mergeCell ref="A895:B895"/>
    <mergeCell ref="D895:E895"/>
    <mergeCell ref="A896:B896"/>
    <mergeCell ref="D896:E896"/>
    <mergeCell ref="A897:B897"/>
    <mergeCell ref="D897:E897"/>
    <mergeCell ref="A898:J898"/>
    <mergeCell ref="A899:B899"/>
    <mergeCell ref="D899:E899"/>
    <mergeCell ref="H899:J906"/>
    <mergeCell ref="A900:B900"/>
    <mergeCell ref="D900:E900"/>
    <mergeCell ref="A901:B901"/>
    <mergeCell ref="D901:E901"/>
    <mergeCell ref="A902:B902"/>
    <mergeCell ref="D902:E902"/>
    <mergeCell ref="A903:B903"/>
    <mergeCell ref="D903:E903"/>
    <mergeCell ref="A904:B904"/>
    <mergeCell ref="D904:E904"/>
    <mergeCell ref="A905:B905"/>
    <mergeCell ref="D905:E905"/>
    <mergeCell ref="A906:B906"/>
    <mergeCell ref="D906:E906"/>
    <mergeCell ref="A943:J943"/>
    <mergeCell ref="A944:B944"/>
    <mergeCell ref="D944:E944"/>
    <mergeCell ref="H944:J951"/>
    <mergeCell ref="A945:B945"/>
    <mergeCell ref="D945:E945"/>
    <mergeCell ref="A946:B946"/>
    <mergeCell ref="D946:E946"/>
    <mergeCell ref="A947:B947"/>
    <mergeCell ref="D947:E947"/>
    <mergeCell ref="A948:B948"/>
    <mergeCell ref="D948:E948"/>
    <mergeCell ref="A949:B949"/>
    <mergeCell ref="D949:E949"/>
    <mergeCell ref="A916:J916"/>
    <mergeCell ref="A917:B917"/>
    <mergeCell ref="D917:E917"/>
    <mergeCell ref="H917:J924"/>
    <mergeCell ref="A918:B918"/>
    <mergeCell ref="D918:E918"/>
    <mergeCell ref="A919:B919"/>
    <mergeCell ref="D919:E919"/>
    <mergeCell ref="A920:B920"/>
    <mergeCell ref="D920:E920"/>
    <mergeCell ref="A921:B921"/>
    <mergeCell ref="D921:E921"/>
    <mergeCell ref="A922:B922"/>
    <mergeCell ref="D922:E922"/>
    <mergeCell ref="A923:B923"/>
    <mergeCell ref="D923:E923"/>
    <mergeCell ref="A924:B924"/>
    <mergeCell ref="D924:E924"/>
    <mergeCell ref="A934:J934"/>
    <mergeCell ref="A935:B935"/>
    <mergeCell ref="D935:E935"/>
    <mergeCell ref="H935:J942"/>
    <mergeCell ref="A936:B936"/>
    <mergeCell ref="D936:E936"/>
    <mergeCell ref="A937:B937"/>
    <mergeCell ref="D937:E937"/>
    <mergeCell ref="A938:B938"/>
    <mergeCell ref="D938:E938"/>
    <mergeCell ref="A939:B939"/>
    <mergeCell ref="A940:B940"/>
    <mergeCell ref="A941:B941"/>
    <mergeCell ref="D941:E941"/>
    <mergeCell ref="A942:B942"/>
    <mergeCell ref="D942:E942"/>
    <mergeCell ref="C939:F940"/>
    <mergeCell ref="A952:J952"/>
    <mergeCell ref="A953:B953"/>
    <mergeCell ref="D953:E953"/>
    <mergeCell ref="H953:J960"/>
    <mergeCell ref="A954:B954"/>
    <mergeCell ref="D954:E954"/>
    <mergeCell ref="A955:B955"/>
    <mergeCell ref="D955:E955"/>
    <mergeCell ref="A956:B956"/>
    <mergeCell ref="D956:E956"/>
    <mergeCell ref="A957:B957"/>
    <mergeCell ref="A958:B958"/>
    <mergeCell ref="A959:B959"/>
    <mergeCell ref="D959:E959"/>
    <mergeCell ref="A960:B960"/>
    <mergeCell ref="D960:E960"/>
    <mergeCell ref="C957:F958"/>
    <mergeCell ref="A965:B965"/>
    <mergeCell ref="D965:E965"/>
    <mergeCell ref="A966:B966"/>
    <mergeCell ref="D966:E966"/>
    <mergeCell ref="A967:B967"/>
    <mergeCell ref="D967:E967"/>
    <mergeCell ref="A968:B968"/>
    <mergeCell ref="D968:E968"/>
    <mergeCell ref="A969:B969"/>
    <mergeCell ref="D969:E969"/>
    <mergeCell ref="A970:J970"/>
    <mergeCell ref="A971:B971"/>
    <mergeCell ref="D971:E971"/>
    <mergeCell ref="H971:J978"/>
    <mergeCell ref="A972:B972"/>
    <mergeCell ref="D972:E972"/>
    <mergeCell ref="A973:B973"/>
    <mergeCell ref="D973:E973"/>
    <mergeCell ref="A974:B974"/>
    <mergeCell ref="D974:E974"/>
    <mergeCell ref="A975:B975"/>
    <mergeCell ref="D975:E975"/>
    <mergeCell ref="A976:B976"/>
    <mergeCell ref="D976:E976"/>
    <mergeCell ref="A977:B977"/>
    <mergeCell ref="D977:E977"/>
    <mergeCell ref="A978:B978"/>
    <mergeCell ref="D978:E978"/>
    <mergeCell ref="A1046:J1046"/>
    <mergeCell ref="A57:B58"/>
    <mergeCell ref="I57:J57"/>
    <mergeCell ref="C58:J58"/>
    <mergeCell ref="C57:G57"/>
    <mergeCell ref="A59:B60"/>
    <mergeCell ref="C59:G59"/>
    <mergeCell ref="I59:J59"/>
    <mergeCell ref="C60:G60"/>
    <mergeCell ref="I60:J60"/>
    <mergeCell ref="C47:F47"/>
    <mergeCell ref="H47:J47"/>
    <mergeCell ref="A982:B982"/>
    <mergeCell ref="C982:G982"/>
    <mergeCell ref="A985:J985"/>
    <mergeCell ref="A986:B986"/>
    <mergeCell ref="D986:E986"/>
    <mergeCell ref="A987:B987"/>
    <mergeCell ref="D987:E987"/>
    <mergeCell ref="A988:B988"/>
    <mergeCell ref="D988:E988"/>
    <mergeCell ref="A989:B989"/>
    <mergeCell ref="D989:E989"/>
    <mergeCell ref="H986:J989"/>
    <mergeCell ref="A961:J961"/>
    <mergeCell ref="A962:B962"/>
    <mergeCell ref="D962:E962"/>
    <mergeCell ref="H962:J969"/>
    <mergeCell ref="A963:B963"/>
    <mergeCell ref="D963:E963"/>
    <mergeCell ref="A964:B964"/>
    <mergeCell ref="D964:E964"/>
  </mergeCells>
  <phoneticPr fontId="0" type="noConversion"/>
  <hyperlinks>
    <hyperlink ref="C35" r:id="rId1" xr:uid="{00000000-0004-0000-0000-000000000000}"/>
    <hyperlink ref="K9" r:id="rId2" xr:uid="{00000000-0004-0000-0000-000001000000}"/>
  </hyperlinks>
  <printOptions horizontalCentered="1"/>
  <pageMargins left="0.39370078740157483" right="0.39370078740157483" top="0.78740157480314965" bottom="0.78740157480314965" header="0.19685039370078741" footer="0.19685039370078741"/>
  <pageSetup paperSize="9" scale="89" fitToHeight="0" orientation="portrait" r:id="rId3"/>
  <headerFooter>
    <oddHeader>&amp;C&amp;"Times New Roman,Bold"&amp;20&amp;G</oddHeader>
    <oddFooter>&amp;L&amp;"Times New Roman,Bold"Ref No: &amp;F&amp;C&amp;G&amp;R&amp;P</oddFooter>
  </headerFooter>
  <rowBreaks count="8" manualBreakCount="8">
    <brk id="1047" max="9" man="1"/>
    <brk id="1058" max="9" man="1"/>
    <brk id="1107" max="9" man="1"/>
    <brk id="1153" max="9" man="1"/>
    <brk id="1195" max="9" man="1"/>
    <brk id="1237" max="9" man="1"/>
    <brk id="1280" max="9" man="1"/>
    <brk id="1327"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workbookViewId="0">
      <selection activeCell="B14" sqref="B14"/>
    </sheetView>
  </sheetViews>
  <sheetFormatPr defaultColWidth="8.5546875" defaultRowHeight="14.4" x14ac:dyDescent="0.3"/>
  <cols>
    <col min="1" max="1" width="8.5546875" style="29"/>
    <col min="2" max="2" width="22.21875" style="29" customWidth="1"/>
    <col min="3" max="3" width="37" style="29" customWidth="1"/>
    <col min="4" max="5" width="11.44140625" style="29" customWidth="1"/>
    <col min="6" max="6" width="14" style="29" customWidth="1"/>
    <col min="7" max="7" width="20" style="29" customWidth="1"/>
    <col min="8" max="8" width="16.44140625" style="29" customWidth="1"/>
    <col min="9" max="9" width="8.5546875" style="29"/>
    <col min="10" max="10" width="9.77734375" style="29" bestFit="1" customWidth="1"/>
    <col min="11" max="16384" width="8.5546875" style="29"/>
  </cols>
  <sheetData>
    <row r="1" spans="1:10" ht="15" customHeight="1" x14ac:dyDescent="0.3"/>
    <row r="2" spans="1:10" ht="15" customHeight="1" x14ac:dyDescent="0.3">
      <c r="A2" s="30"/>
      <c r="B2" s="30"/>
      <c r="C2" s="30"/>
      <c r="D2" s="30"/>
      <c r="E2" s="30"/>
      <c r="F2" s="30"/>
      <c r="G2" s="30"/>
      <c r="H2" s="30"/>
    </row>
    <row r="3" spans="1:10" ht="15.75" customHeight="1" x14ac:dyDescent="0.3">
      <c r="A3" s="30"/>
      <c r="B3" s="404" t="s">
        <v>168</v>
      </c>
      <c r="C3" s="404"/>
      <c r="D3" s="404"/>
      <c r="E3" s="404"/>
      <c r="F3" s="404"/>
      <c r="G3" s="404"/>
      <c r="H3" s="404"/>
    </row>
    <row r="4" spans="1:10" ht="14.25" customHeight="1" x14ac:dyDescent="0.3">
      <c r="A4" s="30"/>
      <c r="B4" s="31" t="s">
        <v>169</v>
      </c>
      <c r="C4" s="31" t="s">
        <v>170</v>
      </c>
      <c r="D4" s="31" t="s">
        <v>89</v>
      </c>
      <c r="E4" s="31" t="s">
        <v>171</v>
      </c>
      <c r="F4" s="31" t="s">
        <v>172</v>
      </c>
      <c r="G4" s="31" t="s">
        <v>173</v>
      </c>
      <c r="H4" s="31" t="s">
        <v>174</v>
      </c>
    </row>
    <row r="5" spans="1:10" x14ac:dyDescent="0.3">
      <c r="A5" s="30"/>
      <c r="B5" s="32" t="s">
        <v>175</v>
      </c>
      <c r="C5" s="33" t="s">
        <v>148</v>
      </c>
      <c r="D5" s="34" t="s">
        <v>176</v>
      </c>
      <c r="E5" s="34">
        <v>414.09</v>
      </c>
      <c r="F5" s="35">
        <f t="shared" ref="F5:F10" si="0">E5*1.6</f>
        <v>662.54399999999998</v>
      </c>
      <c r="G5" s="35">
        <f t="shared" ref="G5:G10" si="1">H5/E5</f>
        <v>22995.00108672028</v>
      </c>
      <c r="H5" s="36">
        <v>9522000</v>
      </c>
      <c r="J5" s="37"/>
    </row>
    <row r="6" spans="1:10" x14ac:dyDescent="0.3">
      <c r="A6" s="30"/>
      <c r="B6" s="32" t="s">
        <v>175</v>
      </c>
      <c r="C6" s="33" t="s">
        <v>148</v>
      </c>
      <c r="D6" s="34" t="s">
        <v>176</v>
      </c>
      <c r="E6" s="34">
        <v>463.6</v>
      </c>
      <c r="F6" s="35">
        <f t="shared" si="0"/>
        <v>741.7600000000001</v>
      </c>
      <c r="G6" s="35">
        <f t="shared" si="1"/>
        <v>25021.570319240724</v>
      </c>
      <c r="H6" s="36">
        <v>11600000</v>
      </c>
      <c r="J6" s="37"/>
    </row>
    <row r="7" spans="1:10" x14ac:dyDescent="0.3">
      <c r="A7" s="30"/>
      <c r="B7" s="32" t="s">
        <v>175</v>
      </c>
      <c r="C7" s="33" t="s">
        <v>148</v>
      </c>
      <c r="D7" s="34" t="s">
        <v>177</v>
      </c>
      <c r="E7" s="34">
        <v>638.19000000000005</v>
      </c>
      <c r="F7" s="35">
        <f t="shared" si="0"/>
        <v>1021.1040000000002</v>
      </c>
      <c r="G7" s="35">
        <f t="shared" si="1"/>
        <v>25070.90364938341</v>
      </c>
      <c r="H7" s="36">
        <v>16000000</v>
      </c>
      <c r="J7" s="37"/>
    </row>
    <row r="8" spans="1:10" x14ac:dyDescent="0.3">
      <c r="A8" s="30"/>
      <c r="B8" s="32" t="s">
        <v>175</v>
      </c>
      <c r="C8" s="33" t="s">
        <v>148</v>
      </c>
      <c r="D8" s="34" t="s">
        <v>178</v>
      </c>
      <c r="E8" s="34">
        <v>892.97</v>
      </c>
      <c r="F8" s="35">
        <f t="shared" si="0"/>
        <v>1428.7520000000002</v>
      </c>
      <c r="G8" s="35">
        <f t="shared" si="1"/>
        <v>25084.829277579312</v>
      </c>
      <c r="H8" s="36">
        <v>22400000</v>
      </c>
      <c r="J8" s="37"/>
    </row>
    <row r="9" spans="1:10" x14ac:dyDescent="0.3">
      <c r="A9" s="30"/>
      <c r="B9" s="32" t="s">
        <v>179</v>
      </c>
      <c r="C9" s="33" t="s">
        <v>148</v>
      </c>
      <c r="D9" s="34" t="s">
        <v>177</v>
      </c>
      <c r="E9" s="34">
        <v>750</v>
      </c>
      <c r="F9" s="35">
        <f t="shared" si="0"/>
        <v>1200</v>
      </c>
      <c r="G9" s="35">
        <f t="shared" si="1"/>
        <v>23333.333333333332</v>
      </c>
      <c r="H9" s="36">
        <v>17500000</v>
      </c>
      <c r="J9" s="37"/>
    </row>
    <row r="10" spans="1:10" x14ac:dyDescent="0.3">
      <c r="A10" s="30"/>
      <c r="B10" s="32" t="s">
        <v>179</v>
      </c>
      <c r="C10" s="33" t="s">
        <v>148</v>
      </c>
      <c r="D10" s="34" t="s">
        <v>177</v>
      </c>
      <c r="E10" s="34">
        <v>662</v>
      </c>
      <c r="F10" s="35">
        <f t="shared" si="0"/>
        <v>1059.2</v>
      </c>
      <c r="G10" s="35">
        <f t="shared" si="1"/>
        <v>23262.839879154079</v>
      </c>
      <c r="H10" s="36">
        <v>15400000</v>
      </c>
      <c r="J10" s="37"/>
    </row>
    <row r="11" spans="1:10" ht="15" customHeight="1" x14ac:dyDescent="0.3">
      <c r="A11" s="30"/>
      <c r="B11" s="38" t="s">
        <v>180</v>
      </c>
      <c r="C11" s="34"/>
      <c r="D11" s="34"/>
      <c r="E11" s="34">
        <v>0</v>
      </c>
      <c r="F11" s="35">
        <f>E11*1.5</f>
        <v>0</v>
      </c>
      <c r="G11" s="39">
        <f>AVERAGE(G5:G10)</f>
        <v>24128.079590901852</v>
      </c>
      <c r="H11" s="34"/>
      <c r="J11" s="37"/>
    </row>
    <row r="12" spans="1:10" ht="15" customHeight="1" x14ac:dyDescent="0.3">
      <c r="B12" s="38" t="s">
        <v>181</v>
      </c>
      <c r="C12" s="34"/>
      <c r="D12" s="34"/>
      <c r="E12" s="34"/>
      <c r="F12" s="40"/>
      <c r="G12" s="38">
        <v>24000</v>
      </c>
      <c r="H12" s="38"/>
      <c r="I12" s="41"/>
      <c r="J12" s="37"/>
    </row>
    <row r="13" spans="1:10" ht="15" customHeight="1" x14ac:dyDescent="0.3">
      <c r="G13" s="42"/>
    </row>
    <row r="14" spans="1:10" x14ac:dyDescent="0.3">
      <c r="G14" s="42"/>
    </row>
    <row r="15" spans="1:10" x14ac:dyDescent="0.3">
      <c r="G15" s="42"/>
    </row>
    <row r="16" spans="1:10" x14ac:dyDescent="0.3">
      <c r="G16" s="42"/>
    </row>
    <row r="17" spans="2:7" x14ac:dyDescent="0.3">
      <c r="G17" s="42"/>
    </row>
    <row r="18" spans="2:7" x14ac:dyDescent="0.3">
      <c r="G18" s="42"/>
    </row>
    <row r="19" spans="2:7" x14ac:dyDescent="0.3">
      <c r="G19" s="42"/>
    </row>
    <row r="20" spans="2:7" x14ac:dyDescent="0.3">
      <c r="G20" s="42"/>
    </row>
    <row r="21" spans="2:7" x14ac:dyDescent="0.3">
      <c r="G21" s="42"/>
    </row>
    <row r="22" spans="2:7" x14ac:dyDescent="0.3">
      <c r="B22" s="43"/>
      <c r="G22" s="42"/>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O17" sqref="O17"/>
    </sheetView>
  </sheetViews>
  <sheetFormatPr defaultRowHeight="14.4" x14ac:dyDescent="0.3"/>
  <cols>
    <col min="1" max="1" width="11.44140625" customWidth="1"/>
    <col min="2" max="2" width="12" customWidth="1"/>
  </cols>
  <sheetData>
    <row r="1" spans="1:3" x14ac:dyDescent="0.3">
      <c r="A1" t="s">
        <v>167</v>
      </c>
      <c r="B1" t="s">
        <v>182</v>
      </c>
      <c r="C1" t="s">
        <v>183</v>
      </c>
    </row>
    <row r="2" spans="1:3" x14ac:dyDescent="0.3">
      <c r="C2" t="s">
        <v>184</v>
      </c>
    </row>
    <row r="4" spans="1:3" x14ac:dyDescent="0.3">
      <c r="A4" s="44">
        <v>44219</v>
      </c>
      <c r="B4" t="s">
        <v>185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workbookViewId="0">
      <selection activeCell="C12" sqref="C12"/>
    </sheetView>
  </sheetViews>
  <sheetFormatPr defaultColWidth="9.21875" defaultRowHeight="13.8" x14ac:dyDescent="0.25"/>
  <cols>
    <col min="1" max="1" width="20.5546875" style="12" customWidth="1"/>
    <col min="2" max="2" width="11.5546875" style="12" customWidth="1"/>
    <col min="3" max="4" width="9.21875" style="12"/>
    <col min="5" max="5" width="10.21875" style="12" customWidth="1"/>
    <col min="6" max="6" width="10.5546875" style="12" customWidth="1"/>
    <col min="7" max="7" width="9.21875" style="12"/>
    <col min="8" max="8" width="10.44140625" style="12" customWidth="1"/>
    <col min="9" max="9" width="15.44140625" style="12" customWidth="1"/>
    <col min="10" max="16384" width="9.21875" style="12"/>
  </cols>
  <sheetData>
    <row r="2" spans="1:13" x14ac:dyDescent="0.25">
      <c r="A2" s="11" t="s">
        <v>114</v>
      </c>
      <c r="B2" s="11" t="s">
        <v>115</v>
      </c>
      <c r="C2" s="11" t="s">
        <v>116</v>
      </c>
      <c r="D2" s="406" t="s">
        <v>117</v>
      </c>
      <c r="E2" s="406"/>
      <c r="F2" s="407"/>
      <c r="G2" s="408"/>
    </row>
    <row r="3" spans="1:13" x14ac:dyDescent="0.25">
      <c r="A3" s="13">
        <v>0</v>
      </c>
      <c r="B3" s="13">
        <v>0</v>
      </c>
      <c r="C3" s="13">
        <v>1</v>
      </c>
      <c r="D3" s="409">
        <v>34</v>
      </c>
      <c r="E3" s="409"/>
      <c r="F3" s="407"/>
      <c r="G3" s="408"/>
    </row>
    <row r="5" spans="1:13" x14ac:dyDescent="0.25">
      <c r="A5" s="12" t="s">
        <v>101</v>
      </c>
      <c r="B5" s="14" t="s">
        <v>118</v>
      </c>
      <c r="C5" s="14">
        <f>D3</f>
        <v>34</v>
      </c>
      <c r="D5" s="15"/>
    </row>
    <row r="6" spans="1:13" x14ac:dyDescent="0.25">
      <c r="A6" s="12" t="s">
        <v>102</v>
      </c>
      <c r="B6" s="16">
        <v>10</v>
      </c>
      <c r="C6" s="17">
        <v>10</v>
      </c>
      <c r="D6" s="18">
        <f t="shared" ref="D6:D12" si="0">((100/B6)*C6)/100</f>
        <v>1</v>
      </c>
    </row>
    <row r="7" spans="1:13" x14ac:dyDescent="0.25">
      <c r="A7" s="12" t="s">
        <v>103</v>
      </c>
      <c r="B7" s="16">
        <f>A3+B3+C3+D3</f>
        <v>35</v>
      </c>
      <c r="C7" s="17">
        <v>35</v>
      </c>
      <c r="D7" s="18">
        <f t="shared" si="0"/>
        <v>1</v>
      </c>
      <c r="F7" s="410" t="s">
        <v>119</v>
      </c>
      <c r="G7" s="410"/>
      <c r="H7" s="19" t="s">
        <v>120</v>
      </c>
      <c r="J7" s="20"/>
    </row>
    <row r="8" spans="1:13" x14ac:dyDescent="0.25">
      <c r="A8" s="12" t="s">
        <v>108</v>
      </c>
      <c r="B8" s="16">
        <f>C5</f>
        <v>34</v>
      </c>
      <c r="C8" s="17">
        <v>34</v>
      </c>
      <c r="D8" s="18">
        <f t="shared" si="0"/>
        <v>1</v>
      </c>
      <c r="F8" s="405" t="s">
        <v>121</v>
      </c>
      <c r="G8" s="405"/>
      <c r="H8" s="16" t="s">
        <v>122</v>
      </c>
    </row>
    <row r="9" spans="1:13" x14ac:dyDescent="0.25">
      <c r="A9" s="12" t="s">
        <v>110</v>
      </c>
      <c r="B9" s="16">
        <f>C5</f>
        <v>34</v>
      </c>
      <c r="C9" s="17">
        <v>34</v>
      </c>
      <c r="D9" s="18">
        <f t="shared" si="0"/>
        <v>1</v>
      </c>
      <c r="F9" s="405" t="s">
        <v>123</v>
      </c>
      <c r="G9" s="405"/>
      <c r="H9" s="16" t="s">
        <v>124</v>
      </c>
    </row>
    <row r="10" spans="1:13" x14ac:dyDescent="0.25">
      <c r="A10" s="12" t="s">
        <v>35</v>
      </c>
      <c r="B10" s="16">
        <f>C5</f>
        <v>34</v>
      </c>
      <c r="C10" s="17">
        <v>5</v>
      </c>
      <c r="D10" s="18">
        <f t="shared" si="0"/>
        <v>0.14705882352941177</v>
      </c>
      <c r="F10" s="405" t="s">
        <v>125</v>
      </c>
      <c r="G10" s="405"/>
      <c r="H10" s="16" t="s">
        <v>126</v>
      </c>
    </row>
    <row r="11" spans="1:13" x14ac:dyDescent="0.25">
      <c r="A11" s="21" t="s">
        <v>106</v>
      </c>
      <c r="B11" s="16">
        <f>C5</f>
        <v>34</v>
      </c>
      <c r="C11" s="17">
        <v>2</v>
      </c>
      <c r="D11" s="18">
        <f t="shared" si="0"/>
        <v>5.8823529411764712E-2</v>
      </c>
      <c r="F11" s="405" t="s">
        <v>127</v>
      </c>
      <c r="G11" s="405"/>
      <c r="H11" s="16" t="s">
        <v>128</v>
      </c>
    </row>
    <row r="12" spans="1:13" x14ac:dyDescent="0.25">
      <c r="A12" s="12" t="s">
        <v>36</v>
      </c>
      <c r="B12" s="16">
        <f>C5</f>
        <v>34</v>
      </c>
      <c r="C12" s="17">
        <v>0</v>
      </c>
      <c r="D12" s="18">
        <f t="shared" si="0"/>
        <v>0</v>
      </c>
      <c r="F12" s="405" t="s">
        <v>129</v>
      </c>
      <c r="G12" s="405"/>
      <c r="H12" s="16" t="s">
        <v>130</v>
      </c>
    </row>
    <row r="13" spans="1:13" ht="31.5" customHeight="1" x14ac:dyDescent="0.25">
      <c r="F13" s="405" t="s">
        <v>131</v>
      </c>
      <c r="G13" s="405"/>
      <c r="H13" s="16" t="s">
        <v>132</v>
      </c>
    </row>
    <row r="14" spans="1:13" hidden="1" x14ac:dyDescent="0.25">
      <c r="A14" s="11"/>
      <c r="B14" s="11" t="s">
        <v>107</v>
      </c>
      <c r="C14" s="11" t="s">
        <v>111</v>
      </c>
      <c r="G14" s="11" t="s">
        <v>102</v>
      </c>
      <c r="H14" s="11" t="s">
        <v>104</v>
      </c>
      <c r="I14" s="11" t="s">
        <v>105</v>
      </c>
      <c r="J14" s="11" t="s">
        <v>32</v>
      </c>
      <c r="K14" s="11" t="s">
        <v>35</v>
      </c>
      <c r="L14" s="11" t="s">
        <v>106</v>
      </c>
      <c r="M14" s="11" t="s">
        <v>36</v>
      </c>
    </row>
    <row r="15" spans="1:13" hidden="1" x14ac:dyDescent="0.25">
      <c r="A15" s="11" t="s">
        <v>30</v>
      </c>
      <c r="B15" s="11">
        <f>G15</f>
        <v>10</v>
      </c>
      <c r="C15" s="11">
        <f>G16</f>
        <v>30</v>
      </c>
      <c r="E15" s="406" t="s">
        <v>107</v>
      </c>
      <c r="F15" s="406"/>
      <c r="G15" s="22">
        <f>C6</f>
        <v>10</v>
      </c>
      <c r="H15" s="22">
        <f>40/B7*C7</f>
        <v>40</v>
      </c>
      <c r="I15" s="22">
        <f>15/B8*C8</f>
        <v>15</v>
      </c>
      <c r="J15" s="22">
        <f>10/B9*C9</f>
        <v>10</v>
      </c>
      <c r="K15" s="22">
        <f>10/B10*C10</f>
        <v>1.4705882352941178</v>
      </c>
      <c r="L15" s="22">
        <f>5/B11*C11</f>
        <v>0.29411764705882354</v>
      </c>
      <c r="M15" s="22">
        <f>5/B12*C12</f>
        <v>0</v>
      </c>
    </row>
    <row r="16" spans="1:13" hidden="1" x14ac:dyDescent="0.25">
      <c r="A16" s="11" t="s">
        <v>31</v>
      </c>
      <c r="B16" s="11">
        <f>H15</f>
        <v>40</v>
      </c>
      <c r="C16" s="11">
        <f>H16</f>
        <v>30</v>
      </c>
      <c r="E16" s="406" t="s">
        <v>109</v>
      </c>
      <c r="F16" s="406"/>
      <c r="G16" s="11">
        <f>G15+20</f>
        <v>30</v>
      </c>
      <c r="H16" s="11">
        <f>30/B7*C7</f>
        <v>30</v>
      </c>
      <c r="I16" s="11">
        <f>15/B8*C8</f>
        <v>15</v>
      </c>
      <c r="J16" s="11">
        <f>10/B9*C9</f>
        <v>10</v>
      </c>
      <c r="K16" s="11">
        <f>5/B10*C10</f>
        <v>0.73529411764705888</v>
      </c>
      <c r="L16" s="11">
        <f>5/B11*C11</f>
        <v>0.29411764705882354</v>
      </c>
      <c r="M16" s="11">
        <f>5/B12*C12</f>
        <v>0</v>
      </c>
    </row>
    <row r="17" spans="1:8" hidden="1" x14ac:dyDescent="0.25">
      <c r="A17" s="11" t="s">
        <v>105</v>
      </c>
      <c r="B17" s="11">
        <f>I15</f>
        <v>15</v>
      </c>
      <c r="C17" s="11">
        <f>I16</f>
        <v>15</v>
      </c>
    </row>
    <row r="18" spans="1:8" ht="29.25" hidden="1" customHeight="1" x14ac:dyDescent="0.25">
      <c r="A18" s="11" t="s">
        <v>32</v>
      </c>
      <c r="B18" s="11">
        <f>J15</f>
        <v>10</v>
      </c>
      <c r="C18" s="11">
        <f>J16</f>
        <v>10</v>
      </c>
    </row>
    <row r="19" spans="1:8" hidden="1" x14ac:dyDescent="0.25">
      <c r="A19" s="11" t="s">
        <v>35</v>
      </c>
      <c r="B19" s="11">
        <f>K15</f>
        <v>1.4705882352941178</v>
      </c>
      <c r="C19" s="11">
        <f>K16</f>
        <v>0.73529411764705888</v>
      </c>
    </row>
    <row r="20" spans="1:8" hidden="1" x14ac:dyDescent="0.25">
      <c r="A20" s="23" t="s">
        <v>106</v>
      </c>
      <c r="B20" s="11">
        <f>L15</f>
        <v>0.29411764705882354</v>
      </c>
      <c r="C20" s="11">
        <f>L16</f>
        <v>0.29411764705882354</v>
      </c>
    </row>
    <row r="21" spans="1:8" hidden="1" x14ac:dyDescent="0.25">
      <c r="A21" s="11" t="s">
        <v>36</v>
      </c>
      <c r="B21" s="11">
        <f>M15</f>
        <v>0</v>
      </c>
      <c r="C21" s="11">
        <f>M16</f>
        <v>0</v>
      </c>
    </row>
    <row r="22" spans="1:8" x14ac:dyDescent="0.25">
      <c r="A22" s="11" t="s">
        <v>112</v>
      </c>
      <c r="B22" s="24">
        <f>(B15+B16+B17+B18+B19+B20+B21)/100</f>
        <v>0.76764705882352946</v>
      </c>
      <c r="C22" s="24">
        <f>(C15+C16+C17+C18+C19+C20+C21)/100</f>
        <v>0.86029411764705888</v>
      </c>
      <c r="F22" s="405" t="s">
        <v>133</v>
      </c>
      <c r="G22" s="405"/>
      <c r="H22" s="16" t="s">
        <v>124</v>
      </c>
    </row>
    <row r="23" spans="1:8" x14ac:dyDescent="0.25">
      <c r="F23" s="405" t="s">
        <v>134</v>
      </c>
      <c r="G23" s="405"/>
      <c r="H23" s="16" t="s">
        <v>135</v>
      </c>
    </row>
    <row r="24" spans="1:8" x14ac:dyDescent="0.25">
      <c r="A24" s="12" t="s">
        <v>136</v>
      </c>
      <c r="B24" s="25">
        <v>0.01</v>
      </c>
      <c r="C24" s="25">
        <v>0.02</v>
      </c>
      <c r="F24" s="405" t="s">
        <v>137</v>
      </c>
      <c r="G24" s="405"/>
      <c r="H24" s="16" t="s">
        <v>138</v>
      </c>
    </row>
    <row r="25" spans="1:8" x14ac:dyDescent="0.25">
      <c r="A25" s="12" t="s">
        <v>139</v>
      </c>
      <c r="B25" s="25">
        <v>0.01</v>
      </c>
      <c r="C25" s="25">
        <v>0.03</v>
      </c>
    </row>
    <row r="26" spans="1:8" x14ac:dyDescent="0.25">
      <c r="A26" s="12" t="s">
        <v>140</v>
      </c>
      <c r="B26" s="25">
        <v>0.03</v>
      </c>
      <c r="C26" s="25">
        <v>0.08</v>
      </c>
    </row>
    <row r="27" spans="1:8" x14ac:dyDescent="0.25">
      <c r="A27" s="12" t="s">
        <v>141</v>
      </c>
      <c r="B27" s="25">
        <v>0.05</v>
      </c>
      <c r="C27" s="25">
        <v>0.15</v>
      </c>
    </row>
    <row r="28" spans="1:8" x14ac:dyDescent="0.25">
      <c r="A28" s="12" t="s">
        <v>142</v>
      </c>
      <c r="B28" s="25">
        <v>7.0000000000000007E-2</v>
      </c>
      <c r="C28" s="25">
        <v>0.2</v>
      </c>
    </row>
    <row r="29" spans="1:8" x14ac:dyDescent="0.25">
      <c r="A29" s="12" t="s">
        <v>143</v>
      </c>
      <c r="B29" s="25">
        <v>0.1</v>
      </c>
      <c r="C29" s="25">
        <v>0.3</v>
      </c>
    </row>
  </sheetData>
  <mergeCells count="15">
    <mergeCell ref="F10:G10"/>
    <mergeCell ref="F2:G3"/>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C7" sqref="C7"/>
    </sheetView>
  </sheetViews>
  <sheetFormatPr defaultColWidth="9.21875" defaultRowHeight="13.8" x14ac:dyDescent="0.25"/>
  <cols>
    <col min="1" max="1" width="20.5546875" style="12" customWidth="1"/>
    <col min="2" max="2" width="11.5546875" style="12" customWidth="1"/>
    <col min="3" max="4" width="9.21875" style="12"/>
    <col min="5" max="5" width="10.21875" style="12" customWidth="1"/>
    <col min="6" max="6" width="10.5546875" style="12" customWidth="1"/>
    <col min="7" max="7" width="9.21875" style="12"/>
    <col min="8" max="8" width="10.44140625" style="12" customWidth="1"/>
    <col min="9" max="9" width="15.44140625" style="12" customWidth="1"/>
    <col min="10" max="16384" width="9.21875" style="12"/>
  </cols>
  <sheetData>
    <row r="2" spans="1:13" x14ac:dyDescent="0.25">
      <c r="A2" s="11" t="s">
        <v>114</v>
      </c>
      <c r="B2" s="11" t="s">
        <v>115</v>
      </c>
      <c r="C2" s="11" t="s">
        <v>116</v>
      </c>
      <c r="D2" s="406" t="s">
        <v>117</v>
      </c>
      <c r="E2" s="406"/>
    </row>
    <row r="3" spans="1:13" x14ac:dyDescent="0.25">
      <c r="A3" s="13">
        <v>0</v>
      </c>
      <c r="B3" s="13">
        <v>0</v>
      </c>
      <c r="C3" s="13">
        <v>1</v>
      </c>
      <c r="D3" s="409">
        <v>51</v>
      </c>
      <c r="E3" s="409"/>
    </row>
    <row r="5" spans="1:13" x14ac:dyDescent="0.25">
      <c r="A5" s="12" t="s">
        <v>101</v>
      </c>
      <c r="B5" s="14" t="s">
        <v>118</v>
      </c>
      <c r="C5" s="14">
        <f>D3</f>
        <v>51</v>
      </c>
      <c r="D5" s="15"/>
    </row>
    <row r="6" spans="1:13" x14ac:dyDescent="0.25">
      <c r="A6" s="12" t="s">
        <v>102</v>
      </c>
      <c r="B6" s="16">
        <v>10</v>
      </c>
      <c r="C6" s="17">
        <v>10</v>
      </c>
      <c r="D6" s="18">
        <f>((100/B6)*C6)/100</f>
        <v>1</v>
      </c>
    </row>
    <row r="7" spans="1:13" x14ac:dyDescent="0.25">
      <c r="A7" s="12" t="s">
        <v>103</v>
      </c>
      <c r="B7" s="16">
        <f>A3+B3+C3+D3</f>
        <v>52</v>
      </c>
      <c r="C7" s="17">
        <v>27</v>
      </c>
      <c r="D7" s="18">
        <f t="shared" ref="D7:D12" si="0">((100/B7)*C7)/100</f>
        <v>0.51923076923076927</v>
      </c>
      <c r="F7" s="410" t="s">
        <v>119</v>
      </c>
      <c r="G7" s="410"/>
      <c r="H7" s="19" t="s">
        <v>120</v>
      </c>
      <c r="J7" s="20"/>
    </row>
    <row r="8" spans="1:13" x14ac:dyDescent="0.25">
      <c r="A8" s="12" t="s">
        <v>108</v>
      </c>
      <c r="B8" s="16">
        <f>C5</f>
        <v>51</v>
      </c>
      <c r="C8" s="17">
        <v>25</v>
      </c>
      <c r="D8" s="18">
        <f t="shared" si="0"/>
        <v>0.49019607843137253</v>
      </c>
      <c r="F8" s="405" t="s">
        <v>121</v>
      </c>
      <c r="G8" s="405"/>
      <c r="H8" s="16" t="s">
        <v>122</v>
      </c>
    </row>
    <row r="9" spans="1:13" x14ac:dyDescent="0.25">
      <c r="A9" s="12" t="s">
        <v>110</v>
      </c>
      <c r="B9" s="16">
        <f>C5</f>
        <v>51</v>
      </c>
      <c r="C9" s="17">
        <v>25</v>
      </c>
      <c r="D9" s="18">
        <f t="shared" si="0"/>
        <v>0.49019607843137253</v>
      </c>
      <c r="F9" s="405" t="s">
        <v>123</v>
      </c>
      <c r="G9" s="405"/>
      <c r="H9" s="16" t="s">
        <v>124</v>
      </c>
    </row>
    <row r="10" spans="1:13" x14ac:dyDescent="0.25">
      <c r="A10" s="12" t="s">
        <v>35</v>
      </c>
      <c r="B10" s="16">
        <f>C5</f>
        <v>51</v>
      </c>
      <c r="C10" s="17">
        <v>0</v>
      </c>
      <c r="D10" s="18">
        <f t="shared" si="0"/>
        <v>0</v>
      </c>
      <c r="F10" s="405" t="s">
        <v>125</v>
      </c>
      <c r="G10" s="405"/>
      <c r="H10" s="16" t="s">
        <v>126</v>
      </c>
    </row>
    <row r="11" spans="1:13" x14ac:dyDescent="0.25">
      <c r="A11" s="21" t="s">
        <v>106</v>
      </c>
      <c r="B11" s="16">
        <f>C5</f>
        <v>51</v>
      </c>
      <c r="C11" s="17">
        <v>0</v>
      </c>
      <c r="D11" s="18">
        <f t="shared" si="0"/>
        <v>0</v>
      </c>
      <c r="F11" s="405" t="s">
        <v>127</v>
      </c>
      <c r="G11" s="405"/>
      <c r="H11" s="16" t="s">
        <v>128</v>
      </c>
    </row>
    <row r="12" spans="1:13" x14ac:dyDescent="0.25">
      <c r="A12" s="12" t="s">
        <v>36</v>
      </c>
      <c r="B12" s="16">
        <f>C5</f>
        <v>51</v>
      </c>
      <c r="C12" s="17">
        <v>0</v>
      </c>
      <c r="D12" s="18">
        <f t="shared" si="0"/>
        <v>0</v>
      </c>
      <c r="F12" s="405" t="s">
        <v>129</v>
      </c>
      <c r="G12" s="405"/>
      <c r="H12" s="16" t="s">
        <v>130</v>
      </c>
    </row>
    <row r="13" spans="1:13" ht="31.5" customHeight="1" x14ac:dyDescent="0.25">
      <c r="F13" s="405" t="s">
        <v>131</v>
      </c>
      <c r="G13" s="405"/>
      <c r="H13" s="16" t="s">
        <v>132</v>
      </c>
    </row>
    <row r="14" spans="1:13" hidden="1" x14ac:dyDescent="0.25">
      <c r="A14" s="11"/>
      <c r="B14" s="11" t="s">
        <v>107</v>
      </c>
      <c r="C14" s="11" t="s">
        <v>111</v>
      </c>
      <c r="G14" s="11" t="s">
        <v>102</v>
      </c>
      <c r="H14" s="11" t="s">
        <v>104</v>
      </c>
      <c r="I14" s="11" t="s">
        <v>105</v>
      </c>
      <c r="J14" s="11" t="s">
        <v>32</v>
      </c>
      <c r="K14" s="11" t="s">
        <v>35</v>
      </c>
      <c r="L14" s="11" t="s">
        <v>106</v>
      </c>
      <c r="M14" s="11" t="s">
        <v>36</v>
      </c>
    </row>
    <row r="15" spans="1:13" hidden="1" x14ac:dyDescent="0.25">
      <c r="A15" s="11" t="s">
        <v>30</v>
      </c>
      <c r="B15" s="11">
        <f>G15</f>
        <v>10</v>
      </c>
      <c r="C15" s="11">
        <f>G16</f>
        <v>30</v>
      </c>
      <c r="E15" s="406" t="s">
        <v>107</v>
      </c>
      <c r="F15" s="406"/>
      <c r="G15" s="22">
        <f>C6</f>
        <v>10</v>
      </c>
      <c r="H15" s="22">
        <f>40/B7*C7</f>
        <v>20.76923076923077</v>
      </c>
      <c r="I15" s="22">
        <f>15/B8*C8</f>
        <v>7.3529411764705888</v>
      </c>
      <c r="J15" s="22">
        <f>10/B9*C9</f>
        <v>4.9019607843137258</v>
      </c>
      <c r="K15" s="22">
        <f>10/B10*C10</f>
        <v>0</v>
      </c>
      <c r="L15" s="22">
        <f>5/B11*C11</f>
        <v>0</v>
      </c>
      <c r="M15" s="22">
        <f>5/B12*C12</f>
        <v>0</v>
      </c>
    </row>
    <row r="16" spans="1:13" hidden="1" x14ac:dyDescent="0.25">
      <c r="A16" s="11" t="s">
        <v>31</v>
      </c>
      <c r="B16" s="11">
        <f>H15</f>
        <v>20.76923076923077</v>
      </c>
      <c r="C16" s="11">
        <f>H16</f>
        <v>15.576923076923075</v>
      </c>
      <c r="E16" s="406" t="s">
        <v>109</v>
      </c>
      <c r="F16" s="406"/>
      <c r="G16" s="11">
        <f>G15+20</f>
        <v>30</v>
      </c>
      <c r="H16" s="11">
        <f>30/B7*C7</f>
        <v>15.576923076923075</v>
      </c>
      <c r="I16" s="11">
        <f>15/B8*C8</f>
        <v>7.3529411764705888</v>
      </c>
      <c r="J16" s="11">
        <f>10/B9*C9</f>
        <v>4.9019607843137258</v>
      </c>
      <c r="K16" s="11">
        <f>5/B10*C10</f>
        <v>0</v>
      </c>
      <c r="L16" s="11">
        <f>5/B11*C11</f>
        <v>0</v>
      </c>
      <c r="M16" s="11">
        <f>5/B12*C12</f>
        <v>0</v>
      </c>
    </row>
    <row r="17" spans="1:8" hidden="1" x14ac:dyDescent="0.25">
      <c r="A17" s="11" t="s">
        <v>105</v>
      </c>
      <c r="B17" s="11">
        <f>I15</f>
        <v>7.3529411764705888</v>
      </c>
      <c r="C17" s="11">
        <f>I16</f>
        <v>7.3529411764705888</v>
      </c>
    </row>
    <row r="18" spans="1:8" ht="29.25" hidden="1" customHeight="1" x14ac:dyDescent="0.25">
      <c r="A18" s="11" t="s">
        <v>32</v>
      </c>
      <c r="B18" s="11">
        <f>J15</f>
        <v>4.9019607843137258</v>
      </c>
      <c r="C18" s="11">
        <f>J16</f>
        <v>4.9019607843137258</v>
      </c>
    </row>
    <row r="19" spans="1:8" hidden="1" x14ac:dyDescent="0.25">
      <c r="A19" s="11" t="s">
        <v>35</v>
      </c>
      <c r="B19" s="11">
        <f>K15</f>
        <v>0</v>
      </c>
      <c r="C19" s="11">
        <f>K16</f>
        <v>0</v>
      </c>
    </row>
    <row r="20" spans="1:8" hidden="1" x14ac:dyDescent="0.25">
      <c r="A20" s="23" t="s">
        <v>106</v>
      </c>
      <c r="B20" s="11">
        <f>L15</f>
        <v>0</v>
      </c>
      <c r="C20" s="11">
        <f>L16</f>
        <v>0</v>
      </c>
    </row>
    <row r="21" spans="1:8" hidden="1" x14ac:dyDescent="0.25">
      <c r="A21" s="11" t="s">
        <v>36</v>
      </c>
      <c r="B21" s="11">
        <f>M15</f>
        <v>0</v>
      </c>
      <c r="C21" s="11">
        <f>M16</f>
        <v>0</v>
      </c>
    </row>
    <row r="22" spans="1:8" x14ac:dyDescent="0.25">
      <c r="A22" s="11" t="s">
        <v>112</v>
      </c>
      <c r="B22" s="24">
        <f>(B15+B16+B17+B18+B19+B20+B21)/100</f>
        <v>0.43024132730015086</v>
      </c>
      <c r="C22" s="24">
        <f>(C15+C16+C17+C18+C19+C20+C21)/100</f>
        <v>0.57831825037707385</v>
      </c>
      <c r="F22" s="405" t="s">
        <v>133</v>
      </c>
      <c r="G22" s="405"/>
      <c r="H22" s="16" t="s">
        <v>124</v>
      </c>
    </row>
    <row r="23" spans="1:8" x14ac:dyDescent="0.25">
      <c r="F23" s="405" t="s">
        <v>134</v>
      </c>
      <c r="G23" s="405"/>
      <c r="H23" s="16" t="s">
        <v>135</v>
      </c>
    </row>
    <row r="24" spans="1:8" x14ac:dyDescent="0.25">
      <c r="A24" s="12" t="s">
        <v>136</v>
      </c>
      <c r="B24" s="25">
        <v>0.01</v>
      </c>
      <c r="C24" s="25">
        <v>0.02</v>
      </c>
      <c r="F24" s="405" t="s">
        <v>137</v>
      </c>
      <c r="G24" s="405"/>
      <c r="H24" s="16" t="s">
        <v>138</v>
      </c>
    </row>
    <row r="25" spans="1:8" x14ac:dyDescent="0.25">
      <c r="A25" s="12" t="s">
        <v>139</v>
      </c>
      <c r="B25" s="25">
        <v>0.01</v>
      </c>
      <c r="C25" s="25">
        <v>0.03</v>
      </c>
    </row>
    <row r="26" spans="1:8" x14ac:dyDescent="0.25">
      <c r="A26" s="12" t="s">
        <v>140</v>
      </c>
      <c r="B26" s="25">
        <v>0.03</v>
      </c>
      <c r="C26" s="25">
        <v>0.08</v>
      </c>
    </row>
    <row r="27" spans="1:8" x14ac:dyDescent="0.25">
      <c r="A27" s="12" t="s">
        <v>141</v>
      </c>
      <c r="B27" s="25">
        <v>0.05</v>
      </c>
      <c r="C27" s="25">
        <v>0.15</v>
      </c>
    </row>
    <row r="28" spans="1:8" x14ac:dyDescent="0.25">
      <c r="A28" s="12" t="s">
        <v>142</v>
      </c>
      <c r="B28" s="25">
        <v>7.0000000000000007E-2</v>
      </c>
      <c r="C28" s="25">
        <v>0.2</v>
      </c>
    </row>
    <row r="29" spans="1:8" x14ac:dyDescent="0.25">
      <c r="A29" s="12" t="s">
        <v>143</v>
      </c>
      <c r="B29" s="25">
        <v>0.1</v>
      </c>
      <c r="C29" s="25">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M34"/>
  <sheetViews>
    <sheetView workbookViewId="0">
      <selection activeCell="O5" sqref="O5"/>
    </sheetView>
  </sheetViews>
  <sheetFormatPr defaultRowHeight="14.4" x14ac:dyDescent="0.3"/>
  <sheetData>
    <row r="2" spans="2:13" x14ac:dyDescent="0.3">
      <c r="C2" s="7" t="s">
        <v>88</v>
      </c>
      <c r="D2" s="411"/>
      <c r="E2" s="411"/>
    </row>
    <row r="3" spans="2:13" x14ac:dyDescent="0.3">
      <c r="E3" s="6"/>
      <c r="F3" s="6"/>
      <c r="G3" s="6"/>
      <c r="H3" s="6"/>
      <c r="I3" s="6"/>
      <c r="J3" s="6"/>
    </row>
    <row r="4" spans="2:13" x14ac:dyDescent="0.3">
      <c r="B4" s="7" t="s">
        <v>89</v>
      </c>
      <c r="C4" s="5" t="s">
        <v>69</v>
      </c>
      <c r="D4" s="412" t="s">
        <v>70</v>
      </c>
      <c r="E4" s="412"/>
      <c r="F4" s="412"/>
      <c r="G4" s="8"/>
      <c r="H4" s="412" t="s">
        <v>71</v>
      </c>
      <c r="I4" s="412"/>
      <c r="J4" s="412"/>
      <c r="K4" s="412" t="s">
        <v>72</v>
      </c>
      <c r="L4" s="412"/>
      <c r="M4" s="412"/>
    </row>
    <row r="5" spans="2:13" x14ac:dyDescent="0.3">
      <c r="B5" s="7">
        <v>1</v>
      </c>
      <c r="C5" s="5"/>
      <c r="D5" s="5" t="s">
        <v>73</v>
      </c>
      <c r="E5" s="5" t="s">
        <v>74</v>
      </c>
      <c r="F5" s="5" t="s">
        <v>75</v>
      </c>
      <c r="G5" s="5"/>
      <c r="H5" s="5" t="s">
        <v>73</v>
      </c>
      <c r="I5" s="5" t="s">
        <v>74</v>
      </c>
      <c r="J5" s="5" t="s">
        <v>75</v>
      </c>
      <c r="K5" s="5" t="s">
        <v>73</v>
      </c>
      <c r="L5" s="5" t="s">
        <v>74</v>
      </c>
      <c r="M5" s="5" t="s">
        <v>75</v>
      </c>
    </row>
    <row r="6" spans="2:13" x14ac:dyDescent="0.3">
      <c r="C6" s="4" t="s">
        <v>76</v>
      </c>
      <c r="D6" s="4"/>
      <c r="E6" s="4"/>
      <c r="F6" s="4">
        <f>D6*E6</f>
        <v>0</v>
      </c>
      <c r="G6" s="4" t="s">
        <v>90</v>
      </c>
      <c r="H6" s="4"/>
      <c r="I6" s="4"/>
      <c r="J6" s="4">
        <f>H6*I6</f>
        <v>0</v>
      </c>
      <c r="K6" s="4"/>
      <c r="L6" s="4"/>
      <c r="M6" s="4">
        <f>K6*L6</f>
        <v>0</v>
      </c>
    </row>
    <row r="7" spans="2:13" x14ac:dyDescent="0.3">
      <c r="C7" s="4"/>
      <c r="D7" s="4"/>
      <c r="E7" s="4"/>
      <c r="F7" s="4">
        <f t="shared" ref="F7:F33" si="0">D7*E7</f>
        <v>0</v>
      </c>
      <c r="G7" s="4" t="s">
        <v>91</v>
      </c>
      <c r="H7" s="4"/>
      <c r="I7" s="4"/>
      <c r="J7" s="4">
        <f t="shared" ref="J7:J29" si="1">H7*I7</f>
        <v>0</v>
      </c>
      <c r="K7" s="4"/>
      <c r="L7" s="4"/>
      <c r="M7" s="4">
        <f t="shared" ref="M7:M29" si="2">K7*L7</f>
        <v>0</v>
      </c>
    </row>
    <row r="8" spans="2:13" x14ac:dyDescent="0.3">
      <c r="C8" s="4"/>
      <c r="D8" s="4"/>
      <c r="E8" s="4"/>
      <c r="F8" s="4">
        <f t="shared" si="0"/>
        <v>0</v>
      </c>
      <c r="G8" s="4"/>
      <c r="H8" s="4"/>
      <c r="I8" s="4"/>
      <c r="J8" s="4">
        <f t="shared" si="1"/>
        <v>0</v>
      </c>
      <c r="K8" s="4"/>
      <c r="L8" s="4"/>
      <c r="M8" s="4">
        <f t="shared" si="2"/>
        <v>0</v>
      </c>
    </row>
    <row r="9" spans="2:13" x14ac:dyDescent="0.3">
      <c r="C9" s="4" t="s">
        <v>79</v>
      </c>
      <c r="D9" s="4"/>
      <c r="E9" s="4"/>
      <c r="F9" s="4">
        <f t="shared" si="0"/>
        <v>0</v>
      </c>
      <c r="G9" s="4" t="s">
        <v>90</v>
      </c>
      <c r="H9" s="4"/>
      <c r="I9" s="4"/>
      <c r="J9" s="4">
        <f t="shared" si="1"/>
        <v>0</v>
      </c>
      <c r="K9" s="4"/>
      <c r="L9" s="4"/>
      <c r="M9" s="4">
        <f t="shared" si="2"/>
        <v>0</v>
      </c>
    </row>
    <row r="10" spans="2:13" x14ac:dyDescent="0.3">
      <c r="C10" s="4"/>
      <c r="D10" s="4"/>
      <c r="E10" s="4"/>
      <c r="F10" s="4">
        <f t="shared" si="0"/>
        <v>0</v>
      </c>
      <c r="G10" s="4" t="s">
        <v>91</v>
      </c>
      <c r="H10" s="4"/>
      <c r="I10" s="4"/>
      <c r="J10" s="4">
        <f t="shared" si="1"/>
        <v>0</v>
      </c>
      <c r="K10" s="4"/>
      <c r="L10" s="4"/>
      <c r="M10" s="4">
        <f t="shared" si="2"/>
        <v>0</v>
      </c>
    </row>
    <row r="11" spans="2:13" x14ac:dyDescent="0.3">
      <c r="C11" s="4"/>
      <c r="D11" s="4"/>
      <c r="E11" s="4"/>
      <c r="F11" s="4">
        <f t="shared" si="0"/>
        <v>0</v>
      </c>
      <c r="G11" s="4"/>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t="s">
        <v>77</v>
      </c>
      <c r="D13" s="4"/>
      <c r="E13" s="4"/>
      <c r="F13" s="4">
        <f t="shared" si="0"/>
        <v>0</v>
      </c>
      <c r="G13" s="4" t="s">
        <v>90</v>
      </c>
      <c r="H13" s="4"/>
      <c r="I13" s="4"/>
      <c r="J13" s="4">
        <f t="shared" si="1"/>
        <v>0</v>
      </c>
      <c r="K13" s="4"/>
      <c r="L13" s="4"/>
      <c r="M13" s="4">
        <f t="shared" si="2"/>
        <v>0</v>
      </c>
    </row>
    <row r="14" spans="2:13" x14ac:dyDescent="0.3">
      <c r="C14" s="4"/>
      <c r="D14" s="4"/>
      <c r="E14" s="4"/>
      <c r="F14" s="4">
        <f t="shared" si="0"/>
        <v>0</v>
      </c>
      <c r="G14" s="4" t="s">
        <v>91</v>
      </c>
      <c r="H14" s="4"/>
      <c r="I14" s="4"/>
      <c r="J14" s="4">
        <f t="shared" si="1"/>
        <v>0</v>
      </c>
      <c r="K14" s="4"/>
      <c r="L14" s="4"/>
      <c r="M14" s="4">
        <f t="shared" si="2"/>
        <v>0</v>
      </c>
    </row>
    <row r="15" spans="2:13" x14ac:dyDescent="0.3">
      <c r="C15" s="4"/>
      <c r="D15" s="4"/>
      <c r="E15" s="4"/>
      <c r="F15" s="4">
        <f t="shared" si="0"/>
        <v>0</v>
      </c>
      <c r="G15" s="4"/>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t="s">
        <v>78</v>
      </c>
      <c r="D17" s="4"/>
      <c r="E17" s="4"/>
      <c r="F17" s="4">
        <f t="shared" si="0"/>
        <v>0</v>
      </c>
      <c r="G17" s="4" t="s">
        <v>90</v>
      </c>
      <c r="H17" s="4"/>
      <c r="I17" s="4"/>
      <c r="J17" s="4">
        <f t="shared" si="1"/>
        <v>0</v>
      </c>
      <c r="K17" s="4"/>
      <c r="L17" s="4"/>
      <c r="M17" s="4">
        <f t="shared" si="2"/>
        <v>0</v>
      </c>
    </row>
    <row r="18" spans="3:13" x14ac:dyDescent="0.3">
      <c r="C18" s="4"/>
      <c r="D18" s="4"/>
      <c r="E18" s="4"/>
      <c r="F18" s="4">
        <f t="shared" si="0"/>
        <v>0</v>
      </c>
      <c r="G18" s="4" t="s">
        <v>91</v>
      </c>
      <c r="H18" s="4"/>
      <c r="I18" s="4"/>
      <c r="J18" s="4">
        <f t="shared" si="1"/>
        <v>0</v>
      </c>
      <c r="K18" s="4"/>
      <c r="L18" s="4"/>
      <c r="M18" s="4">
        <f t="shared" si="2"/>
        <v>0</v>
      </c>
    </row>
    <row r="19" spans="3:13" x14ac:dyDescent="0.3">
      <c r="C19" s="4"/>
      <c r="D19" s="4"/>
      <c r="E19" s="4"/>
      <c r="F19" s="4">
        <f t="shared" si="0"/>
        <v>0</v>
      </c>
      <c r="G19" s="4"/>
      <c r="H19" s="4"/>
      <c r="I19" s="4"/>
      <c r="J19" s="4">
        <f t="shared" si="1"/>
        <v>0</v>
      </c>
      <c r="K19" s="4"/>
      <c r="L19" s="4"/>
      <c r="M19" s="4">
        <f t="shared" si="2"/>
        <v>0</v>
      </c>
    </row>
    <row r="20" spans="3:13" x14ac:dyDescent="0.3">
      <c r="C20" s="4" t="s">
        <v>78</v>
      </c>
      <c r="D20" s="4"/>
      <c r="E20" s="4"/>
      <c r="F20" s="4">
        <f t="shared" si="0"/>
        <v>0</v>
      </c>
      <c r="G20" s="4" t="s">
        <v>90</v>
      </c>
      <c r="H20" s="4"/>
      <c r="I20" s="4"/>
      <c r="J20" s="4">
        <f t="shared" si="1"/>
        <v>0</v>
      </c>
      <c r="K20" s="4"/>
      <c r="L20" s="4"/>
      <c r="M20" s="4">
        <f t="shared" si="2"/>
        <v>0</v>
      </c>
    </row>
    <row r="21" spans="3:13" x14ac:dyDescent="0.3">
      <c r="C21" s="4"/>
      <c r="D21" s="4"/>
      <c r="E21" s="4"/>
      <c r="F21" s="4">
        <f t="shared" si="0"/>
        <v>0</v>
      </c>
      <c r="G21" s="4" t="s">
        <v>91</v>
      </c>
      <c r="H21" s="4"/>
      <c r="I21" s="4"/>
      <c r="J21" s="4">
        <f t="shared" si="1"/>
        <v>0</v>
      </c>
      <c r="K21" s="4"/>
      <c r="L21" s="4"/>
      <c r="M21" s="4">
        <f t="shared" si="2"/>
        <v>0</v>
      </c>
    </row>
    <row r="22" spans="3:13" x14ac:dyDescent="0.3">
      <c r="C22" s="4"/>
      <c r="D22" s="4"/>
      <c r="E22" s="4"/>
      <c r="F22" s="4">
        <f t="shared" si="0"/>
        <v>0</v>
      </c>
      <c r="G22" s="4"/>
      <c r="H22" s="4"/>
      <c r="I22" s="4"/>
      <c r="J22" s="4">
        <f t="shared" si="1"/>
        <v>0</v>
      </c>
      <c r="K22" s="4"/>
      <c r="L22" s="4"/>
      <c r="M22" s="4">
        <f t="shared" si="2"/>
        <v>0</v>
      </c>
    </row>
    <row r="23" spans="3:13" x14ac:dyDescent="0.3">
      <c r="C23" s="4" t="s">
        <v>84</v>
      </c>
      <c r="D23" s="4"/>
      <c r="E23" s="4"/>
      <c r="F23" s="4">
        <f t="shared" si="0"/>
        <v>0</v>
      </c>
      <c r="G23" s="4" t="s">
        <v>92</v>
      </c>
      <c r="H23" s="4"/>
      <c r="I23" s="4"/>
      <c r="J23" s="4">
        <f t="shared" si="1"/>
        <v>0</v>
      </c>
      <c r="K23" s="4"/>
      <c r="L23" s="4"/>
      <c r="M23" s="4">
        <f t="shared" si="2"/>
        <v>0</v>
      </c>
    </row>
    <row r="24" spans="3:13" x14ac:dyDescent="0.3">
      <c r="C24" s="4" t="s">
        <v>85</v>
      </c>
      <c r="D24" s="4"/>
      <c r="E24" s="4"/>
      <c r="F24" s="4">
        <f t="shared" si="0"/>
        <v>0</v>
      </c>
      <c r="G24" s="4" t="s">
        <v>92</v>
      </c>
      <c r="H24" s="4"/>
      <c r="I24" s="4"/>
      <c r="J24" s="4">
        <f t="shared" si="1"/>
        <v>0</v>
      </c>
      <c r="K24" s="4"/>
      <c r="L24" s="4"/>
      <c r="M24" s="4">
        <f t="shared" si="2"/>
        <v>0</v>
      </c>
    </row>
    <row r="25" spans="3:13" x14ac:dyDescent="0.3">
      <c r="C25" s="4" t="s">
        <v>86</v>
      </c>
      <c r="D25" s="4"/>
      <c r="E25" s="4"/>
      <c r="F25" s="4">
        <f t="shared" si="0"/>
        <v>0</v>
      </c>
      <c r="G25" s="4" t="s">
        <v>92</v>
      </c>
      <c r="H25" s="4"/>
      <c r="I25" s="4"/>
      <c r="J25" s="4">
        <f t="shared" si="1"/>
        <v>0</v>
      </c>
      <c r="K25" s="4"/>
      <c r="L25" s="4"/>
      <c r="M25" s="4">
        <f t="shared" si="2"/>
        <v>0</v>
      </c>
    </row>
    <row r="26" spans="3:13" x14ac:dyDescent="0.3">
      <c r="C26" s="4"/>
      <c r="D26" s="4"/>
      <c r="E26" s="4"/>
      <c r="F26" s="4">
        <f t="shared" si="0"/>
        <v>0</v>
      </c>
      <c r="G26" s="4"/>
      <c r="H26" s="4"/>
      <c r="I26" s="4"/>
      <c r="J26" s="4">
        <f t="shared" si="1"/>
        <v>0</v>
      </c>
      <c r="K26" s="4"/>
      <c r="L26" s="4"/>
      <c r="M26" s="4">
        <f t="shared" si="2"/>
        <v>0</v>
      </c>
    </row>
    <row r="27" spans="3:13" x14ac:dyDescent="0.3">
      <c r="C27" s="4" t="s">
        <v>80</v>
      </c>
      <c r="D27" s="4"/>
      <c r="E27" s="4"/>
      <c r="F27" s="4">
        <f t="shared" si="0"/>
        <v>0</v>
      </c>
      <c r="G27" s="4"/>
      <c r="H27" s="4"/>
      <c r="I27" s="4"/>
      <c r="J27" s="4">
        <f t="shared" si="1"/>
        <v>0</v>
      </c>
      <c r="K27" s="4"/>
      <c r="L27" s="4"/>
      <c r="M27" s="4">
        <f t="shared" si="2"/>
        <v>0</v>
      </c>
    </row>
    <row r="28" spans="3:13" x14ac:dyDescent="0.3">
      <c r="C28" s="4" t="s">
        <v>81</v>
      </c>
      <c r="D28" s="4"/>
      <c r="E28" s="4"/>
      <c r="F28" s="4">
        <f t="shared" si="0"/>
        <v>0</v>
      </c>
      <c r="G28" s="4"/>
      <c r="H28" s="4"/>
      <c r="I28" s="4"/>
      <c r="J28" s="4">
        <f t="shared" si="1"/>
        <v>0</v>
      </c>
      <c r="K28" s="4"/>
      <c r="L28" s="4"/>
      <c r="M28" s="4">
        <f t="shared" si="2"/>
        <v>0</v>
      </c>
    </row>
    <row r="29" spans="3:13" x14ac:dyDescent="0.3">
      <c r="C29" s="4" t="s">
        <v>82</v>
      </c>
      <c r="D29" s="4"/>
      <c r="E29" s="4"/>
      <c r="F29" s="4">
        <f t="shared" si="0"/>
        <v>0</v>
      </c>
      <c r="G29" s="4"/>
      <c r="H29" s="4"/>
      <c r="I29" s="4"/>
      <c r="J29" s="4">
        <f t="shared" si="1"/>
        <v>0</v>
      </c>
      <c r="K29" s="4"/>
      <c r="L29" s="4"/>
      <c r="M29" s="4">
        <f t="shared" si="2"/>
        <v>0</v>
      </c>
    </row>
    <row r="30" spans="3:13" x14ac:dyDescent="0.3">
      <c r="C30" s="4" t="s">
        <v>83</v>
      </c>
      <c r="D30" s="4"/>
      <c r="E30" s="4"/>
      <c r="F30" s="4">
        <f t="shared" si="0"/>
        <v>0</v>
      </c>
      <c r="G30" s="4"/>
      <c r="H30" s="4"/>
      <c r="I30" s="4"/>
      <c r="J30" s="4">
        <f>H30*I30</f>
        <v>0</v>
      </c>
      <c r="K30" s="4"/>
      <c r="L30" s="4"/>
      <c r="M30" s="4">
        <f>K30*L30</f>
        <v>0</v>
      </c>
    </row>
    <row r="31" spans="3:13" x14ac:dyDescent="0.3">
      <c r="C31" s="4"/>
      <c r="D31" s="4"/>
      <c r="E31" s="4"/>
      <c r="F31" s="4">
        <f t="shared" si="0"/>
        <v>0</v>
      </c>
      <c r="G31" s="4"/>
      <c r="H31" s="4"/>
      <c r="I31" s="4"/>
      <c r="J31" s="4">
        <f>H31*I31</f>
        <v>0</v>
      </c>
      <c r="K31" s="4"/>
      <c r="L31" s="4"/>
      <c r="M31" s="4">
        <f>K31*L31</f>
        <v>0</v>
      </c>
    </row>
    <row r="32" spans="3:13" x14ac:dyDescent="0.3">
      <c r="C32" s="4"/>
      <c r="D32" s="4"/>
      <c r="E32" s="4"/>
      <c r="F32" s="4">
        <f t="shared" si="0"/>
        <v>0</v>
      </c>
      <c r="G32" s="4"/>
      <c r="H32" s="4"/>
      <c r="I32" s="4"/>
      <c r="J32" s="4">
        <f>H32*I32</f>
        <v>0</v>
      </c>
      <c r="K32" s="4"/>
      <c r="L32" s="4"/>
      <c r="M32" s="4">
        <f>K32*L32</f>
        <v>0</v>
      </c>
    </row>
    <row r="33" spans="3:13" x14ac:dyDescent="0.3">
      <c r="C33" s="4"/>
      <c r="D33" s="4"/>
      <c r="E33" s="4"/>
      <c r="F33" s="4">
        <f t="shared" si="0"/>
        <v>0</v>
      </c>
      <c r="G33" s="4"/>
      <c r="H33" s="4"/>
      <c r="I33" s="4"/>
      <c r="J33" s="4">
        <f>H33*I33</f>
        <v>0</v>
      </c>
      <c r="K33" s="4"/>
      <c r="L33" s="4"/>
      <c r="M33" s="4">
        <f>K33*L33</f>
        <v>0</v>
      </c>
    </row>
    <row r="34" spans="3:13" x14ac:dyDescent="0.3">
      <c r="C34" s="4" t="s">
        <v>87</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M35"/>
  <sheetViews>
    <sheetView workbookViewId="0">
      <selection activeCell="G7" sqref="G7:G8"/>
    </sheetView>
  </sheetViews>
  <sheetFormatPr defaultRowHeight="14.4" x14ac:dyDescent="0.3"/>
  <sheetData>
    <row r="3" spans="2:13" x14ac:dyDescent="0.3">
      <c r="C3" s="7" t="s">
        <v>88</v>
      </c>
      <c r="D3" s="411"/>
      <c r="E3" s="411"/>
    </row>
    <row r="4" spans="2:13" x14ac:dyDescent="0.3">
      <c r="E4" s="6"/>
      <c r="F4" s="6"/>
      <c r="G4" s="6"/>
      <c r="H4" s="6"/>
      <c r="I4" s="6"/>
      <c r="J4" s="6"/>
    </row>
    <row r="5" spans="2:13" x14ac:dyDescent="0.3">
      <c r="B5" s="7" t="s">
        <v>89</v>
      </c>
      <c r="C5" s="5" t="s">
        <v>69</v>
      </c>
      <c r="D5" s="412" t="s">
        <v>70</v>
      </c>
      <c r="E5" s="412"/>
      <c r="F5" s="412"/>
      <c r="G5" s="8"/>
      <c r="H5" s="412" t="s">
        <v>71</v>
      </c>
      <c r="I5" s="412"/>
      <c r="J5" s="412"/>
      <c r="K5" s="412" t="s">
        <v>72</v>
      </c>
      <c r="L5" s="412"/>
      <c r="M5" s="412"/>
    </row>
    <row r="6" spans="2:13" x14ac:dyDescent="0.3">
      <c r="B6" s="7">
        <v>1</v>
      </c>
      <c r="C6" s="5"/>
      <c r="D6" s="5" t="s">
        <v>73</v>
      </c>
      <c r="E6" s="5" t="s">
        <v>74</v>
      </c>
      <c r="F6" s="5" t="s">
        <v>75</v>
      </c>
      <c r="G6" s="5"/>
      <c r="H6" s="5" t="s">
        <v>73</v>
      </c>
      <c r="I6" s="5" t="s">
        <v>74</v>
      </c>
      <c r="J6" s="5" t="s">
        <v>75</v>
      </c>
      <c r="K6" s="5" t="s">
        <v>73</v>
      </c>
      <c r="L6" s="5" t="s">
        <v>74</v>
      </c>
      <c r="M6" s="5" t="s">
        <v>75</v>
      </c>
    </row>
    <row r="7" spans="2:13" x14ac:dyDescent="0.3">
      <c r="C7" s="4" t="s">
        <v>76</v>
      </c>
      <c r="D7" s="4"/>
      <c r="E7" s="4"/>
      <c r="F7" s="4">
        <f>D7*E7</f>
        <v>0</v>
      </c>
      <c r="G7" s="4" t="s">
        <v>90</v>
      </c>
      <c r="H7" s="4"/>
      <c r="I7" s="4"/>
      <c r="J7" s="4">
        <f>H7*I7</f>
        <v>0</v>
      </c>
      <c r="K7" s="4"/>
      <c r="L7" s="4"/>
      <c r="M7" s="4">
        <f>K7*L7</f>
        <v>0</v>
      </c>
    </row>
    <row r="8" spans="2:13" x14ac:dyDescent="0.3">
      <c r="C8" s="4"/>
      <c r="D8" s="4"/>
      <c r="E8" s="4"/>
      <c r="F8" s="4">
        <f t="shared" ref="F8:F34" si="0">D8*E8</f>
        <v>0</v>
      </c>
      <c r="G8" s="4" t="s">
        <v>91</v>
      </c>
      <c r="H8" s="4"/>
      <c r="I8" s="4"/>
      <c r="J8" s="4">
        <f t="shared" ref="J8:J34" si="1">H8*I8</f>
        <v>0</v>
      </c>
      <c r="K8" s="4"/>
      <c r="L8" s="4"/>
      <c r="M8" s="4">
        <f t="shared" ref="M8:M34" si="2">K8*L8</f>
        <v>0</v>
      </c>
    </row>
    <row r="9" spans="2:13" x14ac:dyDescent="0.3">
      <c r="C9" s="4"/>
      <c r="D9" s="4"/>
      <c r="E9" s="4"/>
      <c r="F9" s="4">
        <f t="shared" si="0"/>
        <v>0</v>
      </c>
      <c r="G9" s="4"/>
      <c r="H9" s="4"/>
      <c r="I9" s="4"/>
      <c r="J9" s="4">
        <f t="shared" si="1"/>
        <v>0</v>
      </c>
      <c r="K9" s="4"/>
      <c r="L9" s="4"/>
      <c r="M9" s="4">
        <f t="shared" si="2"/>
        <v>0</v>
      </c>
    </row>
    <row r="10" spans="2:13" x14ac:dyDescent="0.3">
      <c r="C10" s="4" t="s">
        <v>79</v>
      </c>
      <c r="D10" s="4"/>
      <c r="E10" s="4"/>
      <c r="F10" s="4">
        <f t="shared" si="0"/>
        <v>0</v>
      </c>
      <c r="G10" s="4" t="s">
        <v>90</v>
      </c>
      <c r="H10" s="4"/>
      <c r="I10" s="4"/>
      <c r="J10" s="4">
        <f t="shared" si="1"/>
        <v>0</v>
      </c>
      <c r="K10" s="4"/>
      <c r="L10" s="4"/>
      <c r="M10" s="4">
        <f t="shared" si="2"/>
        <v>0</v>
      </c>
    </row>
    <row r="11" spans="2:13" x14ac:dyDescent="0.3">
      <c r="C11" s="4"/>
      <c r="D11" s="4"/>
      <c r="E11" s="4"/>
      <c r="F11" s="4">
        <f t="shared" si="0"/>
        <v>0</v>
      </c>
      <c r="G11" s="4" t="s">
        <v>91</v>
      </c>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c r="D13" s="4"/>
      <c r="E13" s="4"/>
      <c r="F13" s="4">
        <f t="shared" si="0"/>
        <v>0</v>
      </c>
      <c r="G13" s="4"/>
      <c r="H13" s="4"/>
      <c r="I13" s="4"/>
      <c r="J13" s="4">
        <f t="shared" si="1"/>
        <v>0</v>
      </c>
      <c r="K13" s="4"/>
      <c r="L13" s="4"/>
      <c r="M13" s="4">
        <f t="shared" si="2"/>
        <v>0</v>
      </c>
    </row>
    <row r="14" spans="2:13" x14ac:dyDescent="0.3">
      <c r="C14" s="4" t="s">
        <v>77</v>
      </c>
      <c r="D14" s="4"/>
      <c r="E14" s="4"/>
      <c r="F14" s="4">
        <f t="shared" si="0"/>
        <v>0</v>
      </c>
      <c r="G14" s="4" t="s">
        <v>90</v>
      </c>
      <c r="H14" s="4"/>
      <c r="I14" s="4"/>
      <c r="J14" s="4">
        <f t="shared" si="1"/>
        <v>0</v>
      </c>
      <c r="K14" s="4"/>
      <c r="L14" s="4"/>
      <c r="M14" s="4">
        <f t="shared" si="2"/>
        <v>0</v>
      </c>
    </row>
    <row r="15" spans="2:13" x14ac:dyDescent="0.3">
      <c r="C15" s="4"/>
      <c r="D15" s="4"/>
      <c r="E15" s="4"/>
      <c r="F15" s="4">
        <f t="shared" si="0"/>
        <v>0</v>
      </c>
      <c r="G15" s="4" t="s">
        <v>91</v>
      </c>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c r="D17" s="4"/>
      <c r="E17" s="4"/>
      <c r="F17" s="4">
        <f t="shared" si="0"/>
        <v>0</v>
      </c>
      <c r="G17" s="4"/>
      <c r="H17" s="4"/>
      <c r="I17" s="4"/>
      <c r="J17" s="4">
        <f t="shared" si="1"/>
        <v>0</v>
      </c>
      <c r="K17" s="4"/>
      <c r="L17" s="4"/>
      <c r="M17" s="4">
        <f t="shared" si="2"/>
        <v>0</v>
      </c>
    </row>
    <row r="18" spans="3:13" x14ac:dyDescent="0.3">
      <c r="C18" s="4" t="s">
        <v>78</v>
      </c>
      <c r="D18" s="4"/>
      <c r="E18" s="4"/>
      <c r="F18" s="4">
        <f t="shared" si="0"/>
        <v>0</v>
      </c>
      <c r="G18" s="4" t="s">
        <v>90</v>
      </c>
      <c r="H18" s="4"/>
      <c r="I18" s="4"/>
      <c r="J18" s="4">
        <f t="shared" si="1"/>
        <v>0</v>
      </c>
      <c r="K18" s="4"/>
      <c r="L18" s="4"/>
      <c r="M18" s="4">
        <f t="shared" si="2"/>
        <v>0</v>
      </c>
    </row>
    <row r="19" spans="3:13" x14ac:dyDescent="0.3">
      <c r="C19" s="4"/>
      <c r="D19" s="4"/>
      <c r="E19" s="4"/>
      <c r="F19" s="4">
        <f t="shared" si="0"/>
        <v>0</v>
      </c>
      <c r="G19" s="4" t="s">
        <v>91</v>
      </c>
      <c r="H19" s="4"/>
      <c r="I19" s="4"/>
      <c r="J19" s="4">
        <f t="shared" si="1"/>
        <v>0</v>
      </c>
      <c r="K19" s="4"/>
      <c r="L19" s="4"/>
      <c r="M19" s="4">
        <f t="shared" si="2"/>
        <v>0</v>
      </c>
    </row>
    <row r="20" spans="3:13" x14ac:dyDescent="0.3">
      <c r="C20" s="4"/>
      <c r="D20" s="4"/>
      <c r="E20" s="4"/>
      <c r="F20" s="4">
        <f t="shared" si="0"/>
        <v>0</v>
      </c>
      <c r="G20" s="4"/>
      <c r="H20" s="4"/>
      <c r="I20" s="4"/>
      <c r="J20" s="4">
        <f t="shared" si="1"/>
        <v>0</v>
      </c>
      <c r="K20" s="4"/>
      <c r="L20" s="4"/>
      <c r="M20" s="4">
        <f t="shared" si="2"/>
        <v>0</v>
      </c>
    </row>
    <row r="21" spans="3:13" x14ac:dyDescent="0.3">
      <c r="C21" s="4" t="s">
        <v>78</v>
      </c>
      <c r="D21" s="4"/>
      <c r="E21" s="4"/>
      <c r="F21" s="4">
        <f t="shared" si="0"/>
        <v>0</v>
      </c>
      <c r="G21" s="4" t="s">
        <v>90</v>
      </c>
      <c r="H21" s="4"/>
      <c r="I21" s="4"/>
      <c r="J21" s="4">
        <f t="shared" si="1"/>
        <v>0</v>
      </c>
      <c r="K21" s="4"/>
      <c r="L21" s="4"/>
      <c r="M21" s="4">
        <f t="shared" si="2"/>
        <v>0</v>
      </c>
    </row>
    <row r="22" spans="3:13" x14ac:dyDescent="0.3">
      <c r="C22" s="4"/>
      <c r="D22" s="4"/>
      <c r="E22" s="4"/>
      <c r="F22" s="4">
        <f t="shared" si="0"/>
        <v>0</v>
      </c>
      <c r="G22" s="4" t="s">
        <v>91</v>
      </c>
      <c r="H22" s="4"/>
      <c r="I22" s="4"/>
      <c r="J22" s="4">
        <f t="shared" si="1"/>
        <v>0</v>
      </c>
      <c r="K22" s="4"/>
      <c r="L22" s="4"/>
      <c r="M22" s="4">
        <f t="shared" si="2"/>
        <v>0</v>
      </c>
    </row>
    <row r="23" spans="3:13" x14ac:dyDescent="0.3">
      <c r="C23" s="4"/>
      <c r="D23" s="4"/>
      <c r="E23" s="4"/>
      <c r="F23" s="4">
        <f t="shared" si="0"/>
        <v>0</v>
      </c>
      <c r="G23" s="4"/>
      <c r="H23" s="4"/>
      <c r="I23" s="4"/>
      <c r="J23" s="4">
        <f t="shared" si="1"/>
        <v>0</v>
      </c>
      <c r="K23" s="4"/>
      <c r="L23" s="4"/>
      <c r="M23" s="4">
        <f t="shared" si="2"/>
        <v>0</v>
      </c>
    </row>
    <row r="24" spans="3:13" x14ac:dyDescent="0.3">
      <c r="C24" s="4" t="s">
        <v>84</v>
      </c>
      <c r="D24" s="4"/>
      <c r="E24" s="4"/>
      <c r="F24" s="4">
        <f t="shared" si="0"/>
        <v>0</v>
      </c>
      <c r="G24" s="4" t="s">
        <v>92</v>
      </c>
      <c r="H24" s="4"/>
      <c r="I24" s="4"/>
      <c r="J24" s="4">
        <f t="shared" si="1"/>
        <v>0</v>
      </c>
      <c r="K24" s="4"/>
      <c r="L24" s="4"/>
      <c r="M24" s="4">
        <f t="shared" si="2"/>
        <v>0</v>
      </c>
    </row>
    <row r="25" spans="3:13" x14ac:dyDescent="0.3">
      <c r="C25" s="4" t="s">
        <v>85</v>
      </c>
      <c r="D25" s="4"/>
      <c r="E25" s="4"/>
      <c r="F25" s="4">
        <f t="shared" si="0"/>
        <v>0</v>
      </c>
      <c r="G25" s="4" t="s">
        <v>92</v>
      </c>
      <c r="H25" s="4"/>
      <c r="I25" s="4"/>
      <c r="J25" s="4">
        <f t="shared" si="1"/>
        <v>0</v>
      </c>
      <c r="K25" s="4"/>
      <c r="L25" s="4"/>
      <c r="M25" s="4">
        <f t="shared" si="2"/>
        <v>0</v>
      </c>
    </row>
    <row r="26" spans="3:13" x14ac:dyDescent="0.3">
      <c r="C26" s="4" t="s">
        <v>86</v>
      </c>
      <c r="D26" s="4"/>
      <c r="E26" s="4"/>
      <c r="F26" s="4">
        <f t="shared" si="0"/>
        <v>0</v>
      </c>
      <c r="G26" s="4" t="s">
        <v>92</v>
      </c>
      <c r="H26" s="4"/>
      <c r="I26" s="4"/>
      <c r="J26" s="4">
        <f t="shared" si="1"/>
        <v>0</v>
      </c>
      <c r="K26" s="4"/>
      <c r="L26" s="4"/>
      <c r="M26" s="4">
        <f t="shared" si="2"/>
        <v>0</v>
      </c>
    </row>
    <row r="27" spans="3:13" x14ac:dyDescent="0.3">
      <c r="C27" s="4"/>
      <c r="D27" s="4"/>
      <c r="E27" s="4"/>
      <c r="F27" s="4">
        <f t="shared" si="0"/>
        <v>0</v>
      </c>
      <c r="G27" s="4"/>
      <c r="H27" s="4"/>
      <c r="I27" s="4"/>
      <c r="J27" s="4">
        <f t="shared" si="1"/>
        <v>0</v>
      </c>
      <c r="K27" s="4"/>
      <c r="L27" s="4"/>
      <c r="M27" s="4">
        <f t="shared" si="2"/>
        <v>0</v>
      </c>
    </row>
    <row r="28" spans="3:13" x14ac:dyDescent="0.3">
      <c r="C28" s="4" t="s">
        <v>80</v>
      </c>
      <c r="D28" s="4"/>
      <c r="E28" s="4"/>
      <c r="F28" s="4">
        <f t="shared" si="0"/>
        <v>0</v>
      </c>
      <c r="G28" s="4"/>
      <c r="H28" s="4"/>
      <c r="I28" s="4"/>
      <c r="J28" s="4">
        <f t="shared" si="1"/>
        <v>0</v>
      </c>
      <c r="K28" s="4"/>
      <c r="L28" s="4"/>
      <c r="M28" s="4">
        <f t="shared" si="2"/>
        <v>0</v>
      </c>
    </row>
    <row r="29" spans="3:13" x14ac:dyDescent="0.3">
      <c r="C29" s="4" t="s">
        <v>81</v>
      </c>
      <c r="D29" s="4"/>
      <c r="E29" s="4"/>
      <c r="F29" s="4">
        <f t="shared" si="0"/>
        <v>0</v>
      </c>
      <c r="G29" s="4"/>
      <c r="H29" s="4"/>
      <c r="I29" s="4"/>
      <c r="J29" s="4">
        <f t="shared" si="1"/>
        <v>0</v>
      </c>
      <c r="K29" s="4"/>
      <c r="L29" s="4"/>
      <c r="M29" s="4">
        <f t="shared" si="2"/>
        <v>0</v>
      </c>
    </row>
    <row r="30" spans="3:13" x14ac:dyDescent="0.3">
      <c r="C30" s="4" t="s">
        <v>82</v>
      </c>
      <c r="D30" s="4"/>
      <c r="E30" s="4"/>
      <c r="F30" s="4">
        <f t="shared" si="0"/>
        <v>0</v>
      </c>
      <c r="G30" s="4"/>
      <c r="H30" s="4"/>
      <c r="I30" s="4"/>
      <c r="J30" s="4">
        <f t="shared" si="1"/>
        <v>0</v>
      </c>
      <c r="K30" s="4"/>
      <c r="L30" s="4"/>
      <c r="M30" s="4">
        <f t="shared" si="2"/>
        <v>0</v>
      </c>
    </row>
    <row r="31" spans="3:13" x14ac:dyDescent="0.3">
      <c r="C31" s="4" t="s">
        <v>83</v>
      </c>
      <c r="D31" s="4"/>
      <c r="E31" s="4"/>
      <c r="F31" s="4">
        <f t="shared" si="0"/>
        <v>0</v>
      </c>
      <c r="G31" s="4"/>
      <c r="H31" s="4"/>
      <c r="I31" s="4"/>
      <c r="J31" s="4">
        <f t="shared" si="1"/>
        <v>0</v>
      </c>
      <c r="K31" s="4"/>
      <c r="L31" s="4"/>
      <c r="M31" s="4">
        <f t="shared" si="2"/>
        <v>0</v>
      </c>
    </row>
    <row r="32" spans="3:13" x14ac:dyDescent="0.3">
      <c r="C32" s="4"/>
      <c r="D32" s="4"/>
      <c r="E32" s="4"/>
      <c r="F32" s="4">
        <f t="shared" si="0"/>
        <v>0</v>
      </c>
      <c r="G32" s="4"/>
      <c r="H32" s="4"/>
      <c r="I32" s="4"/>
      <c r="J32" s="4">
        <f t="shared" si="1"/>
        <v>0</v>
      </c>
      <c r="K32" s="4"/>
      <c r="L32" s="4"/>
      <c r="M32" s="4">
        <f t="shared" si="2"/>
        <v>0</v>
      </c>
    </row>
    <row r="33" spans="3:13" x14ac:dyDescent="0.3">
      <c r="C33" s="4"/>
      <c r="D33" s="4"/>
      <c r="E33" s="4"/>
      <c r="F33" s="4">
        <f t="shared" si="0"/>
        <v>0</v>
      </c>
      <c r="G33" s="4"/>
      <c r="H33" s="4"/>
      <c r="I33" s="4"/>
      <c r="J33" s="4">
        <f t="shared" si="1"/>
        <v>0</v>
      </c>
      <c r="K33" s="4"/>
      <c r="L33" s="4"/>
      <c r="M33" s="4">
        <f t="shared" si="2"/>
        <v>0</v>
      </c>
    </row>
    <row r="34" spans="3:13" x14ac:dyDescent="0.3">
      <c r="C34" s="4"/>
      <c r="D34" s="4"/>
      <c r="E34" s="4"/>
      <c r="F34" s="4">
        <f t="shared" si="0"/>
        <v>0</v>
      </c>
      <c r="G34" s="4"/>
      <c r="H34" s="4"/>
      <c r="I34" s="4"/>
      <c r="J34" s="4">
        <f t="shared" si="1"/>
        <v>0</v>
      </c>
      <c r="K34" s="4"/>
      <c r="L34" s="4"/>
      <c r="M34" s="4">
        <f t="shared" si="2"/>
        <v>0</v>
      </c>
    </row>
    <row r="35" spans="3:13" x14ac:dyDescent="0.3">
      <c r="C35" s="4" t="s">
        <v>87</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N35"/>
  <sheetViews>
    <sheetView workbookViewId="0">
      <selection activeCell="H7" sqref="H7:H8"/>
    </sheetView>
  </sheetViews>
  <sheetFormatPr defaultRowHeight="14.4" x14ac:dyDescent="0.3"/>
  <sheetData>
    <row r="3" spans="3:14" x14ac:dyDescent="0.3">
      <c r="D3" s="7" t="s">
        <v>88</v>
      </c>
      <c r="E3" s="411"/>
      <c r="F3" s="411"/>
    </row>
    <row r="4" spans="3:14" x14ac:dyDescent="0.3">
      <c r="F4" s="6"/>
      <c r="G4" s="6"/>
      <c r="H4" s="6"/>
      <c r="I4" s="6"/>
      <c r="J4" s="6"/>
      <c r="K4" s="6"/>
    </row>
    <row r="5" spans="3:14" x14ac:dyDescent="0.3">
      <c r="C5" s="7" t="s">
        <v>89</v>
      </c>
      <c r="D5" s="5" t="s">
        <v>69</v>
      </c>
      <c r="E5" s="412" t="s">
        <v>70</v>
      </c>
      <c r="F5" s="412"/>
      <c r="G5" s="412"/>
      <c r="H5" s="8"/>
      <c r="I5" s="412" t="s">
        <v>71</v>
      </c>
      <c r="J5" s="412"/>
      <c r="K5" s="412"/>
      <c r="L5" s="412" t="s">
        <v>72</v>
      </c>
      <c r="M5" s="412"/>
      <c r="N5" s="412"/>
    </row>
    <row r="6" spans="3:14" x14ac:dyDescent="0.3">
      <c r="C6" s="7">
        <v>1</v>
      </c>
      <c r="D6" s="5"/>
      <c r="E6" s="5" t="s">
        <v>73</v>
      </c>
      <c r="F6" s="5" t="s">
        <v>74</v>
      </c>
      <c r="G6" s="5" t="s">
        <v>75</v>
      </c>
      <c r="H6" s="5"/>
      <c r="I6" s="5" t="s">
        <v>73</v>
      </c>
      <c r="J6" s="5" t="s">
        <v>74</v>
      </c>
      <c r="K6" s="5" t="s">
        <v>75</v>
      </c>
      <c r="L6" s="5" t="s">
        <v>73</v>
      </c>
      <c r="M6" s="5" t="s">
        <v>74</v>
      </c>
      <c r="N6" s="5" t="s">
        <v>75</v>
      </c>
    </row>
    <row r="7" spans="3:14" x14ac:dyDescent="0.3">
      <c r="D7" s="4" t="s">
        <v>76</v>
      </c>
      <c r="E7" s="4"/>
      <c r="F7" s="4"/>
      <c r="G7" s="4">
        <f>E7*F7</f>
        <v>0</v>
      </c>
      <c r="H7" s="4" t="s">
        <v>90</v>
      </c>
      <c r="I7" s="4"/>
      <c r="J7" s="4"/>
      <c r="K7" s="4">
        <f>I7*J7</f>
        <v>0</v>
      </c>
      <c r="L7" s="4"/>
      <c r="M7" s="4"/>
      <c r="N7" s="4">
        <f>L7*M7</f>
        <v>0</v>
      </c>
    </row>
    <row r="8" spans="3:14" x14ac:dyDescent="0.3">
      <c r="D8" s="4"/>
      <c r="E8" s="4"/>
      <c r="F8" s="4"/>
      <c r="G8" s="4">
        <f t="shared" ref="G8:G34" si="0">E8*F8</f>
        <v>0</v>
      </c>
      <c r="H8" s="4" t="s">
        <v>91</v>
      </c>
      <c r="I8" s="4"/>
      <c r="J8" s="4"/>
      <c r="K8" s="4">
        <f t="shared" ref="K8:K34" si="1">I8*J8</f>
        <v>0</v>
      </c>
      <c r="L8" s="4"/>
      <c r="M8" s="4"/>
      <c r="N8" s="4">
        <f t="shared" ref="N8:N34" si="2">L8*M8</f>
        <v>0</v>
      </c>
    </row>
    <row r="9" spans="3:14" x14ac:dyDescent="0.3">
      <c r="D9" s="4"/>
      <c r="E9" s="4"/>
      <c r="F9" s="4"/>
      <c r="G9" s="4">
        <f t="shared" si="0"/>
        <v>0</v>
      </c>
      <c r="H9" s="4"/>
      <c r="I9" s="4"/>
      <c r="J9" s="4"/>
      <c r="K9" s="4">
        <f t="shared" si="1"/>
        <v>0</v>
      </c>
      <c r="L9" s="4"/>
      <c r="M9" s="4"/>
      <c r="N9" s="4">
        <f t="shared" si="2"/>
        <v>0</v>
      </c>
    </row>
    <row r="10" spans="3:14" x14ac:dyDescent="0.3">
      <c r="D10" s="4" t="s">
        <v>79</v>
      </c>
      <c r="E10" s="4"/>
      <c r="F10" s="4"/>
      <c r="G10" s="4">
        <f t="shared" si="0"/>
        <v>0</v>
      </c>
      <c r="H10" s="4" t="s">
        <v>90</v>
      </c>
      <c r="I10" s="4"/>
      <c r="J10" s="4"/>
      <c r="K10" s="4">
        <f t="shared" si="1"/>
        <v>0</v>
      </c>
      <c r="L10" s="4"/>
      <c r="M10" s="4"/>
      <c r="N10" s="4">
        <f t="shared" si="2"/>
        <v>0</v>
      </c>
    </row>
    <row r="11" spans="3:14" x14ac:dyDescent="0.3">
      <c r="D11" s="4"/>
      <c r="E11" s="4"/>
      <c r="F11" s="4"/>
      <c r="G11" s="4">
        <f t="shared" si="0"/>
        <v>0</v>
      </c>
      <c r="H11" s="4" t="s">
        <v>91</v>
      </c>
      <c r="I11" s="4"/>
      <c r="J11" s="4"/>
      <c r="K11" s="4">
        <f t="shared" si="1"/>
        <v>0</v>
      </c>
      <c r="L11" s="4"/>
      <c r="M11" s="4"/>
      <c r="N11" s="4">
        <f t="shared" si="2"/>
        <v>0</v>
      </c>
    </row>
    <row r="12" spans="3:14" x14ac:dyDescent="0.3">
      <c r="D12" s="4"/>
      <c r="E12" s="4"/>
      <c r="F12" s="4"/>
      <c r="G12" s="4">
        <f t="shared" si="0"/>
        <v>0</v>
      </c>
      <c r="H12" s="4"/>
      <c r="I12" s="4"/>
      <c r="J12" s="4"/>
      <c r="K12" s="4">
        <f t="shared" si="1"/>
        <v>0</v>
      </c>
      <c r="L12" s="4"/>
      <c r="M12" s="4"/>
      <c r="N12" s="4">
        <f t="shared" si="2"/>
        <v>0</v>
      </c>
    </row>
    <row r="13" spans="3:14" x14ac:dyDescent="0.3">
      <c r="D13" s="4"/>
      <c r="E13" s="4"/>
      <c r="F13" s="4"/>
      <c r="G13" s="4">
        <f t="shared" si="0"/>
        <v>0</v>
      </c>
      <c r="H13" s="4"/>
      <c r="I13" s="4"/>
      <c r="J13" s="4"/>
      <c r="K13" s="4">
        <f t="shared" si="1"/>
        <v>0</v>
      </c>
      <c r="L13" s="4"/>
      <c r="M13" s="4"/>
      <c r="N13" s="4">
        <f t="shared" si="2"/>
        <v>0</v>
      </c>
    </row>
    <row r="14" spans="3:14" x14ac:dyDescent="0.3">
      <c r="D14" s="4" t="s">
        <v>77</v>
      </c>
      <c r="E14" s="4"/>
      <c r="F14" s="4"/>
      <c r="G14" s="4">
        <f t="shared" si="0"/>
        <v>0</v>
      </c>
      <c r="H14" s="4" t="s">
        <v>90</v>
      </c>
      <c r="I14" s="4"/>
      <c r="J14" s="4"/>
      <c r="K14" s="4">
        <f t="shared" si="1"/>
        <v>0</v>
      </c>
      <c r="L14" s="4"/>
      <c r="M14" s="4"/>
      <c r="N14" s="4">
        <f t="shared" si="2"/>
        <v>0</v>
      </c>
    </row>
    <row r="15" spans="3:14" x14ac:dyDescent="0.3">
      <c r="D15" s="4"/>
      <c r="E15" s="4"/>
      <c r="F15" s="4"/>
      <c r="G15" s="4">
        <f t="shared" si="0"/>
        <v>0</v>
      </c>
      <c r="H15" s="4" t="s">
        <v>91</v>
      </c>
      <c r="I15" s="4"/>
      <c r="J15" s="4"/>
      <c r="K15" s="4">
        <f t="shared" si="1"/>
        <v>0</v>
      </c>
      <c r="L15" s="4"/>
      <c r="M15" s="4"/>
      <c r="N15" s="4">
        <f t="shared" si="2"/>
        <v>0</v>
      </c>
    </row>
    <row r="16" spans="3:14" x14ac:dyDescent="0.3">
      <c r="D16" s="4"/>
      <c r="E16" s="4"/>
      <c r="F16" s="4"/>
      <c r="G16" s="4">
        <f t="shared" si="0"/>
        <v>0</v>
      </c>
      <c r="H16" s="4"/>
      <c r="I16" s="4"/>
      <c r="J16" s="4"/>
      <c r="K16" s="4">
        <f t="shared" si="1"/>
        <v>0</v>
      </c>
      <c r="L16" s="4"/>
      <c r="M16" s="4"/>
      <c r="N16" s="4">
        <f t="shared" si="2"/>
        <v>0</v>
      </c>
    </row>
    <row r="17" spans="4:14" x14ac:dyDescent="0.3">
      <c r="D17" s="4"/>
      <c r="E17" s="4"/>
      <c r="F17" s="4"/>
      <c r="G17" s="4">
        <f t="shared" si="0"/>
        <v>0</v>
      </c>
      <c r="H17" s="4"/>
      <c r="I17" s="4"/>
      <c r="J17" s="4"/>
      <c r="K17" s="4">
        <f t="shared" si="1"/>
        <v>0</v>
      </c>
      <c r="L17" s="4"/>
      <c r="M17" s="4"/>
      <c r="N17" s="4">
        <f t="shared" si="2"/>
        <v>0</v>
      </c>
    </row>
    <row r="18" spans="4:14" x14ac:dyDescent="0.3">
      <c r="D18" s="4" t="s">
        <v>78</v>
      </c>
      <c r="E18" s="4"/>
      <c r="F18" s="4"/>
      <c r="G18" s="4">
        <f t="shared" si="0"/>
        <v>0</v>
      </c>
      <c r="H18" s="4" t="s">
        <v>90</v>
      </c>
      <c r="I18" s="4"/>
      <c r="J18" s="4"/>
      <c r="K18" s="4">
        <f t="shared" si="1"/>
        <v>0</v>
      </c>
      <c r="L18" s="4"/>
      <c r="M18" s="4"/>
      <c r="N18" s="4">
        <f t="shared" si="2"/>
        <v>0</v>
      </c>
    </row>
    <row r="19" spans="4:14" x14ac:dyDescent="0.3">
      <c r="D19" s="4"/>
      <c r="E19" s="4"/>
      <c r="F19" s="4"/>
      <c r="G19" s="4">
        <f t="shared" si="0"/>
        <v>0</v>
      </c>
      <c r="H19" s="4" t="s">
        <v>91</v>
      </c>
      <c r="I19" s="4"/>
      <c r="J19" s="4"/>
      <c r="K19" s="4">
        <f t="shared" si="1"/>
        <v>0</v>
      </c>
      <c r="L19" s="4"/>
      <c r="M19" s="4"/>
      <c r="N19" s="4">
        <f t="shared" si="2"/>
        <v>0</v>
      </c>
    </row>
    <row r="20" spans="4:14" x14ac:dyDescent="0.3">
      <c r="D20" s="4"/>
      <c r="E20" s="4"/>
      <c r="F20" s="4"/>
      <c r="G20" s="4">
        <f t="shared" si="0"/>
        <v>0</v>
      </c>
      <c r="H20" s="4"/>
      <c r="I20" s="4"/>
      <c r="J20" s="4"/>
      <c r="K20" s="4">
        <f t="shared" si="1"/>
        <v>0</v>
      </c>
      <c r="L20" s="4"/>
      <c r="M20" s="4"/>
      <c r="N20" s="4">
        <f t="shared" si="2"/>
        <v>0</v>
      </c>
    </row>
    <row r="21" spans="4:14" x14ac:dyDescent="0.3">
      <c r="D21" s="4" t="s">
        <v>78</v>
      </c>
      <c r="E21" s="4"/>
      <c r="F21" s="4"/>
      <c r="G21" s="4">
        <f t="shared" si="0"/>
        <v>0</v>
      </c>
      <c r="H21" s="4" t="s">
        <v>90</v>
      </c>
      <c r="I21" s="4"/>
      <c r="J21" s="4"/>
      <c r="K21" s="4">
        <f t="shared" si="1"/>
        <v>0</v>
      </c>
      <c r="L21" s="4"/>
      <c r="M21" s="4"/>
      <c r="N21" s="4">
        <f t="shared" si="2"/>
        <v>0</v>
      </c>
    </row>
    <row r="22" spans="4:14" x14ac:dyDescent="0.3">
      <c r="D22" s="4"/>
      <c r="E22" s="4"/>
      <c r="F22" s="4"/>
      <c r="G22" s="4">
        <f t="shared" si="0"/>
        <v>0</v>
      </c>
      <c r="H22" s="4" t="s">
        <v>91</v>
      </c>
      <c r="I22" s="4"/>
      <c r="J22" s="4"/>
      <c r="K22" s="4">
        <f t="shared" si="1"/>
        <v>0</v>
      </c>
      <c r="L22" s="4"/>
      <c r="M22" s="4"/>
      <c r="N22" s="4">
        <f t="shared" si="2"/>
        <v>0</v>
      </c>
    </row>
    <row r="23" spans="4:14" x14ac:dyDescent="0.3">
      <c r="D23" s="4"/>
      <c r="E23" s="4"/>
      <c r="F23" s="4"/>
      <c r="G23" s="4">
        <f t="shared" si="0"/>
        <v>0</v>
      </c>
      <c r="H23" s="4"/>
      <c r="I23" s="4"/>
      <c r="J23" s="4"/>
      <c r="K23" s="4">
        <f t="shared" si="1"/>
        <v>0</v>
      </c>
      <c r="L23" s="4"/>
      <c r="M23" s="4"/>
      <c r="N23" s="4">
        <f t="shared" si="2"/>
        <v>0</v>
      </c>
    </row>
    <row r="24" spans="4:14" x14ac:dyDescent="0.3">
      <c r="D24" s="4" t="s">
        <v>84</v>
      </c>
      <c r="E24" s="4"/>
      <c r="F24" s="4"/>
      <c r="G24" s="4">
        <f t="shared" si="0"/>
        <v>0</v>
      </c>
      <c r="H24" s="4" t="s">
        <v>92</v>
      </c>
      <c r="I24" s="4"/>
      <c r="J24" s="4"/>
      <c r="K24" s="4">
        <f t="shared" si="1"/>
        <v>0</v>
      </c>
      <c r="L24" s="4"/>
      <c r="M24" s="4"/>
      <c r="N24" s="4">
        <f t="shared" si="2"/>
        <v>0</v>
      </c>
    </row>
    <row r="25" spans="4:14" x14ac:dyDescent="0.3">
      <c r="D25" s="4" t="s">
        <v>85</v>
      </c>
      <c r="E25" s="4"/>
      <c r="F25" s="4"/>
      <c r="G25" s="4">
        <f t="shared" si="0"/>
        <v>0</v>
      </c>
      <c r="H25" s="4" t="s">
        <v>92</v>
      </c>
      <c r="I25" s="4"/>
      <c r="J25" s="4"/>
      <c r="K25" s="4">
        <f t="shared" si="1"/>
        <v>0</v>
      </c>
      <c r="L25" s="4"/>
      <c r="M25" s="4"/>
      <c r="N25" s="4">
        <f t="shared" si="2"/>
        <v>0</v>
      </c>
    </row>
    <row r="26" spans="4:14" x14ac:dyDescent="0.3">
      <c r="D26" s="4" t="s">
        <v>86</v>
      </c>
      <c r="E26" s="4"/>
      <c r="F26" s="4"/>
      <c r="G26" s="4">
        <f t="shared" si="0"/>
        <v>0</v>
      </c>
      <c r="H26" s="4" t="s">
        <v>92</v>
      </c>
      <c r="I26" s="4"/>
      <c r="J26" s="4"/>
      <c r="K26" s="4">
        <f t="shared" si="1"/>
        <v>0</v>
      </c>
      <c r="L26" s="4"/>
      <c r="M26" s="4"/>
      <c r="N26" s="4">
        <f t="shared" si="2"/>
        <v>0</v>
      </c>
    </row>
    <row r="27" spans="4:14" x14ac:dyDescent="0.3">
      <c r="D27" s="4"/>
      <c r="E27" s="4"/>
      <c r="F27" s="4"/>
      <c r="G27" s="4">
        <f t="shared" si="0"/>
        <v>0</v>
      </c>
      <c r="H27" s="4"/>
      <c r="I27" s="4"/>
      <c r="J27" s="4"/>
      <c r="K27" s="4">
        <f t="shared" si="1"/>
        <v>0</v>
      </c>
      <c r="L27" s="4"/>
      <c r="M27" s="4"/>
      <c r="N27" s="4">
        <f t="shared" si="2"/>
        <v>0</v>
      </c>
    </row>
    <row r="28" spans="4:14" x14ac:dyDescent="0.3">
      <c r="D28" s="4" t="s">
        <v>80</v>
      </c>
      <c r="E28" s="4"/>
      <c r="F28" s="4"/>
      <c r="G28" s="4">
        <f t="shared" si="0"/>
        <v>0</v>
      </c>
      <c r="H28" s="4"/>
      <c r="I28" s="4"/>
      <c r="J28" s="4"/>
      <c r="K28" s="4">
        <f t="shared" si="1"/>
        <v>0</v>
      </c>
      <c r="L28" s="4"/>
      <c r="M28" s="4"/>
      <c r="N28" s="4">
        <f t="shared" si="2"/>
        <v>0</v>
      </c>
    </row>
    <row r="29" spans="4:14" x14ac:dyDescent="0.3">
      <c r="D29" s="4" t="s">
        <v>81</v>
      </c>
      <c r="E29" s="4"/>
      <c r="F29" s="4"/>
      <c r="G29" s="4">
        <f t="shared" si="0"/>
        <v>0</v>
      </c>
      <c r="H29" s="4"/>
      <c r="I29" s="4"/>
      <c r="J29" s="4"/>
      <c r="K29" s="4">
        <f t="shared" si="1"/>
        <v>0</v>
      </c>
      <c r="L29" s="4"/>
      <c r="M29" s="4"/>
      <c r="N29" s="4">
        <f t="shared" si="2"/>
        <v>0</v>
      </c>
    </row>
    <row r="30" spans="4:14" x14ac:dyDescent="0.3">
      <c r="D30" s="4" t="s">
        <v>82</v>
      </c>
      <c r="E30" s="4"/>
      <c r="F30" s="4"/>
      <c r="G30" s="4">
        <f t="shared" si="0"/>
        <v>0</v>
      </c>
      <c r="H30" s="4"/>
      <c r="I30" s="4"/>
      <c r="J30" s="4"/>
      <c r="K30" s="4">
        <f t="shared" si="1"/>
        <v>0</v>
      </c>
      <c r="L30" s="4"/>
      <c r="M30" s="4"/>
      <c r="N30" s="4">
        <f t="shared" si="2"/>
        <v>0</v>
      </c>
    </row>
    <row r="31" spans="4:14" x14ac:dyDescent="0.3">
      <c r="D31" s="4" t="s">
        <v>83</v>
      </c>
      <c r="E31" s="4"/>
      <c r="F31" s="4"/>
      <c r="G31" s="4">
        <f t="shared" si="0"/>
        <v>0</v>
      </c>
      <c r="H31" s="4"/>
      <c r="I31" s="4"/>
      <c r="J31" s="4"/>
      <c r="K31" s="4">
        <f t="shared" si="1"/>
        <v>0</v>
      </c>
      <c r="L31" s="4"/>
      <c r="M31" s="4"/>
      <c r="N31" s="4">
        <f t="shared" si="2"/>
        <v>0</v>
      </c>
    </row>
    <row r="32" spans="4:14" x14ac:dyDescent="0.3">
      <c r="D32" s="4"/>
      <c r="E32" s="4"/>
      <c r="F32" s="4"/>
      <c r="G32" s="4">
        <f t="shared" si="0"/>
        <v>0</v>
      </c>
      <c r="H32" s="4"/>
      <c r="I32" s="4"/>
      <c r="J32" s="4"/>
      <c r="K32" s="4">
        <f t="shared" si="1"/>
        <v>0</v>
      </c>
      <c r="L32" s="4"/>
      <c r="M32" s="4"/>
      <c r="N32" s="4">
        <f t="shared" si="2"/>
        <v>0</v>
      </c>
    </row>
    <row r="33" spans="4:14" x14ac:dyDescent="0.3">
      <c r="D33" s="4"/>
      <c r="E33" s="4"/>
      <c r="F33" s="4"/>
      <c r="G33" s="4">
        <f t="shared" si="0"/>
        <v>0</v>
      </c>
      <c r="H33" s="4"/>
      <c r="I33" s="4"/>
      <c r="J33" s="4"/>
      <c r="K33" s="4">
        <f t="shared" si="1"/>
        <v>0</v>
      </c>
      <c r="L33" s="4"/>
      <c r="M33" s="4"/>
      <c r="N33" s="4">
        <f t="shared" si="2"/>
        <v>0</v>
      </c>
    </row>
    <row r="34" spans="4:14" x14ac:dyDescent="0.3">
      <c r="D34" s="4"/>
      <c r="E34" s="4"/>
      <c r="F34" s="4"/>
      <c r="G34" s="4">
        <f t="shared" si="0"/>
        <v>0</v>
      </c>
      <c r="H34" s="4"/>
      <c r="I34" s="4"/>
      <c r="J34" s="4"/>
      <c r="K34" s="4">
        <f t="shared" si="1"/>
        <v>0</v>
      </c>
      <c r="L34" s="4"/>
      <c r="M34" s="4"/>
      <c r="N34" s="4">
        <f t="shared" si="2"/>
        <v>0</v>
      </c>
    </row>
    <row r="35" spans="4:14" x14ac:dyDescent="0.3">
      <c r="D35" s="4" t="s">
        <v>87</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VALUATION</vt:lpstr>
      <vt:lpstr>NOte</vt:lpstr>
      <vt:lpstr>A</vt:lpstr>
      <vt:lpstr>B</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2025-08-16T13:22:59Z</cp:lastPrinted>
  <dcterms:created xsi:type="dcterms:W3CDTF">2013-11-23T05:32:33Z</dcterms:created>
  <dcterms:modified xsi:type="dcterms:W3CDTF">2025-08-16T13:24:00Z</dcterms:modified>
</cp:coreProperties>
</file>