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 codeName="ThisWorkbook"/>
  <mc:AlternateContent xmlns:mc="http://schemas.openxmlformats.org/markup-compatibility/2006">
    <mc:Choice Requires="x15">
      <x15ac:absPath xmlns:x15ac="http://schemas.microsoft.com/office/spreadsheetml/2010/11/ac" url="K:\VSJ Work\Aug 25\Axis Dump\"/>
    </mc:Choice>
  </mc:AlternateContent>
  <xr:revisionPtr revIDLastSave="0" documentId="13_ncr:1_{030A1E8F-3DCD-4F92-8BCD-1DB7218F3BE3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Report!$A$1:$H$322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128" i="1" l="1"/>
  <c r="G135" i="1"/>
  <c r="G132" i="1"/>
  <c r="G131" i="1"/>
  <c r="G130" i="1"/>
  <c r="G129" i="1"/>
  <c r="G128" i="1"/>
  <c r="E43" i="1"/>
  <c r="E162" i="1" l="1"/>
  <c r="D162" i="1"/>
  <c r="E161" i="1"/>
  <c r="D161" i="1"/>
  <c r="E160" i="1"/>
  <c r="D160" i="1"/>
  <c r="F160" i="1" s="1"/>
  <c r="H160" i="1" s="1"/>
  <c r="E159" i="1"/>
  <c r="D159" i="1"/>
  <c r="E158" i="1"/>
  <c r="D158" i="1"/>
  <c r="E157" i="1"/>
  <c r="D157" i="1"/>
  <c r="F157" i="1" s="1"/>
  <c r="H157" i="1" s="1"/>
  <c r="E156" i="1"/>
  <c r="D156" i="1"/>
  <c r="F156" i="1" s="1"/>
  <c r="H156" i="1" s="1"/>
  <c r="E155" i="1"/>
  <c r="D155" i="1"/>
  <c r="E153" i="1"/>
  <c r="D153" i="1"/>
  <c r="E152" i="1"/>
  <c r="D152" i="1"/>
  <c r="E151" i="1"/>
  <c r="D151" i="1"/>
  <c r="F151" i="1" s="1"/>
  <c r="H151" i="1" s="1"/>
  <c r="E150" i="1"/>
  <c r="D150" i="1"/>
  <c r="E149" i="1"/>
  <c r="D149" i="1"/>
  <c r="E148" i="1"/>
  <c r="D148" i="1"/>
  <c r="E147" i="1"/>
  <c r="D147" i="1"/>
  <c r="F147" i="1" s="1"/>
  <c r="H147" i="1" s="1"/>
  <c r="E146" i="1"/>
  <c r="D146" i="1"/>
  <c r="E144" i="1"/>
  <c r="D144" i="1"/>
  <c r="E143" i="1"/>
  <c r="D143" i="1"/>
  <c r="E142" i="1"/>
  <c r="D142" i="1"/>
  <c r="E141" i="1"/>
  <c r="D141" i="1"/>
  <c r="E140" i="1"/>
  <c r="D140" i="1"/>
  <c r="E139" i="1"/>
  <c r="D139" i="1"/>
  <c r="E138" i="1"/>
  <c r="D138" i="1"/>
  <c r="E137" i="1"/>
  <c r="D137" i="1"/>
  <c r="E135" i="1"/>
  <c r="D135" i="1"/>
  <c r="E134" i="1"/>
  <c r="D134" i="1"/>
  <c r="E133" i="1"/>
  <c r="D133" i="1"/>
  <c r="E132" i="1"/>
  <c r="D132" i="1"/>
  <c r="E131" i="1"/>
  <c r="D131" i="1"/>
  <c r="E130" i="1"/>
  <c r="D130" i="1"/>
  <c r="E129" i="1"/>
  <c r="D129" i="1"/>
  <c r="E128" i="1"/>
  <c r="D128" i="1"/>
  <c r="J137" i="1"/>
  <c r="J129" i="1"/>
  <c r="F149" i="1" l="1"/>
  <c r="H149" i="1" s="1"/>
  <c r="F153" i="1"/>
  <c r="H153" i="1" s="1"/>
  <c r="F155" i="1"/>
  <c r="H155" i="1" s="1"/>
  <c r="F148" i="1"/>
  <c r="H148" i="1" s="1"/>
  <c r="F152" i="1"/>
  <c r="H152" i="1" s="1"/>
  <c r="F161" i="1"/>
  <c r="H161" i="1" s="1"/>
  <c r="F146" i="1"/>
  <c r="H146" i="1" s="1"/>
  <c r="F162" i="1"/>
  <c r="H162" i="1" s="1"/>
  <c r="F158" i="1"/>
  <c r="H158" i="1" s="1"/>
  <c r="F150" i="1"/>
  <c r="H150" i="1" s="1"/>
  <c r="F159" i="1"/>
  <c r="H159" i="1" s="1"/>
  <c r="I110" i="1"/>
  <c r="I109" i="1"/>
  <c r="D120" i="1"/>
  <c r="D119" i="1"/>
  <c r="D116" i="1"/>
  <c r="D115" i="1"/>
  <c r="D114" i="1"/>
  <c r="D113" i="1"/>
  <c r="D110" i="1"/>
  <c r="D109" i="1"/>
  <c r="E172" i="1" l="1"/>
  <c r="D172" i="1"/>
  <c r="E171" i="1"/>
  <c r="D171" i="1"/>
  <c r="E170" i="1"/>
  <c r="D170" i="1"/>
  <c r="E169" i="1"/>
  <c r="D169" i="1"/>
  <c r="E168" i="1"/>
  <c r="D168" i="1"/>
  <c r="E167" i="1"/>
  <c r="D167" i="1"/>
  <c r="E166" i="1"/>
  <c r="D166" i="1"/>
  <c r="E164" i="1"/>
  <c r="D164" i="1"/>
  <c r="F143" i="1"/>
  <c r="H143" i="1" s="1"/>
  <c r="I129" i="1"/>
  <c r="I128" i="1"/>
  <c r="F138" i="1"/>
  <c r="H138" i="1" s="1"/>
  <c r="F120" i="1"/>
  <c r="H119" i="1"/>
  <c r="D118" i="1"/>
  <c r="F118" i="1" s="1"/>
  <c r="D117" i="1"/>
  <c r="H117" i="1" s="1"/>
  <c r="F116" i="1"/>
  <c r="H115" i="1"/>
  <c r="F114" i="1"/>
  <c r="H113" i="1"/>
  <c r="D112" i="1"/>
  <c r="D111" i="1"/>
  <c r="H120" i="1"/>
  <c r="H118" i="1"/>
  <c r="H116" i="1"/>
  <c r="H114" i="1"/>
  <c r="F168" i="1" l="1"/>
  <c r="H168" i="1" s="1"/>
  <c r="F134" i="1"/>
  <c r="H134" i="1" s="1"/>
  <c r="F172" i="1"/>
  <c r="H172" i="1" s="1"/>
  <c r="F132" i="1"/>
  <c r="H132" i="1" s="1"/>
  <c r="F133" i="1"/>
  <c r="H133" i="1" s="1"/>
  <c r="F135" i="1"/>
  <c r="H135" i="1" s="1"/>
  <c r="F137" i="1"/>
  <c r="H137" i="1" s="1"/>
  <c r="F141" i="1"/>
  <c r="H141" i="1" s="1"/>
  <c r="F140" i="1"/>
  <c r="H140" i="1" s="1"/>
  <c r="F139" i="1"/>
  <c r="H139" i="1" s="1"/>
  <c r="F164" i="1"/>
  <c r="H164" i="1" s="1"/>
  <c r="F166" i="1"/>
  <c r="H166" i="1" s="1"/>
  <c r="F167" i="1"/>
  <c r="H167" i="1" s="1"/>
  <c r="F169" i="1"/>
  <c r="H169" i="1" s="1"/>
  <c r="F170" i="1"/>
  <c r="H170" i="1" s="1"/>
  <c r="F171" i="1"/>
  <c r="H171" i="1" s="1"/>
  <c r="F113" i="1"/>
  <c r="F142" i="1"/>
  <c r="H142" i="1" s="1"/>
  <c r="F144" i="1"/>
  <c r="H144" i="1" s="1"/>
  <c r="F117" i="1"/>
  <c r="F115" i="1"/>
  <c r="F119" i="1"/>
  <c r="S33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00" i="1"/>
  <c r="B176" i="1"/>
  <c r="B175" i="1"/>
  <c r="F131" i="1"/>
  <c r="H131" i="1" s="1"/>
  <c r="F130" i="1"/>
  <c r="H130" i="1" s="1"/>
  <c r="F129" i="1"/>
  <c r="H129" i="1" s="1"/>
  <c r="F128" i="1"/>
  <c r="H112" i="1"/>
  <c r="F112" i="1"/>
  <c r="H111" i="1"/>
  <c r="F111" i="1"/>
  <c r="H110" i="1"/>
  <c r="F110" i="1"/>
  <c r="H109" i="1"/>
  <c r="F109" i="1"/>
  <c r="F93" i="1"/>
  <c r="C67" i="1"/>
  <c r="D61" i="1"/>
  <c r="G51" i="1"/>
  <c r="G52" i="1" s="1"/>
  <c r="C51" i="1"/>
  <c r="E44" i="1"/>
  <c r="E45" i="1" s="1"/>
  <c r="E31" i="1"/>
  <c r="E28" i="1"/>
  <c r="E26" i="1"/>
  <c r="C16" i="1"/>
  <c r="I15" i="1"/>
  <c r="Z13" i="1"/>
  <c r="E8" i="1"/>
  <c r="E3" i="1"/>
  <c r="H68" i="1"/>
  <c r="E99" i="1" l="1"/>
  <c r="C99" i="1"/>
  <c r="G96" i="1"/>
  <c r="C96" i="1"/>
  <c r="E96" i="1"/>
  <c r="H128" i="1"/>
  <c r="J67" i="1"/>
  <c r="J69" i="1" s="1"/>
  <c r="J70" i="1"/>
  <c r="J71" i="1"/>
  <c r="J72" i="1"/>
  <c r="C71" i="1" s="1"/>
  <c r="D75" i="1"/>
  <c r="D77" i="1"/>
  <c r="D76" i="1"/>
  <c r="D80" i="1"/>
  <c r="D74" i="1"/>
  <c r="D79" i="1"/>
  <c r="D73" i="1"/>
  <c r="D78" i="1"/>
  <c r="B68" i="1"/>
  <c r="J73" i="1" s="1"/>
  <c r="E100" i="1" l="1"/>
  <c r="C100" i="1"/>
  <c r="G99" i="1"/>
  <c r="G100" i="1" s="1"/>
  <c r="D71" i="1"/>
  <c r="J77" i="1"/>
  <c r="J75" i="1"/>
  <c r="J76" i="1"/>
  <c r="J74" i="1"/>
  <c r="J79" i="1" s="1"/>
  <c r="J80" i="1" s="1"/>
  <c r="C72" i="1" s="1"/>
  <c r="J78" i="1"/>
  <c r="J68" i="1" l="1"/>
  <c r="E71" i="1"/>
  <c r="D72" i="1"/>
  <c r="I68" i="1" s="1"/>
  <c r="G71" i="1"/>
  <c r="D65" i="1" s="1"/>
  <c r="F66" i="1" l="1"/>
  <c r="D66" i="1"/>
  <c r="I69" i="1"/>
  <c r="I67" i="1" s="1"/>
  <c r="C69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Sachin</author>
  </authors>
  <commentList>
    <comment ref="E12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3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<sst xmlns="http://schemas.openxmlformats.org/spreadsheetml/2006/main" count="554" uniqueCount="333">
  <si>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</si>
  <si>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</si>
  <si>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</si>
  <si>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</si>
  <si>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</si>
  <si>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</si>
  <si>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</si>
  <si>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</si>
  <si>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</si>
  <si>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</si>
  <si>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</si>
  <si>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</si>
  <si>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</si>
  <si>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</si>
  <si>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</si>
  <si>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</si>
  <si>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</si>
  <si>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</si>
  <si>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</si>
  <si>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</si>
  <si>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</si>
  <si>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</si>
  <si>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</si>
  <si>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</si>
  <si>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</si>
  <si>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</si>
  <si>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</si>
  <si>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</si>
  <si>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</si>
  <si>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</si>
  <si>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</si>
  <si>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</si>
  <si>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</si>
  <si>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</si>
  <si>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</si>
  <si>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</si>
  <si>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</si>
  <si>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</si>
  <si>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</si>
  <si>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</si>
  <si>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</si>
  <si>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</si>
  <si>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</si>
  <si>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</si>
  <si>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</si>
  <si>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</si>
  <si>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</si>
  <si>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</si>
  <si>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</si>
  <si>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</si>
  <si>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</si>
  <si>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</si>
  <si>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</si>
  <si>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</si>
  <si>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</si>
  <si>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</si>
  <si>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</si>
  <si>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</si>
  <si>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</si>
  <si>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</si>
  <si>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</si>
  <si>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</si>
  <si>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</si>
  <si>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</si>
  <si>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</si>
  <si>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</si>
  <si>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</si>
  <si>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</si>
  <si>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</si>
  <si>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</si>
  <si>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</si>
  <si>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</si>
  <si>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</si>
  <si>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</si>
  <si>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</si>
  <si>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</si>
  <si>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</si>
  <si>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</si>
  <si>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</si>
  <si>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</si>
  <si>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</si>
  <si>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</si>
  <si>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</si>
  <si>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</si>
  <si>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</si>
  <si>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</si>
  <si>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</si>
  <si>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</si>
  <si>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</si>
  <si>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</si>
  <si>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</si>
  <si>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</si>
  <si>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</si>
  <si>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</si>
  <si>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</si>
  <si>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</si>
  <si>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</si>
  <si>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</si>
  <si>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</si>
  <si>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</si>
  <si>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</si>
  <si>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</si>
  <si>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</si>
  <si>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</si>
  <si>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</si>
  <si>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</si>
  <si>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</si>
  <si>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</si>
  <si>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</si>
  <si>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</si>
  <si>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</si>
  <si>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</si>
  <si>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</si>
  <si>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</si>
  <si>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</si>
  <si>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</si>
  <si>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</si>
  <si>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</si>
  <si>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</si>
  <si>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</si>
  <si>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</si>
  <si>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</si>
  <si>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</si>
  <si>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</si>
  <si>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</si>
  <si>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</si>
  <si>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</si>
  <si>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</si>
  <si>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</si>
  <si>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</si>
  <si>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</si>
  <si>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</si>
  <si>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</si>
  <si>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</si>
  <si>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</si>
  <si>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</si>
  <si>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</si>
  <si>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</si>
  <si>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</si>
  <si>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</si>
  <si>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</si>
  <si>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</si>
  <si>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</si>
  <si>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</si>
  <si>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</si>
  <si>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</si>
  <si>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</si>
  <si>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</si>
  <si>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</si>
  <si>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</si>
  <si>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</si>
  <si>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</si>
  <si>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</si>
  <si>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</si>
  <si>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</si>
  <si>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</si>
  <si>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</si>
  <si>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</si>
  <si>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</si>
  <si>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</si>
  <si>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</si>
  <si>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</si>
  <si>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</si>
  <si>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</si>
  <si>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</si>
  <si>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</si>
  <si>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</si>
  <si>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Axis Goregaon</t>
  </si>
  <si>
    <t>Name / No of the Existing Building</t>
  </si>
  <si>
    <t>Mumbai</t>
  </si>
  <si>
    <t>As per Layout</t>
  </si>
  <si>
    <t xml:space="preserve">Details of Residential &amp; Commercials in Building   </t>
  </si>
  <si>
    <t>Floor Rise Rate from    Floor</t>
  </si>
  <si>
    <t>Shop No. (Sale Plan)</t>
  </si>
  <si>
    <t>Flat No. (Sale Plan)</t>
  </si>
  <si>
    <t xml:space="preserve">As the project is redevelopement project but rehab statement or rehab flats is not mentioned approved layout plan &amp; floor plan.
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</si>
  <si>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</si>
  <si>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</si>
  <si>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</si>
  <si>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</si>
  <si>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</si>
  <si>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</si>
  <si>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</si>
  <si>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</si>
  <si>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</si>
  <si>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</si>
  <si>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</si>
  <si>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</si>
  <si>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</si>
  <si>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</si>
  <si>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</si>
  <si>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</si>
  <si>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</si>
  <si>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</si>
  <si>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</si>
  <si>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</si>
  <si>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</si>
  <si>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</si>
  <si>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</si>
  <si>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</si>
  <si>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</si>
  <si>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</si>
  <si>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</si>
  <si>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</si>
  <si>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</si>
  <si>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</si>
  <si>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</si>
  <si>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</si>
  <si>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</si>
  <si>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</si>
  <si>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</si>
  <si>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</si>
  <si>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</si>
  <si>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</si>
  <si>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</si>
  <si>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</si>
  <si>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</si>
  <si>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</si>
  <si>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</si>
  <si>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</si>
  <si>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</si>
  <si>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</si>
  <si>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</si>
  <si>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</si>
  <si>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</si>
  <si>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</si>
  <si>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</si>
  <si>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</si>
  <si>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</si>
  <si>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Carpet area</t>
  </si>
  <si>
    <t>Bank Name:</t>
  </si>
  <si>
    <t>Axis Bank</t>
  </si>
  <si>
    <t>Branch</t>
  </si>
  <si>
    <t>Bank</t>
  </si>
  <si>
    <t>Cent Bank</t>
  </si>
  <si>
    <t>Indiabulls Housing Finance Ltd</t>
  </si>
  <si>
    <t>PNB Housing Finance Limited</t>
  </si>
  <si>
    <t>ABFHL</t>
  </si>
  <si>
    <t>Axis Thane</t>
  </si>
  <si>
    <t>Axis Sanpada</t>
  </si>
  <si>
    <t>Axis Badlapur</t>
  </si>
  <si>
    <t>PNB Thane</t>
  </si>
  <si>
    <t>PNB Borivali</t>
  </si>
  <si>
    <t>Cent Kalyan</t>
  </si>
  <si>
    <t>Cent Belapur</t>
  </si>
  <si>
    <t>IBHF Kalyan</t>
  </si>
  <si>
    <t>IBHF Badlapur</t>
  </si>
  <si>
    <t>IBHF Vashi</t>
  </si>
  <si>
    <t>IBHF Thane</t>
  </si>
  <si>
    <t>IBHF Andheri</t>
  </si>
  <si>
    <t>Authorites</t>
  </si>
  <si>
    <t>Slum Rehabilitation Authority (SRA)</t>
  </si>
  <si>
    <t>Municipal Corporation of Greater Mumbai (MCGM)</t>
  </si>
  <si>
    <t>Maharashtra Housing and Area Development Authority(MHADA)</t>
  </si>
  <si>
    <t>Mumbai Metropolitan Region Development Authority (MMRDA)</t>
  </si>
  <si>
    <t>Maharashtra State Road Development Corporation Limited (MSRDC)</t>
  </si>
  <si>
    <t>Navi Mumbai Municipal Corporation (NMMC)</t>
  </si>
  <si>
    <t>Thane Muncipal Cooperation (TMC)</t>
  </si>
  <si>
    <t>Kalyan Dombivli Municipal Corporation (KMDC)</t>
  </si>
  <si>
    <t>Kulgoan Badlapur Municipal Council</t>
  </si>
  <si>
    <t>Town Planning Thane</t>
  </si>
  <si>
    <t>Ambernath Municipal Council (AMC)</t>
  </si>
  <si>
    <t>Ulhasnagar Municipal Corporation</t>
  </si>
  <si>
    <t>Nagar Rachana Ani Mulya Nirdharan Vibhag Thane</t>
  </si>
  <si>
    <t>Bhiwandi Nizampur City Municipal Corporation</t>
  </si>
  <si>
    <t>City and Industrial Development Corporation (CIDCO)</t>
  </si>
  <si>
    <t>Maharashtra Industrial Development Corporation (MIDC)</t>
  </si>
  <si>
    <t>Panvel Municipal Corporation</t>
  </si>
  <si>
    <t>Navi Mumbai Airport Influence Notified Area (NAINA)</t>
  </si>
  <si>
    <t>Pen Municipal Council</t>
  </si>
  <si>
    <t>Raigad Zilha Parishad</t>
  </si>
  <si>
    <t>Roha Municipal Council</t>
  </si>
  <si>
    <t>Vasai-Virar City Municipal Corporation. (VVCMC)</t>
  </si>
  <si>
    <t>Collector Of Palghar</t>
  </si>
  <si>
    <t>Town Planner, Palghar</t>
  </si>
  <si>
    <t>Mira-Bhayandar Municipal Corporation</t>
  </si>
  <si>
    <t>Documents Provided</t>
  </si>
  <si>
    <t>Does the boundaries at site match, as mentioned in the Documentation: NA</t>
  </si>
  <si>
    <t>Wing A</t>
  </si>
  <si>
    <t>Wing A Name is PALACIA</t>
  </si>
  <si>
    <t>P99000047519</t>
  </si>
  <si>
    <t>APF Done for YES Bank</t>
  </si>
  <si>
    <t>Premear Landmark Developers Llp</t>
  </si>
  <si>
    <t>Premier Elegance</t>
  </si>
  <si>
    <t>022-28107755/9967072785</t>
  </si>
  <si>
    <t>Building No.1 (Wing B - Premier Elegance)</t>
  </si>
  <si>
    <t>Approved Plans, CC, Cost Sheet</t>
  </si>
  <si>
    <t>P99000033860</t>
  </si>
  <si>
    <t>Survey No</t>
  </si>
  <si>
    <t>358B/2, (Plot B)</t>
  </si>
  <si>
    <t>Juchandra</t>
  </si>
  <si>
    <t>https://maps.app.goo.gl/aeK1mGDMsdcKuewM9</t>
  </si>
  <si>
    <t xml:space="preserve">The creek is 45 metres west of the project location.
</t>
  </si>
  <si>
    <t xml:space="preserve">Palacia </t>
  </si>
  <si>
    <t>Other Plot/Creek</t>
  </si>
  <si>
    <t>Building</t>
  </si>
  <si>
    <t>Other Plot</t>
  </si>
  <si>
    <t>12.00M Wide Road</t>
  </si>
  <si>
    <t>Shree Ram Heights</t>
  </si>
  <si>
    <t>2.00 KM from Juchandra Railway Station</t>
  </si>
  <si>
    <t>Approved area of building (Sq.Mt) for Wing B</t>
  </si>
  <si>
    <t>As per RERA -  31/03/2027</t>
  </si>
  <si>
    <t>Recreation Facilities, Indoor Games, Internal Roads, Meter Room, Sewage Treatment Plant, 24X7 Water Supply, Rain Water Harvesting, Landscaping &amp; Tree Planting, Fire Fighting System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</si>
  <si>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</si>
  <si>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 xml:space="preserve">Building No.1 </t>
  </si>
  <si>
    <t>Plot B</t>
  </si>
  <si>
    <t>Wing B</t>
  </si>
  <si>
    <t>Shop</t>
  </si>
  <si>
    <t>1st Floor for Residential</t>
  </si>
  <si>
    <t>1BHK</t>
  </si>
  <si>
    <t>2BHK</t>
  </si>
  <si>
    <t>FB/DB/Enclosed Balcony</t>
  </si>
  <si>
    <t>-</t>
  </si>
  <si>
    <t>Refuge Area</t>
  </si>
  <si>
    <t>8th &amp; 13th Floor (Part Refuge Area)</t>
  </si>
  <si>
    <t>Building No.1 
Wing B</t>
  </si>
  <si>
    <t>Mr. Navnath</t>
  </si>
  <si>
    <t xml:space="preserve">We did not consider the terrace area attached to the 1st floor flats because it was not shown in the approved plans. However, it was visible at the time of visit.
</t>
  </si>
  <si>
    <t>19.361142,72.861786</t>
  </si>
  <si>
    <t>Plot B = Building No.1 (Wing B) = Gr + 1st to 16th Floor</t>
  </si>
  <si>
    <t>Ground Floor for Society Office, Meter Room, Drivers Room, Commercial &amp; Parking</t>
  </si>
  <si>
    <t>Plot B = Building No.1 (Wing B) = Gr/Stilt + 1st to 16th Floor
Total Built Up Area = 7235.17 Sq.M.</t>
  </si>
  <si>
    <t>VVCMC/TP/AMEND/VP/6409/696/2022-23</t>
  </si>
  <si>
    <t>VVCMC/TP/RDP/VP-6409/696/2022-23</t>
  </si>
  <si>
    <t>2nd to 7th, 9th to 12th, 14th &amp; 15th Floor</t>
  </si>
  <si>
    <t>16th Floor</t>
  </si>
  <si>
    <t>We considered Gross carpet area = Net carpet + FB Area + DB Area + Enclosed Balcony.</t>
  </si>
  <si>
    <t>We have updated latest approved floor plans &amp; CC (On 03/10/2024).</t>
  </si>
  <si>
    <t>Flats - 128, Shops - 12</t>
  </si>
  <si>
    <t>Construction work is in process at the time of Visit (labour found).</t>
  </si>
  <si>
    <t>Rate 6000 by Nilesh Verbal on 23/06/2025</t>
  </si>
  <si>
    <t>Recommended Rates of the Property have been revised on 23/06/2025.</t>
  </si>
  <si>
    <t>Kunal Kadam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</si>
</sst>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3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1"/>
      <color rgb="FF333333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175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20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8" fillId="0" borderId="0" xfId="0" applyFont="1" applyProtection="1">
      <protection hidden="1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4" fillId="0" borderId="0" xfId="1" applyFont="1"/>
    <xf numFmtId="0" fontId="7" fillId="0" borderId="9" xfId="1" applyFont="1" applyBorder="1"/>
    <xf numFmtId="0" fontId="18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6" fillId="0" borderId="25" xfId="0" applyFont="1" applyBorder="1"/>
    <xf numFmtId="0" fontId="26" fillId="0" borderId="4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0" fillId="0" borderId="0" xfId="0" applyAlignment="1">
      <alignment horizontal="center"/>
    </xf>
    <xf numFmtId="0" fontId="30" fillId="0" borderId="0" xfId="0" applyFont="1"/>
    <xf numFmtId="0" fontId="10" fillId="0" borderId="0" xfId="1" applyFont="1"/>
    <xf numFmtId="9" fontId="13" fillId="0" borderId="13" xfId="8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4" fillId="0" borderId="0" xfId="0" applyFont="1" applyProtection="1">
      <protection hidden="1"/>
    </xf>
    <xf numFmtId="1" fontId="25" fillId="0" borderId="9" xfId="0" applyNumberFormat="1" applyFont="1" applyBorder="1"/>
    <xf numFmtId="0" fontId="12" fillId="0" borderId="6" xfId="1" applyFont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0" fontId="14" fillId="0" borderId="10" xfId="0" applyFont="1" applyBorder="1" applyProtection="1">
      <protection hidden="1"/>
    </xf>
    <xf numFmtId="1" fontId="25" fillId="0" borderId="11" xfId="0" applyNumberFormat="1" applyFont="1" applyBorder="1"/>
    <xf numFmtId="164" fontId="7" fillId="0" borderId="0" xfId="1" applyNumberFormat="1" applyFont="1" applyAlignment="1">
      <alignment horizontal="center" vertical="center"/>
    </xf>
    <xf numFmtId="0" fontId="25" fillId="2" borderId="12" xfId="0" applyFont="1" applyFill="1" applyBorder="1"/>
    <xf numFmtId="0" fontId="26" fillId="0" borderId="8" xfId="0" applyFont="1" applyBorder="1"/>
    <xf numFmtId="0" fontId="7" fillId="0" borderId="0" xfId="1" applyFont="1" applyAlignment="1">
      <alignment horizontal="center" vertical="center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7" fillId="0" borderId="20" xfId="1" applyFont="1" applyBorder="1" applyAlignment="1">
      <alignment horizontal="center"/>
    </xf>
    <xf numFmtId="0" fontId="7" fillId="0" borderId="0" xfId="1" applyFont="1" applyAlignment="1">
      <alignment horizontal="center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3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18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10" fillId="0" borderId="27" xfId="0" applyNumberFormat="1" applyFont="1" applyBorder="1" applyAlignment="1" applyProtection="1">
      <alignment horizontal="center" vertical="center"/>
      <protection locked="0"/>
    </xf>
    <xf numFmtId="0" fontId="10" fillId="0" borderId="27" xfId="0" applyFont="1" applyBorder="1" applyAlignment="1" applyProtection="1">
      <alignment horizontal="center" vertical="center"/>
      <protection locked="0"/>
    </xf>
    <xf numFmtId="1" fontId="10" fillId="0" borderId="27" xfId="0" applyNumberFormat="1" applyFont="1" applyBorder="1" applyAlignment="1" applyProtection="1">
      <alignment horizontal="center" vertical="top" wrapText="1"/>
      <protection locked="0"/>
    </xf>
    <xf numFmtId="0" fontId="10" fillId="0" borderId="27" xfId="0" applyFont="1" applyBorder="1" applyAlignment="1" applyProtection="1">
      <alignment horizontal="center"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18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18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3" xfId="1" applyFont="1" applyBorder="1" applyAlignment="1" applyProtection="1">
      <alignment horizontal="center" vertical="top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0" fontId="8" fillId="0" borderId="13" xfId="1" applyFont="1" applyBorder="1" applyAlignment="1" applyProtection="1">
      <alignment horizontal="center" vertical="top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17" fillId="0" borderId="7" xfId="0" applyNumberFormat="1" applyFont="1" applyBorder="1" applyAlignment="1" applyProtection="1">
      <alignment vertical="top" wrapText="1"/>
      <protection locked="0"/>
    </xf>
    <xf numFmtId="1" fontId="17" fillId="0" borderId="18" xfId="0" applyNumberFormat="1" applyFont="1" applyBorder="1" applyAlignment="1" applyProtection="1">
      <alignment vertical="top" wrapText="1"/>
      <protection locked="0"/>
    </xf>
    <xf numFmtId="1" fontId="17" fillId="0" borderId="8" xfId="0" applyNumberFormat="1" applyFont="1" applyBorder="1" applyAlignment="1" applyProtection="1">
      <alignment vertical="top" wrapText="1"/>
      <protection locked="0"/>
    </xf>
    <xf numFmtId="1" fontId="8" fillId="0" borderId="26" xfId="0" applyNumberFormat="1" applyFont="1" applyBorder="1" applyAlignment="1" applyProtection="1">
      <alignment horizontal="center" vertical="center" wrapText="1"/>
      <protection locked="0"/>
    </xf>
    <xf numFmtId="1" fontId="8" fillId="0" borderId="27" xfId="0" applyNumberFormat="1" applyFont="1" applyBorder="1" applyAlignment="1" applyProtection="1">
      <alignment horizontal="center" vertical="center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3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4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3" xfId="1" applyNumberFormat="1" applyFont="1" applyBorder="1" applyAlignment="1" applyProtection="1">
      <alignment horizontal="center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9" fontId="7" fillId="0" borderId="14" xfId="8" applyFont="1" applyFill="1" applyBorder="1" applyAlignment="1" applyProtection="1">
      <alignment horizontal="center" vertical="center" wrapText="1"/>
      <protection locked="0"/>
    </xf>
    <xf numFmtId="9" fontId="7" fillId="0" borderId="15" xfId="8" applyFont="1" applyFill="1" applyBorder="1" applyAlignment="1" applyProtection="1">
      <alignment horizontal="center" vertical="center" wrapText="1"/>
      <protection locked="0"/>
    </xf>
    <xf numFmtId="9" fontId="7" fillId="0" borderId="20" xfId="8" applyFont="1" applyFill="1" applyBorder="1" applyAlignment="1" applyProtection="1">
      <alignment horizontal="center" vertical="center" wrapText="1"/>
      <protection locked="0"/>
    </xf>
    <xf numFmtId="9" fontId="7" fillId="0" borderId="21" xfId="8" applyFont="1" applyFill="1" applyBorder="1" applyAlignment="1" applyProtection="1">
      <alignment horizontal="center" vertical="center" wrapText="1"/>
      <protection locked="0"/>
    </xf>
    <xf numFmtId="9" fontId="7" fillId="0" borderId="23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2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27" fillId="0" borderId="1" xfId="10" applyFill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8" fillId="0" borderId="27" xfId="0" applyNumberFormat="1" applyFont="1" applyBorder="1" applyAlignment="1" applyProtection="1">
      <alignment horizontal="center" vertical="top" wrapText="1"/>
      <protection locked="0"/>
    </xf>
    <xf numFmtId="1" fontId="8" fillId="0" borderId="28" xfId="0" applyNumberFormat="1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18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13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g"/><Relationship Id="rId3" Type="http://schemas.openxmlformats.org/officeDocument/2006/relationships/image" Target="../media/image3.png"/><Relationship Id="rId21" Type="http://schemas.openxmlformats.org/officeDocument/2006/relationships/image" Target="../media/image21.jp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g"/><Relationship Id="rId10" Type="http://schemas.openxmlformats.org/officeDocument/2006/relationships/image" Target="../media/image10.png"/><Relationship Id="rId19" Type="http://schemas.openxmlformats.org/officeDocument/2006/relationships/image" Target="../media/image19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g"/><Relationship Id="rId27" Type="http://schemas.openxmlformats.org/officeDocument/2006/relationships/image" Target="../media/image27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554181</xdr:colOff>
      <xdr:row>286</xdr:row>
      <xdr:rowOff>17318</xdr:rowOff>
    </xdr:from>
    <xdr:to>
      <xdr:col>7</xdr:col>
      <xdr:colOff>69067</xdr:colOff>
      <xdr:row>299</xdr:row>
      <xdr:rowOff>128250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4181" y="62449363"/>
          <a:ext cx="5100000" cy="27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538209</xdr:colOff>
      <xdr:row>300</xdr:row>
      <xdr:rowOff>54640</xdr:rowOff>
    </xdr:from>
    <xdr:to>
      <xdr:col>7</xdr:col>
      <xdr:colOff>41941</xdr:colOff>
      <xdr:row>313</xdr:row>
      <xdr:rowOff>165572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8209" y="65491390"/>
          <a:ext cx="5085382" cy="271125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545006</xdr:colOff>
      <xdr:row>304</xdr:row>
      <xdr:rowOff>107801</xdr:rowOff>
    </xdr:from>
    <xdr:to>
      <xdr:col>4</xdr:col>
      <xdr:colOff>389830</xdr:colOff>
      <xdr:row>311</xdr:row>
      <xdr:rowOff>50063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 rot="2021672">
          <a:off x="2955816" y="65534698"/>
          <a:ext cx="757911" cy="1321744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608668</xdr:colOff>
      <xdr:row>306</xdr:row>
      <xdr:rowOff>164305</xdr:rowOff>
    </xdr:from>
    <xdr:to>
      <xdr:col>4</xdr:col>
      <xdr:colOff>326168</xdr:colOff>
      <xdr:row>308</xdr:row>
      <xdr:rowOff>190629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CxnSpPr>
          <a:stCxn id="4" idx="1"/>
          <a:endCxn id="4" idx="3"/>
        </xdr:cNvCxnSpPr>
      </xdr:nvCxnSpPr>
      <xdr:spPr>
        <a:xfrm>
          <a:off x="3019478" y="65985339"/>
          <a:ext cx="630587" cy="420462"/>
        </a:xfrm>
        <a:prstGeom prst="line">
          <a:avLst/>
        </a:prstGeom>
        <a:ln w="381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289892</xdr:colOff>
      <xdr:row>305</xdr:row>
      <xdr:rowOff>132521</xdr:rowOff>
    </xdr:from>
    <xdr:to>
      <xdr:col>4</xdr:col>
      <xdr:colOff>530088</xdr:colOff>
      <xdr:row>306</xdr:row>
      <xdr:rowOff>165652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/>
      </xdr:nvSpPr>
      <xdr:spPr>
        <a:xfrm>
          <a:off x="3611218" y="66219456"/>
          <a:ext cx="240196" cy="2319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 b="1">
              <a:solidFill>
                <a:srgbClr val="FFFF00"/>
              </a:solidFill>
            </a:rPr>
            <a:t>A</a:t>
          </a:r>
        </a:p>
      </xdr:txBody>
    </xdr:sp>
    <xdr:clientData/>
  </xdr:twoCellAnchor>
  <xdr:twoCellAnchor>
    <xdr:from>
      <xdr:col>3</xdr:col>
      <xdr:colOff>652509</xdr:colOff>
      <xdr:row>309</xdr:row>
      <xdr:rowOff>134266</xdr:rowOff>
    </xdr:from>
    <xdr:to>
      <xdr:col>3</xdr:col>
      <xdr:colOff>892705</xdr:colOff>
      <xdr:row>310</xdr:row>
      <xdr:rowOff>168639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>
          <a:off x="3062334" y="67371241"/>
          <a:ext cx="240196" cy="23439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 b="1">
              <a:solidFill>
                <a:srgbClr val="FFFF00"/>
              </a:solidFill>
            </a:rPr>
            <a:t>B</a:t>
          </a:r>
        </a:p>
      </xdr:txBody>
    </xdr:sp>
    <xdr:clientData/>
  </xdr:twoCellAnchor>
  <xdr:twoCellAnchor>
    <xdr:from>
      <xdr:col>0</xdr:col>
      <xdr:colOff>533400</xdr:colOff>
      <xdr:row>300</xdr:row>
      <xdr:rowOff>38100</xdr:rowOff>
    </xdr:from>
    <xdr:to>
      <xdr:col>2</xdr:col>
      <xdr:colOff>542925</xdr:colOff>
      <xdr:row>312</xdr:row>
      <xdr:rowOff>47625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CxnSpPr/>
      </xdr:nvCxnSpPr>
      <xdr:spPr>
        <a:xfrm flipH="1">
          <a:off x="533400" y="65474850"/>
          <a:ext cx="1571625" cy="2409825"/>
        </a:xfrm>
        <a:prstGeom prst="line">
          <a:avLst/>
        </a:prstGeom>
        <a:ln w="28575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104775</xdr:colOff>
      <xdr:row>300</xdr:row>
      <xdr:rowOff>57150</xdr:rowOff>
    </xdr:from>
    <xdr:to>
      <xdr:col>3</xdr:col>
      <xdr:colOff>400051</xdr:colOff>
      <xdr:row>313</xdr:row>
      <xdr:rowOff>171450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CxnSpPr/>
      </xdr:nvCxnSpPr>
      <xdr:spPr>
        <a:xfrm flipH="1">
          <a:off x="2514600" y="65493900"/>
          <a:ext cx="295276" cy="2714625"/>
        </a:xfrm>
        <a:prstGeom prst="line">
          <a:avLst/>
        </a:prstGeom>
        <a:ln w="28575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190500</xdr:colOff>
      <xdr:row>305</xdr:row>
      <xdr:rowOff>190500</xdr:rowOff>
    </xdr:from>
    <xdr:to>
      <xdr:col>2</xdr:col>
      <xdr:colOff>723900</xdr:colOff>
      <xdr:row>307</xdr:row>
      <xdr:rowOff>47625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 txBox="1"/>
      </xdr:nvSpPr>
      <xdr:spPr>
        <a:xfrm>
          <a:off x="1752600" y="66627375"/>
          <a:ext cx="533400" cy="257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>
              <a:solidFill>
                <a:schemeClr val="bg1"/>
              </a:solidFill>
            </a:rPr>
            <a:t>Creek</a:t>
          </a:r>
        </a:p>
      </xdr:txBody>
    </xdr:sp>
    <xdr:clientData/>
  </xdr:twoCellAnchor>
  <xdr:twoCellAnchor editAs="oneCell">
    <xdr:from>
      <xdr:col>1</xdr:col>
      <xdr:colOff>495300</xdr:colOff>
      <xdr:row>244</xdr:row>
      <xdr:rowOff>0</xdr:rowOff>
    </xdr:from>
    <xdr:to>
      <xdr:col>6</xdr:col>
      <xdr:colOff>9075</xdr:colOff>
      <xdr:row>276</xdr:row>
      <xdr:rowOff>79200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57300" y="53835300"/>
          <a:ext cx="3600000" cy="6480000"/>
        </a:xfrm>
        <a:prstGeom prst="rect">
          <a:avLst/>
        </a:prstGeom>
      </xdr:spPr>
    </xdr:pic>
    <xdr:clientData/>
  </xdr:twoCellAnchor>
  <xdr:twoCellAnchor>
    <xdr:from>
      <xdr:col>2</xdr:col>
      <xdr:colOff>495300</xdr:colOff>
      <xdr:row>247</xdr:row>
      <xdr:rowOff>9524</xdr:rowOff>
    </xdr:from>
    <xdr:to>
      <xdr:col>5</xdr:col>
      <xdr:colOff>304799</xdr:colOff>
      <xdr:row>259</xdr:row>
      <xdr:rowOff>190499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2057400" y="54444899"/>
          <a:ext cx="2352674" cy="2581275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485775</xdr:colOff>
      <xdr:row>260</xdr:row>
      <xdr:rowOff>57151</xdr:rowOff>
    </xdr:from>
    <xdr:to>
      <xdr:col>5</xdr:col>
      <xdr:colOff>295274</xdr:colOff>
      <xdr:row>270</xdr:row>
      <xdr:rowOff>1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2047875" y="57092851"/>
          <a:ext cx="2352674" cy="19431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609600</xdr:colOff>
      <xdr:row>247</xdr:row>
      <xdr:rowOff>85725</xdr:rowOff>
    </xdr:from>
    <xdr:to>
      <xdr:col>3</xdr:col>
      <xdr:colOff>38100</xdr:colOff>
      <xdr:row>248</xdr:row>
      <xdr:rowOff>133350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2171700" y="54521100"/>
          <a:ext cx="276225" cy="2476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/>
            <a:t>A</a:t>
          </a:r>
        </a:p>
      </xdr:txBody>
    </xdr:sp>
    <xdr:clientData/>
  </xdr:twoCellAnchor>
  <xdr:twoCellAnchor>
    <xdr:from>
      <xdr:col>2</xdr:col>
      <xdr:colOff>552450</xdr:colOff>
      <xdr:row>260</xdr:row>
      <xdr:rowOff>133350</xdr:rowOff>
    </xdr:from>
    <xdr:to>
      <xdr:col>2</xdr:col>
      <xdr:colOff>828675</xdr:colOff>
      <xdr:row>261</xdr:row>
      <xdr:rowOff>180975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 txBox="1"/>
      </xdr:nvSpPr>
      <xdr:spPr>
        <a:xfrm>
          <a:off x="2114550" y="57169050"/>
          <a:ext cx="276225" cy="2476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/>
            <a:t>B</a:t>
          </a:r>
        </a:p>
      </xdr:txBody>
    </xdr:sp>
    <xdr:clientData/>
  </xdr:twoCellAnchor>
  <xdr:twoCellAnchor editAs="oneCell">
    <xdr:from>
      <xdr:col>12</xdr:col>
      <xdr:colOff>212725</xdr:colOff>
      <xdr:row>136</xdr:row>
      <xdr:rowOff>146050</xdr:rowOff>
    </xdr:from>
    <xdr:to>
      <xdr:col>17</xdr:col>
      <xdr:colOff>428119</xdr:colOff>
      <xdr:row>158</xdr:row>
      <xdr:rowOff>78833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080625" y="30349825"/>
          <a:ext cx="4044444" cy="4333333"/>
        </a:xfrm>
        <a:prstGeom prst="rect">
          <a:avLst/>
        </a:prstGeom>
      </xdr:spPr>
    </xdr:pic>
    <xdr:clientData/>
  </xdr:twoCellAnchor>
  <xdr:twoCellAnchor editAs="oneCell">
    <xdr:from>
      <xdr:col>11</xdr:col>
      <xdr:colOff>352425</xdr:colOff>
      <xdr:row>80</xdr:row>
      <xdr:rowOff>88900</xdr:rowOff>
    </xdr:from>
    <xdr:to>
      <xdr:col>15</xdr:col>
      <xdr:colOff>555181</xdr:colOff>
      <xdr:row>91</xdr:row>
      <xdr:rowOff>60204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31375" y="19005550"/>
          <a:ext cx="3720656" cy="955554"/>
        </a:xfrm>
        <a:prstGeom prst="rect">
          <a:avLst/>
        </a:prstGeom>
      </xdr:spPr>
    </xdr:pic>
    <xdr:clientData/>
  </xdr:twoCellAnchor>
  <xdr:twoCellAnchor editAs="oneCell">
    <xdr:from>
      <xdr:col>8</xdr:col>
      <xdr:colOff>533400</xdr:colOff>
      <xdr:row>43</xdr:row>
      <xdr:rowOff>139700</xdr:rowOff>
    </xdr:from>
    <xdr:to>
      <xdr:col>10</xdr:col>
      <xdr:colOff>674100</xdr:colOff>
      <xdr:row>49</xdr:row>
      <xdr:rowOff>132106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56450" y="9639300"/>
          <a:ext cx="2160000" cy="140210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266700</xdr:colOff>
      <xdr:row>49</xdr:row>
      <xdr:rowOff>171450</xdr:rowOff>
    </xdr:from>
    <xdr:to>
      <xdr:col>12</xdr:col>
      <xdr:colOff>609630</xdr:colOff>
      <xdr:row>62</xdr:row>
      <xdr:rowOff>218625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581775" y="11201400"/>
          <a:ext cx="389575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349250</xdr:colOff>
      <xdr:row>122</xdr:row>
      <xdr:rowOff>146050</xdr:rowOff>
    </xdr:from>
    <xdr:to>
      <xdr:col>12</xdr:col>
      <xdr:colOff>788400</xdr:colOff>
      <xdr:row>136</xdr:row>
      <xdr:rowOff>33732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991600" y="27247850"/>
          <a:ext cx="2160000" cy="264358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511175</xdr:colOff>
      <xdr:row>131</xdr:row>
      <xdr:rowOff>149226</xdr:rowOff>
    </xdr:from>
    <xdr:to>
      <xdr:col>10</xdr:col>
      <xdr:colOff>655050</xdr:colOff>
      <xdr:row>144</xdr:row>
      <xdr:rowOff>168605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26250" y="29352876"/>
          <a:ext cx="2067925" cy="261970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0</xdr:colOff>
      <xdr:row>199</xdr:row>
      <xdr:rowOff>0</xdr:rowOff>
    </xdr:from>
    <xdr:to>
      <xdr:col>8</xdr:col>
      <xdr:colOff>476250</xdr:colOff>
      <xdr:row>200</xdr:row>
      <xdr:rowOff>139700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6623050" y="40366950"/>
          <a:ext cx="476250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400" b="1">
              <a:solidFill>
                <a:srgbClr val="C00000"/>
              </a:solidFill>
            </a:rPr>
            <a:t>B</a:t>
          </a:r>
        </a:p>
      </xdr:txBody>
    </xdr:sp>
    <xdr:clientData/>
  </xdr:twoCellAnchor>
  <xdr:twoCellAnchor>
    <xdr:from>
      <xdr:col>8</xdr:col>
      <xdr:colOff>1097280</xdr:colOff>
      <xdr:row>198</xdr:row>
      <xdr:rowOff>140970</xdr:rowOff>
    </xdr:from>
    <xdr:to>
      <xdr:col>16</xdr:col>
      <xdr:colOff>433686</xdr:colOff>
      <xdr:row>238</xdr:row>
      <xdr:rowOff>106958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pSpPr/>
      </xdr:nvGrpSpPr>
      <xdr:grpSpPr>
        <a:xfrm>
          <a:off x="7612380" y="40862250"/>
          <a:ext cx="6301086" cy="7883168"/>
          <a:chOff x="114300" y="40620950"/>
          <a:chExt cx="6395066" cy="7833638"/>
        </a:xfrm>
      </xdr:grpSpPr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89193" y="4629458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01" y="406273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>
            <a:extLst>
              <a:ext uri="{FF2B5EF4-FFF2-40B4-BE49-F238E27FC236}">
                <a16:creationId xmlns:a16="http://schemas.microsoft.com/office/drawing/2014/main" id="{00000000-0008-0000-0000-00002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00" y="4346094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6902" y="406273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>
            <a:extLst>
              <a:ext uri="{FF2B5EF4-FFF2-40B4-BE49-F238E27FC236}">
                <a16:creationId xmlns:a16="http://schemas.microsoft.com/office/drawing/2014/main" id="{00000000-0008-0000-00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59503" y="406273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>
            <a:extLst>
              <a:ext uri="{FF2B5EF4-FFF2-40B4-BE49-F238E27FC236}">
                <a16:creationId xmlns:a16="http://schemas.microsoft.com/office/drawing/2014/main" id="{00000000-0008-0000-00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6902" y="4346094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00000000-0008-0000-0000-00003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16391" y="4629458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>
            <a:extLst>
              <a:ext uri="{FF2B5EF4-FFF2-40B4-BE49-F238E27FC236}">
                <a16:creationId xmlns:a16="http://schemas.microsoft.com/office/drawing/2014/main" id="{00000000-0008-0000-0000-00003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59502" y="4346094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0" name="TextBox 59">
            <a:extLst>
              <a:ext uri="{FF2B5EF4-FFF2-40B4-BE49-F238E27FC236}">
                <a16:creationId xmlns:a16="http://schemas.microsoft.com/office/drawing/2014/main" id="{00000000-0008-0000-0000-00003C000000}"/>
              </a:ext>
            </a:extLst>
          </xdr:cNvPr>
          <xdr:cNvSpPr txBox="1"/>
        </xdr:nvSpPr>
        <xdr:spPr>
          <a:xfrm>
            <a:off x="2858402" y="40620950"/>
            <a:ext cx="476250" cy="336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400" b="1">
                <a:solidFill>
                  <a:srgbClr val="C00000"/>
                </a:solidFill>
              </a:rPr>
              <a:t>B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000-000035000000}"/>
              </a:ext>
            </a:extLst>
          </xdr:cNvPr>
          <xdr:cNvSpPr txBox="1"/>
        </xdr:nvSpPr>
        <xdr:spPr>
          <a:xfrm>
            <a:off x="1364757" y="40953859"/>
            <a:ext cx="476250" cy="336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400" b="1">
                <a:solidFill>
                  <a:srgbClr val="C00000"/>
                </a:solidFill>
              </a:rPr>
              <a:t>B</a:t>
            </a:r>
          </a:p>
        </xdr:txBody>
      </xdr:sp>
    </xdr:grpSp>
    <xdr:clientData/>
  </xdr:twoCellAnchor>
  <xdr:twoCellAnchor editAs="oneCell">
    <xdr:from>
      <xdr:col>10</xdr:col>
      <xdr:colOff>603250</xdr:colOff>
      <xdr:row>77</xdr:row>
      <xdr:rowOff>133350</xdr:rowOff>
    </xdr:from>
    <xdr:to>
      <xdr:col>13</xdr:col>
      <xdr:colOff>235950</xdr:colOff>
      <xdr:row>100</xdr:row>
      <xdr:rowOff>153158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245600" y="18453100"/>
          <a:ext cx="2160000" cy="386790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266700</xdr:colOff>
      <xdr:row>201</xdr:row>
      <xdr:rowOff>0</xdr:rowOff>
    </xdr:from>
    <xdr:to>
      <xdr:col>7</xdr:col>
      <xdr:colOff>501660</xdr:colOff>
      <xdr:row>237</xdr:row>
      <xdr:rowOff>161702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F2C7384D-B268-07D5-DEA0-613282B47391}"/>
            </a:ext>
          </a:extLst>
        </xdr:cNvPr>
        <xdr:cNvGrpSpPr/>
      </xdr:nvGrpSpPr>
      <xdr:grpSpPr>
        <a:xfrm>
          <a:off x="266700" y="41315640"/>
          <a:ext cx="5995680" cy="7286402"/>
          <a:chOff x="486901" y="346731"/>
          <a:chExt cx="5995680" cy="7286402"/>
        </a:xfrm>
      </xdr:grpSpPr>
      <xdr:grpSp>
        <xdr:nvGrpSpPr>
          <xdr:cNvPr id="8" name="Group 7">
            <a:extLst>
              <a:ext uri="{FF2B5EF4-FFF2-40B4-BE49-F238E27FC236}">
                <a16:creationId xmlns:a16="http://schemas.microsoft.com/office/drawing/2014/main" id="{F7EC7159-149D-E5D3-08D6-2FDD9C365AAF}"/>
              </a:ext>
            </a:extLst>
          </xdr:cNvPr>
          <xdr:cNvGrpSpPr/>
        </xdr:nvGrpSpPr>
        <xdr:grpSpPr>
          <a:xfrm>
            <a:off x="1290464" y="5833133"/>
            <a:ext cx="4388554" cy="1800000"/>
            <a:chOff x="1274444" y="5833133"/>
            <a:chExt cx="4388554" cy="1800000"/>
          </a:xfrm>
        </xdr:grpSpPr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64AC98B3-45E6-3DF2-8290-46F5740F823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14404" y="5833133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9" name="Picture 18">
              <a:extLst>
                <a:ext uri="{FF2B5EF4-FFF2-40B4-BE49-F238E27FC236}">
                  <a16:creationId xmlns:a16="http://schemas.microsoft.com/office/drawing/2014/main" id="{BE4E8F67-0CB7-E314-EEF1-1E8DDF6C635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74444" y="5833133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21" name="Picture 20">
              <a:extLst>
                <a:ext uri="{FF2B5EF4-FFF2-40B4-BE49-F238E27FC236}">
                  <a16:creationId xmlns:a16="http://schemas.microsoft.com/office/drawing/2014/main" id="{E20F52E6-096C-5F9E-0617-2D05FC4E37F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794424" y="5833133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9" name="Group 8">
            <a:extLst>
              <a:ext uri="{FF2B5EF4-FFF2-40B4-BE49-F238E27FC236}">
                <a16:creationId xmlns:a16="http://schemas.microsoft.com/office/drawing/2014/main" id="{DF202385-8FAA-BB92-4F14-105C4126CB2C}"/>
              </a:ext>
            </a:extLst>
          </xdr:cNvPr>
          <xdr:cNvGrpSpPr/>
        </xdr:nvGrpSpPr>
        <xdr:grpSpPr>
          <a:xfrm>
            <a:off x="486901" y="346731"/>
            <a:ext cx="5995680" cy="5263201"/>
            <a:chOff x="486901" y="346731"/>
            <a:chExt cx="5995680" cy="5263201"/>
          </a:xfrm>
        </xdr:grpSpPr>
        <xdr:pic>
          <xdr:nvPicPr>
            <xdr:cNvPr id="10" name="Picture 9">
              <a:extLst>
                <a:ext uri="{FF2B5EF4-FFF2-40B4-BE49-F238E27FC236}">
                  <a16:creationId xmlns:a16="http://schemas.microsoft.com/office/drawing/2014/main" id="{967D01A8-B03E-D6CF-83D3-E7601DC5169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524706" y="346731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1" name="Picture 10">
              <a:extLst>
                <a:ext uri="{FF2B5EF4-FFF2-40B4-BE49-F238E27FC236}">
                  <a16:creationId xmlns:a16="http://schemas.microsoft.com/office/drawing/2014/main" id="{329AE951-D048-37C0-83F9-C6E89D8FB2D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86901" y="346731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4" name="Picture 13">
              <a:extLst>
                <a:ext uri="{FF2B5EF4-FFF2-40B4-BE49-F238E27FC236}">
                  <a16:creationId xmlns:a16="http://schemas.microsoft.com/office/drawing/2014/main" id="{7F1EE01C-830C-19FD-81EE-D72A18D3FFA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4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594550" y="346731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5" name="Picture 14">
              <a:extLst>
                <a:ext uri="{FF2B5EF4-FFF2-40B4-BE49-F238E27FC236}">
                  <a16:creationId xmlns:a16="http://schemas.microsoft.com/office/drawing/2014/main" id="{B9CC2E9A-D1A5-E0F2-A91F-08E5F22780D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86902" y="3089932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6" name="Picture 15">
              <a:extLst>
                <a:ext uri="{FF2B5EF4-FFF2-40B4-BE49-F238E27FC236}">
                  <a16:creationId xmlns:a16="http://schemas.microsoft.com/office/drawing/2014/main" id="{368189A9-F67A-C0EA-EC96-686F0FF890E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6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524707" y="3089932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7" name="Picture 16">
              <a:extLst>
                <a:ext uri="{FF2B5EF4-FFF2-40B4-BE49-F238E27FC236}">
                  <a16:creationId xmlns:a16="http://schemas.microsoft.com/office/drawing/2014/main" id="{0168CC52-3C90-4C17-2E54-2E66F28FF5C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7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562512" y="3089932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  <xdr:twoCellAnchor>
    <xdr:from>
      <xdr:col>4</xdr:col>
      <xdr:colOff>264340</xdr:colOff>
      <xdr:row>201</xdr:row>
      <xdr:rowOff>64770</xdr:rowOff>
    </xdr:from>
    <xdr:to>
      <xdr:col>4</xdr:col>
      <xdr:colOff>733591</xdr:colOff>
      <xdr:row>203</xdr:row>
      <xdr:rowOff>14828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EA1B84D0-62B3-44ED-95ED-FA6ACE75FF4C}"/>
            </a:ext>
          </a:extLst>
        </xdr:cNvPr>
        <xdr:cNvSpPr txBox="1"/>
      </xdr:nvSpPr>
      <xdr:spPr>
        <a:xfrm>
          <a:off x="3693340" y="41380410"/>
          <a:ext cx="469251" cy="33867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400" b="1">
              <a:solidFill>
                <a:srgbClr val="C00000"/>
              </a:solidFill>
            </a:rPr>
            <a:t>B</a:t>
          </a:r>
        </a:p>
      </xdr:txBody>
    </xdr:sp>
    <xdr:clientData/>
  </xdr:twoCellAnchor>
  <xdr:twoCellAnchor>
    <xdr:from>
      <xdr:col>1</xdr:col>
      <xdr:colOff>188140</xdr:colOff>
      <xdr:row>200</xdr:row>
      <xdr:rowOff>140970</xdr:rowOff>
    </xdr:from>
    <xdr:to>
      <xdr:col>1</xdr:col>
      <xdr:colOff>657391</xdr:colOff>
      <xdr:row>202</xdr:row>
      <xdr:rowOff>83408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ADABC1EA-1E99-4973-B4E5-AB8762F05478}"/>
            </a:ext>
          </a:extLst>
        </xdr:cNvPr>
        <xdr:cNvSpPr txBox="1"/>
      </xdr:nvSpPr>
      <xdr:spPr>
        <a:xfrm>
          <a:off x="973000" y="41258490"/>
          <a:ext cx="469251" cy="33867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400" b="1">
              <a:solidFill>
                <a:srgbClr val="C00000"/>
              </a:solidFill>
            </a:rPr>
            <a:t>B</a:t>
          </a:r>
        </a:p>
      </xdr:txBody>
    </xdr:sp>
    <xdr:clientData/>
  </xdr:twoCellAnchor>
  <xdr:twoCellAnchor>
    <xdr:from>
      <xdr:col>5</xdr:col>
      <xdr:colOff>439600</xdr:colOff>
      <xdr:row>201</xdr:row>
      <xdr:rowOff>64770</xdr:rowOff>
    </xdr:from>
    <xdr:to>
      <xdr:col>6</xdr:col>
      <xdr:colOff>139231</xdr:colOff>
      <xdr:row>203</xdr:row>
      <xdr:rowOff>14828</xdr:rowOff>
    </xdr:to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72F57C79-FE37-498F-9606-DAE8280B5D2F}"/>
            </a:ext>
          </a:extLst>
        </xdr:cNvPr>
        <xdr:cNvSpPr txBox="1"/>
      </xdr:nvSpPr>
      <xdr:spPr>
        <a:xfrm>
          <a:off x="4676320" y="41380410"/>
          <a:ext cx="469251" cy="33867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400" b="1">
              <a:solidFill>
                <a:srgbClr val="C00000"/>
              </a:solidFill>
            </a:rPr>
            <a:t>B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493058</xdr:colOff>
      <xdr:row>1</xdr:row>
      <xdr:rowOff>168088</xdr:rowOff>
    </xdr:from>
    <xdr:to>
      <xdr:col>14</xdr:col>
      <xdr:colOff>253521</xdr:colOff>
      <xdr:row>24</xdr:row>
      <xdr:rowOff>95382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69"/>
        <a:stretch/>
      </xdr:blipFill>
      <xdr:spPr>
        <a:xfrm>
          <a:off x="9905999" y="358588"/>
          <a:ext cx="3256698" cy="432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aeK1mGDMsdcKuewM9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Z285"/>
  <sheetViews>
    <sheetView tabSelected="1" view="pageBreakPreview" zoomScaleNormal="100" zoomScaleSheetLayoutView="100" zoomScalePageLayoutView="85" workbookViewId="0">
      <selection activeCell="K325" sqref="K325"/>
    </sheetView>
  </sheetViews>
  <sheetFormatPr defaultColWidth="9.21875" defaultRowHeight="15.6" x14ac:dyDescent="0.3"/>
  <cols>
    <col min="1" max="1" width="11.44140625" style="34" customWidth="1"/>
    <col min="2" max="2" width="12" style="34" customWidth="1"/>
    <col min="3" max="3" width="12.77734375" style="34" customWidth="1"/>
    <col min="4" max="4" width="13.77734375" style="34" customWidth="1"/>
    <col min="5" max="5" width="11.77734375" style="34" customWidth="1"/>
    <col min="6" max="6" width="11.21875" style="34" customWidth="1"/>
    <col min="7" max="8" width="11" style="34" customWidth="1"/>
    <col min="9" max="9" width="17.44140625" style="16" customWidth="1"/>
    <col min="10" max="10" width="11.44140625" style="16" customWidth="1"/>
    <col min="11" max="11" width="10.5546875" style="16" bestFit="1" customWidth="1"/>
    <col min="12" max="12" width="13.77734375" style="16" bestFit="1" customWidth="1"/>
    <col min="13" max="13" width="11.77734375" style="16" customWidth="1"/>
    <col min="14" max="14" width="12.5546875" style="16" customWidth="1"/>
    <col min="15" max="15" width="12.21875" style="16" customWidth="1"/>
    <col min="16" max="16" width="11.77734375" style="16" customWidth="1"/>
    <col min="17" max="18" width="9.21875" style="16"/>
    <col min="19" max="19" width="10.77734375" style="16" bestFit="1" customWidth="1"/>
    <col min="20" max="247" width="9.21875" style="16"/>
    <col min="248" max="248" width="8.77734375" style="16" customWidth="1"/>
    <col min="249" max="249" width="9.77734375" style="16" customWidth="1"/>
    <col min="250" max="250" width="14.44140625" style="16" customWidth="1"/>
    <col min="251" max="251" width="7.21875" style="16" customWidth="1"/>
    <col min="252" max="252" width="5.5546875" style="16" customWidth="1"/>
    <col min="253" max="253" width="9" style="16" customWidth="1"/>
    <col min="254" max="255" width="9.77734375" style="16" customWidth="1"/>
    <col min="256" max="256" width="11.21875" style="16" customWidth="1"/>
    <col min="257" max="257" width="2.77734375" style="16" customWidth="1"/>
    <col min="258" max="258" width="3.5546875" style="16" customWidth="1"/>
    <col min="259" max="503" width="9.21875" style="16"/>
    <col min="504" max="504" width="8.77734375" style="16" customWidth="1"/>
    <col min="505" max="505" width="9.77734375" style="16" customWidth="1"/>
    <col min="506" max="506" width="14.44140625" style="16" customWidth="1"/>
    <col min="507" max="507" width="7.21875" style="16" customWidth="1"/>
    <col min="508" max="508" width="5.5546875" style="16" customWidth="1"/>
    <col min="509" max="509" width="9" style="16" customWidth="1"/>
    <col min="510" max="511" width="9.77734375" style="16" customWidth="1"/>
    <col min="512" max="512" width="11.21875" style="16" customWidth="1"/>
    <col min="513" max="513" width="2.77734375" style="16" customWidth="1"/>
    <col min="514" max="514" width="3.5546875" style="16" customWidth="1"/>
    <col min="515" max="759" width="9.21875" style="16"/>
    <col min="760" max="760" width="8.77734375" style="16" customWidth="1"/>
    <col min="761" max="761" width="9.77734375" style="16" customWidth="1"/>
    <col min="762" max="762" width="14.44140625" style="16" customWidth="1"/>
    <col min="763" max="763" width="7.21875" style="16" customWidth="1"/>
    <col min="764" max="764" width="5.5546875" style="16" customWidth="1"/>
    <col min="765" max="765" width="9" style="16" customWidth="1"/>
    <col min="766" max="767" width="9.77734375" style="16" customWidth="1"/>
    <col min="768" max="768" width="11.21875" style="16" customWidth="1"/>
    <col min="769" max="769" width="2.77734375" style="16" customWidth="1"/>
    <col min="770" max="770" width="3.5546875" style="16" customWidth="1"/>
    <col min="771" max="1015" width="9.21875" style="16"/>
    <col min="1016" max="1016" width="8.77734375" style="16" customWidth="1"/>
    <col min="1017" max="1017" width="9.77734375" style="16" customWidth="1"/>
    <col min="1018" max="1018" width="14.44140625" style="16" customWidth="1"/>
    <col min="1019" max="1019" width="7.21875" style="16" customWidth="1"/>
    <col min="1020" max="1020" width="5.5546875" style="16" customWidth="1"/>
    <col min="1021" max="1021" width="9" style="16" customWidth="1"/>
    <col min="1022" max="1023" width="9.77734375" style="16" customWidth="1"/>
    <col min="1024" max="1024" width="11.21875" style="16" customWidth="1"/>
    <col min="1025" max="1025" width="2.77734375" style="16" customWidth="1"/>
    <col min="1026" max="1026" width="3.5546875" style="16" customWidth="1"/>
    <col min="1027" max="1271" width="9.21875" style="16"/>
    <col min="1272" max="1272" width="8.77734375" style="16" customWidth="1"/>
    <col min="1273" max="1273" width="9.77734375" style="16" customWidth="1"/>
    <col min="1274" max="1274" width="14.44140625" style="16" customWidth="1"/>
    <col min="1275" max="1275" width="7.21875" style="16" customWidth="1"/>
    <col min="1276" max="1276" width="5.5546875" style="16" customWidth="1"/>
    <col min="1277" max="1277" width="9" style="16" customWidth="1"/>
    <col min="1278" max="1279" width="9.77734375" style="16" customWidth="1"/>
    <col min="1280" max="1280" width="11.21875" style="16" customWidth="1"/>
    <col min="1281" max="1281" width="2.77734375" style="16" customWidth="1"/>
    <col min="1282" max="1282" width="3.5546875" style="16" customWidth="1"/>
    <col min="1283" max="1527" width="9.21875" style="16"/>
    <col min="1528" max="1528" width="8.77734375" style="16" customWidth="1"/>
    <col min="1529" max="1529" width="9.77734375" style="16" customWidth="1"/>
    <col min="1530" max="1530" width="14.44140625" style="16" customWidth="1"/>
    <col min="1531" max="1531" width="7.21875" style="16" customWidth="1"/>
    <col min="1532" max="1532" width="5.5546875" style="16" customWidth="1"/>
    <col min="1533" max="1533" width="9" style="16" customWidth="1"/>
    <col min="1534" max="1535" width="9.77734375" style="16" customWidth="1"/>
    <col min="1536" max="1536" width="11.21875" style="16" customWidth="1"/>
    <col min="1537" max="1537" width="2.77734375" style="16" customWidth="1"/>
    <col min="1538" max="1538" width="3.5546875" style="16" customWidth="1"/>
    <col min="1539" max="1783" width="9.21875" style="16"/>
    <col min="1784" max="1784" width="8.77734375" style="16" customWidth="1"/>
    <col min="1785" max="1785" width="9.77734375" style="16" customWidth="1"/>
    <col min="1786" max="1786" width="14.44140625" style="16" customWidth="1"/>
    <col min="1787" max="1787" width="7.21875" style="16" customWidth="1"/>
    <col min="1788" max="1788" width="5.5546875" style="16" customWidth="1"/>
    <col min="1789" max="1789" width="9" style="16" customWidth="1"/>
    <col min="1790" max="1791" width="9.77734375" style="16" customWidth="1"/>
    <col min="1792" max="1792" width="11.21875" style="16" customWidth="1"/>
    <col min="1793" max="1793" width="2.77734375" style="16" customWidth="1"/>
    <col min="1794" max="1794" width="3.5546875" style="16" customWidth="1"/>
    <col min="1795" max="2039" width="9.21875" style="16"/>
    <col min="2040" max="2040" width="8.77734375" style="16" customWidth="1"/>
    <col min="2041" max="2041" width="9.77734375" style="16" customWidth="1"/>
    <col min="2042" max="2042" width="14.44140625" style="16" customWidth="1"/>
    <col min="2043" max="2043" width="7.21875" style="16" customWidth="1"/>
    <col min="2044" max="2044" width="5.5546875" style="16" customWidth="1"/>
    <col min="2045" max="2045" width="9" style="16" customWidth="1"/>
    <col min="2046" max="2047" width="9.77734375" style="16" customWidth="1"/>
    <col min="2048" max="2048" width="11.21875" style="16" customWidth="1"/>
    <col min="2049" max="2049" width="2.77734375" style="16" customWidth="1"/>
    <col min="2050" max="2050" width="3.5546875" style="16" customWidth="1"/>
    <col min="2051" max="2295" width="9.21875" style="16"/>
    <col min="2296" max="2296" width="8.77734375" style="16" customWidth="1"/>
    <col min="2297" max="2297" width="9.77734375" style="16" customWidth="1"/>
    <col min="2298" max="2298" width="14.44140625" style="16" customWidth="1"/>
    <col min="2299" max="2299" width="7.21875" style="16" customWidth="1"/>
    <col min="2300" max="2300" width="5.5546875" style="16" customWidth="1"/>
    <col min="2301" max="2301" width="9" style="16" customWidth="1"/>
    <col min="2302" max="2303" width="9.77734375" style="16" customWidth="1"/>
    <col min="2304" max="2304" width="11.21875" style="16" customWidth="1"/>
    <col min="2305" max="2305" width="2.77734375" style="16" customWidth="1"/>
    <col min="2306" max="2306" width="3.5546875" style="16" customWidth="1"/>
    <col min="2307" max="2551" width="9.21875" style="16"/>
    <col min="2552" max="2552" width="8.77734375" style="16" customWidth="1"/>
    <col min="2553" max="2553" width="9.77734375" style="16" customWidth="1"/>
    <col min="2554" max="2554" width="14.44140625" style="16" customWidth="1"/>
    <col min="2555" max="2555" width="7.21875" style="16" customWidth="1"/>
    <col min="2556" max="2556" width="5.5546875" style="16" customWidth="1"/>
    <col min="2557" max="2557" width="9" style="16" customWidth="1"/>
    <col min="2558" max="2559" width="9.77734375" style="16" customWidth="1"/>
    <col min="2560" max="2560" width="11.21875" style="16" customWidth="1"/>
    <col min="2561" max="2561" width="2.77734375" style="16" customWidth="1"/>
    <col min="2562" max="2562" width="3.5546875" style="16" customWidth="1"/>
    <col min="2563" max="2807" width="9.21875" style="16"/>
    <col min="2808" max="2808" width="8.77734375" style="16" customWidth="1"/>
    <col min="2809" max="2809" width="9.77734375" style="16" customWidth="1"/>
    <col min="2810" max="2810" width="14.44140625" style="16" customWidth="1"/>
    <col min="2811" max="2811" width="7.21875" style="16" customWidth="1"/>
    <col min="2812" max="2812" width="5.5546875" style="16" customWidth="1"/>
    <col min="2813" max="2813" width="9" style="16" customWidth="1"/>
    <col min="2814" max="2815" width="9.77734375" style="16" customWidth="1"/>
    <col min="2816" max="2816" width="11.21875" style="16" customWidth="1"/>
    <col min="2817" max="2817" width="2.77734375" style="16" customWidth="1"/>
    <col min="2818" max="2818" width="3.5546875" style="16" customWidth="1"/>
    <col min="2819" max="3063" width="9.21875" style="16"/>
    <col min="3064" max="3064" width="8.77734375" style="16" customWidth="1"/>
    <col min="3065" max="3065" width="9.77734375" style="16" customWidth="1"/>
    <col min="3066" max="3066" width="14.44140625" style="16" customWidth="1"/>
    <col min="3067" max="3067" width="7.21875" style="16" customWidth="1"/>
    <col min="3068" max="3068" width="5.5546875" style="16" customWidth="1"/>
    <col min="3069" max="3069" width="9" style="16" customWidth="1"/>
    <col min="3070" max="3071" width="9.77734375" style="16" customWidth="1"/>
    <col min="3072" max="3072" width="11.21875" style="16" customWidth="1"/>
    <col min="3073" max="3073" width="2.77734375" style="16" customWidth="1"/>
    <col min="3074" max="3074" width="3.5546875" style="16" customWidth="1"/>
    <col min="3075" max="3319" width="9.21875" style="16"/>
    <col min="3320" max="3320" width="8.77734375" style="16" customWidth="1"/>
    <col min="3321" max="3321" width="9.77734375" style="16" customWidth="1"/>
    <col min="3322" max="3322" width="14.44140625" style="16" customWidth="1"/>
    <col min="3323" max="3323" width="7.21875" style="16" customWidth="1"/>
    <col min="3324" max="3324" width="5.5546875" style="16" customWidth="1"/>
    <col min="3325" max="3325" width="9" style="16" customWidth="1"/>
    <col min="3326" max="3327" width="9.77734375" style="16" customWidth="1"/>
    <col min="3328" max="3328" width="11.21875" style="16" customWidth="1"/>
    <col min="3329" max="3329" width="2.77734375" style="16" customWidth="1"/>
    <col min="3330" max="3330" width="3.5546875" style="16" customWidth="1"/>
    <col min="3331" max="3575" width="9.21875" style="16"/>
    <col min="3576" max="3576" width="8.77734375" style="16" customWidth="1"/>
    <col min="3577" max="3577" width="9.77734375" style="16" customWidth="1"/>
    <col min="3578" max="3578" width="14.44140625" style="16" customWidth="1"/>
    <col min="3579" max="3579" width="7.21875" style="16" customWidth="1"/>
    <col min="3580" max="3580" width="5.5546875" style="16" customWidth="1"/>
    <col min="3581" max="3581" width="9" style="16" customWidth="1"/>
    <col min="3582" max="3583" width="9.77734375" style="16" customWidth="1"/>
    <col min="3584" max="3584" width="11.21875" style="16" customWidth="1"/>
    <col min="3585" max="3585" width="2.77734375" style="16" customWidth="1"/>
    <col min="3586" max="3586" width="3.5546875" style="16" customWidth="1"/>
    <col min="3587" max="3831" width="9.21875" style="16"/>
    <col min="3832" max="3832" width="8.77734375" style="16" customWidth="1"/>
    <col min="3833" max="3833" width="9.77734375" style="16" customWidth="1"/>
    <col min="3834" max="3834" width="14.44140625" style="16" customWidth="1"/>
    <col min="3835" max="3835" width="7.21875" style="16" customWidth="1"/>
    <col min="3836" max="3836" width="5.5546875" style="16" customWidth="1"/>
    <col min="3837" max="3837" width="9" style="16" customWidth="1"/>
    <col min="3838" max="3839" width="9.77734375" style="16" customWidth="1"/>
    <col min="3840" max="3840" width="11.21875" style="16" customWidth="1"/>
    <col min="3841" max="3841" width="2.77734375" style="16" customWidth="1"/>
    <col min="3842" max="3842" width="3.5546875" style="16" customWidth="1"/>
    <col min="3843" max="4087" width="9.21875" style="16"/>
    <col min="4088" max="4088" width="8.77734375" style="16" customWidth="1"/>
    <col min="4089" max="4089" width="9.77734375" style="16" customWidth="1"/>
    <col min="4090" max="4090" width="14.44140625" style="16" customWidth="1"/>
    <col min="4091" max="4091" width="7.21875" style="16" customWidth="1"/>
    <col min="4092" max="4092" width="5.5546875" style="16" customWidth="1"/>
    <col min="4093" max="4093" width="9" style="16" customWidth="1"/>
    <col min="4094" max="4095" width="9.77734375" style="16" customWidth="1"/>
    <col min="4096" max="4096" width="11.21875" style="16" customWidth="1"/>
    <col min="4097" max="4097" width="2.77734375" style="16" customWidth="1"/>
    <col min="4098" max="4098" width="3.5546875" style="16" customWidth="1"/>
    <col min="4099" max="4343" width="9.21875" style="16"/>
    <col min="4344" max="4344" width="8.77734375" style="16" customWidth="1"/>
    <col min="4345" max="4345" width="9.77734375" style="16" customWidth="1"/>
    <col min="4346" max="4346" width="14.44140625" style="16" customWidth="1"/>
    <col min="4347" max="4347" width="7.21875" style="16" customWidth="1"/>
    <col min="4348" max="4348" width="5.5546875" style="16" customWidth="1"/>
    <col min="4349" max="4349" width="9" style="16" customWidth="1"/>
    <col min="4350" max="4351" width="9.77734375" style="16" customWidth="1"/>
    <col min="4352" max="4352" width="11.21875" style="16" customWidth="1"/>
    <col min="4353" max="4353" width="2.77734375" style="16" customWidth="1"/>
    <col min="4354" max="4354" width="3.5546875" style="16" customWidth="1"/>
    <col min="4355" max="4599" width="9.21875" style="16"/>
    <col min="4600" max="4600" width="8.77734375" style="16" customWidth="1"/>
    <col min="4601" max="4601" width="9.77734375" style="16" customWidth="1"/>
    <col min="4602" max="4602" width="14.44140625" style="16" customWidth="1"/>
    <col min="4603" max="4603" width="7.21875" style="16" customWidth="1"/>
    <col min="4604" max="4604" width="5.5546875" style="16" customWidth="1"/>
    <col min="4605" max="4605" width="9" style="16" customWidth="1"/>
    <col min="4606" max="4607" width="9.77734375" style="16" customWidth="1"/>
    <col min="4608" max="4608" width="11.21875" style="16" customWidth="1"/>
    <col min="4609" max="4609" width="2.77734375" style="16" customWidth="1"/>
    <col min="4610" max="4610" width="3.5546875" style="16" customWidth="1"/>
    <col min="4611" max="4855" width="9.21875" style="16"/>
    <col min="4856" max="4856" width="8.77734375" style="16" customWidth="1"/>
    <col min="4857" max="4857" width="9.77734375" style="16" customWidth="1"/>
    <col min="4858" max="4858" width="14.44140625" style="16" customWidth="1"/>
    <col min="4859" max="4859" width="7.21875" style="16" customWidth="1"/>
    <col min="4860" max="4860" width="5.5546875" style="16" customWidth="1"/>
    <col min="4861" max="4861" width="9" style="16" customWidth="1"/>
    <col min="4862" max="4863" width="9.77734375" style="16" customWidth="1"/>
    <col min="4864" max="4864" width="11.21875" style="16" customWidth="1"/>
    <col min="4865" max="4865" width="2.77734375" style="16" customWidth="1"/>
    <col min="4866" max="4866" width="3.5546875" style="16" customWidth="1"/>
    <col min="4867" max="5111" width="9.21875" style="16"/>
    <col min="5112" max="5112" width="8.77734375" style="16" customWidth="1"/>
    <col min="5113" max="5113" width="9.77734375" style="16" customWidth="1"/>
    <col min="5114" max="5114" width="14.44140625" style="16" customWidth="1"/>
    <col min="5115" max="5115" width="7.21875" style="16" customWidth="1"/>
    <col min="5116" max="5116" width="5.5546875" style="16" customWidth="1"/>
    <col min="5117" max="5117" width="9" style="16" customWidth="1"/>
    <col min="5118" max="5119" width="9.77734375" style="16" customWidth="1"/>
    <col min="5120" max="5120" width="11.21875" style="16" customWidth="1"/>
    <col min="5121" max="5121" width="2.77734375" style="16" customWidth="1"/>
    <col min="5122" max="5122" width="3.5546875" style="16" customWidth="1"/>
    <col min="5123" max="5367" width="9.21875" style="16"/>
    <col min="5368" max="5368" width="8.77734375" style="16" customWidth="1"/>
    <col min="5369" max="5369" width="9.77734375" style="16" customWidth="1"/>
    <col min="5370" max="5370" width="14.44140625" style="16" customWidth="1"/>
    <col min="5371" max="5371" width="7.21875" style="16" customWidth="1"/>
    <col min="5372" max="5372" width="5.5546875" style="16" customWidth="1"/>
    <col min="5373" max="5373" width="9" style="16" customWidth="1"/>
    <col min="5374" max="5375" width="9.77734375" style="16" customWidth="1"/>
    <col min="5376" max="5376" width="11.21875" style="16" customWidth="1"/>
    <col min="5377" max="5377" width="2.77734375" style="16" customWidth="1"/>
    <col min="5378" max="5378" width="3.5546875" style="16" customWidth="1"/>
    <col min="5379" max="5623" width="9.21875" style="16"/>
    <col min="5624" max="5624" width="8.77734375" style="16" customWidth="1"/>
    <col min="5625" max="5625" width="9.77734375" style="16" customWidth="1"/>
    <col min="5626" max="5626" width="14.44140625" style="16" customWidth="1"/>
    <col min="5627" max="5627" width="7.21875" style="16" customWidth="1"/>
    <col min="5628" max="5628" width="5.5546875" style="16" customWidth="1"/>
    <col min="5629" max="5629" width="9" style="16" customWidth="1"/>
    <col min="5630" max="5631" width="9.77734375" style="16" customWidth="1"/>
    <col min="5632" max="5632" width="11.21875" style="16" customWidth="1"/>
    <col min="5633" max="5633" width="2.77734375" style="16" customWidth="1"/>
    <col min="5634" max="5634" width="3.5546875" style="16" customWidth="1"/>
    <col min="5635" max="5879" width="9.21875" style="16"/>
    <col min="5880" max="5880" width="8.77734375" style="16" customWidth="1"/>
    <col min="5881" max="5881" width="9.77734375" style="16" customWidth="1"/>
    <col min="5882" max="5882" width="14.44140625" style="16" customWidth="1"/>
    <col min="5883" max="5883" width="7.21875" style="16" customWidth="1"/>
    <col min="5884" max="5884" width="5.5546875" style="16" customWidth="1"/>
    <col min="5885" max="5885" width="9" style="16" customWidth="1"/>
    <col min="5886" max="5887" width="9.77734375" style="16" customWidth="1"/>
    <col min="5888" max="5888" width="11.21875" style="16" customWidth="1"/>
    <col min="5889" max="5889" width="2.77734375" style="16" customWidth="1"/>
    <col min="5890" max="5890" width="3.5546875" style="16" customWidth="1"/>
    <col min="5891" max="6135" width="9.21875" style="16"/>
    <col min="6136" max="6136" width="8.77734375" style="16" customWidth="1"/>
    <col min="6137" max="6137" width="9.77734375" style="16" customWidth="1"/>
    <col min="6138" max="6138" width="14.44140625" style="16" customWidth="1"/>
    <col min="6139" max="6139" width="7.21875" style="16" customWidth="1"/>
    <col min="6140" max="6140" width="5.5546875" style="16" customWidth="1"/>
    <col min="6141" max="6141" width="9" style="16" customWidth="1"/>
    <col min="6142" max="6143" width="9.77734375" style="16" customWidth="1"/>
    <col min="6144" max="6144" width="11.21875" style="16" customWidth="1"/>
    <col min="6145" max="6145" width="2.77734375" style="16" customWidth="1"/>
    <col min="6146" max="6146" width="3.5546875" style="16" customWidth="1"/>
    <col min="6147" max="6391" width="9.21875" style="16"/>
    <col min="6392" max="6392" width="8.77734375" style="16" customWidth="1"/>
    <col min="6393" max="6393" width="9.77734375" style="16" customWidth="1"/>
    <col min="6394" max="6394" width="14.44140625" style="16" customWidth="1"/>
    <col min="6395" max="6395" width="7.21875" style="16" customWidth="1"/>
    <col min="6396" max="6396" width="5.5546875" style="16" customWidth="1"/>
    <col min="6397" max="6397" width="9" style="16" customWidth="1"/>
    <col min="6398" max="6399" width="9.77734375" style="16" customWidth="1"/>
    <col min="6400" max="6400" width="11.21875" style="16" customWidth="1"/>
    <col min="6401" max="6401" width="2.77734375" style="16" customWidth="1"/>
    <col min="6402" max="6402" width="3.5546875" style="16" customWidth="1"/>
    <col min="6403" max="6647" width="9.21875" style="16"/>
    <col min="6648" max="6648" width="8.77734375" style="16" customWidth="1"/>
    <col min="6649" max="6649" width="9.77734375" style="16" customWidth="1"/>
    <col min="6650" max="6650" width="14.44140625" style="16" customWidth="1"/>
    <col min="6651" max="6651" width="7.21875" style="16" customWidth="1"/>
    <col min="6652" max="6652" width="5.5546875" style="16" customWidth="1"/>
    <col min="6653" max="6653" width="9" style="16" customWidth="1"/>
    <col min="6654" max="6655" width="9.77734375" style="16" customWidth="1"/>
    <col min="6656" max="6656" width="11.21875" style="16" customWidth="1"/>
    <col min="6657" max="6657" width="2.77734375" style="16" customWidth="1"/>
    <col min="6658" max="6658" width="3.5546875" style="16" customWidth="1"/>
    <col min="6659" max="6903" width="9.21875" style="16"/>
    <col min="6904" max="6904" width="8.77734375" style="16" customWidth="1"/>
    <col min="6905" max="6905" width="9.77734375" style="16" customWidth="1"/>
    <col min="6906" max="6906" width="14.44140625" style="16" customWidth="1"/>
    <col min="6907" max="6907" width="7.21875" style="16" customWidth="1"/>
    <col min="6908" max="6908" width="5.5546875" style="16" customWidth="1"/>
    <col min="6909" max="6909" width="9" style="16" customWidth="1"/>
    <col min="6910" max="6911" width="9.77734375" style="16" customWidth="1"/>
    <col min="6912" max="6912" width="11.21875" style="16" customWidth="1"/>
    <col min="6913" max="6913" width="2.77734375" style="16" customWidth="1"/>
    <col min="6914" max="6914" width="3.5546875" style="16" customWidth="1"/>
    <col min="6915" max="7159" width="9.21875" style="16"/>
    <col min="7160" max="7160" width="8.77734375" style="16" customWidth="1"/>
    <col min="7161" max="7161" width="9.77734375" style="16" customWidth="1"/>
    <col min="7162" max="7162" width="14.44140625" style="16" customWidth="1"/>
    <col min="7163" max="7163" width="7.21875" style="16" customWidth="1"/>
    <col min="7164" max="7164" width="5.5546875" style="16" customWidth="1"/>
    <col min="7165" max="7165" width="9" style="16" customWidth="1"/>
    <col min="7166" max="7167" width="9.77734375" style="16" customWidth="1"/>
    <col min="7168" max="7168" width="11.21875" style="16" customWidth="1"/>
    <col min="7169" max="7169" width="2.77734375" style="16" customWidth="1"/>
    <col min="7170" max="7170" width="3.5546875" style="16" customWidth="1"/>
    <col min="7171" max="7415" width="9.21875" style="16"/>
    <col min="7416" max="7416" width="8.77734375" style="16" customWidth="1"/>
    <col min="7417" max="7417" width="9.77734375" style="16" customWidth="1"/>
    <col min="7418" max="7418" width="14.44140625" style="16" customWidth="1"/>
    <col min="7419" max="7419" width="7.21875" style="16" customWidth="1"/>
    <col min="7420" max="7420" width="5.5546875" style="16" customWidth="1"/>
    <col min="7421" max="7421" width="9" style="16" customWidth="1"/>
    <col min="7422" max="7423" width="9.77734375" style="16" customWidth="1"/>
    <col min="7424" max="7424" width="11.21875" style="16" customWidth="1"/>
    <col min="7425" max="7425" width="2.77734375" style="16" customWidth="1"/>
    <col min="7426" max="7426" width="3.5546875" style="16" customWidth="1"/>
    <col min="7427" max="7671" width="9.21875" style="16"/>
    <col min="7672" max="7672" width="8.77734375" style="16" customWidth="1"/>
    <col min="7673" max="7673" width="9.77734375" style="16" customWidth="1"/>
    <col min="7674" max="7674" width="14.44140625" style="16" customWidth="1"/>
    <col min="7675" max="7675" width="7.21875" style="16" customWidth="1"/>
    <col min="7676" max="7676" width="5.5546875" style="16" customWidth="1"/>
    <col min="7677" max="7677" width="9" style="16" customWidth="1"/>
    <col min="7678" max="7679" width="9.77734375" style="16" customWidth="1"/>
    <col min="7680" max="7680" width="11.21875" style="16" customWidth="1"/>
    <col min="7681" max="7681" width="2.77734375" style="16" customWidth="1"/>
    <col min="7682" max="7682" width="3.5546875" style="16" customWidth="1"/>
    <col min="7683" max="7927" width="9.21875" style="16"/>
    <col min="7928" max="7928" width="8.77734375" style="16" customWidth="1"/>
    <col min="7929" max="7929" width="9.77734375" style="16" customWidth="1"/>
    <col min="7930" max="7930" width="14.44140625" style="16" customWidth="1"/>
    <col min="7931" max="7931" width="7.21875" style="16" customWidth="1"/>
    <col min="7932" max="7932" width="5.5546875" style="16" customWidth="1"/>
    <col min="7933" max="7933" width="9" style="16" customWidth="1"/>
    <col min="7934" max="7935" width="9.77734375" style="16" customWidth="1"/>
    <col min="7936" max="7936" width="11.21875" style="16" customWidth="1"/>
    <col min="7937" max="7937" width="2.77734375" style="16" customWidth="1"/>
    <col min="7938" max="7938" width="3.5546875" style="16" customWidth="1"/>
    <col min="7939" max="8183" width="9.21875" style="16"/>
    <col min="8184" max="8184" width="8.77734375" style="16" customWidth="1"/>
    <col min="8185" max="8185" width="9.77734375" style="16" customWidth="1"/>
    <col min="8186" max="8186" width="14.44140625" style="16" customWidth="1"/>
    <col min="8187" max="8187" width="7.21875" style="16" customWidth="1"/>
    <col min="8188" max="8188" width="5.5546875" style="16" customWidth="1"/>
    <col min="8189" max="8189" width="9" style="16" customWidth="1"/>
    <col min="8190" max="8191" width="9.77734375" style="16" customWidth="1"/>
    <col min="8192" max="8192" width="11.21875" style="16" customWidth="1"/>
    <col min="8193" max="8193" width="2.77734375" style="16" customWidth="1"/>
    <col min="8194" max="8194" width="3.5546875" style="16" customWidth="1"/>
    <col min="8195" max="8439" width="9.21875" style="16"/>
    <col min="8440" max="8440" width="8.77734375" style="16" customWidth="1"/>
    <col min="8441" max="8441" width="9.77734375" style="16" customWidth="1"/>
    <col min="8442" max="8442" width="14.44140625" style="16" customWidth="1"/>
    <col min="8443" max="8443" width="7.21875" style="16" customWidth="1"/>
    <col min="8444" max="8444" width="5.5546875" style="16" customWidth="1"/>
    <col min="8445" max="8445" width="9" style="16" customWidth="1"/>
    <col min="8446" max="8447" width="9.77734375" style="16" customWidth="1"/>
    <col min="8448" max="8448" width="11.21875" style="16" customWidth="1"/>
    <col min="8449" max="8449" width="2.77734375" style="16" customWidth="1"/>
    <col min="8450" max="8450" width="3.5546875" style="16" customWidth="1"/>
    <col min="8451" max="8695" width="9.21875" style="16"/>
    <col min="8696" max="8696" width="8.77734375" style="16" customWidth="1"/>
    <col min="8697" max="8697" width="9.77734375" style="16" customWidth="1"/>
    <col min="8698" max="8698" width="14.44140625" style="16" customWidth="1"/>
    <col min="8699" max="8699" width="7.21875" style="16" customWidth="1"/>
    <col min="8700" max="8700" width="5.5546875" style="16" customWidth="1"/>
    <col min="8701" max="8701" width="9" style="16" customWidth="1"/>
    <col min="8702" max="8703" width="9.77734375" style="16" customWidth="1"/>
    <col min="8704" max="8704" width="11.21875" style="16" customWidth="1"/>
    <col min="8705" max="8705" width="2.77734375" style="16" customWidth="1"/>
    <col min="8706" max="8706" width="3.5546875" style="16" customWidth="1"/>
    <col min="8707" max="8951" width="9.21875" style="16"/>
    <col min="8952" max="8952" width="8.77734375" style="16" customWidth="1"/>
    <col min="8953" max="8953" width="9.77734375" style="16" customWidth="1"/>
    <col min="8954" max="8954" width="14.44140625" style="16" customWidth="1"/>
    <col min="8955" max="8955" width="7.21875" style="16" customWidth="1"/>
    <col min="8956" max="8956" width="5.5546875" style="16" customWidth="1"/>
    <col min="8957" max="8957" width="9" style="16" customWidth="1"/>
    <col min="8958" max="8959" width="9.77734375" style="16" customWidth="1"/>
    <col min="8960" max="8960" width="11.21875" style="16" customWidth="1"/>
    <col min="8961" max="8961" width="2.77734375" style="16" customWidth="1"/>
    <col min="8962" max="8962" width="3.5546875" style="16" customWidth="1"/>
    <col min="8963" max="9207" width="9.21875" style="16"/>
    <col min="9208" max="9208" width="8.77734375" style="16" customWidth="1"/>
    <col min="9209" max="9209" width="9.77734375" style="16" customWidth="1"/>
    <col min="9210" max="9210" width="14.44140625" style="16" customWidth="1"/>
    <col min="9211" max="9211" width="7.21875" style="16" customWidth="1"/>
    <col min="9212" max="9212" width="5.5546875" style="16" customWidth="1"/>
    <col min="9213" max="9213" width="9" style="16" customWidth="1"/>
    <col min="9214" max="9215" width="9.77734375" style="16" customWidth="1"/>
    <col min="9216" max="9216" width="11.21875" style="16" customWidth="1"/>
    <col min="9217" max="9217" width="2.77734375" style="16" customWidth="1"/>
    <col min="9218" max="9218" width="3.5546875" style="16" customWidth="1"/>
    <col min="9219" max="9463" width="9.21875" style="16"/>
    <col min="9464" max="9464" width="8.77734375" style="16" customWidth="1"/>
    <col min="9465" max="9465" width="9.77734375" style="16" customWidth="1"/>
    <col min="9466" max="9466" width="14.44140625" style="16" customWidth="1"/>
    <col min="9467" max="9467" width="7.21875" style="16" customWidth="1"/>
    <col min="9468" max="9468" width="5.5546875" style="16" customWidth="1"/>
    <col min="9469" max="9469" width="9" style="16" customWidth="1"/>
    <col min="9470" max="9471" width="9.77734375" style="16" customWidth="1"/>
    <col min="9472" max="9472" width="11.21875" style="16" customWidth="1"/>
    <col min="9473" max="9473" width="2.77734375" style="16" customWidth="1"/>
    <col min="9474" max="9474" width="3.5546875" style="16" customWidth="1"/>
    <col min="9475" max="9719" width="9.21875" style="16"/>
    <col min="9720" max="9720" width="8.77734375" style="16" customWidth="1"/>
    <col min="9721" max="9721" width="9.77734375" style="16" customWidth="1"/>
    <col min="9722" max="9722" width="14.44140625" style="16" customWidth="1"/>
    <col min="9723" max="9723" width="7.21875" style="16" customWidth="1"/>
    <col min="9724" max="9724" width="5.5546875" style="16" customWidth="1"/>
    <col min="9725" max="9725" width="9" style="16" customWidth="1"/>
    <col min="9726" max="9727" width="9.77734375" style="16" customWidth="1"/>
    <col min="9728" max="9728" width="11.21875" style="16" customWidth="1"/>
    <col min="9729" max="9729" width="2.77734375" style="16" customWidth="1"/>
    <col min="9730" max="9730" width="3.5546875" style="16" customWidth="1"/>
    <col min="9731" max="9975" width="9.21875" style="16"/>
    <col min="9976" max="9976" width="8.77734375" style="16" customWidth="1"/>
    <col min="9977" max="9977" width="9.77734375" style="16" customWidth="1"/>
    <col min="9978" max="9978" width="14.44140625" style="16" customWidth="1"/>
    <col min="9979" max="9979" width="7.21875" style="16" customWidth="1"/>
    <col min="9980" max="9980" width="5.5546875" style="16" customWidth="1"/>
    <col min="9981" max="9981" width="9" style="16" customWidth="1"/>
    <col min="9982" max="9983" width="9.77734375" style="16" customWidth="1"/>
    <col min="9984" max="9984" width="11.21875" style="16" customWidth="1"/>
    <col min="9985" max="9985" width="2.77734375" style="16" customWidth="1"/>
    <col min="9986" max="9986" width="3.5546875" style="16" customWidth="1"/>
    <col min="9987" max="10231" width="9.21875" style="16"/>
    <col min="10232" max="10232" width="8.77734375" style="16" customWidth="1"/>
    <col min="10233" max="10233" width="9.77734375" style="16" customWidth="1"/>
    <col min="10234" max="10234" width="14.44140625" style="16" customWidth="1"/>
    <col min="10235" max="10235" width="7.21875" style="16" customWidth="1"/>
    <col min="10236" max="10236" width="5.5546875" style="16" customWidth="1"/>
    <col min="10237" max="10237" width="9" style="16" customWidth="1"/>
    <col min="10238" max="10239" width="9.77734375" style="16" customWidth="1"/>
    <col min="10240" max="10240" width="11.21875" style="16" customWidth="1"/>
    <col min="10241" max="10241" width="2.77734375" style="16" customWidth="1"/>
    <col min="10242" max="10242" width="3.5546875" style="16" customWidth="1"/>
    <col min="10243" max="10487" width="9.21875" style="16"/>
    <col min="10488" max="10488" width="8.77734375" style="16" customWidth="1"/>
    <col min="10489" max="10489" width="9.77734375" style="16" customWidth="1"/>
    <col min="10490" max="10490" width="14.44140625" style="16" customWidth="1"/>
    <col min="10491" max="10491" width="7.21875" style="16" customWidth="1"/>
    <col min="10492" max="10492" width="5.5546875" style="16" customWidth="1"/>
    <col min="10493" max="10493" width="9" style="16" customWidth="1"/>
    <col min="10494" max="10495" width="9.77734375" style="16" customWidth="1"/>
    <col min="10496" max="10496" width="11.21875" style="16" customWidth="1"/>
    <col min="10497" max="10497" width="2.77734375" style="16" customWidth="1"/>
    <col min="10498" max="10498" width="3.5546875" style="16" customWidth="1"/>
    <col min="10499" max="10743" width="9.21875" style="16"/>
    <col min="10744" max="10744" width="8.77734375" style="16" customWidth="1"/>
    <col min="10745" max="10745" width="9.77734375" style="16" customWidth="1"/>
    <col min="10746" max="10746" width="14.44140625" style="16" customWidth="1"/>
    <col min="10747" max="10747" width="7.21875" style="16" customWidth="1"/>
    <col min="10748" max="10748" width="5.5546875" style="16" customWidth="1"/>
    <col min="10749" max="10749" width="9" style="16" customWidth="1"/>
    <col min="10750" max="10751" width="9.77734375" style="16" customWidth="1"/>
    <col min="10752" max="10752" width="11.21875" style="16" customWidth="1"/>
    <col min="10753" max="10753" width="2.77734375" style="16" customWidth="1"/>
    <col min="10754" max="10754" width="3.5546875" style="16" customWidth="1"/>
    <col min="10755" max="10999" width="9.21875" style="16"/>
    <col min="11000" max="11000" width="8.77734375" style="16" customWidth="1"/>
    <col min="11001" max="11001" width="9.77734375" style="16" customWidth="1"/>
    <col min="11002" max="11002" width="14.44140625" style="16" customWidth="1"/>
    <col min="11003" max="11003" width="7.21875" style="16" customWidth="1"/>
    <col min="11004" max="11004" width="5.5546875" style="16" customWidth="1"/>
    <col min="11005" max="11005" width="9" style="16" customWidth="1"/>
    <col min="11006" max="11007" width="9.77734375" style="16" customWidth="1"/>
    <col min="11008" max="11008" width="11.21875" style="16" customWidth="1"/>
    <col min="11009" max="11009" width="2.77734375" style="16" customWidth="1"/>
    <col min="11010" max="11010" width="3.5546875" style="16" customWidth="1"/>
    <col min="11011" max="11255" width="9.21875" style="16"/>
    <col min="11256" max="11256" width="8.77734375" style="16" customWidth="1"/>
    <col min="11257" max="11257" width="9.77734375" style="16" customWidth="1"/>
    <col min="11258" max="11258" width="14.44140625" style="16" customWidth="1"/>
    <col min="11259" max="11259" width="7.21875" style="16" customWidth="1"/>
    <col min="11260" max="11260" width="5.5546875" style="16" customWidth="1"/>
    <col min="11261" max="11261" width="9" style="16" customWidth="1"/>
    <col min="11262" max="11263" width="9.77734375" style="16" customWidth="1"/>
    <col min="11264" max="11264" width="11.21875" style="16" customWidth="1"/>
    <col min="11265" max="11265" width="2.77734375" style="16" customWidth="1"/>
    <col min="11266" max="11266" width="3.5546875" style="16" customWidth="1"/>
    <col min="11267" max="11511" width="9.21875" style="16"/>
    <col min="11512" max="11512" width="8.77734375" style="16" customWidth="1"/>
    <col min="11513" max="11513" width="9.77734375" style="16" customWidth="1"/>
    <col min="11514" max="11514" width="14.44140625" style="16" customWidth="1"/>
    <col min="11515" max="11515" width="7.21875" style="16" customWidth="1"/>
    <col min="11516" max="11516" width="5.5546875" style="16" customWidth="1"/>
    <col min="11517" max="11517" width="9" style="16" customWidth="1"/>
    <col min="11518" max="11519" width="9.77734375" style="16" customWidth="1"/>
    <col min="11520" max="11520" width="11.21875" style="16" customWidth="1"/>
    <col min="11521" max="11521" width="2.77734375" style="16" customWidth="1"/>
    <col min="11522" max="11522" width="3.5546875" style="16" customWidth="1"/>
    <col min="11523" max="11767" width="9.21875" style="16"/>
    <col min="11768" max="11768" width="8.77734375" style="16" customWidth="1"/>
    <col min="11769" max="11769" width="9.77734375" style="16" customWidth="1"/>
    <col min="11770" max="11770" width="14.44140625" style="16" customWidth="1"/>
    <col min="11771" max="11771" width="7.21875" style="16" customWidth="1"/>
    <col min="11772" max="11772" width="5.5546875" style="16" customWidth="1"/>
    <col min="11773" max="11773" width="9" style="16" customWidth="1"/>
    <col min="11774" max="11775" width="9.77734375" style="16" customWidth="1"/>
    <col min="11776" max="11776" width="11.21875" style="16" customWidth="1"/>
    <col min="11777" max="11777" width="2.77734375" style="16" customWidth="1"/>
    <col min="11778" max="11778" width="3.5546875" style="16" customWidth="1"/>
    <col min="11779" max="12023" width="9.21875" style="16"/>
    <col min="12024" max="12024" width="8.77734375" style="16" customWidth="1"/>
    <col min="12025" max="12025" width="9.77734375" style="16" customWidth="1"/>
    <col min="12026" max="12026" width="14.44140625" style="16" customWidth="1"/>
    <col min="12027" max="12027" width="7.21875" style="16" customWidth="1"/>
    <col min="12028" max="12028" width="5.5546875" style="16" customWidth="1"/>
    <col min="12029" max="12029" width="9" style="16" customWidth="1"/>
    <col min="12030" max="12031" width="9.77734375" style="16" customWidth="1"/>
    <col min="12032" max="12032" width="11.21875" style="16" customWidth="1"/>
    <col min="12033" max="12033" width="2.77734375" style="16" customWidth="1"/>
    <col min="12034" max="12034" width="3.5546875" style="16" customWidth="1"/>
    <col min="12035" max="12279" width="9.21875" style="16"/>
    <col min="12280" max="12280" width="8.77734375" style="16" customWidth="1"/>
    <col min="12281" max="12281" width="9.77734375" style="16" customWidth="1"/>
    <col min="12282" max="12282" width="14.44140625" style="16" customWidth="1"/>
    <col min="12283" max="12283" width="7.21875" style="16" customWidth="1"/>
    <col min="12284" max="12284" width="5.5546875" style="16" customWidth="1"/>
    <col min="12285" max="12285" width="9" style="16" customWidth="1"/>
    <col min="12286" max="12287" width="9.77734375" style="16" customWidth="1"/>
    <col min="12288" max="12288" width="11.21875" style="16" customWidth="1"/>
    <col min="12289" max="12289" width="2.77734375" style="16" customWidth="1"/>
    <col min="12290" max="12290" width="3.5546875" style="16" customWidth="1"/>
    <col min="12291" max="12535" width="9.21875" style="16"/>
    <col min="12536" max="12536" width="8.77734375" style="16" customWidth="1"/>
    <col min="12537" max="12537" width="9.77734375" style="16" customWidth="1"/>
    <col min="12538" max="12538" width="14.44140625" style="16" customWidth="1"/>
    <col min="12539" max="12539" width="7.21875" style="16" customWidth="1"/>
    <col min="12540" max="12540" width="5.5546875" style="16" customWidth="1"/>
    <col min="12541" max="12541" width="9" style="16" customWidth="1"/>
    <col min="12542" max="12543" width="9.77734375" style="16" customWidth="1"/>
    <col min="12544" max="12544" width="11.21875" style="16" customWidth="1"/>
    <col min="12545" max="12545" width="2.77734375" style="16" customWidth="1"/>
    <col min="12546" max="12546" width="3.5546875" style="16" customWidth="1"/>
    <col min="12547" max="12791" width="9.21875" style="16"/>
    <col min="12792" max="12792" width="8.77734375" style="16" customWidth="1"/>
    <col min="12793" max="12793" width="9.77734375" style="16" customWidth="1"/>
    <col min="12794" max="12794" width="14.44140625" style="16" customWidth="1"/>
    <col min="12795" max="12795" width="7.21875" style="16" customWidth="1"/>
    <col min="12796" max="12796" width="5.5546875" style="16" customWidth="1"/>
    <col min="12797" max="12797" width="9" style="16" customWidth="1"/>
    <col min="12798" max="12799" width="9.77734375" style="16" customWidth="1"/>
    <col min="12800" max="12800" width="11.21875" style="16" customWidth="1"/>
    <col min="12801" max="12801" width="2.77734375" style="16" customWidth="1"/>
    <col min="12802" max="12802" width="3.5546875" style="16" customWidth="1"/>
    <col min="12803" max="13047" width="9.21875" style="16"/>
    <col min="13048" max="13048" width="8.77734375" style="16" customWidth="1"/>
    <col min="13049" max="13049" width="9.77734375" style="16" customWidth="1"/>
    <col min="13050" max="13050" width="14.44140625" style="16" customWidth="1"/>
    <col min="13051" max="13051" width="7.21875" style="16" customWidth="1"/>
    <col min="13052" max="13052" width="5.5546875" style="16" customWidth="1"/>
    <col min="13053" max="13053" width="9" style="16" customWidth="1"/>
    <col min="13054" max="13055" width="9.77734375" style="16" customWidth="1"/>
    <col min="13056" max="13056" width="11.21875" style="16" customWidth="1"/>
    <col min="13057" max="13057" width="2.77734375" style="16" customWidth="1"/>
    <col min="13058" max="13058" width="3.5546875" style="16" customWidth="1"/>
    <col min="13059" max="13303" width="9.21875" style="16"/>
    <col min="13304" max="13304" width="8.77734375" style="16" customWidth="1"/>
    <col min="13305" max="13305" width="9.77734375" style="16" customWidth="1"/>
    <col min="13306" max="13306" width="14.44140625" style="16" customWidth="1"/>
    <col min="13307" max="13307" width="7.21875" style="16" customWidth="1"/>
    <col min="13308" max="13308" width="5.5546875" style="16" customWidth="1"/>
    <col min="13309" max="13309" width="9" style="16" customWidth="1"/>
    <col min="13310" max="13311" width="9.77734375" style="16" customWidth="1"/>
    <col min="13312" max="13312" width="11.21875" style="16" customWidth="1"/>
    <col min="13313" max="13313" width="2.77734375" style="16" customWidth="1"/>
    <col min="13314" max="13314" width="3.5546875" style="16" customWidth="1"/>
    <col min="13315" max="13559" width="9.21875" style="16"/>
    <col min="13560" max="13560" width="8.77734375" style="16" customWidth="1"/>
    <col min="13561" max="13561" width="9.77734375" style="16" customWidth="1"/>
    <col min="13562" max="13562" width="14.44140625" style="16" customWidth="1"/>
    <col min="13563" max="13563" width="7.21875" style="16" customWidth="1"/>
    <col min="13564" max="13564" width="5.5546875" style="16" customWidth="1"/>
    <col min="13565" max="13565" width="9" style="16" customWidth="1"/>
    <col min="13566" max="13567" width="9.77734375" style="16" customWidth="1"/>
    <col min="13568" max="13568" width="11.21875" style="16" customWidth="1"/>
    <col min="13569" max="13569" width="2.77734375" style="16" customWidth="1"/>
    <col min="13570" max="13570" width="3.5546875" style="16" customWidth="1"/>
    <col min="13571" max="13815" width="9.21875" style="16"/>
    <col min="13816" max="13816" width="8.77734375" style="16" customWidth="1"/>
    <col min="13817" max="13817" width="9.77734375" style="16" customWidth="1"/>
    <col min="13818" max="13818" width="14.44140625" style="16" customWidth="1"/>
    <col min="13819" max="13819" width="7.21875" style="16" customWidth="1"/>
    <col min="13820" max="13820" width="5.5546875" style="16" customWidth="1"/>
    <col min="13821" max="13821" width="9" style="16" customWidth="1"/>
    <col min="13822" max="13823" width="9.77734375" style="16" customWidth="1"/>
    <col min="13824" max="13824" width="11.21875" style="16" customWidth="1"/>
    <col min="13825" max="13825" width="2.77734375" style="16" customWidth="1"/>
    <col min="13826" max="13826" width="3.5546875" style="16" customWidth="1"/>
    <col min="13827" max="14071" width="9.21875" style="16"/>
    <col min="14072" max="14072" width="8.77734375" style="16" customWidth="1"/>
    <col min="14073" max="14073" width="9.77734375" style="16" customWidth="1"/>
    <col min="14074" max="14074" width="14.44140625" style="16" customWidth="1"/>
    <col min="14075" max="14075" width="7.21875" style="16" customWidth="1"/>
    <col min="14076" max="14076" width="5.5546875" style="16" customWidth="1"/>
    <col min="14077" max="14077" width="9" style="16" customWidth="1"/>
    <col min="14078" max="14079" width="9.77734375" style="16" customWidth="1"/>
    <col min="14080" max="14080" width="11.21875" style="16" customWidth="1"/>
    <col min="14081" max="14081" width="2.77734375" style="16" customWidth="1"/>
    <col min="14082" max="14082" width="3.5546875" style="16" customWidth="1"/>
    <col min="14083" max="14327" width="9.21875" style="16"/>
    <col min="14328" max="14328" width="8.77734375" style="16" customWidth="1"/>
    <col min="14329" max="14329" width="9.77734375" style="16" customWidth="1"/>
    <col min="14330" max="14330" width="14.44140625" style="16" customWidth="1"/>
    <col min="14331" max="14331" width="7.21875" style="16" customWidth="1"/>
    <col min="14332" max="14332" width="5.5546875" style="16" customWidth="1"/>
    <col min="14333" max="14333" width="9" style="16" customWidth="1"/>
    <col min="14334" max="14335" width="9.77734375" style="16" customWidth="1"/>
    <col min="14336" max="14336" width="11.21875" style="16" customWidth="1"/>
    <col min="14337" max="14337" width="2.77734375" style="16" customWidth="1"/>
    <col min="14338" max="14338" width="3.5546875" style="16" customWidth="1"/>
    <col min="14339" max="14583" width="9.21875" style="16"/>
    <col min="14584" max="14584" width="8.77734375" style="16" customWidth="1"/>
    <col min="14585" max="14585" width="9.77734375" style="16" customWidth="1"/>
    <col min="14586" max="14586" width="14.44140625" style="16" customWidth="1"/>
    <col min="14587" max="14587" width="7.21875" style="16" customWidth="1"/>
    <col min="14588" max="14588" width="5.5546875" style="16" customWidth="1"/>
    <col min="14589" max="14589" width="9" style="16" customWidth="1"/>
    <col min="14590" max="14591" width="9.77734375" style="16" customWidth="1"/>
    <col min="14592" max="14592" width="11.21875" style="16" customWidth="1"/>
    <col min="14593" max="14593" width="2.77734375" style="16" customWidth="1"/>
    <col min="14594" max="14594" width="3.5546875" style="16" customWidth="1"/>
    <col min="14595" max="14839" width="9.21875" style="16"/>
    <col min="14840" max="14840" width="8.77734375" style="16" customWidth="1"/>
    <col min="14841" max="14841" width="9.77734375" style="16" customWidth="1"/>
    <col min="14842" max="14842" width="14.44140625" style="16" customWidth="1"/>
    <col min="14843" max="14843" width="7.21875" style="16" customWidth="1"/>
    <col min="14844" max="14844" width="5.5546875" style="16" customWidth="1"/>
    <col min="14845" max="14845" width="9" style="16" customWidth="1"/>
    <col min="14846" max="14847" width="9.77734375" style="16" customWidth="1"/>
    <col min="14848" max="14848" width="11.21875" style="16" customWidth="1"/>
    <col min="14849" max="14849" width="2.77734375" style="16" customWidth="1"/>
    <col min="14850" max="14850" width="3.5546875" style="16" customWidth="1"/>
    <col min="14851" max="15095" width="9.21875" style="16"/>
    <col min="15096" max="15096" width="8.77734375" style="16" customWidth="1"/>
    <col min="15097" max="15097" width="9.77734375" style="16" customWidth="1"/>
    <col min="15098" max="15098" width="14.44140625" style="16" customWidth="1"/>
    <col min="15099" max="15099" width="7.21875" style="16" customWidth="1"/>
    <col min="15100" max="15100" width="5.5546875" style="16" customWidth="1"/>
    <col min="15101" max="15101" width="9" style="16" customWidth="1"/>
    <col min="15102" max="15103" width="9.77734375" style="16" customWidth="1"/>
    <col min="15104" max="15104" width="11.21875" style="16" customWidth="1"/>
    <col min="15105" max="15105" width="2.77734375" style="16" customWidth="1"/>
    <col min="15106" max="15106" width="3.5546875" style="16" customWidth="1"/>
    <col min="15107" max="15351" width="9.21875" style="16"/>
    <col min="15352" max="15352" width="8.77734375" style="16" customWidth="1"/>
    <col min="15353" max="15353" width="9.77734375" style="16" customWidth="1"/>
    <col min="15354" max="15354" width="14.44140625" style="16" customWidth="1"/>
    <col min="15355" max="15355" width="7.21875" style="16" customWidth="1"/>
    <col min="15356" max="15356" width="5.5546875" style="16" customWidth="1"/>
    <col min="15357" max="15357" width="9" style="16" customWidth="1"/>
    <col min="15358" max="15359" width="9.77734375" style="16" customWidth="1"/>
    <col min="15360" max="15360" width="11.21875" style="16" customWidth="1"/>
    <col min="15361" max="15361" width="2.77734375" style="16" customWidth="1"/>
    <col min="15362" max="15362" width="3.5546875" style="16" customWidth="1"/>
    <col min="15363" max="15607" width="9.21875" style="16"/>
    <col min="15608" max="15608" width="8.77734375" style="16" customWidth="1"/>
    <col min="15609" max="15609" width="9.77734375" style="16" customWidth="1"/>
    <col min="15610" max="15610" width="14.44140625" style="16" customWidth="1"/>
    <col min="15611" max="15611" width="7.21875" style="16" customWidth="1"/>
    <col min="15612" max="15612" width="5.5546875" style="16" customWidth="1"/>
    <col min="15613" max="15613" width="9" style="16" customWidth="1"/>
    <col min="15614" max="15615" width="9.77734375" style="16" customWidth="1"/>
    <col min="15616" max="15616" width="11.21875" style="16" customWidth="1"/>
    <col min="15617" max="15617" width="2.77734375" style="16" customWidth="1"/>
    <col min="15618" max="15618" width="3.5546875" style="16" customWidth="1"/>
    <col min="15619" max="15863" width="9.21875" style="16"/>
    <col min="15864" max="15864" width="8.77734375" style="16" customWidth="1"/>
    <col min="15865" max="15865" width="9.77734375" style="16" customWidth="1"/>
    <col min="15866" max="15866" width="14.44140625" style="16" customWidth="1"/>
    <col min="15867" max="15867" width="7.21875" style="16" customWidth="1"/>
    <col min="15868" max="15868" width="5.5546875" style="16" customWidth="1"/>
    <col min="15869" max="15869" width="9" style="16" customWidth="1"/>
    <col min="15870" max="15871" width="9.77734375" style="16" customWidth="1"/>
    <col min="15872" max="15872" width="11.21875" style="16" customWidth="1"/>
    <col min="15873" max="15873" width="2.77734375" style="16" customWidth="1"/>
    <col min="15874" max="15874" width="3.5546875" style="16" customWidth="1"/>
    <col min="15875" max="16119" width="9.21875" style="16"/>
    <col min="16120" max="16120" width="8.77734375" style="16" customWidth="1"/>
    <col min="16121" max="16121" width="9.77734375" style="16" customWidth="1"/>
    <col min="16122" max="16122" width="14.44140625" style="16" customWidth="1"/>
    <col min="16123" max="16123" width="7.21875" style="16" customWidth="1"/>
    <col min="16124" max="16124" width="5.5546875" style="16" customWidth="1"/>
    <col min="16125" max="16125" width="9" style="16" customWidth="1"/>
    <col min="16126" max="16127" width="9.77734375" style="16" customWidth="1"/>
    <col min="16128" max="16128" width="11.21875" style="16" customWidth="1"/>
    <col min="16129" max="16129" width="2.77734375" style="16" customWidth="1"/>
    <col min="16130" max="16130" width="3.5546875" style="16" customWidth="1"/>
    <col min="16131" max="16384" width="9.21875" style="16"/>
  </cols>
  <sheetData>
    <row r="1" spans="1:26" ht="46.5" customHeight="1" x14ac:dyDescent="0.3">
      <c r="A1" s="125" t="s">
        <v>162</v>
      </c>
      <c r="B1" s="125"/>
      <c r="C1" s="125"/>
      <c r="D1" s="125"/>
      <c r="E1" s="125"/>
      <c r="F1" s="125"/>
      <c r="G1" s="125"/>
      <c r="H1" s="125"/>
    </row>
    <row r="2" spans="1:26" ht="16.5" customHeight="1" x14ac:dyDescent="0.3">
      <c r="A2" s="126" t="s">
        <v>0</v>
      </c>
      <c r="B2" s="126"/>
      <c r="C2" s="126"/>
      <c r="D2" s="126"/>
      <c r="E2" s="126"/>
      <c r="F2" s="126"/>
      <c r="G2" s="126"/>
      <c r="H2" s="126"/>
    </row>
    <row r="3" spans="1:26" x14ac:dyDescent="0.3">
      <c r="A3" s="71" t="s">
        <v>1</v>
      </c>
      <c r="B3" s="71"/>
      <c r="C3" s="71"/>
      <c r="D3" s="71"/>
      <c r="E3" s="71" t="str">
        <f ca="1">TEXT(TODAY(),"DD/MM/YYYY")</f>
        <v>14/08/2025</v>
      </c>
      <c r="F3" s="71"/>
      <c r="G3" s="71"/>
      <c r="H3" s="71"/>
      <c r="K3" s="47" t="s">
        <v>233</v>
      </c>
      <c r="L3" s="45" t="s">
        <v>231</v>
      </c>
      <c r="M3" s="45" t="s">
        <v>236</v>
      </c>
      <c r="N3" s="45" t="s">
        <v>234</v>
      </c>
      <c r="O3" s="45" t="s">
        <v>235</v>
      </c>
      <c r="P3" s="45" t="s">
        <v>237</v>
      </c>
    </row>
    <row r="4" spans="1:26" ht="15" customHeight="1" x14ac:dyDescent="0.3">
      <c r="A4" s="71" t="s">
        <v>230</v>
      </c>
      <c r="B4" s="71"/>
      <c r="C4" s="71"/>
      <c r="D4" s="71"/>
      <c r="E4" s="71" t="s">
        <v>231</v>
      </c>
      <c r="F4" s="71"/>
      <c r="G4" s="71"/>
      <c r="H4" s="71"/>
      <c r="K4" s="44" t="s">
        <v>232</v>
      </c>
      <c r="L4" s="45" t="s">
        <v>167</v>
      </c>
      <c r="M4" s="45" t="s">
        <v>241</v>
      </c>
      <c r="N4" s="45" t="s">
        <v>243</v>
      </c>
      <c r="O4" s="45" t="s">
        <v>245</v>
      </c>
      <c r="P4" s="45"/>
    </row>
    <row r="5" spans="1:26" ht="15" customHeight="1" x14ac:dyDescent="0.3">
      <c r="A5" s="71" t="s">
        <v>2</v>
      </c>
      <c r="B5" s="71"/>
      <c r="C5" s="71"/>
      <c r="D5" s="71"/>
      <c r="E5" s="71" t="s">
        <v>167</v>
      </c>
      <c r="F5" s="71"/>
      <c r="G5" s="71"/>
      <c r="H5" s="71"/>
      <c r="K5" s="44"/>
      <c r="L5" s="45" t="s">
        <v>238</v>
      </c>
      <c r="M5" s="45" t="s">
        <v>242</v>
      </c>
      <c r="N5" s="45" t="s">
        <v>244</v>
      </c>
      <c r="O5" s="45" t="s">
        <v>246</v>
      </c>
      <c r="P5" s="45"/>
    </row>
    <row r="6" spans="1:26" x14ac:dyDescent="0.3">
      <c r="A6" s="71" t="s">
        <v>3</v>
      </c>
      <c r="B6" s="71"/>
      <c r="C6" s="71"/>
      <c r="D6" s="71"/>
      <c r="E6" s="128">
        <v>45882</v>
      </c>
      <c r="F6" s="71"/>
      <c r="G6" s="71"/>
      <c r="H6" s="71"/>
      <c r="K6" s="44"/>
      <c r="L6" s="45" t="s">
        <v>239</v>
      </c>
      <c r="M6" s="45"/>
      <c r="N6" s="45"/>
      <c r="O6" s="45" t="s">
        <v>247</v>
      </c>
      <c r="P6" s="45"/>
    </row>
    <row r="7" spans="1:26" ht="16.5" customHeight="1" x14ac:dyDescent="0.3">
      <c r="A7" s="71" t="s">
        <v>4</v>
      </c>
      <c r="B7" s="71"/>
      <c r="C7" s="71"/>
      <c r="D7" s="71"/>
      <c r="E7" s="71" t="s">
        <v>282</v>
      </c>
      <c r="F7" s="71"/>
      <c r="G7" s="71"/>
      <c r="H7" s="71"/>
      <c r="K7" s="44"/>
      <c r="L7" s="45" t="s">
        <v>240</v>
      </c>
      <c r="M7" s="45"/>
      <c r="N7" s="45"/>
      <c r="O7" s="45" t="s">
        <v>247</v>
      </c>
      <c r="P7" s="45"/>
    </row>
    <row r="8" spans="1:26" ht="15" customHeight="1" x14ac:dyDescent="0.3">
      <c r="A8" s="71" t="s">
        <v>5</v>
      </c>
      <c r="B8" s="71"/>
      <c r="C8" s="71"/>
      <c r="D8" s="71"/>
      <c r="E8" s="71" t="str">
        <f>E7</f>
        <v>Premear Landmark Developers Llp</v>
      </c>
      <c r="F8" s="71"/>
      <c r="G8" s="71"/>
      <c r="H8" s="71"/>
      <c r="K8" s="44"/>
      <c r="L8" s="45"/>
      <c r="M8" s="45"/>
      <c r="N8" s="45"/>
      <c r="O8" s="45" t="s">
        <v>248</v>
      </c>
      <c r="P8" s="45"/>
    </row>
    <row r="9" spans="1:26" x14ac:dyDescent="0.3">
      <c r="A9" s="71" t="s">
        <v>6</v>
      </c>
      <c r="B9" s="71"/>
      <c r="C9" s="71"/>
      <c r="D9" s="71"/>
      <c r="E9" s="127" t="s">
        <v>283</v>
      </c>
      <c r="F9" s="127"/>
      <c r="G9" s="127"/>
      <c r="H9" s="127"/>
      <c r="I9" s="48" t="s">
        <v>279</v>
      </c>
      <c r="J9" s="49"/>
      <c r="K9" s="44"/>
      <c r="L9" s="45"/>
      <c r="M9" s="45"/>
      <c r="N9" s="45"/>
      <c r="O9" s="45" t="s">
        <v>249</v>
      </c>
      <c r="P9" s="45"/>
    </row>
    <row r="10" spans="1:26" x14ac:dyDescent="0.3">
      <c r="A10" s="71" t="s">
        <v>164</v>
      </c>
      <c r="B10" s="71"/>
      <c r="C10" s="71"/>
      <c r="D10" s="71"/>
      <c r="E10" s="71" t="s">
        <v>284</v>
      </c>
      <c r="F10" s="71"/>
      <c r="G10" s="71"/>
      <c r="H10" s="71"/>
      <c r="I10" t="s">
        <v>280</v>
      </c>
      <c r="K10" s="44"/>
      <c r="L10" s="45"/>
      <c r="M10" s="45"/>
      <c r="N10" s="45"/>
      <c r="O10" s="45"/>
      <c r="P10" s="45"/>
    </row>
    <row r="11" spans="1:26" x14ac:dyDescent="0.3">
      <c r="A11" s="71" t="s">
        <v>165</v>
      </c>
      <c r="B11" s="71"/>
      <c r="C11" s="71"/>
      <c r="D11" s="71"/>
      <c r="E11" s="129">
        <v>9967072785</v>
      </c>
      <c r="F11" s="129"/>
      <c r="G11" s="129"/>
      <c r="H11" s="129"/>
      <c r="I11" s="16" t="s">
        <v>281</v>
      </c>
    </row>
    <row r="12" spans="1:26" x14ac:dyDescent="0.3">
      <c r="A12" s="71" t="s">
        <v>7</v>
      </c>
      <c r="B12" s="71"/>
      <c r="C12" s="71"/>
      <c r="D12" s="71"/>
      <c r="E12" s="71" t="s">
        <v>285</v>
      </c>
      <c r="F12" s="71"/>
      <c r="G12" s="71"/>
      <c r="H12" s="71"/>
    </row>
    <row r="13" spans="1:26" x14ac:dyDescent="0.3">
      <c r="A13" s="71" t="s">
        <v>168</v>
      </c>
      <c r="B13" s="71"/>
      <c r="C13" s="71"/>
      <c r="D13" s="71"/>
      <c r="E13" s="71" t="s">
        <v>28</v>
      </c>
      <c r="F13" s="71"/>
      <c r="G13" s="71"/>
      <c r="H13" s="71"/>
      <c r="S13" s="45" t="s">
        <v>176</v>
      </c>
      <c r="T13" s="45" t="s">
        <v>186</v>
      </c>
      <c r="U13" s="45" t="s">
        <v>169</v>
      </c>
      <c r="V13" s="45" t="s">
        <v>191</v>
      </c>
      <c r="W13" s="45" t="s">
        <v>209</v>
      </c>
      <c r="X13"/>
      <c r="Y13" t="s">
        <v>191</v>
      </c>
      <c r="Z13" t="e">
        <f ca="1">OFFSET($S$13,1,MATCH($G20,$S$13:$W$13,0)-1,15,1)</f>
        <v>#VALUE!</v>
      </c>
    </row>
    <row r="14" spans="1:26" x14ac:dyDescent="0.3">
      <c r="A14" s="78" t="s">
        <v>276</v>
      </c>
      <c r="B14" s="78"/>
      <c r="C14" s="78"/>
      <c r="D14" s="78"/>
      <c r="E14" s="70" t="s">
        <v>286</v>
      </c>
      <c r="F14" s="70"/>
      <c r="G14" s="70"/>
      <c r="H14" s="70"/>
      <c r="S14" s="45" t="s">
        <v>177</v>
      </c>
      <c r="T14" s="45" t="s">
        <v>184</v>
      </c>
      <c r="U14" s="45" t="s">
        <v>206</v>
      </c>
      <c r="V14" s="45" t="s">
        <v>192</v>
      </c>
      <c r="W14" s="45" t="s">
        <v>210</v>
      </c>
      <c r="X14"/>
      <c r="Y14"/>
      <c r="Z14"/>
    </row>
    <row r="15" spans="1:26" x14ac:dyDescent="0.3">
      <c r="A15" s="78" t="s">
        <v>8</v>
      </c>
      <c r="B15" s="78"/>
      <c r="C15" s="78"/>
      <c r="D15" s="78"/>
      <c r="E15" s="70" t="s">
        <v>287</v>
      </c>
      <c r="F15" s="71"/>
      <c r="G15" s="71"/>
      <c r="H15" s="71"/>
      <c r="I15" s="75" t="e">
        <f ca="1">OFFSET($D$5,1,MATCH($J13,$D$5:$H$5,0)-1,15,1)</f>
        <v>#N/A</v>
      </c>
      <c r="J15" s="76"/>
      <c r="K15" s="76"/>
      <c r="L15" s="76"/>
      <c r="M15" s="76"/>
      <c r="N15" s="76"/>
      <c r="O15" s="76"/>
      <c r="P15" s="76"/>
      <c r="S15" s="45" t="s">
        <v>178</v>
      </c>
      <c r="T15" s="45" t="s">
        <v>185</v>
      </c>
      <c r="U15" s="45" t="s">
        <v>207</v>
      </c>
      <c r="V15" s="45" t="s">
        <v>193</v>
      </c>
      <c r="W15" s="45" t="s">
        <v>223</v>
      </c>
      <c r="X15"/>
      <c r="Y15"/>
      <c r="Z15"/>
    </row>
    <row r="16" spans="1:26" ht="33" customHeight="1" x14ac:dyDescent="0.3">
      <c r="A16" s="69" t="s">
        <v>9</v>
      </c>
      <c r="B16" s="69"/>
      <c r="C16" s="70" t="str">
        <f>CONCATENATE((IF(OR(E9="",E9="NA"),"",E9)),", ",(IF(OR(A17="",A17="NA"),"",A17)),".",(IF(OR(C17="",C17="NA"),"",C17)),", near ",(IF(OR(C22="",C22="NA"),"",C22)),", ",(IF(OR(C19="",C19="NA"),"",C19)),", ",(IF(OR(C18="",C18="NA"),"",C18)),", ",(IF(OR(G19="",G19="NA"),"",G19)),", ",(IF(OR(C20="",C20="NA"),"",C20)),", ",(IF(OR(C21="",C21="NA"),"",C21)),", ",(IF(OR(G20="",G20="NA"),"",G20))," - ",(IF(OR(G21="",G21="NA"),"",G21)),".")</f>
        <v>Premier Elegance, Survey No.358B/2, (Plot B), near Shree Ram Heights, Road, , Juchandra, Juchandra, Vasai, Palghar - 401207.</v>
      </c>
      <c r="D16" s="70"/>
      <c r="E16" s="70"/>
      <c r="F16" s="70"/>
      <c r="G16" s="70"/>
      <c r="H16" s="70"/>
      <c r="S16" s="45" t="s">
        <v>179</v>
      </c>
      <c r="T16" s="45" t="s">
        <v>187</v>
      </c>
      <c r="U16" s="45" t="s">
        <v>208</v>
      </c>
      <c r="V16" s="45" t="s">
        <v>194</v>
      </c>
      <c r="W16" s="45" t="s">
        <v>211</v>
      </c>
      <c r="X16"/>
      <c r="Y16"/>
      <c r="Z16"/>
    </row>
    <row r="17" spans="1:26" x14ac:dyDescent="0.3">
      <c r="A17" s="70" t="s">
        <v>288</v>
      </c>
      <c r="B17" s="70"/>
      <c r="C17" s="70" t="s">
        <v>289</v>
      </c>
      <c r="D17" s="70"/>
      <c r="E17" s="70"/>
      <c r="F17" s="70"/>
      <c r="G17" s="70"/>
      <c r="H17" s="70"/>
      <c r="S17" s="45" t="s">
        <v>180</v>
      </c>
      <c r="T17" s="45" t="s">
        <v>188</v>
      </c>
      <c r="U17" s="45" t="s">
        <v>169</v>
      </c>
      <c r="V17" s="45" t="s">
        <v>195</v>
      </c>
      <c r="W17" s="45" t="s">
        <v>212</v>
      </c>
      <c r="X17"/>
      <c r="Y17"/>
      <c r="Z17"/>
    </row>
    <row r="18" spans="1:26" ht="15.75" customHeight="1" x14ac:dyDescent="0.3">
      <c r="A18" s="70" t="s">
        <v>160</v>
      </c>
      <c r="B18" s="70"/>
      <c r="C18" s="70" t="s">
        <v>28</v>
      </c>
      <c r="D18" s="70"/>
      <c r="E18" s="70"/>
      <c r="F18" s="70"/>
      <c r="G18" s="70"/>
      <c r="H18" s="70"/>
      <c r="S18" s="45" t="s">
        <v>181</v>
      </c>
      <c r="T18" s="45" t="s">
        <v>186</v>
      </c>
      <c r="U18" s="45"/>
      <c r="V18" s="45" t="s">
        <v>196</v>
      </c>
      <c r="W18" s="45" t="s">
        <v>213</v>
      </c>
      <c r="X18"/>
      <c r="Y18"/>
      <c r="Z18"/>
    </row>
    <row r="19" spans="1:26" ht="15.75" customHeight="1" x14ac:dyDescent="0.3">
      <c r="A19" s="69" t="s">
        <v>10</v>
      </c>
      <c r="B19" s="69"/>
      <c r="C19" s="71" t="s">
        <v>10</v>
      </c>
      <c r="D19" s="71"/>
      <c r="E19" s="70" t="s">
        <v>70</v>
      </c>
      <c r="F19" s="70"/>
      <c r="G19" s="70" t="s">
        <v>290</v>
      </c>
      <c r="H19" s="70"/>
      <c r="S19" s="45" t="s">
        <v>182</v>
      </c>
      <c r="T19" s="45" t="s">
        <v>189</v>
      </c>
      <c r="U19" s="45"/>
      <c r="V19" s="45" t="s">
        <v>197</v>
      </c>
      <c r="W19" s="45" t="s">
        <v>214</v>
      </c>
      <c r="X19"/>
      <c r="Y19"/>
      <c r="Z19"/>
    </row>
    <row r="20" spans="1:26" x14ac:dyDescent="0.3">
      <c r="A20" s="78" t="s">
        <v>12</v>
      </c>
      <c r="B20" s="78"/>
      <c r="C20" s="70" t="s">
        <v>290</v>
      </c>
      <c r="D20" s="70"/>
      <c r="E20" s="70" t="s">
        <v>11</v>
      </c>
      <c r="F20" s="70"/>
      <c r="G20" s="130" t="s">
        <v>186</v>
      </c>
      <c r="H20" s="130"/>
      <c r="S20" s="45" t="s">
        <v>183</v>
      </c>
      <c r="T20" s="45" t="s">
        <v>190</v>
      </c>
      <c r="U20" s="45"/>
      <c r="V20" s="45" t="s">
        <v>198</v>
      </c>
      <c r="W20" s="45" t="s">
        <v>215</v>
      </c>
      <c r="X20"/>
      <c r="Y20"/>
      <c r="Z20"/>
    </row>
    <row r="21" spans="1:26" x14ac:dyDescent="0.3">
      <c r="A21" s="78" t="s">
        <v>71</v>
      </c>
      <c r="B21" s="78"/>
      <c r="C21" s="70" t="s">
        <v>187</v>
      </c>
      <c r="D21" s="70"/>
      <c r="E21" s="70" t="s">
        <v>13</v>
      </c>
      <c r="F21" s="70"/>
      <c r="G21" s="70">
        <v>401207</v>
      </c>
      <c r="H21" s="70"/>
      <c r="S21" s="45"/>
      <c r="T21" s="45"/>
      <c r="U21" s="45"/>
      <c r="V21" s="45" t="s">
        <v>199</v>
      </c>
      <c r="W21" s="45" t="s">
        <v>216</v>
      </c>
      <c r="X21"/>
      <c r="Y21"/>
      <c r="Z21"/>
    </row>
    <row r="22" spans="1:26" ht="47.25" customHeight="1" x14ac:dyDescent="0.3">
      <c r="A22" s="78" t="s">
        <v>119</v>
      </c>
      <c r="B22" s="78"/>
      <c r="C22" s="70" t="s">
        <v>298</v>
      </c>
      <c r="D22" s="70"/>
      <c r="E22" s="69" t="s">
        <v>14</v>
      </c>
      <c r="F22" s="69"/>
      <c r="G22" s="70" t="s">
        <v>299</v>
      </c>
      <c r="H22" s="70"/>
      <c r="S22" s="45"/>
      <c r="T22" s="45"/>
      <c r="U22" s="45"/>
      <c r="V22" s="45" t="s">
        <v>200</v>
      </c>
      <c r="W22" s="45" t="s">
        <v>217</v>
      </c>
      <c r="X22"/>
      <c r="Y22"/>
      <c r="Z22"/>
    </row>
    <row r="23" spans="1:26" ht="15" customHeight="1" x14ac:dyDescent="0.3">
      <c r="A23" s="69" t="s">
        <v>73</v>
      </c>
      <c r="B23" s="69"/>
      <c r="C23" s="69"/>
      <c r="D23" s="69"/>
      <c r="E23" s="71" t="s">
        <v>15</v>
      </c>
      <c r="F23" s="71"/>
      <c r="G23" s="71"/>
      <c r="H23" s="71"/>
      <c r="S23" s="45"/>
      <c r="T23" s="45"/>
      <c r="U23" s="45"/>
      <c r="V23" s="45" t="s">
        <v>201</v>
      </c>
      <c r="W23" s="45" t="s">
        <v>218</v>
      </c>
      <c r="X23"/>
      <c r="Y23"/>
      <c r="Z23"/>
    </row>
    <row r="24" spans="1:26" ht="18.75" customHeight="1" x14ac:dyDescent="0.3">
      <c r="A24" s="69"/>
      <c r="B24" s="69"/>
      <c r="C24" s="69"/>
      <c r="D24" s="69"/>
      <c r="E24" s="71"/>
      <c r="F24" s="71"/>
      <c r="G24" s="71"/>
      <c r="H24" s="71"/>
      <c r="S24" s="45"/>
      <c r="T24" s="45"/>
      <c r="U24" s="45"/>
      <c r="V24" s="45" t="s">
        <v>202</v>
      </c>
      <c r="W24" s="45" t="s">
        <v>219</v>
      </c>
      <c r="X24"/>
      <c r="Y24"/>
      <c r="Z24"/>
    </row>
    <row r="25" spans="1:26" ht="15" customHeight="1" x14ac:dyDescent="0.3">
      <c r="A25" s="69" t="s">
        <v>16</v>
      </c>
      <c r="B25" s="69"/>
      <c r="C25" s="69"/>
      <c r="D25" s="69"/>
      <c r="E25" s="70" t="s">
        <v>17</v>
      </c>
      <c r="F25" s="70"/>
      <c r="G25" s="70"/>
      <c r="H25" s="70"/>
      <c r="S25" s="45"/>
      <c r="T25" s="45"/>
      <c r="U25" s="45"/>
      <c r="V25" s="45" t="s">
        <v>203</v>
      </c>
      <c r="W25" s="45" t="s">
        <v>220</v>
      </c>
      <c r="X25"/>
      <c r="Y25"/>
      <c r="Z25"/>
    </row>
    <row r="26" spans="1:26" ht="15" customHeight="1" x14ac:dyDescent="0.3">
      <c r="A26" s="78" t="s">
        <v>18</v>
      </c>
      <c r="B26" s="78"/>
      <c r="C26" s="78"/>
      <c r="D26" s="78"/>
      <c r="E26" s="70" t="str">
        <f>IF(AND(G20="Mumbai"),"Upper Class","Middle Class")</f>
        <v>Middle Class</v>
      </c>
      <c r="F26" s="70"/>
      <c r="G26" s="70"/>
      <c r="H26" s="70"/>
      <c r="S26" s="45"/>
      <c r="T26" s="45"/>
      <c r="U26" s="45"/>
      <c r="V26" s="45" t="s">
        <v>204</v>
      </c>
      <c r="W26" s="45" t="s">
        <v>221</v>
      </c>
      <c r="X26"/>
      <c r="Y26"/>
      <c r="Z26"/>
    </row>
    <row r="27" spans="1:26" x14ac:dyDescent="0.3">
      <c r="A27" s="78" t="s">
        <v>19</v>
      </c>
      <c r="B27" s="78"/>
      <c r="C27" s="78"/>
      <c r="D27" s="78"/>
      <c r="E27" s="70" t="s">
        <v>20</v>
      </c>
      <c r="F27" s="70"/>
      <c r="G27" s="70"/>
      <c r="H27" s="70"/>
      <c r="S27" s="45"/>
      <c r="T27" s="45"/>
      <c r="U27" s="45"/>
      <c r="V27" s="45" t="s">
        <v>205</v>
      </c>
      <c r="W27" s="45" t="s">
        <v>222</v>
      </c>
      <c r="X27"/>
      <c r="Y27"/>
      <c r="Z27"/>
    </row>
    <row r="28" spans="1:26" ht="15.75" customHeight="1" x14ac:dyDescent="0.3">
      <c r="A28" s="78" t="s">
        <v>21</v>
      </c>
      <c r="B28" s="78"/>
      <c r="C28" s="78"/>
      <c r="D28" s="78"/>
      <c r="E28" s="70" t="str">
        <f>IF(AND(G20="Mumbai"),"Developed","Developing")</f>
        <v>Developing</v>
      </c>
      <c r="F28" s="70"/>
      <c r="G28" s="70"/>
      <c r="H28" s="70"/>
    </row>
    <row r="29" spans="1:26" x14ac:dyDescent="0.3">
      <c r="A29" s="78" t="s">
        <v>22</v>
      </c>
      <c r="B29" s="78"/>
      <c r="C29" s="78"/>
      <c r="D29" s="78"/>
      <c r="E29" s="70" t="s">
        <v>23</v>
      </c>
      <c r="F29" s="70"/>
      <c r="G29" s="70"/>
      <c r="H29" s="70"/>
    </row>
    <row r="30" spans="1:26" ht="15.75" customHeight="1" x14ac:dyDescent="0.3">
      <c r="A30" s="78" t="s">
        <v>78</v>
      </c>
      <c r="B30" s="78"/>
      <c r="C30" s="78"/>
      <c r="D30" s="78"/>
      <c r="E30" s="70" t="s">
        <v>79</v>
      </c>
      <c r="F30" s="70"/>
      <c r="G30" s="70"/>
      <c r="H30" s="70"/>
    </row>
    <row r="31" spans="1:26" ht="15" customHeight="1" x14ac:dyDescent="0.3">
      <c r="A31" s="78" t="s">
        <v>30</v>
      </c>
      <c r="B31" s="78"/>
      <c r="C31" s="78"/>
      <c r="D31" s="78"/>
      <c r="E31" s="70" t="str">
        <f>IF(AND(ISNUMBER(SEARCH("Flat",D57)),ISNUMBER(SEARCH("Shop",D57)),ISNUMBER(SEARCH("Office",D57))),"Residential + Commercial",IF(AND(ISNUMBER(SEARCH("Flat",D57)),ISNUMBER(SEARCH("Shop",D57))),"Residential + Commercial",IF(AND(ISNUMBER(SEARCH("Flat",D57)),ISNUMBER(SEARCH("Office",D57))),"Residential + Commercial",IF(AND(ISNUMBER(SEARCH("Shop",D57)),ISNUMBER(SEARCH("Office",D57))),"Commercial",IF(ISNUMBER(SEARCH("Shop",D57)),"Commercial",IF(ISNUMBER(SEARCH("Office",D57)),"Commercial",IF(ISNUMBER(SEARCH("Flat",D57)),"Residential")))))))</f>
        <v>Residential + Commercial</v>
      </c>
      <c r="F31" s="70"/>
      <c r="G31" s="70"/>
      <c r="H31" s="70"/>
    </row>
    <row r="32" spans="1:26" ht="15.75" customHeight="1" x14ac:dyDescent="0.3">
      <c r="A32" s="78" t="s">
        <v>89</v>
      </c>
      <c r="B32" s="78"/>
      <c r="C32" s="78"/>
      <c r="D32" s="78"/>
      <c r="E32" s="70" t="s">
        <v>31</v>
      </c>
      <c r="F32" s="70"/>
      <c r="G32" s="70"/>
      <c r="H32" s="70"/>
    </row>
    <row r="33" spans="1:19" s="17" customFormat="1" x14ac:dyDescent="0.3">
      <c r="A33" s="133" t="s">
        <v>90</v>
      </c>
      <c r="B33" s="133"/>
      <c r="C33" s="95" t="s">
        <v>170</v>
      </c>
      <c r="D33" s="95"/>
      <c r="E33" s="95"/>
      <c r="F33" s="95" t="s">
        <v>29</v>
      </c>
      <c r="G33" s="95"/>
      <c r="H33" s="95"/>
      <c r="S33" s="17" t="e">
        <f ca="1">OFFSET($S$13,1,MATCH($G20,$S$13:$W$13,0)-1,15,1)</f>
        <v>#VALUE!</v>
      </c>
    </row>
    <row r="34" spans="1:19" s="17" customFormat="1" x14ac:dyDescent="0.3">
      <c r="A34" s="131" t="s">
        <v>24</v>
      </c>
      <c r="B34" s="131" t="s">
        <v>28</v>
      </c>
      <c r="C34" s="132" t="s">
        <v>297</v>
      </c>
      <c r="D34" s="132"/>
      <c r="E34" s="132"/>
      <c r="F34" s="132" t="s">
        <v>10</v>
      </c>
      <c r="G34" s="132"/>
      <c r="H34" s="132"/>
    </row>
    <row r="35" spans="1:19" x14ac:dyDescent="0.3">
      <c r="A35" s="131" t="s">
        <v>25</v>
      </c>
      <c r="B35" s="131" t="s">
        <v>28</v>
      </c>
      <c r="C35" s="132" t="s">
        <v>296</v>
      </c>
      <c r="D35" s="132"/>
      <c r="E35" s="132"/>
      <c r="F35" s="132" t="s">
        <v>295</v>
      </c>
      <c r="G35" s="132"/>
      <c r="H35" s="132"/>
    </row>
    <row r="36" spans="1:19" s="17" customFormat="1" x14ac:dyDescent="0.3">
      <c r="A36" s="131" t="s">
        <v>27</v>
      </c>
      <c r="B36" s="131" t="s">
        <v>28</v>
      </c>
      <c r="C36" s="132" t="s">
        <v>278</v>
      </c>
      <c r="D36" s="132"/>
      <c r="E36" s="132"/>
      <c r="F36" s="132" t="s">
        <v>293</v>
      </c>
      <c r="G36" s="132"/>
      <c r="H36" s="132"/>
    </row>
    <row r="37" spans="1:19" x14ac:dyDescent="0.3">
      <c r="A37" s="131" t="s">
        <v>26</v>
      </c>
      <c r="B37" s="131" t="s">
        <v>28</v>
      </c>
      <c r="C37" s="132" t="s">
        <v>296</v>
      </c>
      <c r="D37" s="132"/>
      <c r="E37" s="132"/>
      <c r="F37" s="132" t="s">
        <v>294</v>
      </c>
      <c r="G37" s="132"/>
      <c r="H37" s="132"/>
    </row>
    <row r="38" spans="1:19" x14ac:dyDescent="0.3">
      <c r="A38" s="78" t="s">
        <v>277</v>
      </c>
      <c r="B38" s="78"/>
      <c r="C38" s="78"/>
      <c r="D38" s="78"/>
      <c r="E38" s="78"/>
      <c r="F38" s="78"/>
      <c r="G38" s="78"/>
      <c r="H38" s="78"/>
    </row>
    <row r="39" spans="1:19" ht="15.75" customHeight="1" x14ac:dyDescent="0.3">
      <c r="A39" s="78" t="s">
        <v>163</v>
      </c>
      <c r="B39" s="78"/>
      <c r="C39" s="123" t="s">
        <v>318</v>
      </c>
      <c r="D39" s="123"/>
      <c r="E39" s="123"/>
      <c r="F39" s="123"/>
      <c r="G39" s="123"/>
      <c r="H39" s="123"/>
    </row>
    <row r="40" spans="1:19" x14ac:dyDescent="0.3">
      <c r="A40" s="78" t="s">
        <v>159</v>
      </c>
      <c r="B40" s="78"/>
      <c r="C40" s="161" t="s">
        <v>291</v>
      </c>
      <c r="D40" s="70"/>
      <c r="E40" s="70"/>
      <c r="F40" s="70"/>
      <c r="G40" s="70"/>
      <c r="H40" s="70"/>
    </row>
    <row r="41" spans="1:19" x14ac:dyDescent="0.3">
      <c r="A41" s="123" t="s">
        <v>32</v>
      </c>
      <c r="B41" s="123"/>
      <c r="C41" s="123"/>
      <c r="D41" s="123"/>
      <c r="E41" s="123"/>
      <c r="F41" s="123"/>
      <c r="G41" s="123"/>
      <c r="H41" s="123"/>
    </row>
    <row r="42" spans="1:19" x14ac:dyDescent="0.3">
      <c r="A42" s="78" t="s">
        <v>33</v>
      </c>
      <c r="B42" s="78"/>
      <c r="C42" s="78"/>
      <c r="D42" s="78"/>
      <c r="E42" s="134">
        <v>3723.47</v>
      </c>
      <c r="F42" s="134"/>
      <c r="G42" s="134"/>
      <c r="H42" s="134"/>
    </row>
    <row r="43" spans="1:19" x14ac:dyDescent="0.3">
      <c r="A43" s="78" t="s">
        <v>34</v>
      </c>
      <c r="B43" s="78"/>
      <c r="C43" s="78"/>
      <c r="D43" s="78"/>
      <c r="E43" s="82">
        <f>4095.82/E42</f>
        <v>1.1000008057000594</v>
      </c>
      <c r="F43" s="82"/>
      <c r="G43" s="82"/>
      <c r="H43" s="82"/>
    </row>
    <row r="44" spans="1:19" x14ac:dyDescent="0.3">
      <c r="A44" s="78" t="s">
        <v>35</v>
      </c>
      <c r="B44" s="78"/>
      <c r="C44" s="78"/>
      <c r="D44" s="78"/>
      <c r="E44" s="82">
        <f>E46/E42-E43</f>
        <v>2.6818639602306451</v>
      </c>
      <c r="F44" s="82"/>
      <c r="G44" s="82"/>
      <c r="H44" s="82"/>
    </row>
    <row r="45" spans="1:19" x14ac:dyDescent="0.3">
      <c r="A45" s="78" t="s">
        <v>36</v>
      </c>
      <c r="B45" s="78"/>
      <c r="C45" s="78"/>
      <c r="D45" s="78"/>
      <c r="E45" s="82">
        <f>E43+E44</f>
        <v>3.7818647659307043</v>
      </c>
      <c r="F45" s="82"/>
      <c r="G45" s="82"/>
      <c r="H45" s="82"/>
    </row>
    <row r="46" spans="1:19" x14ac:dyDescent="0.3">
      <c r="A46" s="78" t="s">
        <v>88</v>
      </c>
      <c r="B46" s="78"/>
      <c r="C46" s="78"/>
      <c r="D46" s="78"/>
      <c r="E46" s="137">
        <v>14081.66</v>
      </c>
      <c r="F46" s="137"/>
      <c r="G46" s="137"/>
      <c r="H46" s="137"/>
    </row>
    <row r="47" spans="1:19" x14ac:dyDescent="0.3">
      <c r="A47" s="71" t="s">
        <v>37</v>
      </c>
      <c r="B47" s="71"/>
      <c r="C47" s="71"/>
      <c r="D47" s="71"/>
      <c r="E47" s="71" t="s">
        <v>118</v>
      </c>
      <c r="F47" s="71"/>
      <c r="G47" s="71"/>
      <c r="H47" s="71"/>
    </row>
    <row r="48" spans="1:19" x14ac:dyDescent="0.3">
      <c r="A48" s="123" t="s">
        <v>38</v>
      </c>
      <c r="B48" s="123"/>
      <c r="C48" s="123"/>
      <c r="D48" s="123"/>
      <c r="E48" s="123"/>
      <c r="F48" s="123"/>
      <c r="G48" s="123"/>
      <c r="H48" s="123"/>
    </row>
    <row r="49" spans="1:22" ht="33.75" customHeight="1" x14ac:dyDescent="0.3">
      <c r="A49" s="66" t="s">
        <v>148</v>
      </c>
      <c r="B49" s="67"/>
      <c r="C49" s="170" t="s">
        <v>272</v>
      </c>
      <c r="D49" s="171"/>
      <c r="E49" s="171"/>
      <c r="F49" s="171"/>
      <c r="G49" s="171"/>
      <c r="H49" s="172"/>
      <c r="R49" t="s">
        <v>250</v>
      </c>
      <c r="S49" t="s">
        <v>169</v>
      </c>
      <c r="T49" t="s">
        <v>176</v>
      </c>
      <c r="U49" t="s">
        <v>191</v>
      </c>
      <c r="V49" t="s">
        <v>186</v>
      </c>
    </row>
    <row r="50" spans="1:22" ht="31.05" customHeight="1" x14ac:dyDescent="0.3">
      <c r="A50" s="66" t="s">
        <v>39</v>
      </c>
      <c r="B50" s="67"/>
      <c r="C50" s="66" t="s">
        <v>322</v>
      </c>
      <c r="D50" s="74"/>
      <c r="E50" s="67"/>
      <c r="F50" s="14" t="s">
        <v>40</v>
      </c>
      <c r="G50" s="140">
        <v>45016</v>
      </c>
      <c r="H50" s="67"/>
      <c r="R50"/>
      <c r="S50" t="s">
        <v>251</v>
      </c>
      <c r="T50" t="s">
        <v>256</v>
      </c>
      <c r="U50" t="s">
        <v>267</v>
      </c>
      <c r="V50" t="s">
        <v>272</v>
      </c>
    </row>
    <row r="51" spans="1:22" ht="30.6" customHeight="1" x14ac:dyDescent="0.3">
      <c r="A51" s="66" t="s">
        <v>41</v>
      </c>
      <c r="B51" s="67"/>
      <c r="C51" s="66" t="str">
        <f>C50</f>
        <v>VVCMC/TP/AMEND/VP/6409/696/2022-23</v>
      </c>
      <c r="D51" s="74"/>
      <c r="E51" s="67"/>
      <c r="F51" s="14" t="s">
        <v>40</v>
      </c>
      <c r="G51" s="140">
        <f>G50</f>
        <v>45016</v>
      </c>
      <c r="H51" s="67"/>
      <c r="R51"/>
      <c r="S51" t="s">
        <v>252</v>
      </c>
      <c r="T51" t="s">
        <v>257</v>
      </c>
      <c r="U51" t="s">
        <v>265</v>
      </c>
      <c r="V51" t="s">
        <v>273</v>
      </c>
    </row>
    <row r="52" spans="1:22" s="18" customFormat="1" ht="30" customHeight="1" x14ac:dyDescent="0.3">
      <c r="A52" s="148" t="s">
        <v>152</v>
      </c>
      <c r="B52" s="149"/>
      <c r="C52" s="66" t="s">
        <v>323</v>
      </c>
      <c r="D52" s="74"/>
      <c r="E52" s="67"/>
      <c r="F52" s="14" t="s">
        <v>40</v>
      </c>
      <c r="G52" s="140">
        <f>G51</f>
        <v>45016</v>
      </c>
      <c r="H52" s="67"/>
      <c r="R52"/>
      <c r="S52" t="s">
        <v>253</v>
      </c>
      <c r="T52" t="s">
        <v>258</v>
      </c>
      <c r="U52" t="s">
        <v>255</v>
      </c>
      <c r="V52" t="s">
        <v>274</v>
      </c>
    </row>
    <row r="53" spans="1:22" s="18" customFormat="1" ht="31.5" customHeight="1" x14ac:dyDescent="0.3">
      <c r="A53" s="150"/>
      <c r="B53" s="151"/>
      <c r="C53" s="66" t="s">
        <v>321</v>
      </c>
      <c r="D53" s="74"/>
      <c r="E53" s="74"/>
      <c r="F53" s="74"/>
      <c r="G53" s="74"/>
      <c r="H53" s="67"/>
      <c r="R53"/>
      <c r="S53" t="s">
        <v>254</v>
      </c>
      <c r="T53" t="s">
        <v>261</v>
      </c>
      <c r="U53" t="s">
        <v>268</v>
      </c>
    </row>
    <row r="54" spans="1:22" x14ac:dyDescent="0.3">
      <c r="A54" s="79" t="s">
        <v>42</v>
      </c>
      <c r="B54" s="80"/>
      <c r="C54" s="79" t="s">
        <v>102</v>
      </c>
      <c r="D54" s="81"/>
      <c r="E54" s="80"/>
      <c r="F54" s="38" t="s">
        <v>40</v>
      </c>
      <c r="G54" s="72" t="s">
        <v>28</v>
      </c>
      <c r="H54" s="73"/>
      <c r="R54"/>
      <c r="S54" t="s">
        <v>255</v>
      </c>
      <c r="T54" t="s">
        <v>259</v>
      </c>
      <c r="U54" t="s">
        <v>269</v>
      </c>
    </row>
    <row r="55" spans="1:22" x14ac:dyDescent="0.3">
      <c r="A55" s="68" t="s">
        <v>44</v>
      </c>
      <c r="B55" s="68"/>
      <c r="C55" s="68"/>
      <c r="D55" s="68"/>
      <c r="E55" s="68"/>
      <c r="F55" s="68"/>
      <c r="G55" s="68"/>
      <c r="H55" s="68"/>
      <c r="T55" t="s">
        <v>260</v>
      </c>
      <c r="U55" t="s">
        <v>270</v>
      </c>
    </row>
    <row r="56" spans="1:22" ht="31.5" customHeight="1" x14ac:dyDescent="0.3">
      <c r="A56" s="69" t="s">
        <v>300</v>
      </c>
      <c r="B56" s="69"/>
      <c r="C56" s="69"/>
      <c r="D56" s="78">
        <v>7392.87</v>
      </c>
      <c r="E56" s="78"/>
      <c r="F56" s="78"/>
      <c r="G56" s="78"/>
      <c r="H56" s="78"/>
      <c r="R56"/>
      <c r="T56" t="s">
        <v>262</v>
      </c>
      <c r="U56" t="s">
        <v>271</v>
      </c>
    </row>
    <row r="57" spans="1:22" x14ac:dyDescent="0.3">
      <c r="A57" s="70" t="s">
        <v>45</v>
      </c>
      <c r="B57" s="71"/>
      <c r="C57" s="71"/>
      <c r="D57" s="71" t="s">
        <v>328</v>
      </c>
      <c r="E57" s="71"/>
      <c r="F57" s="71"/>
      <c r="G57" s="71"/>
      <c r="H57" s="71"/>
      <c r="I57" s="19"/>
      <c r="R57"/>
      <c r="T57" t="s">
        <v>263</v>
      </c>
    </row>
    <row r="58" spans="1:22" x14ac:dyDescent="0.3">
      <c r="A58" s="138" t="s">
        <v>46</v>
      </c>
      <c r="B58" s="139"/>
      <c r="C58" s="147"/>
      <c r="D58" s="145" t="s">
        <v>319</v>
      </c>
      <c r="E58" s="146"/>
      <c r="F58" s="146"/>
      <c r="G58" s="146"/>
      <c r="H58" s="146"/>
      <c r="R58"/>
      <c r="T58" t="s">
        <v>264</v>
      </c>
    </row>
    <row r="59" spans="1:22" ht="15.75" customHeight="1" x14ac:dyDescent="0.3">
      <c r="A59" s="138" t="s">
        <v>86</v>
      </c>
      <c r="B59" s="139"/>
      <c r="C59" s="139"/>
      <c r="D59" s="70" t="s">
        <v>319</v>
      </c>
      <c r="E59" s="71"/>
      <c r="F59" s="71"/>
      <c r="G59" s="71"/>
      <c r="H59" s="71"/>
      <c r="R59"/>
      <c r="T59" t="s">
        <v>266</v>
      </c>
    </row>
    <row r="60" spans="1:22" ht="15.75" customHeight="1" x14ac:dyDescent="0.3">
      <c r="A60" s="78" t="s">
        <v>43</v>
      </c>
      <c r="B60" s="78"/>
      <c r="C60" s="78"/>
      <c r="D60" s="135" t="s">
        <v>301</v>
      </c>
      <c r="E60" s="135"/>
      <c r="F60" s="135"/>
      <c r="G60" s="135"/>
      <c r="H60" s="135"/>
      <c r="J60" s="20"/>
      <c r="K60" s="19"/>
      <c r="N60" s="19"/>
      <c r="S60"/>
    </row>
    <row r="61" spans="1:22" ht="15.75" customHeight="1" x14ac:dyDescent="0.3">
      <c r="A61" s="78" t="s">
        <v>84</v>
      </c>
      <c r="B61" s="78"/>
      <c r="C61" s="78"/>
      <c r="D61" s="136" t="str">
        <f>(IF(G54="NA","60 Years After Completion",IF(G54&lt;&gt;"NA",""&amp;60-ROUNDDOWN((E3-G54)/360,0)&amp;" Years"," ")))</f>
        <v>60 Years After Completion</v>
      </c>
      <c r="E61" s="136"/>
      <c r="F61" s="136"/>
      <c r="G61" s="136"/>
      <c r="H61" s="136"/>
      <c r="N61" s="19"/>
      <c r="S61"/>
    </row>
    <row r="62" spans="1:22" ht="15.75" customHeight="1" x14ac:dyDescent="0.3">
      <c r="A62" s="78" t="s">
        <v>85</v>
      </c>
      <c r="B62" s="78"/>
      <c r="C62" s="78"/>
      <c r="D62" s="69" t="s">
        <v>23</v>
      </c>
      <c r="E62" s="69"/>
      <c r="F62" s="69"/>
      <c r="G62" s="69"/>
      <c r="H62" s="69"/>
      <c r="J62" s="21"/>
      <c r="K62" s="21"/>
      <c r="S62"/>
    </row>
    <row r="63" spans="1:22" ht="51.75" customHeight="1" x14ac:dyDescent="0.3">
      <c r="A63" s="71" t="s">
        <v>303</v>
      </c>
      <c r="B63" s="71"/>
      <c r="C63" s="71"/>
      <c r="D63" s="70" t="s">
        <v>302</v>
      </c>
      <c r="E63" s="70"/>
      <c r="F63" s="70"/>
      <c r="G63" s="70"/>
      <c r="H63" s="70"/>
      <c r="S63"/>
    </row>
    <row r="64" spans="1:22" x14ac:dyDescent="0.3">
      <c r="A64" s="69" t="s">
        <v>145</v>
      </c>
      <c r="B64" s="69"/>
      <c r="C64" s="69"/>
      <c r="D64" s="69" t="s">
        <v>28</v>
      </c>
      <c r="E64" s="69"/>
      <c r="F64" s="69"/>
      <c r="G64" s="69"/>
      <c r="H64" s="69"/>
      <c r="I64" s="22"/>
      <c r="J64" s="22"/>
      <c r="K64" s="22"/>
      <c r="L64" s="22"/>
      <c r="M64" s="22"/>
      <c r="N64" s="22"/>
    </row>
    <row r="65" spans="1:19" ht="15.75" customHeight="1" x14ac:dyDescent="0.3">
      <c r="A65" s="78" t="s">
        <v>83</v>
      </c>
      <c r="B65" s="78"/>
      <c r="C65" s="78"/>
      <c r="D65" s="70" t="str">
        <f ca="1">(IF(G71&gt;95%,"Nothing",IF(G71&gt;0%,"Cement, Aggregate, Steel, etc",IF(G71=0%,"Work not yet Started"))))</f>
        <v>Cement, Aggregate, Steel, etc</v>
      </c>
      <c r="E65" s="70"/>
      <c r="F65" s="70"/>
      <c r="G65" s="70"/>
      <c r="H65" s="70"/>
      <c r="J65" s="21"/>
      <c r="S65"/>
    </row>
    <row r="66" spans="1:19" ht="33.75" customHeight="1" thickBot="1" x14ac:dyDescent="0.35">
      <c r="A66" s="69" t="s">
        <v>115</v>
      </c>
      <c r="B66" s="69"/>
      <c r="C66" s="69"/>
      <c r="D66" s="70" t="str">
        <f ca="1">(IF(D65="Nothing","Yes",IF(D65="Cement, Aggregate, Steel, etc","Under Construction",IF(D65="Work not yet Started","Work not yet Started"))))</f>
        <v>Under Construction</v>
      </c>
      <c r="E66" s="70"/>
      <c r="F66" s="70" t="str">
        <f ca="1">(IF(D65="Nothing","Yes",IF(D65="Cement, Aggregate, Steel, etc","Under Construction",IF(D65="Work not yet Started","Work not yet Started"))))</f>
        <v>Under Construction</v>
      </c>
      <c r="G66" s="70"/>
      <c r="H66" s="70"/>
      <c r="S66"/>
    </row>
    <row r="67" spans="1:19" ht="15.75" customHeight="1" x14ac:dyDescent="0.3">
      <c r="A67" s="168" t="s">
        <v>137</v>
      </c>
      <c r="B67" s="168"/>
      <c r="C67" s="168" t="str">
        <f>D59</f>
        <v>Plot B = Building No.1 (Wing B) = Gr + 1st to 16th Floor</v>
      </c>
      <c r="D67" s="168"/>
      <c r="E67" s="168"/>
      <c r="F67" s="168"/>
      <c r="G67" s="168"/>
      <c r="H67" s="168"/>
      <c r="I67" s="60" t="str">
        <f ca="1">IF(D80=100%,"All work Completed. Possession granted to the Building.",IF(D79=100%,"All work Completed, Waiting for OC",I68&amp;""&amp;I69&amp;""&amp;J68&amp;""&amp;J67&amp;" "&amp;J69))</f>
        <v>Excavation, Plinth, RCC Slab, Brickwork, Internal Plaster Completed, External Plaster upto 14 Floor, Flooring upto 10 Floor, Painting upto 8 Floor Completed</v>
      </c>
      <c r="J67" s="41" t="str">
        <f ca="1"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External Plaster upto 14 Floor, Flooring upto 10 Floor, Painting upto 8 Floor</v>
      </c>
      <c r="S67"/>
    </row>
    <row r="68" spans="1:19" x14ac:dyDescent="0.3">
      <c r="A68" s="43" t="s">
        <v>139</v>
      </c>
      <c r="B68" s="43">
        <f>IF(AND(ISNUMBER(SEARCH("1B",C67))),1,IF(AND(ISNUMBER(SEARCH("2B",C67))),2,IF(AND(ISNUMBER(SEARCH("3B",C67))),3,IF(AND(ISNUMBER(SEARCH("4B",C67))),4,IF(ISNUMBER(SEARCH("5B",C67)),5,0)))))</f>
        <v>0</v>
      </c>
      <c r="C68" s="43" t="s">
        <v>69</v>
      </c>
      <c r="D68" s="43">
        <v>1</v>
      </c>
      <c r="E68" s="43" t="s">
        <v>68</v>
      </c>
      <c r="F68" s="43">
        <v>0</v>
      </c>
      <c r="G68" s="40" t="s">
        <v>77</v>
      </c>
      <c r="H68" s="43">
        <f ca="1">--TRIM(RIGHT(SUBSTITUTE(LEFT(C67,_xlfn.AGGREGATE(16,6,FIND({0,1,2,3,4,5,6,7,8,9},C67,ROW(INDIRECT("1:"&amp;LEN(C67)))),1))," ",REPT(" ",LEN(C67))),LEN(C67)))</f>
        <v>16</v>
      </c>
      <c r="I68" s="61" t="str">
        <f ca="1"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Plinth, RCC Slab, Brickwork, Internal Plaster</v>
      </c>
      <c r="J68" s="42" t="str">
        <f ca="1"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  <c r="S68"/>
    </row>
    <row r="69" spans="1:19" ht="34.5" customHeight="1" x14ac:dyDescent="0.3">
      <c r="A69" s="127" t="s">
        <v>87</v>
      </c>
      <c r="B69" s="127"/>
      <c r="C69" s="169" t="str">
        <f ca="1">I67</f>
        <v>Excavation, Plinth, RCC Slab, Brickwork, Internal Plaster Completed, External Plaster upto 14 Floor, Flooring upto 10 Floor, Painting upto 8 Floor Completed</v>
      </c>
      <c r="D69" s="169"/>
      <c r="E69" s="169"/>
      <c r="F69" s="169"/>
      <c r="G69" s="169"/>
      <c r="H69" s="169"/>
      <c r="I69" s="61" t="str">
        <f ca="1">IF(I68&lt;&gt;""," Completed","")</f>
        <v xml:space="preserve"> Completed</v>
      </c>
      <c r="J69" s="42" t="str">
        <f ca="1">IF(J67&lt;&gt;"","Completed","")</f>
        <v>Completed</v>
      </c>
      <c r="S69"/>
    </row>
    <row r="70" spans="1:19" ht="15.75" customHeight="1" x14ac:dyDescent="0.3">
      <c r="A70" s="83" t="s">
        <v>47</v>
      </c>
      <c r="B70" s="84"/>
      <c r="C70" s="37" t="s">
        <v>136</v>
      </c>
      <c r="D70" s="37" t="s">
        <v>80</v>
      </c>
      <c r="E70" s="84" t="s">
        <v>82</v>
      </c>
      <c r="F70" s="84"/>
      <c r="G70" s="84" t="s">
        <v>81</v>
      </c>
      <c r="H70" s="119"/>
      <c r="I70" s="13" t="s">
        <v>138</v>
      </c>
      <c r="J70" s="23">
        <f ca="1">H68*25%</f>
        <v>4</v>
      </c>
      <c r="S70"/>
    </row>
    <row r="71" spans="1:19" x14ac:dyDescent="0.3">
      <c r="A71" s="83" t="s">
        <v>125</v>
      </c>
      <c r="B71" s="84"/>
      <c r="C71" s="37">
        <f ca="1">J72</f>
        <v>16</v>
      </c>
      <c r="D71" s="15">
        <f ca="1">((100/H68)*C71)/100</f>
        <v>1</v>
      </c>
      <c r="E71" s="152">
        <f ca="1">(((C72/H68*10)+(40/(D68+F68+H68)*C73)+(7.5/(H68)*C74)+(7.5/(H68)*C75)+(10/H68*C76)+(10/H68*C77)+(5/H68*C78)+(5/H68*C79)+(5/H68*C80))/100)</f>
        <v>0.82499999999999996</v>
      </c>
      <c r="F71" s="153"/>
      <c r="G71" s="152">
        <f ca="1">((((C71/H68)*20)+((C72/H68)*25)+(30/(H68+F68+D68)*C73)+(5/H68*C74)+(5/H68*C75)+(5/H68*C76)+(5/H68*C77)+(0/H68*C78)+(0/H68*C79)+(5/H68*C80))/100)</f>
        <v>0.92500000000000004</v>
      </c>
      <c r="H71" s="158"/>
      <c r="I71" s="13" t="s">
        <v>97</v>
      </c>
      <c r="J71" s="24">
        <f ca="1">H68*50%</f>
        <v>8</v>
      </c>
    </row>
    <row r="72" spans="1:19" x14ac:dyDescent="0.3">
      <c r="A72" s="83" t="s">
        <v>48</v>
      </c>
      <c r="B72" s="84"/>
      <c r="C72" s="37">
        <f ca="1">J80</f>
        <v>16</v>
      </c>
      <c r="D72" s="15">
        <f ca="1">((100/H68)*C72)/100</f>
        <v>1</v>
      </c>
      <c r="E72" s="154"/>
      <c r="F72" s="155"/>
      <c r="G72" s="154"/>
      <c r="H72" s="159"/>
      <c r="I72" s="13" t="s">
        <v>98</v>
      </c>
      <c r="J72" s="24">
        <f ca="1">H68</f>
        <v>16</v>
      </c>
      <c r="S72"/>
    </row>
    <row r="73" spans="1:19" ht="15.75" customHeight="1" x14ac:dyDescent="0.3">
      <c r="A73" s="83" t="s">
        <v>126</v>
      </c>
      <c r="B73" s="84"/>
      <c r="C73" s="37">
        <v>17</v>
      </c>
      <c r="D73" s="15">
        <f ca="1">((100/(D68+F68+H68))*C73)/100</f>
        <v>1</v>
      </c>
      <c r="E73" s="154"/>
      <c r="F73" s="155"/>
      <c r="G73" s="154"/>
      <c r="H73" s="159"/>
      <c r="I73" s="13" t="s">
        <v>99</v>
      </c>
      <c r="J73" s="25">
        <f ca="1">(IF(B68&gt;1,(H68/(B68+2)),H68/4))</f>
        <v>4</v>
      </c>
      <c r="S73"/>
    </row>
    <row r="74" spans="1:19" ht="15.75" customHeight="1" x14ac:dyDescent="0.3">
      <c r="A74" s="83" t="s">
        <v>133</v>
      </c>
      <c r="B74" s="84" t="s">
        <v>127</v>
      </c>
      <c r="C74" s="37">
        <v>16</v>
      </c>
      <c r="D74" s="15">
        <f ca="1">((100/H68)*C74)/100</f>
        <v>1</v>
      </c>
      <c r="E74" s="154"/>
      <c r="F74" s="155"/>
      <c r="G74" s="154"/>
      <c r="H74" s="159"/>
      <c r="I74" s="13" t="s">
        <v>100</v>
      </c>
      <c r="J74" s="25">
        <f ca="1">(IF(B68&gt;1,(H68/(B68+2)+J73),H68/4+J73))</f>
        <v>8</v>
      </c>
    </row>
    <row r="75" spans="1:19" ht="15.75" customHeight="1" x14ac:dyDescent="0.3">
      <c r="A75" s="83" t="s">
        <v>134</v>
      </c>
      <c r="B75" s="84" t="s">
        <v>127</v>
      </c>
      <c r="C75" s="37">
        <v>16</v>
      </c>
      <c r="D75" s="15">
        <f ca="1">((100/H68)*C75)/100</f>
        <v>1</v>
      </c>
      <c r="E75" s="154"/>
      <c r="F75" s="155"/>
      <c r="G75" s="154"/>
      <c r="H75" s="159"/>
      <c r="I75" s="13" t="s">
        <v>143</v>
      </c>
      <c r="J75" s="25">
        <f>(IF(B68&gt;1,(H68/(B68+2)+J74),0))</f>
        <v>0</v>
      </c>
    </row>
    <row r="76" spans="1:19" ht="15" customHeight="1" x14ac:dyDescent="0.3">
      <c r="A76" s="83" t="s">
        <v>132</v>
      </c>
      <c r="B76" s="84" t="s">
        <v>129</v>
      </c>
      <c r="C76" s="37">
        <v>14</v>
      </c>
      <c r="D76" s="15">
        <f ca="1">((100/(H68))*C76)/100</f>
        <v>0.875</v>
      </c>
      <c r="E76" s="154"/>
      <c r="F76" s="155"/>
      <c r="G76" s="154"/>
      <c r="H76" s="159"/>
      <c r="I76" s="13" t="s">
        <v>140</v>
      </c>
      <c r="J76" s="25">
        <f>(IF(B68&gt;2,(H68/(B68+2)+J75),0))</f>
        <v>0</v>
      </c>
    </row>
    <row r="77" spans="1:19" ht="15.75" customHeight="1" x14ac:dyDescent="0.3">
      <c r="A77" s="83" t="s">
        <v>128</v>
      </c>
      <c r="B77" s="84" t="s">
        <v>128</v>
      </c>
      <c r="C77" s="37">
        <v>10</v>
      </c>
      <c r="D77" s="15">
        <f ca="1">((100/H68)*C77)/100</f>
        <v>0.625</v>
      </c>
      <c r="E77" s="154"/>
      <c r="F77" s="155"/>
      <c r="G77" s="154"/>
      <c r="H77" s="159"/>
      <c r="I77" s="13" t="s">
        <v>141</v>
      </c>
      <c r="J77" s="26">
        <f>(IF(B68&gt;3,(H68/(B68+2)+J76),0))</f>
        <v>0</v>
      </c>
    </row>
    <row r="78" spans="1:19" s="18" customFormat="1" ht="15.75" customHeight="1" x14ac:dyDescent="0.3">
      <c r="A78" s="141" t="s">
        <v>135</v>
      </c>
      <c r="B78" s="142"/>
      <c r="C78" s="51">
        <v>8</v>
      </c>
      <c r="D78" s="52">
        <f ca="1">((100/H68)*C78)/100</f>
        <v>0.5</v>
      </c>
      <c r="E78" s="154"/>
      <c r="F78" s="155"/>
      <c r="G78" s="154"/>
      <c r="H78" s="159"/>
      <c r="I78" s="53" t="s">
        <v>142</v>
      </c>
      <c r="J78" s="54">
        <f>(IF(B68&gt;4,(H68/(B68+2)+J77),0))</f>
        <v>0</v>
      </c>
    </row>
    <row r="79" spans="1:19" s="18" customFormat="1" ht="15.75" customHeight="1" x14ac:dyDescent="0.3">
      <c r="A79" s="141" t="s">
        <v>130</v>
      </c>
      <c r="B79" s="142" t="s">
        <v>130</v>
      </c>
      <c r="C79" s="51">
        <v>0</v>
      </c>
      <c r="D79" s="52">
        <f ca="1">((100/(H68))*C79)/100</f>
        <v>0</v>
      </c>
      <c r="E79" s="154"/>
      <c r="F79" s="155"/>
      <c r="G79" s="154"/>
      <c r="H79" s="159"/>
      <c r="I79" s="53" t="s">
        <v>144</v>
      </c>
      <c r="J79" s="54">
        <f ca="1">(IF(B68=1,(H68/(B68+3)+J74),IF(B68=0,(H68/4+J74),IF(B68&gt;1,0))))</f>
        <v>12</v>
      </c>
    </row>
    <row r="80" spans="1:19" s="18" customFormat="1" ht="16.2" thickBot="1" x14ac:dyDescent="0.35">
      <c r="A80" s="166" t="s">
        <v>131</v>
      </c>
      <c r="B80" s="167"/>
      <c r="C80" s="55">
        <v>0</v>
      </c>
      <c r="D80" s="56">
        <f ca="1">((100/(H68))*C80)/100</f>
        <v>0</v>
      </c>
      <c r="E80" s="156"/>
      <c r="F80" s="157"/>
      <c r="G80" s="156"/>
      <c r="H80" s="160"/>
      <c r="I80" s="57" t="s">
        <v>101</v>
      </c>
      <c r="J80" s="58">
        <f ca="1">(IF(B68&gt;1.5,(H68/(B68+2)+J74+MAX(0,J75-J74)+MAX(0,J76-J75)+MAX(0,J77-J76)+MAX(0,J78-J77)+MAX(0,J79-J78)),IF(B68=1,(H68/(B68+3)+J79),IF(B68=0,H68/4+J79))))</f>
        <v>16</v>
      </c>
    </row>
    <row r="81" spans="1:9" s="18" customFormat="1" x14ac:dyDescent="0.3">
      <c r="A81" s="173" t="s">
        <v>154</v>
      </c>
      <c r="B81" s="173"/>
      <c r="C81" s="173"/>
      <c r="D81" s="173"/>
      <c r="E81" s="173"/>
      <c r="F81" s="109" t="s">
        <v>158</v>
      </c>
      <c r="G81" s="109"/>
      <c r="H81" s="109"/>
    </row>
    <row r="82" spans="1:9" s="18" customFormat="1" x14ac:dyDescent="0.3">
      <c r="A82" s="71" t="s">
        <v>156</v>
      </c>
      <c r="B82" s="71"/>
      <c r="C82" s="71"/>
      <c r="D82" s="71"/>
      <c r="E82" s="71"/>
      <c r="F82" s="77">
        <v>6000</v>
      </c>
      <c r="G82" s="77"/>
      <c r="H82" s="77"/>
      <c r="I82" s="18" t="s">
        <v>330</v>
      </c>
    </row>
    <row r="83" spans="1:9" s="18" customFormat="1" x14ac:dyDescent="0.3">
      <c r="A83" s="71" t="s">
        <v>155</v>
      </c>
      <c r="B83" s="71"/>
      <c r="C83" s="71"/>
      <c r="D83" s="71"/>
      <c r="E83" s="71"/>
      <c r="F83" s="77">
        <v>8000</v>
      </c>
      <c r="G83" s="77"/>
      <c r="H83" s="77"/>
    </row>
    <row r="84" spans="1:9" hidden="1" x14ac:dyDescent="0.3">
      <c r="A84" s="78" t="s">
        <v>157</v>
      </c>
      <c r="B84" s="78"/>
      <c r="C84" s="78"/>
      <c r="D84" s="78"/>
      <c r="E84" s="78"/>
      <c r="F84" s="77"/>
      <c r="G84" s="77"/>
      <c r="H84" s="77"/>
    </row>
    <row r="85" spans="1:9" s="27" customFormat="1" hidden="1" x14ac:dyDescent="0.25">
      <c r="A85" s="78" t="s">
        <v>172</v>
      </c>
      <c r="B85" s="78"/>
      <c r="C85" s="78"/>
      <c r="D85" s="78"/>
      <c r="E85" s="78"/>
      <c r="F85" s="77"/>
      <c r="G85" s="77"/>
      <c r="H85" s="77"/>
    </row>
    <row r="86" spans="1:9" s="27" customFormat="1" x14ac:dyDescent="0.25">
      <c r="A86" s="78" t="s">
        <v>91</v>
      </c>
      <c r="B86" s="78"/>
      <c r="C86" s="78"/>
      <c r="D86" s="78"/>
      <c r="E86" s="78"/>
      <c r="F86" s="77">
        <v>250000</v>
      </c>
      <c r="G86" s="77"/>
      <c r="H86" s="77"/>
    </row>
    <row r="87" spans="1:9" s="27" customFormat="1" hidden="1" x14ac:dyDescent="0.25">
      <c r="A87" s="78" t="s">
        <v>92</v>
      </c>
      <c r="B87" s="78"/>
      <c r="C87" s="78"/>
      <c r="D87" s="78"/>
      <c r="E87" s="78"/>
      <c r="F87" s="77"/>
      <c r="G87" s="77"/>
      <c r="H87" s="77"/>
    </row>
    <row r="88" spans="1:9" s="27" customFormat="1" hidden="1" x14ac:dyDescent="0.25">
      <c r="A88" s="78" t="s">
        <v>93</v>
      </c>
      <c r="B88" s="78"/>
      <c r="C88" s="78"/>
      <c r="D88" s="78"/>
      <c r="E88" s="78"/>
      <c r="F88" s="77"/>
      <c r="G88" s="77"/>
      <c r="H88" s="77"/>
    </row>
    <row r="89" spans="1:9" s="27" customFormat="1" hidden="1" x14ac:dyDescent="0.25">
      <c r="A89" s="78" t="s">
        <v>94</v>
      </c>
      <c r="B89" s="78"/>
      <c r="C89" s="78"/>
      <c r="D89" s="78"/>
      <c r="E89" s="78"/>
      <c r="F89" s="77"/>
      <c r="G89" s="77"/>
      <c r="H89" s="77"/>
    </row>
    <row r="90" spans="1:9" s="27" customFormat="1" x14ac:dyDescent="0.25">
      <c r="A90" s="78" t="s">
        <v>95</v>
      </c>
      <c r="B90" s="78"/>
      <c r="C90" s="78"/>
      <c r="D90" s="78"/>
      <c r="E90" s="78"/>
      <c r="F90" s="77">
        <v>110000</v>
      </c>
      <c r="G90" s="77"/>
      <c r="H90" s="77"/>
    </row>
    <row r="91" spans="1:9" s="27" customFormat="1" hidden="1" x14ac:dyDescent="0.25">
      <c r="A91" s="78" t="s">
        <v>96</v>
      </c>
      <c r="B91" s="78"/>
      <c r="C91" s="78"/>
      <c r="D91" s="78"/>
      <c r="E91" s="78"/>
      <c r="F91" s="77"/>
      <c r="G91" s="77"/>
      <c r="H91" s="77"/>
    </row>
    <row r="92" spans="1:9" x14ac:dyDescent="0.3">
      <c r="A92" s="78" t="s">
        <v>49</v>
      </c>
      <c r="B92" s="78"/>
      <c r="C92" s="78"/>
      <c r="D92" s="78"/>
      <c r="E92" s="78"/>
      <c r="F92" s="77">
        <v>300000</v>
      </c>
      <c r="G92" s="77"/>
      <c r="H92" s="77"/>
    </row>
    <row r="93" spans="1:9" s="28" customFormat="1" x14ac:dyDescent="0.3">
      <c r="A93" s="123" t="s">
        <v>50</v>
      </c>
      <c r="B93" s="123"/>
      <c r="C93" s="123"/>
      <c r="D93" s="123"/>
      <c r="E93" s="123"/>
      <c r="F93" s="77">
        <f>F82*0.8</f>
        <v>4800</v>
      </c>
      <c r="G93" s="77"/>
      <c r="H93" s="77"/>
    </row>
    <row r="94" spans="1:9" s="29" customFormat="1" ht="15.75" customHeight="1" x14ac:dyDescent="0.3">
      <c r="A94" s="122" t="s">
        <v>72</v>
      </c>
      <c r="B94" s="122"/>
      <c r="C94" s="122"/>
      <c r="D94" s="122"/>
      <c r="E94" s="122"/>
      <c r="F94" s="122"/>
      <c r="G94" s="122"/>
      <c r="H94" s="122"/>
    </row>
    <row r="95" spans="1:9" s="29" customFormat="1" ht="15.75" customHeight="1" x14ac:dyDescent="0.3">
      <c r="A95" s="86" t="s">
        <v>51</v>
      </c>
      <c r="B95" s="86"/>
      <c r="C95" s="91" t="s">
        <v>75</v>
      </c>
      <c r="D95" s="91"/>
      <c r="E95" s="96" t="s">
        <v>52</v>
      </c>
      <c r="F95" s="96"/>
      <c r="G95" s="86" t="s">
        <v>53</v>
      </c>
      <c r="H95" s="86"/>
    </row>
    <row r="96" spans="1:9" s="29" customFormat="1" ht="33.75" customHeight="1" x14ac:dyDescent="0.3">
      <c r="A96" s="124" t="s">
        <v>315</v>
      </c>
      <c r="B96" s="124"/>
      <c r="C96" s="162">
        <f>COUNT(F109:F120)</f>
        <v>12</v>
      </c>
      <c r="D96" s="163"/>
      <c r="E96" s="89">
        <f>SUM(F109:F120)</f>
        <v>1766.0494800000004</v>
      </c>
      <c r="F96" s="90"/>
      <c r="G96" s="89">
        <f>SUM(H109:H120)</f>
        <v>2737.3766939999996</v>
      </c>
      <c r="H96" s="90"/>
    </row>
    <row r="97" spans="1:14" s="29" customFormat="1" x14ac:dyDescent="0.3">
      <c r="A97" s="122" t="s">
        <v>67</v>
      </c>
      <c r="B97" s="122"/>
      <c r="C97" s="122"/>
      <c r="D97" s="122"/>
      <c r="E97" s="122"/>
      <c r="F97" s="122"/>
      <c r="G97" s="122"/>
      <c r="H97" s="122"/>
    </row>
    <row r="98" spans="1:14" s="29" customFormat="1" ht="15.75" customHeight="1" x14ac:dyDescent="0.3">
      <c r="A98" s="86" t="s">
        <v>51</v>
      </c>
      <c r="B98" s="86"/>
      <c r="C98" s="91" t="s">
        <v>75</v>
      </c>
      <c r="D98" s="91"/>
      <c r="E98" s="96" t="s">
        <v>52</v>
      </c>
      <c r="F98" s="96"/>
      <c r="G98" s="86" t="s">
        <v>53</v>
      </c>
      <c r="H98" s="86"/>
    </row>
    <row r="99" spans="1:14" s="29" customFormat="1" ht="36" customHeight="1" thickBot="1" x14ac:dyDescent="0.35">
      <c r="A99" s="124" t="s">
        <v>315</v>
      </c>
      <c r="B99" s="124"/>
      <c r="C99" s="89">
        <f>COUNT(F128:F135)+COUNT(F137:F144)*12+COUNT(F146:F153)*2+COUNT(F155:F162)</f>
        <v>128</v>
      </c>
      <c r="D99" s="90"/>
      <c r="E99" s="89">
        <f>SUM(F128:F135)+SUM(F137:F144)*12+SUM(F146:F153)*2+SUM(F155:F162)</f>
        <v>55313.397360000003</v>
      </c>
      <c r="F99" s="90"/>
      <c r="G99" s="89">
        <f>SUM(H128:H135)+SUM(H137:H144)*12+SUM(H146:H153)*2+SUM(H155:H162)</f>
        <v>83357.600040000005</v>
      </c>
      <c r="H99" s="90"/>
    </row>
    <row r="100" spans="1:14" s="29" customFormat="1" ht="16.2" thickBot="1" x14ac:dyDescent="0.35">
      <c r="A100" s="117" t="s">
        <v>147</v>
      </c>
      <c r="B100" s="118"/>
      <c r="C100" s="97">
        <f>C96+C99</f>
        <v>140</v>
      </c>
      <c r="D100" s="98"/>
      <c r="E100" s="99">
        <f>E96+E99</f>
        <v>57079.446840000004</v>
      </c>
      <c r="F100" s="100"/>
      <c r="G100" s="164">
        <f>G96+G99</f>
        <v>86094.976734000011</v>
      </c>
      <c r="H100" s="165"/>
    </row>
    <row r="101" spans="1:14" s="28" customFormat="1" x14ac:dyDescent="0.3">
      <c r="A101" s="111" t="s">
        <v>54</v>
      </c>
      <c r="B101" s="111"/>
      <c r="C101" s="111"/>
      <c r="D101" s="111"/>
      <c r="E101" s="111"/>
      <c r="F101" s="111"/>
      <c r="G101" s="111"/>
      <c r="H101" s="111"/>
    </row>
    <row r="102" spans="1:14" x14ac:dyDescent="0.3">
      <c r="A102" s="95" t="s">
        <v>171</v>
      </c>
      <c r="B102" s="95"/>
      <c r="C102" s="95"/>
      <c r="D102" s="95"/>
      <c r="E102" s="95"/>
      <c r="F102" s="95"/>
      <c r="G102" s="95"/>
      <c r="H102" s="95"/>
    </row>
    <row r="103" spans="1:14" ht="47.25" customHeight="1" x14ac:dyDescent="0.3">
      <c r="A103" s="87" t="s">
        <v>116</v>
      </c>
      <c r="B103" s="87" t="s">
        <v>173</v>
      </c>
      <c r="C103" s="87" t="s">
        <v>55</v>
      </c>
      <c r="D103" s="87" t="s">
        <v>229</v>
      </c>
      <c r="E103" s="143" t="s">
        <v>153</v>
      </c>
      <c r="F103" s="87" t="s">
        <v>56</v>
      </c>
      <c r="G103" s="143" t="s">
        <v>57</v>
      </c>
      <c r="H103" s="46" t="s">
        <v>146</v>
      </c>
    </row>
    <row r="104" spans="1:14" s="31" customFormat="1" x14ac:dyDescent="0.3">
      <c r="A104" s="88"/>
      <c r="B104" s="88"/>
      <c r="C104" s="88"/>
      <c r="D104" s="88"/>
      <c r="E104" s="144"/>
      <c r="F104" s="88"/>
      <c r="G104" s="144"/>
      <c r="H104" s="50">
        <v>0.55000000000000004</v>
      </c>
    </row>
    <row r="105" spans="1:14" s="31" customFormat="1" x14ac:dyDescent="0.3">
      <c r="A105" s="108" t="s">
        <v>305</v>
      </c>
      <c r="B105" s="108"/>
      <c r="C105" s="108"/>
      <c r="D105" s="108"/>
      <c r="E105" s="108"/>
      <c r="F105" s="108"/>
      <c r="G105" s="108"/>
      <c r="H105" s="108"/>
      <c r="J105" s="30"/>
    </row>
    <row r="106" spans="1:14" s="31" customFormat="1" x14ac:dyDescent="0.3">
      <c r="A106" s="108" t="s">
        <v>304</v>
      </c>
      <c r="B106" s="108"/>
      <c r="C106" s="108"/>
      <c r="D106" s="108"/>
      <c r="E106" s="108"/>
      <c r="F106" s="108"/>
      <c r="G106" s="108"/>
      <c r="H106" s="108"/>
      <c r="J106" s="30"/>
    </row>
    <row r="107" spans="1:14" s="31" customFormat="1" x14ac:dyDescent="0.3">
      <c r="A107" s="108" t="s">
        <v>306</v>
      </c>
      <c r="B107" s="108"/>
      <c r="C107" s="108"/>
      <c r="D107" s="108"/>
      <c r="E107" s="108"/>
      <c r="F107" s="108"/>
      <c r="G107" s="108"/>
      <c r="H107" s="108"/>
      <c r="J107" s="30"/>
    </row>
    <row r="108" spans="1:14" s="31" customFormat="1" x14ac:dyDescent="0.3">
      <c r="A108" s="108" t="s">
        <v>320</v>
      </c>
      <c r="B108" s="108"/>
      <c r="C108" s="108"/>
      <c r="D108" s="108"/>
      <c r="E108" s="108"/>
      <c r="F108" s="108"/>
      <c r="G108" s="108"/>
      <c r="H108" s="108"/>
      <c r="J108" s="30"/>
    </row>
    <row r="109" spans="1:14" s="31" customFormat="1" ht="15.75" customHeight="1" x14ac:dyDescent="0.3">
      <c r="A109" s="65">
        <v>13</v>
      </c>
      <c r="B109" s="65"/>
      <c r="C109" s="36" t="s">
        <v>307</v>
      </c>
      <c r="D109" s="36">
        <f>(14)*10.764</f>
        <v>150.696</v>
      </c>
      <c r="E109" s="36">
        <v>0</v>
      </c>
      <c r="F109" s="36">
        <f t="shared" ref="F109:F120" si="0">D109+E109</f>
        <v>150.696</v>
      </c>
      <c r="G109" s="36">
        <v>0</v>
      </c>
      <c r="H109" s="36">
        <f t="shared" ref="H109:H120" si="1">(D109+E109)*(($H$104)+1)</f>
        <v>233.5788</v>
      </c>
      <c r="I109" s="59">
        <f>2.75*4.95</f>
        <v>13.612500000000001</v>
      </c>
      <c r="L109" s="62"/>
      <c r="M109" s="62"/>
      <c r="N109" s="30"/>
    </row>
    <row r="110" spans="1:14" s="31" customFormat="1" ht="15.75" customHeight="1" x14ac:dyDescent="0.3">
      <c r="A110" s="65">
        <v>14</v>
      </c>
      <c r="B110" s="65"/>
      <c r="C110" s="36" t="s">
        <v>307</v>
      </c>
      <c r="D110" s="36">
        <f>(11.21)*10.764</f>
        <v>120.66444</v>
      </c>
      <c r="E110" s="36">
        <v>0</v>
      </c>
      <c r="F110" s="36">
        <f t="shared" si="0"/>
        <v>120.66444</v>
      </c>
      <c r="G110" s="36">
        <v>0</v>
      </c>
      <c r="H110" s="36">
        <f t="shared" si="1"/>
        <v>187.02988200000001</v>
      </c>
      <c r="I110" s="59">
        <f>2.2*4.95</f>
        <v>10.89</v>
      </c>
      <c r="L110" s="62"/>
      <c r="M110" s="62"/>
      <c r="N110" s="30"/>
    </row>
    <row r="111" spans="1:14" s="31" customFormat="1" ht="15.75" customHeight="1" x14ac:dyDescent="0.3">
      <c r="A111" s="65">
        <v>15</v>
      </c>
      <c r="B111" s="65"/>
      <c r="C111" s="36" t="s">
        <v>307</v>
      </c>
      <c r="D111" s="36">
        <f>(14.01)*10.764</f>
        <v>150.80364</v>
      </c>
      <c r="E111" s="36">
        <v>0</v>
      </c>
      <c r="F111" s="36">
        <f t="shared" si="0"/>
        <v>150.80364</v>
      </c>
      <c r="G111" s="36">
        <v>0</v>
      </c>
      <c r="H111" s="36">
        <f t="shared" si="1"/>
        <v>233.745642</v>
      </c>
      <c r="I111" s="30"/>
      <c r="L111" s="62"/>
      <c r="M111" s="62"/>
      <c r="N111" s="30"/>
    </row>
    <row r="112" spans="1:14" s="31" customFormat="1" ht="15.75" customHeight="1" x14ac:dyDescent="0.3">
      <c r="A112" s="65">
        <v>16</v>
      </c>
      <c r="B112" s="65"/>
      <c r="C112" s="36" t="s">
        <v>307</v>
      </c>
      <c r="D112" s="36">
        <f>(15.8)*10.764</f>
        <v>170.0712</v>
      </c>
      <c r="E112" s="36">
        <v>0</v>
      </c>
      <c r="F112" s="36">
        <f t="shared" si="0"/>
        <v>170.0712</v>
      </c>
      <c r="G112" s="36">
        <v>0</v>
      </c>
      <c r="H112" s="36">
        <f t="shared" si="1"/>
        <v>263.61036000000001</v>
      </c>
      <c r="I112" s="30"/>
      <c r="L112" s="62"/>
      <c r="M112" s="62"/>
      <c r="N112" s="30"/>
    </row>
    <row r="113" spans="1:14" s="31" customFormat="1" ht="15.75" customHeight="1" x14ac:dyDescent="0.3">
      <c r="A113" s="65">
        <v>17</v>
      </c>
      <c r="B113" s="65"/>
      <c r="C113" s="36" t="s">
        <v>307</v>
      </c>
      <c r="D113" s="36">
        <f>(11.21)*10.764</f>
        <v>120.66444</v>
      </c>
      <c r="E113" s="36">
        <v>0</v>
      </c>
      <c r="F113" s="36">
        <f t="shared" si="0"/>
        <v>120.66444</v>
      </c>
      <c r="G113" s="36">
        <v>0</v>
      </c>
      <c r="H113" s="36">
        <f t="shared" si="1"/>
        <v>187.02988200000001</v>
      </c>
      <c r="I113" s="30"/>
      <c r="L113" s="62"/>
      <c r="M113" s="62"/>
      <c r="N113" s="30"/>
    </row>
    <row r="114" spans="1:14" s="31" customFormat="1" ht="15.75" customHeight="1" x14ac:dyDescent="0.3">
      <c r="A114" s="65">
        <v>18</v>
      </c>
      <c r="B114" s="65"/>
      <c r="C114" s="36" t="s">
        <v>307</v>
      </c>
      <c r="D114" s="36">
        <f>(15.8)*10.764</f>
        <v>170.0712</v>
      </c>
      <c r="E114" s="36">
        <v>0</v>
      </c>
      <c r="F114" s="36">
        <f t="shared" si="0"/>
        <v>170.0712</v>
      </c>
      <c r="G114" s="36">
        <v>0</v>
      </c>
      <c r="H114" s="36">
        <f t="shared" si="1"/>
        <v>263.61036000000001</v>
      </c>
      <c r="I114" s="30"/>
      <c r="L114" s="62"/>
      <c r="M114" s="62"/>
      <c r="N114" s="30"/>
    </row>
    <row r="115" spans="1:14" s="31" customFormat="1" ht="15.75" customHeight="1" x14ac:dyDescent="0.3">
      <c r="A115" s="63">
        <v>19</v>
      </c>
      <c r="B115" s="64"/>
      <c r="C115" s="36" t="s">
        <v>307</v>
      </c>
      <c r="D115" s="36">
        <f>(15.8)*10.764</f>
        <v>170.0712</v>
      </c>
      <c r="E115" s="36">
        <v>0</v>
      </c>
      <c r="F115" s="36">
        <f t="shared" si="0"/>
        <v>170.0712</v>
      </c>
      <c r="G115" s="36">
        <v>0</v>
      </c>
      <c r="H115" s="36">
        <f t="shared" si="1"/>
        <v>263.61036000000001</v>
      </c>
      <c r="I115" s="30"/>
      <c r="K115" s="62"/>
      <c r="L115" s="62"/>
      <c r="M115" s="30"/>
    </row>
    <row r="116" spans="1:14" s="31" customFormat="1" ht="15.75" customHeight="1" x14ac:dyDescent="0.3">
      <c r="A116" s="63">
        <v>20</v>
      </c>
      <c r="B116" s="64"/>
      <c r="C116" s="36" t="s">
        <v>307</v>
      </c>
      <c r="D116" s="36">
        <f>(11.21)*10.764</f>
        <v>120.66444</v>
      </c>
      <c r="E116" s="36">
        <v>0</v>
      </c>
      <c r="F116" s="36">
        <f t="shared" si="0"/>
        <v>120.66444</v>
      </c>
      <c r="G116" s="36">
        <v>0</v>
      </c>
      <c r="H116" s="36">
        <f t="shared" si="1"/>
        <v>187.02988200000001</v>
      </c>
      <c r="I116" s="30"/>
      <c r="L116" s="62"/>
      <c r="M116" s="62"/>
      <c r="N116" s="30"/>
    </row>
    <row r="117" spans="1:14" s="31" customFormat="1" ht="15.75" customHeight="1" x14ac:dyDescent="0.3">
      <c r="A117" s="63">
        <v>21</v>
      </c>
      <c r="B117" s="64"/>
      <c r="C117" s="36" t="s">
        <v>307</v>
      </c>
      <c r="D117" s="36">
        <f>(15.8)*10.764</f>
        <v>170.0712</v>
      </c>
      <c r="E117" s="36">
        <v>0</v>
      </c>
      <c r="F117" s="36">
        <f t="shared" si="0"/>
        <v>170.0712</v>
      </c>
      <c r="G117" s="36">
        <v>0</v>
      </c>
      <c r="H117" s="36">
        <f t="shared" si="1"/>
        <v>263.61036000000001</v>
      </c>
      <c r="I117" s="30"/>
      <c r="L117" s="62"/>
      <c r="M117" s="62"/>
      <c r="N117" s="30"/>
    </row>
    <row r="118" spans="1:14" s="31" customFormat="1" ht="15.75" customHeight="1" x14ac:dyDescent="0.3">
      <c r="A118" s="63">
        <v>22</v>
      </c>
      <c r="B118" s="64"/>
      <c r="C118" s="36" t="s">
        <v>307</v>
      </c>
      <c r="D118" s="36">
        <f>(14.01)*10.764</f>
        <v>150.80364</v>
      </c>
      <c r="E118" s="36">
        <v>0</v>
      </c>
      <c r="F118" s="36">
        <f t="shared" si="0"/>
        <v>150.80364</v>
      </c>
      <c r="G118" s="36">
        <v>0</v>
      </c>
      <c r="H118" s="36">
        <f t="shared" si="1"/>
        <v>233.745642</v>
      </c>
      <c r="I118" s="30"/>
      <c r="L118" s="62"/>
      <c r="M118" s="62"/>
      <c r="N118" s="30"/>
    </row>
    <row r="119" spans="1:14" s="31" customFormat="1" ht="15.75" customHeight="1" x14ac:dyDescent="0.3">
      <c r="A119" s="63">
        <v>23</v>
      </c>
      <c r="B119" s="64"/>
      <c r="C119" s="36" t="s">
        <v>307</v>
      </c>
      <c r="D119" s="36">
        <f>(11.21)*10.764</f>
        <v>120.66444</v>
      </c>
      <c r="E119" s="36">
        <v>0</v>
      </c>
      <c r="F119" s="36">
        <f t="shared" si="0"/>
        <v>120.66444</v>
      </c>
      <c r="G119" s="36">
        <v>0</v>
      </c>
      <c r="H119" s="36">
        <f t="shared" si="1"/>
        <v>187.02988200000001</v>
      </c>
      <c r="I119" s="30"/>
      <c r="L119" s="62"/>
      <c r="M119" s="62"/>
      <c r="N119" s="30"/>
    </row>
    <row r="120" spans="1:14" s="31" customFormat="1" ht="15.75" customHeight="1" x14ac:dyDescent="0.3">
      <c r="A120" s="63">
        <v>24</v>
      </c>
      <c r="B120" s="64"/>
      <c r="C120" s="36" t="s">
        <v>307</v>
      </c>
      <c r="D120" s="36">
        <f>(14.01)*10.764</f>
        <v>150.80364</v>
      </c>
      <c r="E120" s="36">
        <v>0</v>
      </c>
      <c r="F120" s="36">
        <f t="shared" si="0"/>
        <v>150.80364</v>
      </c>
      <c r="G120" s="36">
        <v>0</v>
      </c>
      <c r="H120" s="36">
        <f t="shared" si="1"/>
        <v>233.745642</v>
      </c>
      <c r="I120" s="30"/>
      <c r="L120" s="62"/>
      <c r="M120" s="62"/>
      <c r="N120" s="30"/>
    </row>
    <row r="121" spans="1:14" s="31" customFormat="1" x14ac:dyDescent="0.3">
      <c r="A121" s="63"/>
      <c r="B121" s="110"/>
      <c r="C121" s="110"/>
      <c r="D121" s="110"/>
      <c r="E121" s="110"/>
      <c r="F121" s="110"/>
      <c r="G121" s="110"/>
      <c r="H121" s="64"/>
      <c r="I121" s="30"/>
      <c r="N121" s="30"/>
    </row>
    <row r="122" spans="1:14" ht="47.25" customHeight="1" x14ac:dyDescent="0.3">
      <c r="A122" s="112" t="s">
        <v>117</v>
      </c>
      <c r="B122" s="87" t="s">
        <v>174</v>
      </c>
      <c r="C122" s="87" t="s">
        <v>55</v>
      </c>
      <c r="D122" s="87" t="s">
        <v>229</v>
      </c>
      <c r="E122" s="87" t="s">
        <v>311</v>
      </c>
      <c r="F122" s="87" t="s">
        <v>56</v>
      </c>
      <c r="G122" s="143" t="s">
        <v>57</v>
      </c>
      <c r="H122" s="46" t="s">
        <v>146</v>
      </c>
      <c r="I122" s="30"/>
    </row>
    <row r="123" spans="1:14" s="31" customFormat="1" x14ac:dyDescent="0.3">
      <c r="A123" s="113"/>
      <c r="B123" s="88"/>
      <c r="C123" s="88"/>
      <c r="D123" s="88"/>
      <c r="E123" s="88"/>
      <c r="F123" s="88"/>
      <c r="G123" s="144"/>
      <c r="H123" s="50">
        <v>0.5</v>
      </c>
      <c r="I123" s="30"/>
    </row>
    <row r="124" spans="1:14" s="31" customFormat="1" x14ac:dyDescent="0.3">
      <c r="A124" s="92" t="s">
        <v>305</v>
      </c>
      <c r="B124" s="93"/>
      <c r="C124" s="93"/>
      <c r="D124" s="93"/>
      <c r="E124" s="93"/>
      <c r="F124" s="93"/>
      <c r="G124" s="93"/>
      <c r="H124" s="94"/>
      <c r="J124" s="30"/>
    </row>
    <row r="125" spans="1:14" s="31" customFormat="1" x14ac:dyDescent="0.3">
      <c r="A125" s="92" t="s">
        <v>304</v>
      </c>
      <c r="B125" s="93"/>
      <c r="C125" s="93"/>
      <c r="D125" s="93"/>
      <c r="E125" s="93"/>
      <c r="F125" s="93"/>
      <c r="G125" s="93"/>
      <c r="H125" s="94"/>
      <c r="J125" s="30"/>
    </row>
    <row r="126" spans="1:14" s="31" customFormat="1" x14ac:dyDescent="0.3">
      <c r="A126" s="92" t="s">
        <v>306</v>
      </c>
      <c r="B126" s="93"/>
      <c r="C126" s="93"/>
      <c r="D126" s="93"/>
      <c r="E126" s="93"/>
      <c r="F126" s="93"/>
      <c r="G126" s="93"/>
      <c r="H126" s="94"/>
      <c r="J126" s="30"/>
    </row>
    <row r="127" spans="1:14" s="31" customFormat="1" x14ac:dyDescent="0.3">
      <c r="A127" s="92" t="s">
        <v>308</v>
      </c>
      <c r="B127" s="93"/>
      <c r="C127" s="93"/>
      <c r="D127" s="93"/>
      <c r="E127" s="93"/>
      <c r="F127" s="93"/>
      <c r="G127" s="93"/>
      <c r="H127" s="94"/>
      <c r="J127" s="30"/>
    </row>
    <row r="128" spans="1:14" s="31" customFormat="1" ht="15.75" customHeight="1" x14ac:dyDescent="0.3">
      <c r="A128" s="63">
        <v>1</v>
      </c>
      <c r="B128" s="64"/>
      <c r="C128" s="36" t="s">
        <v>310</v>
      </c>
      <c r="D128" s="36">
        <f>(37.23)*10.764</f>
        <v>400.74371999999994</v>
      </c>
      <c r="E128" s="36">
        <f>(8.25+0.75*2.75)*10.764</f>
        <v>111.00375</v>
      </c>
      <c r="F128" s="36">
        <f t="shared" ref="F128:F135" si="2">D128+E128</f>
        <v>511.74746999999991</v>
      </c>
      <c r="G128" s="36">
        <f>(3.5*1.7)*10.764</f>
        <v>64.0458</v>
      </c>
      <c r="H128" s="36">
        <f t="shared" ref="H128:H135" si="3">F128*(($H$123)+1)+(IF(G128&lt;101,G128,IF(G128&lt;201,G128/2,IF(G128&lt;=301,G128/3,G128/4))))</f>
        <v>831.6670049999999</v>
      </c>
      <c r="I128" s="30">
        <f>3.05*3.05+2.75*4.26+2.2*2.79+2.75*2.45+1.8*1.2+1.2*1.8</f>
        <v>38.212999999999994</v>
      </c>
      <c r="J128" s="31">
        <f>1.2*2.75+1.2*2.75+0.75*2.2</f>
        <v>8.25</v>
      </c>
      <c r="L128" s="62"/>
      <c r="M128" s="62"/>
      <c r="N128" s="30"/>
    </row>
    <row r="129" spans="1:14" s="31" customFormat="1" ht="15.75" customHeight="1" x14ac:dyDescent="0.3">
      <c r="A129" s="63">
        <v>2</v>
      </c>
      <c r="B129" s="64"/>
      <c r="C129" s="36" t="s">
        <v>309</v>
      </c>
      <c r="D129" s="36">
        <f>(29.87)*10.764</f>
        <v>321.52067999999997</v>
      </c>
      <c r="E129" s="36">
        <f>(3.58+0.69*2.75)*10.764</f>
        <v>58.959809999999997</v>
      </c>
      <c r="F129" s="36">
        <f t="shared" si="2"/>
        <v>380.48048999999997</v>
      </c>
      <c r="G129" s="36">
        <f>(0.75*8)*10.764</f>
        <v>64.584000000000003</v>
      </c>
      <c r="H129" s="36">
        <f t="shared" si="3"/>
        <v>635.30473499999994</v>
      </c>
      <c r="I129" s="30">
        <f>2.75*4.26+1.2*1.8+1.8*1.2+1.8*0.55+2.75*3.04+2.2*2.79</f>
        <v>31.523</v>
      </c>
      <c r="J129" s="31">
        <f>1.3*2.75</f>
        <v>3.5750000000000002</v>
      </c>
      <c r="L129" s="62"/>
      <c r="M129" s="62"/>
      <c r="N129" s="30"/>
    </row>
    <row r="130" spans="1:14" s="31" customFormat="1" ht="15.75" customHeight="1" x14ac:dyDescent="0.3">
      <c r="A130" s="63">
        <v>3</v>
      </c>
      <c r="B130" s="64"/>
      <c r="C130" s="36" t="s">
        <v>309</v>
      </c>
      <c r="D130" s="36">
        <f>(29.87)*10.764</f>
        <v>321.52067999999997</v>
      </c>
      <c r="E130" s="36">
        <f>(3.58+0.69*2.75)*10.764</f>
        <v>58.959809999999997</v>
      </c>
      <c r="F130" s="36">
        <f t="shared" si="2"/>
        <v>380.48048999999997</v>
      </c>
      <c r="G130" s="36">
        <f>(0.75*8)*10.764</f>
        <v>64.584000000000003</v>
      </c>
      <c r="H130" s="36">
        <f t="shared" si="3"/>
        <v>635.30473499999994</v>
      </c>
      <c r="I130" s="30"/>
      <c r="L130" s="62"/>
      <c r="M130" s="62"/>
      <c r="N130" s="30"/>
    </row>
    <row r="131" spans="1:14" s="31" customFormat="1" ht="15.75" customHeight="1" x14ac:dyDescent="0.3">
      <c r="A131" s="63">
        <v>4</v>
      </c>
      <c r="B131" s="64"/>
      <c r="C131" s="36" t="s">
        <v>309</v>
      </c>
      <c r="D131" s="36">
        <f>(29.87)*10.764</f>
        <v>321.52067999999997</v>
      </c>
      <c r="E131" s="36">
        <f>(3.58+0.69*2.75)*10.764</f>
        <v>58.959809999999997</v>
      </c>
      <c r="F131" s="36">
        <f t="shared" si="2"/>
        <v>380.48048999999997</v>
      </c>
      <c r="G131" s="36">
        <f>(0.75*8)*10.764</f>
        <v>64.584000000000003</v>
      </c>
      <c r="H131" s="36">
        <f t="shared" si="3"/>
        <v>635.30473499999994</v>
      </c>
      <c r="I131" s="30"/>
      <c r="J131" s="36">
        <v>10.763999999999999</v>
      </c>
      <c r="L131" s="62"/>
      <c r="M131" s="62"/>
      <c r="N131" s="30"/>
    </row>
    <row r="132" spans="1:14" s="31" customFormat="1" ht="15.75" customHeight="1" x14ac:dyDescent="0.3">
      <c r="A132" s="63">
        <v>5</v>
      </c>
      <c r="B132" s="64"/>
      <c r="C132" s="36" t="s">
        <v>309</v>
      </c>
      <c r="D132" s="36">
        <f>(29.87)*10.764</f>
        <v>321.52067999999997</v>
      </c>
      <c r="E132" s="36">
        <f>(3.58+0.69*2.75)*10.764</f>
        <v>58.959809999999997</v>
      </c>
      <c r="F132" s="36">
        <f t="shared" si="2"/>
        <v>380.48048999999997</v>
      </c>
      <c r="G132" s="36">
        <f>(0.75*8)*10.764</f>
        <v>64.584000000000003</v>
      </c>
      <c r="H132" s="36">
        <f t="shared" si="3"/>
        <v>635.30473499999994</v>
      </c>
      <c r="I132" s="30"/>
      <c r="L132" s="62"/>
      <c r="M132" s="62"/>
      <c r="N132" s="30"/>
    </row>
    <row r="133" spans="1:14" s="31" customFormat="1" ht="15.75" customHeight="1" x14ac:dyDescent="0.3">
      <c r="A133" s="63">
        <v>6</v>
      </c>
      <c r="B133" s="64"/>
      <c r="C133" s="36" t="s">
        <v>310</v>
      </c>
      <c r="D133" s="36">
        <f>(37.23)*10.764</f>
        <v>400.74371999999994</v>
      </c>
      <c r="E133" s="36">
        <f>(8.25+0.75*2.75)*10.764</f>
        <v>111.00375</v>
      </c>
      <c r="F133" s="36">
        <f t="shared" si="2"/>
        <v>511.74746999999991</v>
      </c>
      <c r="G133" s="36">
        <v>0</v>
      </c>
      <c r="H133" s="36">
        <f t="shared" si="3"/>
        <v>767.62120499999992</v>
      </c>
      <c r="I133" s="30"/>
      <c r="L133" s="62"/>
      <c r="M133" s="62"/>
      <c r="N133" s="30"/>
    </row>
    <row r="134" spans="1:14" s="31" customFormat="1" ht="15.75" customHeight="1" x14ac:dyDescent="0.3">
      <c r="A134" s="63">
        <v>7</v>
      </c>
      <c r="B134" s="64"/>
      <c r="C134" s="36" t="s">
        <v>309</v>
      </c>
      <c r="D134" s="36">
        <f>(27.47)*10.764</f>
        <v>295.68707999999998</v>
      </c>
      <c r="E134" s="36">
        <f>(8.25+0.75*2.75)*10.764</f>
        <v>111.00375</v>
      </c>
      <c r="F134" s="36">
        <f t="shared" si="2"/>
        <v>406.69083000000001</v>
      </c>
      <c r="G134" s="36">
        <v>0</v>
      </c>
      <c r="H134" s="36">
        <f t="shared" si="3"/>
        <v>610.03624500000001</v>
      </c>
      <c r="I134" s="30"/>
      <c r="L134" s="62"/>
      <c r="M134" s="62"/>
      <c r="N134" s="30"/>
    </row>
    <row r="135" spans="1:14" s="31" customFormat="1" ht="15.75" customHeight="1" x14ac:dyDescent="0.3">
      <c r="A135" s="63">
        <v>8</v>
      </c>
      <c r="B135" s="64"/>
      <c r="C135" s="36" t="s">
        <v>309</v>
      </c>
      <c r="D135" s="36">
        <f>(27.47)*10.764</f>
        <v>295.68707999999998</v>
      </c>
      <c r="E135" s="36">
        <f>(8.25+0.75*2.75)*10.764</f>
        <v>111.00375</v>
      </c>
      <c r="F135" s="36">
        <f t="shared" si="2"/>
        <v>406.69083000000001</v>
      </c>
      <c r="G135" s="36">
        <f>(2.75*2.2)*10.764</f>
        <v>65.122200000000007</v>
      </c>
      <c r="H135" s="36">
        <f t="shared" si="3"/>
        <v>675.15844500000003</v>
      </c>
      <c r="I135" s="30"/>
      <c r="L135" s="62"/>
      <c r="M135" s="62"/>
      <c r="N135" s="30"/>
    </row>
    <row r="136" spans="1:14" s="31" customFormat="1" x14ac:dyDescent="0.3">
      <c r="A136" s="92" t="s">
        <v>324</v>
      </c>
      <c r="B136" s="93"/>
      <c r="C136" s="93"/>
      <c r="D136" s="93"/>
      <c r="E136" s="93"/>
      <c r="F136" s="93"/>
      <c r="G136" s="93"/>
      <c r="H136" s="94"/>
      <c r="J136" s="30"/>
    </row>
    <row r="137" spans="1:14" s="31" customFormat="1" ht="15.75" customHeight="1" x14ac:dyDescent="0.3">
      <c r="A137" s="63">
        <v>1</v>
      </c>
      <c r="B137" s="64"/>
      <c r="C137" s="36" t="s">
        <v>310</v>
      </c>
      <c r="D137" s="36">
        <f>(37.23)*10.764</f>
        <v>400.74371999999994</v>
      </c>
      <c r="E137" s="36">
        <f t="shared" ref="E137:E144" si="4">(8.25+0.75*2.75)*10.764</f>
        <v>111.00375</v>
      </c>
      <c r="F137" s="36">
        <f t="shared" ref="F137:F144" si="5">D137+E137</f>
        <v>511.74746999999991</v>
      </c>
      <c r="G137" s="36">
        <v>0</v>
      </c>
      <c r="H137" s="36">
        <f t="shared" ref="H137:H144" si="6">F137*(($H$123)+1)+(IF(G137&lt;101,G137,IF(G137&lt;201,G137/2,IF(G137&lt;=301,G137/3,G137/4))))</f>
        <v>767.62120499999992</v>
      </c>
      <c r="I137" s="30"/>
      <c r="J137" s="31">
        <f>1.2*2.75+1.2*2.75+0.75*2.2</f>
        <v>8.25</v>
      </c>
      <c r="L137" s="62"/>
      <c r="M137" s="62"/>
      <c r="N137" s="30"/>
    </row>
    <row r="138" spans="1:14" s="31" customFormat="1" ht="15.75" customHeight="1" x14ac:dyDescent="0.3">
      <c r="A138" s="63">
        <v>2</v>
      </c>
      <c r="B138" s="64"/>
      <c r="C138" s="36" t="s">
        <v>309</v>
      </c>
      <c r="D138" s="36">
        <f>(27.47)*10.764</f>
        <v>295.68707999999998</v>
      </c>
      <c r="E138" s="36">
        <f t="shared" si="4"/>
        <v>111.00375</v>
      </c>
      <c r="F138" s="36">
        <f t="shared" si="5"/>
        <v>406.69083000000001</v>
      </c>
      <c r="G138" s="36">
        <v>0</v>
      </c>
      <c r="H138" s="36">
        <f t="shared" si="6"/>
        <v>610.03624500000001</v>
      </c>
      <c r="I138" s="30"/>
      <c r="L138" s="62"/>
      <c r="M138" s="62"/>
      <c r="N138" s="30"/>
    </row>
    <row r="139" spans="1:14" s="31" customFormat="1" ht="15.75" customHeight="1" x14ac:dyDescent="0.3">
      <c r="A139" s="63">
        <v>3</v>
      </c>
      <c r="B139" s="64"/>
      <c r="C139" s="36" t="s">
        <v>309</v>
      </c>
      <c r="D139" s="36">
        <f>(27.47)*10.764</f>
        <v>295.68707999999998</v>
      </c>
      <c r="E139" s="36">
        <f t="shared" si="4"/>
        <v>111.00375</v>
      </c>
      <c r="F139" s="36">
        <f t="shared" si="5"/>
        <v>406.69083000000001</v>
      </c>
      <c r="G139" s="36">
        <v>0</v>
      </c>
      <c r="H139" s="36">
        <f t="shared" si="6"/>
        <v>610.03624500000001</v>
      </c>
      <c r="I139" s="30"/>
      <c r="L139" s="62"/>
      <c r="M139" s="62"/>
      <c r="N139" s="30"/>
    </row>
    <row r="140" spans="1:14" s="31" customFormat="1" ht="15.75" customHeight="1" x14ac:dyDescent="0.3">
      <c r="A140" s="63">
        <v>4</v>
      </c>
      <c r="B140" s="64"/>
      <c r="C140" s="36" t="s">
        <v>309</v>
      </c>
      <c r="D140" s="36">
        <f>(27.47)*10.764</f>
        <v>295.68707999999998</v>
      </c>
      <c r="E140" s="36">
        <f t="shared" si="4"/>
        <v>111.00375</v>
      </c>
      <c r="F140" s="36">
        <f t="shared" si="5"/>
        <v>406.69083000000001</v>
      </c>
      <c r="G140" s="36">
        <v>0</v>
      </c>
      <c r="H140" s="36">
        <f t="shared" si="6"/>
        <v>610.03624500000001</v>
      </c>
      <c r="I140" s="30"/>
      <c r="L140" s="62"/>
      <c r="M140" s="62"/>
      <c r="N140" s="30"/>
    </row>
    <row r="141" spans="1:14" s="31" customFormat="1" ht="15.75" customHeight="1" x14ac:dyDescent="0.3">
      <c r="A141" s="63">
        <v>5</v>
      </c>
      <c r="B141" s="64"/>
      <c r="C141" s="36" t="s">
        <v>309</v>
      </c>
      <c r="D141" s="36">
        <f>(27.47)*10.764</f>
        <v>295.68707999999998</v>
      </c>
      <c r="E141" s="36">
        <f t="shared" si="4"/>
        <v>111.00375</v>
      </c>
      <c r="F141" s="36">
        <f t="shared" si="5"/>
        <v>406.69083000000001</v>
      </c>
      <c r="G141" s="36">
        <v>0</v>
      </c>
      <c r="H141" s="36">
        <f t="shared" si="6"/>
        <v>610.03624500000001</v>
      </c>
      <c r="I141" s="30"/>
      <c r="L141" s="62"/>
      <c r="M141" s="62"/>
      <c r="N141" s="30"/>
    </row>
    <row r="142" spans="1:14" s="31" customFormat="1" ht="15.75" customHeight="1" x14ac:dyDescent="0.3">
      <c r="A142" s="63">
        <v>6</v>
      </c>
      <c r="B142" s="64"/>
      <c r="C142" s="36" t="s">
        <v>310</v>
      </c>
      <c r="D142" s="36">
        <f>(37.23)*10.764</f>
        <v>400.74371999999994</v>
      </c>
      <c r="E142" s="36">
        <f t="shared" si="4"/>
        <v>111.00375</v>
      </c>
      <c r="F142" s="36">
        <f t="shared" si="5"/>
        <v>511.74746999999991</v>
      </c>
      <c r="G142" s="36">
        <v>0</v>
      </c>
      <c r="H142" s="36">
        <f t="shared" si="6"/>
        <v>767.62120499999992</v>
      </c>
      <c r="I142" s="30"/>
      <c r="L142" s="62"/>
      <c r="M142" s="62"/>
      <c r="N142" s="30"/>
    </row>
    <row r="143" spans="1:14" s="31" customFormat="1" ht="15.75" customHeight="1" x14ac:dyDescent="0.3">
      <c r="A143" s="63">
        <v>7</v>
      </c>
      <c r="B143" s="64"/>
      <c r="C143" s="36" t="s">
        <v>309</v>
      </c>
      <c r="D143" s="36">
        <f>(27.47)*10.764</f>
        <v>295.68707999999998</v>
      </c>
      <c r="E143" s="36">
        <f t="shared" si="4"/>
        <v>111.00375</v>
      </c>
      <c r="F143" s="36">
        <f t="shared" si="5"/>
        <v>406.69083000000001</v>
      </c>
      <c r="G143" s="36">
        <v>0</v>
      </c>
      <c r="H143" s="36">
        <f t="shared" si="6"/>
        <v>610.03624500000001</v>
      </c>
      <c r="I143" s="30"/>
      <c r="L143" s="62"/>
      <c r="M143" s="62"/>
      <c r="N143" s="30"/>
    </row>
    <row r="144" spans="1:14" s="31" customFormat="1" ht="15.75" customHeight="1" x14ac:dyDescent="0.3">
      <c r="A144" s="63">
        <v>8</v>
      </c>
      <c r="B144" s="64"/>
      <c r="C144" s="36" t="s">
        <v>309</v>
      </c>
      <c r="D144" s="36">
        <f>(27.47)*10.764</f>
        <v>295.68707999999998</v>
      </c>
      <c r="E144" s="36">
        <f t="shared" si="4"/>
        <v>111.00375</v>
      </c>
      <c r="F144" s="36">
        <f t="shared" si="5"/>
        <v>406.69083000000001</v>
      </c>
      <c r="G144" s="36">
        <v>0</v>
      </c>
      <c r="H144" s="36">
        <f t="shared" si="6"/>
        <v>610.03624500000001</v>
      </c>
      <c r="I144" s="30"/>
      <c r="L144" s="62"/>
      <c r="M144" s="62"/>
      <c r="N144" s="30"/>
    </row>
    <row r="145" spans="1:14" s="31" customFormat="1" x14ac:dyDescent="0.3">
      <c r="A145" s="108" t="s">
        <v>314</v>
      </c>
      <c r="B145" s="108"/>
      <c r="C145" s="108"/>
      <c r="D145" s="108"/>
      <c r="E145" s="108"/>
      <c r="F145" s="108"/>
      <c r="G145" s="108"/>
      <c r="H145" s="108"/>
      <c r="J145" s="30"/>
    </row>
    <row r="146" spans="1:14" s="31" customFormat="1" ht="15.75" customHeight="1" x14ac:dyDescent="0.3">
      <c r="A146" s="65">
        <v>1</v>
      </c>
      <c r="B146" s="65"/>
      <c r="C146" s="36" t="s">
        <v>310</v>
      </c>
      <c r="D146" s="36">
        <f>(37.23)*10.764</f>
        <v>400.74371999999994</v>
      </c>
      <c r="E146" s="36">
        <f t="shared" ref="E146:E153" si="7">(8.25+0.75*2.75)*10.764</f>
        <v>111.00375</v>
      </c>
      <c r="F146" s="36">
        <f t="shared" ref="F146:F153" si="8">D146+E146</f>
        <v>511.74746999999991</v>
      </c>
      <c r="G146" s="36">
        <v>0</v>
      </c>
      <c r="H146" s="36">
        <f t="shared" ref="H146:H153" si="9">F146*(($H$123)+1)+(IF(G146&lt;101,G146,IF(G146&lt;201,G146/2,IF(G146&lt;=301,G146/3,G146/4))))</f>
        <v>767.62120499999992</v>
      </c>
      <c r="I146" s="30"/>
      <c r="L146" s="62"/>
      <c r="M146" s="62"/>
      <c r="N146" s="30"/>
    </row>
    <row r="147" spans="1:14" s="31" customFormat="1" ht="15.75" customHeight="1" x14ac:dyDescent="0.3">
      <c r="A147" s="65">
        <v>2</v>
      </c>
      <c r="B147" s="65"/>
      <c r="C147" s="36" t="s">
        <v>309</v>
      </c>
      <c r="D147" s="36">
        <f>(27.47)*10.764</f>
        <v>295.68707999999998</v>
      </c>
      <c r="E147" s="36">
        <f t="shared" si="7"/>
        <v>111.00375</v>
      </c>
      <c r="F147" s="36">
        <f t="shared" si="8"/>
        <v>406.69083000000001</v>
      </c>
      <c r="G147" s="36">
        <v>0</v>
      </c>
      <c r="H147" s="36">
        <f t="shared" si="9"/>
        <v>610.03624500000001</v>
      </c>
      <c r="I147" s="30"/>
      <c r="L147" s="62"/>
      <c r="M147" s="62"/>
      <c r="N147" s="30"/>
    </row>
    <row r="148" spans="1:14" s="31" customFormat="1" ht="15.75" customHeight="1" x14ac:dyDescent="0.3">
      <c r="A148" s="65">
        <v>3</v>
      </c>
      <c r="B148" s="65"/>
      <c r="C148" s="36" t="s">
        <v>309</v>
      </c>
      <c r="D148" s="36">
        <f>(27.47)*10.764</f>
        <v>295.68707999999998</v>
      </c>
      <c r="E148" s="36">
        <f t="shared" si="7"/>
        <v>111.00375</v>
      </c>
      <c r="F148" s="36">
        <f t="shared" si="8"/>
        <v>406.69083000000001</v>
      </c>
      <c r="G148" s="36">
        <v>0</v>
      </c>
      <c r="H148" s="36">
        <f t="shared" si="9"/>
        <v>610.03624500000001</v>
      </c>
      <c r="I148" s="30"/>
      <c r="L148" s="62"/>
      <c r="M148" s="62"/>
      <c r="N148" s="30"/>
    </row>
    <row r="149" spans="1:14" s="31" customFormat="1" ht="15.75" customHeight="1" x14ac:dyDescent="0.3">
      <c r="A149" s="65">
        <v>4</v>
      </c>
      <c r="B149" s="65"/>
      <c r="C149" s="36" t="s">
        <v>309</v>
      </c>
      <c r="D149" s="36">
        <f>(27.47)*10.764</f>
        <v>295.68707999999998</v>
      </c>
      <c r="E149" s="36">
        <f t="shared" si="7"/>
        <v>111.00375</v>
      </c>
      <c r="F149" s="36">
        <f t="shared" si="8"/>
        <v>406.69083000000001</v>
      </c>
      <c r="G149" s="36">
        <v>0</v>
      </c>
      <c r="H149" s="36">
        <f t="shared" si="9"/>
        <v>610.03624500000001</v>
      </c>
      <c r="I149" s="30"/>
      <c r="L149" s="62"/>
      <c r="M149" s="62"/>
      <c r="N149" s="30"/>
    </row>
    <row r="150" spans="1:14" s="31" customFormat="1" ht="15.75" customHeight="1" x14ac:dyDescent="0.3">
      <c r="A150" s="65">
        <v>5</v>
      </c>
      <c r="B150" s="65"/>
      <c r="C150" s="36" t="s">
        <v>309</v>
      </c>
      <c r="D150" s="36">
        <f>(27.47)*10.764</f>
        <v>295.68707999999998</v>
      </c>
      <c r="E150" s="36">
        <f t="shared" si="7"/>
        <v>111.00375</v>
      </c>
      <c r="F150" s="36">
        <f t="shared" si="8"/>
        <v>406.69083000000001</v>
      </c>
      <c r="G150" s="36">
        <v>0</v>
      </c>
      <c r="H150" s="36">
        <f t="shared" si="9"/>
        <v>610.03624500000001</v>
      </c>
      <c r="I150" s="30"/>
      <c r="L150" s="62"/>
      <c r="M150" s="62"/>
      <c r="N150" s="30"/>
    </row>
    <row r="151" spans="1:14" s="31" customFormat="1" ht="15.75" customHeight="1" x14ac:dyDescent="0.3">
      <c r="A151" s="65">
        <v>6</v>
      </c>
      <c r="B151" s="65"/>
      <c r="C151" s="36" t="s">
        <v>310</v>
      </c>
      <c r="D151" s="36">
        <f>(37.23)*10.764</f>
        <v>400.74371999999994</v>
      </c>
      <c r="E151" s="36">
        <f t="shared" si="7"/>
        <v>111.00375</v>
      </c>
      <c r="F151" s="36">
        <f t="shared" si="8"/>
        <v>511.74746999999991</v>
      </c>
      <c r="G151" s="36">
        <v>0</v>
      </c>
      <c r="H151" s="36">
        <f t="shared" si="9"/>
        <v>767.62120499999992</v>
      </c>
      <c r="I151" s="30"/>
      <c r="L151" s="62"/>
      <c r="M151" s="62"/>
      <c r="N151" s="30"/>
    </row>
    <row r="152" spans="1:14" s="31" customFormat="1" ht="15.75" customHeight="1" x14ac:dyDescent="0.3">
      <c r="A152" s="65">
        <v>7</v>
      </c>
      <c r="B152" s="65"/>
      <c r="C152" s="36" t="s">
        <v>309</v>
      </c>
      <c r="D152" s="36">
        <f>(27.47)*10.764</f>
        <v>295.68707999999998</v>
      </c>
      <c r="E152" s="36">
        <f t="shared" si="7"/>
        <v>111.00375</v>
      </c>
      <c r="F152" s="36">
        <f t="shared" si="8"/>
        <v>406.69083000000001</v>
      </c>
      <c r="G152" s="36">
        <v>0</v>
      </c>
      <c r="H152" s="36">
        <f t="shared" si="9"/>
        <v>610.03624500000001</v>
      </c>
      <c r="I152" s="30"/>
      <c r="L152" s="62"/>
      <c r="M152" s="62"/>
      <c r="N152" s="30"/>
    </row>
    <row r="153" spans="1:14" s="31" customFormat="1" ht="15.75" customHeight="1" x14ac:dyDescent="0.3">
      <c r="A153" s="65">
        <v>8</v>
      </c>
      <c r="B153" s="65"/>
      <c r="C153" s="36" t="s">
        <v>309</v>
      </c>
      <c r="D153" s="36">
        <f>(27.47)*10.764</f>
        <v>295.68707999999998</v>
      </c>
      <c r="E153" s="36">
        <f t="shared" si="7"/>
        <v>111.00375</v>
      </c>
      <c r="F153" s="36">
        <f t="shared" si="8"/>
        <v>406.69083000000001</v>
      </c>
      <c r="G153" s="36">
        <v>0</v>
      </c>
      <c r="H153" s="36">
        <f t="shared" si="9"/>
        <v>610.03624500000001</v>
      </c>
      <c r="I153" s="30"/>
      <c r="L153" s="62"/>
      <c r="M153" s="62"/>
      <c r="N153" s="30"/>
    </row>
    <row r="154" spans="1:14" s="31" customFormat="1" x14ac:dyDescent="0.3">
      <c r="A154" s="92" t="s">
        <v>325</v>
      </c>
      <c r="B154" s="93"/>
      <c r="C154" s="93"/>
      <c r="D154" s="93"/>
      <c r="E154" s="93"/>
      <c r="F154" s="93"/>
      <c r="G154" s="93"/>
      <c r="H154" s="94"/>
      <c r="J154" s="30"/>
    </row>
    <row r="155" spans="1:14" s="31" customFormat="1" ht="15.75" customHeight="1" x14ac:dyDescent="0.3">
      <c r="A155" s="63">
        <v>1</v>
      </c>
      <c r="B155" s="64"/>
      <c r="C155" s="36" t="s">
        <v>310</v>
      </c>
      <c r="D155" s="36">
        <f>(37.23)*10.764</f>
        <v>400.74371999999994</v>
      </c>
      <c r="E155" s="36">
        <f t="shared" ref="E155:E162" si="10">(8.25+0.75*2.75)*10.764</f>
        <v>111.00375</v>
      </c>
      <c r="F155" s="36">
        <f t="shared" ref="F155:F162" si="11">D155+E155</f>
        <v>511.74746999999991</v>
      </c>
      <c r="G155" s="36">
        <v>0</v>
      </c>
      <c r="H155" s="36">
        <f t="shared" ref="H155:H162" si="12">F155*(($H$123)+1)+(IF(G155&lt;101,G155,IF(G155&lt;201,G155/2,IF(G155&lt;=301,G155/3,G155/4))))</f>
        <v>767.62120499999992</v>
      </c>
      <c r="I155" s="30"/>
      <c r="L155" s="62"/>
      <c r="M155" s="62"/>
      <c r="N155" s="30"/>
    </row>
    <row r="156" spans="1:14" s="31" customFormat="1" ht="15.75" customHeight="1" x14ac:dyDescent="0.3">
      <c r="A156" s="63">
        <v>2</v>
      </c>
      <c r="B156" s="64"/>
      <c r="C156" s="36" t="s">
        <v>309</v>
      </c>
      <c r="D156" s="36">
        <f>(27.47)*10.764</f>
        <v>295.68707999999998</v>
      </c>
      <c r="E156" s="36">
        <f t="shared" si="10"/>
        <v>111.00375</v>
      </c>
      <c r="F156" s="36">
        <f t="shared" si="11"/>
        <v>406.69083000000001</v>
      </c>
      <c r="G156" s="36">
        <v>0</v>
      </c>
      <c r="H156" s="36">
        <f t="shared" si="12"/>
        <v>610.03624500000001</v>
      </c>
      <c r="I156" s="30"/>
      <c r="L156" s="62"/>
      <c r="M156" s="62"/>
      <c r="N156" s="30"/>
    </row>
    <row r="157" spans="1:14" s="31" customFormat="1" ht="15.75" customHeight="1" x14ac:dyDescent="0.3">
      <c r="A157" s="63">
        <v>3</v>
      </c>
      <c r="B157" s="64"/>
      <c r="C157" s="36" t="s">
        <v>309</v>
      </c>
      <c r="D157" s="36">
        <f>(27.47)*10.764</f>
        <v>295.68707999999998</v>
      </c>
      <c r="E157" s="36">
        <f t="shared" si="10"/>
        <v>111.00375</v>
      </c>
      <c r="F157" s="36">
        <f t="shared" si="11"/>
        <v>406.69083000000001</v>
      </c>
      <c r="G157" s="36">
        <v>0</v>
      </c>
      <c r="H157" s="36">
        <f t="shared" si="12"/>
        <v>610.03624500000001</v>
      </c>
      <c r="I157" s="30"/>
      <c r="L157" s="62"/>
      <c r="M157" s="62"/>
      <c r="N157" s="30"/>
    </row>
    <row r="158" spans="1:14" s="31" customFormat="1" ht="15.75" customHeight="1" x14ac:dyDescent="0.3">
      <c r="A158" s="63">
        <v>4</v>
      </c>
      <c r="B158" s="64"/>
      <c r="C158" s="36" t="s">
        <v>309</v>
      </c>
      <c r="D158" s="36">
        <f>(27.47)*10.764</f>
        <v>295.68707999999998</v>
      </c>
      <c r="E158" s="36">
        <f t="shared" si="10"/>
        <v>111.00375</v>
      </c>
      <c r="F158" s="36">
        <f t="shared" si="11"/>
        <v>406.69083000000001</v>
      </c>
      <c r="G158" s="36">
        <v>0</v>
      </c>
      <c r="H158" s="36">
        <f t="shared" si="12"/>
        <v>610.03624500000001</v>
      </c>
      <c r="I158" s="30"/>
      <c r="L158" s="62"/>
      <c r="M158" s="62"/>
      <c r="N158" s="30"/>
    </row>
    <row r="159" spans="1:14" s="31" customFormat="1" ht="15.75" customHeight="1" x14ac:dyDescent="0.3">
      <c r="A159" s="63">
        <v>5</v>
      </c>
      <c r="B159" s="64"/>
      <c r="C159" s="36" t="s">
        <v>309</v>
      </c>
      <c r="D159" s="36">
        <f>(27.47)*10.764</f>
        <v>295.68707999999998</v>
      </c>
      <c r="E159" s="36">
        <f t="shared" si="10"/>
        <v>111.00375</v>
      </c>
      <c r="F159" s="36">
        <f t="shared" si="11"/>
        <v>406.69083000000001</v>
      </c>
      <c r="G159" s="36">
        <v>0</v>
      </c>
      <c r="H159" s="36">
        <f t="shared" si="12"/>
        <v>610.03624500000001</v>
      </c>
      <c r="I159" s="30"/>
      <c r="L159" s="62"/>
      <c r="M159" s="62"/>
      <c r="N159" s="30"/>
    </row>
    <row r="160" spans="1:14" s="31" customFormat="1" ht="15.75" customHeight="1" x14ac:dyDescent="0.3">
      <c r="A160" s="63">
        <v>6</v>
      </c>
      <c r="B160" s="64"/>
      <c r="C160" s="36" t="s">
        <v>310</v>
      </c>
      <c r="D160" s="36">
        <f>(37.23)*10.764</f>
        <v>400.74371999999994</v>
      </c>
      <c r="E160" s="36">
        <f t="shared" si="10"/>
        <v>111.00375</v>
      </c>
      <c r="F160" s="36">
        <f t="shared" si="11"/>
        <v>511.74746999999991</v>
      </c>
      <c r="G160" s="36">
        <v>0</v>
      </c>
      <c r="H160" s="36">
        <f t="shared" si="12"/>
        <v>767.62120499999992</v>
      </c>
      <c r="I160" s="30"/>
      <c r="L160" s="62"/>
      <c r="M160" s="62"/>
      <c r="N160" s="30"/>
    </row>
    <row r="161" spans="1:14" s="31" customFormat="1" ht="15.75" customHeight="1" x14ac:dyDescent="0.3">
      <c r="A161" s="63">
        <v>7</v>
      </c>
      <c r="B161" s="64"/>
      <c r="C161" s="36" t="s">
        <v>309</v>
      </c>
      <c r="D161" s="36">
        <f>(27.47)*10.764</f>
        <v>295.68707999999998</v>
      </c>
      <c r="E161" s="36">
        <f t="shared" si="10"/>
        <v>111.00375</v>
      </c>
      <c r="F161" s="36">
        <f t="shared" si="11"/>
        <v>406.69083000000001</v>
      </c>
      <c r="G161" s="36">
        <v>0</v>
      </c>
      <c r="H161" s="36">
        <f t="shared" si="12"/>
        <v>610.03624500000001</v>
      </c>
      <c r="I161" s="30"/>
      <c r="L161" s="62"/>
      <c r="M161" s="62"/>
      <c r="N161" s="30"/>
    </row>
    <row r="162" spans="1:14" s="31" customFormat="1" ht="15.75" customHeight="1" x14ac:dyDescent="0.3">
      <c r="A162" s="63">
        <v>8</v>
      </c>
      <c r="B162" s="64"/>
      <c r="C162" s="36" t="s">
        <v>309</v>
      </c>
      <c r="D162" s="36">
        <f>(27.47)*10.764</f>
        <v>295.68707999999998</v>
      </c>
      <c r="E162" s="36">
        <f t="shared" si="10"/>
        <v>111.00375</v>
      </c>
      <c r="F162" s="36">
        <f t="shared" si="11"/>
        <v>406.69083000000001</v>
      </c>
      <c r="G162" s="36">
        <v>0</v>
      </c>
      <c r="H162" s="36">
        <f t="shared" si="12"/>
        <v>610.03624500000001</v>
      </c>
      <c r="I162" s="30"/>
      <c r="L162" s="62"/>
      <c r="M162" s="62"/>
      <c r="N162" s="30"/>
    </row>
    <row r="163" spans="1:14" s="31" customFormat="1" hidden="1" x14ac:dyDescent="0.3">
      <c r="A163" s="92" t="s">
        <v>314</v>
      </c>
      <c r="B163" s="93"/>
      <c r="C163" s="93"/>
      <c r="D163" s="93"/>
      <c r="E163" s="93"/>
      <c r="F163" s="93"/>
      <c r="G163" s="93"/>
      <c r="H163" s="94"/>
      <c r="J163" s="30"/>
    </row>
    <row r="164" spans="1:14" s="31" customFormat="1" ht="15.75" hidden="1" customHeight="1" x14ac:dyDescent="0.3">
      <c r="A164" s="63">
        <v>1</v>
      </c>
      <c r="B164" s="64"/>
      <c r="C164" s="36" t="s">
        <v>310</v>
      </c>
      <c r="D164" s="36">
        <f>(3.05*3.05+2.2*2.79+2.75*3.06+2.75*2.45+1.2*1.8+1.8*1.2)*10.764</f>
        <v>375.80353199999996</v>
      </c>
      <c r="E164" s="36">
        <f>(0.75*(2.75+2.2)+1.2*(2.75+2.75))*10.764</f>
        <v>111.00375</v>
      </c>
      <c r="F164" s="36">
        <f>D164+E164</f>
        <v>486.80728199999999</v>
      </c>
      <c r="G164" s="36">
        <v>0</v>
      </c>
      <c r="H164" s="36">
        <f>F164*(($H$123)+1)+(IF(G164&lt;101,G164,IF(G164&lt;201,G164/2,IF(G164&lt;=301,G164/3,G164/4))))</f>
        <v>730.21092299999998</v>
      </c>
      <c r="I164" s="30"/>
      <c r="L164" s="62"/>
      <c r="M164" s="62"/>
      <c r="N164" s="30"/>
    </row>
    <row r="165" spans="1:14" s="31" customFormat="1" ht="15.75" hidden="1" customHeight="1" x14ac:dyDescent="0.3">
      <c r="A165" s="63" t="s">
        <v>312</v>
      </c>
      <c r="B165" s="64"/>
      <c r="C165" s="63" t="s">
        <v>313</v>
      </c>
      <c r="D165" s="110"/>
      <c r="E165" s="110"/>
      <c r="F165" s="110"/>
      <c r="G165" s="110"/>
      <c r="H165" s="64"/>
      <c r="I165" s="30"/>
      <c r="L165" s="62"/>
      <c r="M165" s="62"/>
      <c r="N165" s="30"/>
    </row>
    <row r="166" spans="1:14" s="31" customFormat="1" ht="15.75" hidden="1" customHeight="1" x14ac:dyDescent="0.3">
      <c r="A166" s="63">
        <v>2</v>
      </c>
      <c r="B166" s="64"/>
      <c r="C166" s="36" t="s">
        <v>309</v>
      </c>
      <c r="D166" s="36">
        <f>(2.75*3.06+1.2*1.8+1.8*1.2+2.75*2.45+2.2*2.79)*10.764</f>
        <v>275.67142200000006</v>
      </c>
      <c r="E166" s="36">
        <f>(1.2*(2.75+2.75))*10.764</f>
        <v>71.042399999999986</v>
      </c>
      <c r="F166" s="36">
        <f t="shared" ref="F166:F172" si="13">D166+E166</f>
        <v>346.71382200000005</v>
      </c>
      <c r="G166" s="36">
        <v>0</v>
      </c>
      <c r="H166" s="36">
        <f t="shared" ref="H166:H172" si="14">F166*(($H$123)+1)+(IF(G166&lt;101,G166,IF(G166&lt;201,G166/2,IF(G166&lt;=301,G166/3,G166/4))))</f>
        <v>520.07073300000002</v>
      </c>
      <c r="I166" s="30"/>
      <c r="L166" s="62"/>
      <c r="M166" s="62"/>
      <c r="N166" s="30"/>
    </row>
    <row r="167" spans="1:14" s="31" customFormat="1" ht="15.75" hidden="1" customHeight="1" x14ac:dyDescent="0.3">
      <c r="A167" s="63">
        <v>3</v>
      </c>
      <c r="B167" s="64"/>
      <c r="C167" s="36" t="s">
        <v>309</v>
      </c>
      <c r="D167" s="36">
        <f t="shared" ref="D167:D169" si="15">(2.75*3.06+1.2*1.8+1.8*1.2+2.75*2.45+2.2*2.79)*10.764</f>
        <v>275.67142200000006</v>
      </c>
      <c r="E167" s="36">
        <f t="shared" ref="E167:E169" si="16">(1.2*(2.75+2.75))*10.764</f>
        <v>71.042399999999986</v>
      </c>
      <c r="F167" s="36">
        <f t="shared" si="13"/>
        <v>346.71382200000005</v>
      </c>
      <c r="G167" s="36">
        <v>0</v>
      </c>
      <c r="H167" s="36">
        <f t="shared" si="14"/>
        <v>520.07073300000002</v>
      </c>
      <c r="I167" s="30"/>
      <c r="L167" s="62"/>
      <c r="M167" s="62"/>
      <c r="N167" s="30"/>
    </row>
    <row r="168" spans="1:14" s="31" customFormat="1" ht="15.75" hidden="1" customHeight="1" x14ac:dyDescent="0.3">
      <c r="A168" s="63">
        <v>4</v>
      </c>
      <c r="B168" s="64"/>
      <c r="C168" s="36" t="s">
        <v>309</v>
      </c>
      <c r="D168" s="36">
        <f t="shared" si="15"/>
        <v>275.67142200000006</v>
      </c>
      <c r="E168" s="36">
        <f t="shared" si="16"/>
        <v>71.042399999999986</v>
      </c>
      <c r="F168" s="36">
        <f t="shared" si="13"/>
        <v>346.71382200000005</v>
      </c>
      <c r="G168" s="36">
        <v>0</v>
      </c>
      <c r="H168" s="36">
        <f t="shared" si="14"/>
        <v>520.07073300000002</v>
      </c>
      <c r="I168" s="30"/>
      <c r="L168" s="62"/>
      <c r="M168" s="62"/>
      <c r="N168" s="30"/>
    </row>
    <row r="169" spans="1:14" s="31" customFormat="1" ht="15.75" hidden="1" customHeight="1" x14ac:dyDescent="0.3">
      <c r="A169" s="63">
        <v>5</v>
      </c>
      <c r="B169" s="64"/>
      <c r="C169" s="36" t="s">
        <v>309</v>
      </c>
      <c r="D169" s="36">
        <f t="shared" si="15"/>
        <v>275.67142200000006</v>
      </c>
      <c r="E169" s="36">
        <f t="shared" si="16"/>
        <v>71.042399999999986</v>
      </c>
      <c r="F169" s="36">
        <f t="shared" si="13"/>
        <v>346.71382200000005</v>
      </c>
      <c r="G169" s="36">
        <v>0</v>
      </c>
      <c r="H169" s="36">
        <f t="shared" si="14"/>
        <v>520.07073300000002</v>
      </c>
      <c r="I169" s="30"/>
      <c r="L169" s="62"/>
      <c r="M169" s="62"/>
      <c r="N169" s="30"/>
    </row>
    <row r="170" spans="1:14" s="31" customFormat="1" ht="15.75" hidden="1" customHeight="1" x14ac:dyDescent="0.3">
      <c r="A170" s="63">
        <v>6</v>
      </c>
      <c r="B170" s="64"/>
      <c r="C170" s="36" t="s">
        <v>310</v>
      </c>
      <c r="D170" s="36">
        <f>(3.05*3.05+2.75*3.06+2.2*2.79+2.75*2.45+1.8*1.2+1.2*1.8)*10.764</f>
        <v>375.80353199999996</v>
      </c>
      <c r="E170" s="36">
        <f>(1.2*(2.75+2.75)+0.75*(2.75+2.2))*10.764</f>
        <v>111.00375</v>
      </c>
      <c r="F170" s="36">
        <f t="shared" si="13"/>
        <v>486.80728199999999</v>
      </c>
      <c r="G170" s="36">
        <v>0</v>
      </c>
      <c r="H170" s="36">
        <f t="shared" si="14"/>
        <v>730.21092299999998</v>
      </c>
      <c r="I170" s="30"/>
      <c r="L170" s="62"/>
      <c r="M170" s="62"/>
      <c r="N170" s="30"/>
    </row>
    <row r="171" spans="1:14" s="31" customFormat="1" ht="15.75" hidden="1" customHeight="1" x14ac:dyDescent="0.3">
      <c r="A171" s="63">
        <v>7</v>
      </c>
      <c r="B171" s="64"/>
      <c r="C171" s="36" t="s">
        <v>309</v>
      </c>
      <c r="D171" s="36">
        <f>(2.75*3.06+2.79*2.2+2.45*2.75+1.2*1.8+1.8*1.2)*10.764</f>
        <v>275.67142200000001</v>
      </c>
      <c r="E171" s="36">
        <f>(1.2*(2.75+2.75)+0.75*(2.2+2.75))*10.764</f>
        <v>111.00375</v>
      </c>
      <c r="F171" s="36">
        <f t="shared" si="13"/>
        <v>386.67517199999998</v>
      </c>
      <c r="G171" s="36">
        <v>0</v>
      </c>
      <c r="H171" s="36">
        <f t="shared" si="14"/>
        <v>580.01275799999996</v>
      </c>
      <c r="I171" s="30"/>
      <c r="L171" s="62"/>
      <c r="M171" s="62"/>
      <c r="N171" s="30"/>
    </row>
    <row r="172" spans="1:14" s="31" customFormat="1" ht="15.75" hidden="1" customHeight="1" x14ac:dyDescent="0.3">
      <c r="A172" s="63">
        <v>8</v>
      </c>
      <c r="B172" s="64"/>
      <c r="C172" s="36" t="s">
        <v>309</v>
      </c>
      <c r="D172" s="36">
        <f>(2.75*3.06+2.79*2.2+2.45*2.75+1.2*1.8+1.8*1.2)*10.764</f>
        <v>275.67142200000001</v>
      </c>
      <c r="E172" s="36">
        <f>(1.2*(2.75+2.75)+0.75*(2.2+2.75))*10.764</f>
        <v>111.00375</v>
      </c>
      <c r="F172" s="36">
        <f t="shared" si="13"/>
        <v>386.67517199999998</v>
      </c>
      <c r="G172" s="36">
        <v>0</v>
      </c>
      <c r="H172" s="36">
        <f t="shared" si="14"/>
        <v>580.01275799999996</v>
      </c>
      <c r="I172" s="30"/>
      <c r="L172" s="62"/>
      <c r="M172" s="62"/>
      <c r="N172" s="30"/>
    </row>
    <row r="173" spans="1:14" s="29" customFormat="1" x14ac:dyDescent="0.3">
      <c r="A173" s="107" t="s">
        <v>65</v>
      </c>
      <c r="B173" s="107"/>
      <c r="C173" s="107"/>
      <c r="D173" s="107"/>
      <c r="E173" s="107"/>
      <c r="F173" s="107"/>
      <c r="G173" s="107"/>
      <c r="H173" s="107"/>
    </row>
    <row r="174" spans="1:14" s="29" customFormat="1" x14ac:dyDescent="0.3">
      <c r="A174" s="39" t="s">
        <v>150</v>
      </c>
      <c r="B174" s="104" t="s">
        <v>329</v>
      </c>
      <c r="C174" s="105"/>
      <c r="D174" s="105"/>
      <c r="E174" s="105"/>
      <c r="F174" s="105"/>
      <c r="G174" s="105"/>
      <c r="H174" s="106"/>
    </row>
    <row r="175" spans="1:14" s="29" customFormat="1" x14ac:dyDescent="0.3">
      <c r="A175" s="39" t="s">
        <v>150</v>
      </c>
      <c r="B175" s="104" t="str">
        <f>(IF(H122="Saleable area Loading :","We have considered Saleable area of Flats as per our Calculation.","We considered Saleable area of Flat as per Builder area Sheet."))</f>
        <v>We have considered Saleable area of Flats as per our Calculation.</v>
      </c>
      <c r="C175" s="105"/>
      <c r="D175" s="105"/>
      <c r="E175" s="105"/>
      <c r="F175" s="105"/>
      <c r="G175" s="105"/>
      <c r="H175" s="106"/>
    </row>
    <row r="176" spans="1:14" s="29" customFormat="1" x14ac:dyDescent="0.3">
      <c r="A176" s="39" t="s">
        <v>150</v>
      </c>
      <c r="B176" s="104" t="str">
        <f>(IF(H103="Saleable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76" s="105"/>
      <c r="D176" s="105"/>
      <c r="E176" s="105"/>
      <c r="F176" s="105"/>
      <c r="G176" s="105"/>
      <c r="H176" s="106"/>
    </row>
    <row r="177" spans="1:8" s="29" customFormat="1" x14ac:dyDescent="0.3">
      <c r="A177" s="39" t="s">
        <v>150</v>
      </c>
      <c r="B177" s="101" t="s">
        <v>120</v>
      </c>
      <c r="C177" s="102"/>
      <c r="D177" s="102"/>
      <c r="E177" s="102"/>
      <c r="F177" s="102"/>
      <c r="G177" s="102"/>
      <c r="H177" s="103"/>
    </row>
    <row r="178" spans="1:8" s="29" customFormat="1" ht="30.75" customHeight="1" x14ac:dyDescent="0.3">
      <c r="A178" s="39" t="s">
        <v>150</v>
      </c>
      <c r="B178" s="104" t="s">
        <v>326</v>
      </c>
      <c r="C178" s="105"/>
      <c r="D178" s="105"/>
      <c r="E178" s="105"/>
      <c r="F178" s="105"/>
      <c r="G178" s="105"/>
      <c r="H178" s="106"/>
    </row>
    <row r="179" spans="1:8" s="29" customFormat="1" x14ac:dyDescent="0.3">
      <c r="A179" s="39" t="s">
        <v>150</v>
      </c>
      <c r="B179" s="101" t="s">
        <v>149</v>
      </c>
      <c r="C179" s="102"/>
      <c r="D179" s="102"/>
      <c r="E179" s="102"/>
      <c r="F179" s="102"/>
      <c r="G179" s="102"/>
      <c r="H179" s="103"/>
    </row>
    <row r="180" spans="1:8" s="29" customFormat="1" x14ac:dyDescent="0.3">
      <c r="A180" s="39" t="s">
        <v>150</v>
      </c>
      <c r="B180" s="101" t="s">
        <v>121</v>
      </c>
      <c r="C180" s="102"/>
      <c r="D180" s="102"/>
      <c r="E180" s="102"/>
      <c r="F180" s="102"/>
      <c r="G180" s="102"/>
      <c r="H180" s="103"/>
    </row>
    <row r="181" spans="1:8" s="29" customFormat="1" ht="34.5" customHeight="1" x14ac:dyDescent="0.3">
      <c r="A181" s="39" t="s">
        <v>150</v>
      </c>
      <c r="B181" s="101" t="s">
        <v>151</v>
      </c>
      <c r="C181" s="102"/>
      <c r="D181" s="102"/>
      <c r="E181" s="102"/>
      <c r="F181" s="102"/>
      <c r="G181" s="102"/>
      <c r="H181" s="103"/>
    </row>
    <row r="182" spans="1:8" s="29" customFormat="1" x14ac:dyDescent="0.3">
      <c r="A182" s="39" t="s">
        <v>150</v>
      </c>
      <c r="B182" s="101" t="s">
        <v>122</v>
      </c>
      <c r="C182" s="102"/>
      <c r="D182" s="102"/>
      <c r="E182" s="102"/>
      <c r="F182" s="102"/>
      <c r="G182" s="102"/>
      <c r="H182" s="103"/>
    </row>
    <row r="183" spans="1:8" s="29" customFormat="1" ht="32.25" hidden="1" customHeight="1" x14ac:dyDescent="0.3">
      <c r="A183" s="39" t="s">
        <v>150</v>
      </c>
      <c r="B183" s="114" t="s">
        <v>175</v>
      </c>
      <c r="C183" s="115"/>
      <c r="D183" s="115"/>
      <c r="E183" s="115"/>
      <c r="F183" s="115"/>
      <c r="G183" s="115"/>
      <c r="H183" s="116"/>
    </row>
    <row r="184" spans="1:8" s="29" customFormat="1" x14ac:dyDescent="0.3">
      <c r="A184" s="39" t="s">
        <v>150</v>
      </c>
      <c r="B184" s="104" t="s">
        <v>292</v>
      </c>
      <c r="C184" s="105"/>
      <c r="D184" s="105"/>
      <c r="E184" s="105"/>
      <c r="F184" s="105"/>
      <c r="G184" s="105"/>
      <c r="H184" s="106"/>
    </row>
    <row r="185" spans="1:8" s="29" customFormat="1" ht="34.5" hidden="1" customHeight="1" x14ac:dyDescent="0.3">
      <c r="A185" s="39" t="s">
        <v>150</v>
      </c>
      <c r="B185" s="104" t="s">
        <v>317</v>
      </c>
      <c r="C185" s="105"/>
      <c r="D185" s="105"/>
      <c r="E185" s="105"/>
      <c r="F185" s="105"/>
      <c r="G185" s="105"/>
      <c r="H185" s="106"/>
    </row>
    <row r="186" spans="1:8" s="29" customFormat="1" x14ac:dyDescent="0.3">
      <c r="A186" s="39" t="s">
        <v>150</v>
      </c>
      <c r="B186" s="104" t="s">
        <v>327</v>
      </c>
      <c r="C186" s="105"/>
      <c r="D186" s="105"/>
      <c r="E186" s="105"/>
      <c r="F186" s="105"/>
      <c r="G186" s="105"/>
      <c r="H186" s="106"/>
    </row>
    <row r="187" spans="1:8" s="29" customFormat="1" x14ac:dyDescent="0.3">
      <c r="A187" s="39" t="s">
        <v>150</v>
      </c>
      <c r="B187" s="104" t="s">
        <v>331</v>
      </c>
      <c r="C187" s="105"/>
      <c r="D187" s="105"/>
      <c r="E187" s="105"/>
      <c r="F187" s="105"/>
      <c r="G187" s="105"/>
      <c r="H187" s="106"/>
    </row>
    <row r="188" spans="1:8" x14ac:dyDescent="0.3">
      <c r="A188" s="68" t="s">
        <v>58</v>
      </c>
      <c r="B188" s="68"/>
      <c r="C188" s="68"/>
      <c r="D188" s="68"/>
      <c r="E188" s="68"/>
      <c r="F188" s="68"/>
      <c r="G188" s="68"/>
      <c r="H188" s="68"/>
    </row>
    <row r="189" spans="1:8" x14ac:dyDescent="0.3">
      <c r="A189" s="78" t="s">
        <v>59</v>
      </c>
      <c r="B189" s="78"/>
      <c r="C189" s="78"/>
      <c r="D189" s="78"/>
      <c r="E189" s="78"/>
      <c r="F189" s="78"/>
      <c r="G189" s="78"/>
      <c r="H189" s="78"/>
    </row>
    <row r="190" spans="1:8" ht="15.75" customHeight="1" x14ac:dyDescent="0.3">
      <c r="A190" s="85" t="s">
        <v>60</v>
      </c>
      <c r="B190" s="85"/>
      <c r="C190" s="85"/>
      <c r="D190" s="85"/>
      <c r="E190" s="85"/>
      <c r="F190" s="85"/>
      <c r="G190" s="85"/>
      <c r="H190" s="85"/>
    </row>
    <row r="191" spans="1:8" x14ac:dyDescent="0.3">
      <c r="A191" s="78" t="s">
        <v>61</v>
      </c>
      <c r="B191" s="78"/>
      <c r="C191" s="78"/>
      <c r="D191" s="78"/>
      <c r="E191" s="78"/>
      <c r="F191" s="78"/>
      <c r="G191" s="78"/>
      <c r="H191" s="78"/>
    </row>
    <row r="192" spans="1:8" x14ac:dyDescent="0.3">
      <c r="A192" s="78" t="s">
        <v>62</v>
      </c>
      <c r="B192" s="78"/>
      <c r="C192" s="78"/>
      <c r="D192" s="78"/>
      <c r="E192" s="78"/>
      <c r="F192" s="78"/>
      <c r="G192" s="78"/>
      <c r="H192" s="78"/>
    </row>
    <row r="193" spans="1:8" x14ac:dyDescent="0.3">
      <c r="A193" s="78" t="s">
        <v>123</v>
      </c>
      <c r="B193" s="78"/>
      <c r="C193" s="78"/>
      <c r="D193" s="78"/>
      <c r="E193" s="78"/>
      <c r="F193" s="78"/>
      <c r="G193" s="78"/>
      <c r="H193" s="78"/>
    </row>
    <row r="194" spans="1:8" ht="34.049999999999997" customHeight="1" x14ac:dyDescent="0.3">
      <c r="A194" s="69" t="s">
        <v>124</v>
      </c>
      <c r="B194" s="69"/>
      <c r="C194" s="69"/>
      <c r="D194" s="69"/>
      <c r="E194" s="69"/>
      <c r="F194" s="69"/>
      <c r="G194" s="69"/>
      <c r="H194" s="69"/>
    </row>
    <row r="195" spans="1:8" x14ac:dyDescent="0.3">
      <c r="A195" s="121" t="s">
        <v>74</v>
      </c>
      <c r="B195" s="121"/>
      <c r="C195" s="121" t="s">
        <v>316</v>
      </c>
      <c r="D195" s="121"/>
      <c r="E195" s="121" t="s">
        <v>103</v>
      </c>
      <c r="F195" s="121"/>
      <c r="G195" s="121" t="s">
        <v>332</v>
      </c>
      <c r="H195" s="121"/>
    </row>
    <row r="196" spans="1:8" x14ac:dyDescent="0.3">
      <c r="A196" s="120" t="s">
        <v>76</v>
      </c>
      <c r="B196" s="120"/>
      <c r="C196" s="120"/>
      <c r="D196" s="120"/>
      <c r="E196" s="120"/>
      <c r="F196" s="120"/>
      <c r="G196" s="120"/>
      <c r="H196" s="120"/>
    </row>
    <row r="197" spans="1:8" x14ac:dyDescent="0.3">
      <c r="A197" s="120"/>
      <c r="B197" s="120"/>
      <c r="C197" s="120"/>
      <c r="D197" s="120"/>
      <c r="E197" s="120"/>
      <c r="F197" s="120"/>
      <c r="G197" s="120"/>
      <c r="H197" s="120"/>
    </row>
    <row r="198" spans="1:8" x14ac:dyDescent="0.3">
      <c r="A198" s="120"/>
      <c r="B198" s="120"/>
      <c r="C198" s="120"/>
      <c r="D198" s="120"/>
      <c r="E198" s="120"/>
      <c r="F198" s="120"/>
      <c r="G198" s="120"/>
      <c r="H198" s="120"/>
    </row>
    <row r="199" spans="1:8" x14ac:dyDescent="0.3">
      <c r="A199" s="120"/>
      <c r="B199" s="120"/>
      <c r="C199" s="120"/>
      <c r="D199" s="120"/>
      <c r="E199" s="120"/>
      <c r="F199" s="120"/>
      <c r="G199" s="120"/>
      <c r="H199" s="120"/>
    </row>
    <row r="200" spans="1:8" x14ac:dyDescent="0.3">
      <c r="A200" s="32" t="s">
        <v>63</v>
      </c>
      <c r="B200" s="33"/>
      <c r="C200" s="33"/>
      <c r="D200" s="32" t="str">
        <f>E9</f>
        <v>Premier Elegance</v>
      </c>
      <c r="F200" s="33"/>
      <c r="G200" s="33"/>
      <c r="H200" s="33"/>
    </row>
    <row r="201" spans="1:8" x14ac:dyDescent="0.3">
      <c r="A201" s="33"/>
      <c r="B201" s="33"/>
      <c r="C201" s="33"/>
      <c r="D201" s="33"/>
      <c r="E201" s="33"/>
      <c r="F201" s="33"/>
      <c r="G201" s="33"/>
      <c r="H201" s="33"/>
    </row>
    <row r="202" spans="1:8" x14ac:dyDescent="0.3">
      <c r="A202" s="33"/>
      <c r="B202" s="33"/>
      <c r="C202" s="33"/>
      <c r="D202" s="33"/>
      <c r="E202" s="33"/>
      <c r="F202" s="33"/>
      <c r="G202" s="33"/>
      <c r="H202" s="33"/>
    </row>
    <row r="203" spans="1:8" ht="15" customHeight="1" x14ac:dyDescent="0.3"/>
    <row r="241" spans="1:1" hidden="1" x14ac:dyDescent="0.3"/>
    <row r="243" spans="1:1" x14ac:dyDescent="0.3">
      <c r="A243" s="35" t="s">
        <v>161</v>
      </c>
    </row>
    <row r="285" spans="1:1" x14ac:dyDescent="0.3">
      <c r="A285" s="35" t="s">
        <v>64</v>
      </c>
    </row>
  </sheetData>
  <mergeCells count="371">
    <mergeCell ref="B187:H187"/>
    <mergeCell ref="L133:M133"/>
    <mergeCell ref="A134:B134"/>
    <mergeCell ref="L134:M134"/>
    <mergeCell ref="A135:B135"/>
    <mergeCell ref="L135:M135"/>
    <mergeCell ref="L137:M137"/>
    <mergeCell ref="L138:M138"/>
    <mergeCell ref="L139:M139"/>
    <mergeCell ref="B185:H185"/>
    <mergeCell ref="L166:M166"/>
    <mergeCell ref="A167:B167"/>
    <mergeCell ref="L167:M167"/>
    <mergeCell ref="L168:M168"/>
    <mergeCell ref="L169:M169"/>
    <mergeCell ref="L170:M170"/>
    <mergeCell ref="L171:M171"/>
    <mergeCell ref="L172:M172"/>
    <mergeCell ref="B184:H184"/>
    <mergeCell ref="L165:M165"/>
    <mergeCell ref="C165:H165"/>
    <mergeCell ref="L140:M140"/>
    <mergeCell ref="L141:M141"/>
    <mergeCell ref="A142:B142"/>
    <mergeCell ref="L164:M164"/>
    <mergeCell ref="L118:M118"/>
    <mergeCell ref="A119:B119"/>
    <mergeCell ref="L119:M119"/>
    <mergeCell ref="A120:B120"/>
    <mergeCell ref="L120:M120"/>
    <mergeCell ref="A132:B132"/>
    <mergeCell ref="L132:M132"/>
    <mergeCell ref="L131:M131"/>
    <mergeCell ref="L128:M128"/>
    <mergeCell ref="L129:M129"/>
    <mergeCell ref="A130:B130"/>
    <mergeCell ref="L130:M130"/>
    <mergeCell ref="A131:B131"/>
    <mergeCell ref="A124:H124"/>
    <mergeCell ref="A125:H125"/>
    <mergeCell ref="A126:H126"/>
    <mergeCell ref="L146:M146"/>
    <mergeCell ref="L147:M147"/>
    <mergeCell ref="L148:M148"/>
    <mergeCell ref="L113:M113"/>
    <mergeCell ref="A114:B114"/>
    <mergeCell ref="L114:M114"/>
    <mergeCell ref="A115:B115"/>
    <mergeCell ref="K115:L115"/>
    <mergeCell ref="A116:B116"/>
    <mergeCell ref="L116:M116"/>
    <mergeCell ref="A117:B117"/>
    <mergeCell ref="L117:M117"/>
    <mergeCell ref="L142:M142"/>
    <mergeCell ref="L143:M143"/>
    <mergeCell ref="A144:B144"/>
    <mergeCell ref="L144:M144"/>
    <mergeCell ref="A49:B49"/>
    <mergeCell ref="C49:H49"/>
    <mergeCell ref="B179:H179"/>
    <mergeCell ref="F83:H83"/>
    <mergeCell ref="A83:E83"/>
    <mergeCell ref="D103:D104"/>
    <mergeCell ref="A85:E85"/>
    <mergeCell ref="A84:E84"/>
    <mergeCell ref="A81:E81"/>
    <mergeCell ref="F85:H85"/>
    <mergeCell ref="F122:F123"/>
    <mergeCell ref="G103:G104"/>
    <mergeCell ref="A169:B169"/>
    <mergeCell ref="A141:B141"/>
    <mergeCell ref="A138:B138"/>
    <mergeCell ref="A139:B139"/>
    <mergeCell ref="A168:B168"/>
    <mergeCell ref="A129:B129"/>
    <mergeCell ref="A105:H105"/>
    <mergeCell ref="A106:H106"/>
    <mergeCell ref="A113:B113"/>
    <mergeCell ref="A118:B118"/>
    <mergeCell ref="A165:B165"/>
    <mergeCell ref="A133:B133"/>
    <mergeCell ref="A40:B40"/>
    <mergeCell ref="C40:H40"/>
    <mergeCell ref="F103:F104"/>
    <mergeCell ref="C96:D96"/>
    <mergeCell ref="E96:F96"/>
    <mergeCell ref="B103:B104"/>
    <mergeCell ref="A103:A104"/>
    <mergeCell ref="C122:C123"/>
    <mergeCell ref="G122:G123"/>
    <mergeCell ref="G100:H100"/>
    <mergeCell ref="A70:B70"/>
    <mergeCell ref="A73:B73"/>
    <mergeCell ref="A80:B80"/>
    <mergeCell ref="A69:B69"/>
    <mergeCell ref="A67:B67"/>
    <mergeCell ref="C67:H67"/>
    <mergeCell ref="A75:B75"/>
    <mergeCell ref="A62:C62"/>
    <mergeCell ref="D62:H62"/>
    <mergeCell ref="C69:H69"/>
    <mergeCell ref="A72:B72"/>
    <mergeCell ref="A74:B74"/>
    <mergeCell ref="E70:F70"/>
    <mergeCell ref="A63:C63"/>
    <mergeCell ref="A39:B39"/>
    <mergeCell ref="C39:H39"/>
    <mergeCell ref="A46:D46"/>
    <mergeCell ref="L112:M112"/>
    <mergeCell ref="L111:M111"/>
    <mergeCell ref="L110:M110"/>
    <mergeCell ref="L109:M109"/>
    <mergeCell ref="A78:B78"/>
    <mergeCell ref="C99:D99"/>
    <mergeCell ref="E99:F99"/>
    <mergeCell ref="G99:H99"/>
    <mergeCell ref="A82:E82"/>
    <mergeCell ref="A108:H108"/>
    <mergeCell ref="E103:E104"/>
    <mergeCell ref="A47:D47"/>
    <mergeCell ref="A48:H48"/>
    <mergeCell ref="D58:H58"/>
    <mergeCell ref="A58:C58"/>
    <mergeCell ref="G51:H51"/>
    <mergeCell ref="A52:B53"/>
    <mergeCell ref="A77:B77"/>
    <mergeCell ref="E71:F80"/>
    <mergeCell ref="G71:H80"/>
    <mergeCell ref="A79:B79"/>
    <mergeCell ref="A38:H38"/>
    <mergeCell ref="A37:B37"/>
    <mergeCell ref="C37:E37"/>
    <mergeCell ref="A42:D42"/>
    <mergeCell ref="E42:H42"/>
    <mergeCell ref="A41:H41"/>
    <mergeCell ref="A60:C60"/>
    <mergeCell ref="A61:C61"/>
    <mergeCell ref="D60:H60"/>
    <mergeCell ref="D61:H61"/>
    <mergeCell ref="A44:D44"/>
    <mergeCell ref="E44:H44"/>
    <mergeCell ref="E45:H45"/>
    <mergeCell ref="E46:H46"/>
    <mergeCell ref="E47:H47"/>
    <mergeCell ref="A45:D45"/>
    <mergeCell ref="F37:H37"/>
    <mergeCell ref="C52:E52"/>
    <mergeCell ref="A59:C59"/>
    <mergeCell ref="D59:H59"/>
    <mergeCell ref="C51:E51"/>
    <mergeCell ref="C50:E50"/>
    <mergeCell ref="G50:H50"/>
    <mergeCell ref="G52:H52"/>
    <mergeCell ref="A36:B36"/>
    <mergeCell ref="C36:E36"/>
    <mergeCell ref="A31:D31"/>
    <mergeCell ref="E31:H31"/>
    <mergeCell ref="A32:D32"/>
    <mergeCell ref="E32:H32"/>
    <mergeCell ref="A28:D28"/>
    <mergeCell ref="E28:H28"/>
    <mergeCell ref="C33:E33"/>
    <mergeCell ref="F36:H36"/>
    <mergeCell ref="F33:H33"/>
    <mergeCell ref="A34:B34"/>
    <mergeCell ref="A33:B33"/>
    <mergeCell ref="C34:E34"/>
    <mergeCell ref="A35:B35"/>
    <mergeCell ref="C35:E35"/>
    <mergeCell ref="F34:H34"/>
    <mergeCell ref="F35:H35"/>
    <mergeCell ref="E27:H27"/>
    <mergeCell ref="A29:D29"/>
    <mergeCell ref="E29:H29"/>
    <mergeCell ref="A26:D26"/>
    <mergeCell ref="E26:H26"/>
    <mergeCell ref="A25:D25"/>
    <mergeCell ref="E25:H25"/>
    <mergeCell ref="A30:D30"/>
    <mergeCell ref="E30:H30"/>
    <mergeCell ref="A27:D27"/>
    <mergeCell ref="E20:F20"/>
    <mergeCell ref="G20:H20"/>
    <mergeCell ref="A21:B21"/>
    <mergeCell ref="C21:D21"/>
    <mergeCell ref="E21:F21"/>
    <mergeCell ref="G21:H21"/>
    <mergeCell ref="A22:B22"/>
    <mergeCell ref="C22:D22"/>
    <mergeCell ref="E22:F22"/>
    <mergeCell ref="G22:H22"/>
    <mergeCell ref="E14:H14"/>
    <mergeCell ref="A15:D15"/>
    <mergeCell ref="A11:D11"/>
    <mergeCell ref="E11:H11"/>
    <mergeCell ref="A23:D24"/>
    <mergeCell ref="E23:H24"/>
    <mergeCell ref="E15:H15"/>
    <mergeCell ref="A16:B16"/>
    <mergeCell ref="C16:H16"/>
    <mergeCell ref="C17:H17"/>
    <mergeCell ref="A18:B18"/>
    <mergeCell ref="C18:H18"/>
    <mergeCell ref="A13:D13"/>
    <mergeCell ref="E13:H13"/>
    <mergeCell ref="A12:D12"/>
    <mergeCell ref="E12:H12"/>
    <mergeCell ref="A17:B17"/>
    <mergeCell ref="A14:D14"/>
    <mergeCell ref="A19:B19"/>
    <mergeCell ref="C19:D19"/>
    <mergeCell ref="E19:F19"/>
    <mergeCell ref="G19:H19"/>
    <mergeCell ref="A20:B20"/>
    <mergeCell ref="C20:D20"/>
    <mergeCell ref="A1:H1"/>
    <mergeCell ref="A2:H2"/>
    <mergeCell ref="A3:D3"/>
    <mergeCell ref="E3:H3"/>
    <mergeCell ref="A5:D5"/>
    <mergeCell ref="A9:D9"/>
    <mergeCell ref="E9:H9"/>
    <mergeCell ref="A10:D10"/>
    <mergeCell ref="E10:H10"/>
    <mergeCell ref="E5:H5"/>
    <mergeCell ref="A6:D6"/>
    <mergeCell ref="E6:H6"/>
    <mergeCell ref="A7:D7"/>
    <mergeCell ref="E7:H7"/>
    <mergeCell ref="A8:D8"/>
    <mergeCell ref="E8:H8"/>
    <mergeCell ref="A4:D4"/>
    <mergeCell ref="E4:H4"/>
    <mergeCell ref="A64:C64"/>
    <mergeCell ref="D65:H65"/>
    <mergeCell ref="A71:B71"/>
    <mergeCell ref="G70:H70"/>
    <mergeCell ref="A196:H199"/>
    <mergeCell ref="A195:B195"/>
    <mergeCell ref="E195:F195"/>
    <mergeCell ref="C195:D195"/>
    <mergeCell ref="G195:H195"/>
    <mergeCell ref="A94:H94"/>
    <mergeCell ref="A92:E92"/>
    <mergeCell ref="F92:H92"/>
    <mergeCell ref="A93:E93"/>
    <mergeCell ref="F93:H93"/>
    <mergeCell ref="A136:H136"/>
    <mergeCell ref="A96:B96"/>
    <mergeCell ref="A191:H191"/>
    <mergeCell ref="A97:H97"/>
    <mergeCell ref="A194:H194"/>
    <mergeCell ref="A192:H192"/>
    <mergeCell ref="A188:H188"/>
    <mergeCell ref="A86:E86"/>
    <mergeCell ref="A99:B99"/>
    <mergeCell ref="A91:E91"/>
    <mergeCell ref="A189:H189"/>
    <mergeCell ref="F81:H81"/>
    <mergeCell ref="F86:H86"/>
    <mergeCell ref="A128:B128"/>
    <mergeCell ref="A112:B112"/>
    <mergeCell ref="A111:B111"/>
    <mergeCell ref="A87:E87"/>
    <mergeCell ref="F87:H87"/>
    <mergeCell ref="A89:E89"/>
    <mergeCell ref="F84:H84"/>
    <mergeCell ref="A88:E88"/>
    <mergeCell ref="A121:H121"/>
    <mergeCell ref="E98:F98"/>
    <mergeCell ref="A101:H101"/>
    <mergeCell ref="A122:A123"/>
    <mergeCell ref="A107:H107"/>
    <mergeCell ref="A143:B143"/>
    <mergeCell ref="A109:B109"/>
    <mergeCell ref="B183:H183"/>
    <mergeCell ref="A100:B100"/>
    <mergeCell ref="B181:H181"/>
    <mergeCell ref="A170:B170"/>
    <mergeCell ref="A140:B140"/>
    <mergeCell ref="B186:H186"/>
    <mergeCell ref="B175:H175"/>
    <mergeCell ref="B177:H177"/>
    <mergeCell ref="B178:H178"/>
    <mergeCell ref="A173:H173"/>
    <mergeCell ref="A171:B171"/>
    <mergeCell ref="A172:B172"/>
    <mergeCell ref="G98:H98"/>
    <mergeCell ref="A166:B166"/>
    <mergeCell ref="C103:C104"/>
    <mergeCell ref="B122:B123"/>
    <mergeCell ref="A145:H145"/>
    <mergeCell ref="A146:B146"/>
    <mergeCell ref="A147:B147"/>
    <mergeCell ref="A148:B148"/>
    <mergeCell ref="A149:B149"/>
    <mergeCell ref="A154:H154"/>
    <mergeCell ref="A155:B155"/>
    <mergeCell ref="A160:B160"/>
    <mergeCell ref="A163:H163"/>
    <mergeCell ref="A193:H193"/>
    <mergeCell ref="A190:H190"/>
    <mergeCell ref="A137:B137"/>
    <mergeCell ref="A98:B98"/>
    <mergeCell ref="D122:D123"/>
    <mergeCell ref="E122:E123"/>
    <mergeCell ref="F82:H82"/>
    <mergeCell ref="G96:H96"/>
    <mergeCell ref="F88:H88"/>
    <mergeCell ref="C95:D95"/>
    <mergeCell ref="A127:H127"/>
    <mergeCell ref="A164:B164"/>
    <mergeCell ref="A102:H102"/>
    <mergeCell ref="G95:H95"/>
    <mergeCell ref="A110:B110"/>
    <mergeCell ref="E95:F95"/>
    <mergeCell ref="A95:B95"/>
    <mergeCell ref="C98:D98"/>
    <mergeCell ref="C100:D100"/>
    <mergeCell ref="E100:F100"/>
    <mergeCell ref="B182:H182"/>
    <mergeCell ref="B180:H180"/>
    <mergeCell ref="B176:H176"/>
    <mergeCell ref="B174:H174"/>
    <mergeCell ref="A51:B51"/>
    <mergeCell ref="A55:H55"/>
    <mergeCell ref="A56:C56"/>
    <mergeCell ref="A57:C57"/>
    <mergeCell ref="D57:H57"/>
    <mergeCell ref="G54:H54"/>
    <mergeCell ref="C53:H53"/>
    <mergeCell ref="I15:P15"/>
    <mergeCell ref="F91:H91"/>
    <mergeCell ref="F89:H89"/>
    <mergeCell ref="A90:E90"/>
    <mergeCell ref="A54:B54"/>
    <mergeCell ref="C54:E54"/>
    <mergeCell ref="D56:H56"/>
    <mergeCell ref="F90:H90"/>
    <mergeCell ref="D64:H64"/>
    <mergeCell ref="A65:C65"/>
    <mergeCell ref="E43:H43"/>
    <mergeCell ref="A43:D43"/>
    <mergeCell ref="A76:B76"/>
    <mergeCell ref="A50:B50"/>
    <mergeCell ref="D63:H63"/>
    <mergeCell ref="A66:C66"/>
    <mergeCell ref="D66:H66"/>
    <mergeCell ref="L149:M149"/>
    <mergeCell ref="A150:B150"/>
    <mergeCell ref="L150:M150"/>
    <mergeCell ref="A151:B151"/>
    <mergeCell ref="L151:M151"/>
    <mergeCell ref="A152:B152"/>
    <mergeCell ref="L152:M152"/>
    <mergeCell ref="A153:B153"/>
    <mergeCell ref="L153:M153"/>
    <mergeCell ref="L160:M160"/>
    <mergeCell ref="A161:B161"/>
    <mergeCell ref="L161:M161"/>
    <mergeCell ref="A162:B162"/>
    <mergeCell ref="L162:M162"/>
    <mergeCell ref="L155:M155"/>
    <mergeCell ref="A156:B156"/>
    <mergeCell ref="L156:M156"/>
    <mergeCell ref="A157:B157"/>
    <mergeCell ref="L157:M157"/>
    <mergeCell ref="A158:B158"/>
    <mergeCell ref="L158:M158"/>
    <mergeCell ref="A159:B159"/>
    <mergeCell ref="L159:M159"/>
  </mergeCells>
  <dataValidations count="15">
    <dataValidation type="list" allowBlank="1" showInputMessage="1" showErrorMessage="1" sqref="E5:H5" xr:uid="{00000000-0002-0000-0000-000000000000}">
      <formula1>OFFSET($L$3,1,MATCH($E4,$L$3:$P$3,0)-1,10,1)</formula1>
    </dataValidation>
    <dataValidation type="list" allowBlank="1" showInputMessage="1" showErrorMessage="1" sqref="A17:B17" xr:uid="{00000000-0002-0000-0000-000001000000}">
      <formula1>"CTS No,Survey No,Plot No,Gut No,FP No,"</formula1>
    </dataValidation>
    <dataValidation type="list" allowBlank="1" showInputMessage="1" showErrorMessage="1" sqref="G20:H20" xr:uid="{00000000-0002-0000-0000-000002000000}">
      <formula1>$S$13:$W$13</formula1>
    </dataValidation>
    <dataValidation type="list" allowBlank="1" showInputMessage="1" showErrorMessage="1" sqref="E103:E104" xr:uid="{00000000-0002-0000-0000-000003000000}">
      <formula1>"Attached Loft area,Attached Otla area,Attached Mezzanine area"</formula1>
    </dataValidation>
    <dataValidation type="list" allowBlank="1" showInputMessage="1" showErrorMessage="1" sqref="G195:H195" xr:uid="{00000000-0002-0000-0000-000004000000}">
      <formula1>"Kunal Kadam,Pranita Mhatre,Shruti Fule,Pooja Kawale,Mansee Mohite,Anjali Kamble, Hitakshi Mhatre, Sachin Sawant"</formula1>
    </dataValidation>
    <dataValidation type="list" allowBlank="1" showInputMessage="1" showErrorMessage="1" sqref="F81:H81" xr:uid="{00000000-0002-0000-0000-000005000000}">
      <formula1>"On Saleable Area,On Builtup Area,On Carpet Area,On Plot Area"</formula1>
    </dataValidation>
    <dataValidation type="list" allowBlank="1" showInputMessage="1" showErrorMessage="1" sqref="F92:H92" xr:uid="{00000000-0002-0000-0000-000006000000}">
      <formula1>"100000,150000,200000,250000,300000,350000,400000,500000,600000,700000,800000,900000,1000000,1200000,1400000,1500000"</formula1>
    </dataValidation>
    <dataValidation type="list" allowBlank="1" showInputMessage="1" showErrorMessage="1" sqref="B103:B104" xr:uid="{00000000-0002-0000-0000-000007000000}">
      <formula1>"Shop No. (Sale Plan),Sale / Rehab,Sale / Mhada"</formula1>
    </dataValidation>
    <dataValidation type="list" allowBlank="1" showInputMessage="1" showErrorMessage="1" sqref="B122:B123" xr:uid="{00000000-0002-0000-0000-000008000000}">
      <formula1>"Flat No. (Sale Plan),Sale / Rehab,Sale / Mhada"</formula1>
    </dataValidation>
    <dataValidation type="list" allowBlank="1" showInputMessage="1" showErrorMessage="1" sqref="C21:D21" xr:uid="{00000000-0002-0000-0000-000009000000}">
      <formula1>OFFSET($S$13,1,MATCH($G20,$S$13:$W$13,0)-1,15,1)</formula1>
    </dataValidation>
    <dataValidation type="list" allowBlank="1" showInputMessage="1" showErrorMessage="1" sqref="Y13" xr:uid="{00000000-0002-0000-0000-00000A000000}">
      <formula1>$D$5:$H$5</formula1>
    </dataValidation>
    <dataValidation type="list" allowBlank="1" showInputMessage="1" showErrorMessage="1" sqref="E122:E123" xr:uid="{00000000-0002-0000-0000-00000B000000}">
      <formula1>"Fungible area,Balcony Area,Chajja Area,Cornice Area,AP Area,FB/DB/Enclosed Balcony"</formula1>
    </dataValidation>
    <dataValidation type="list" allowBlank="1" showInputMessage="1" showErrorMessage="1" sqref="H104 H123" xr:uid="{00000000-0002-0000-0000-00000C000000}">
      <formula1>".45,.50,.55,.60"</formula1>
    </dataValidation>
    <dataValidation type="list" allowBlank="1" showInputMessage="1" showErrorMessage="1" sqref="E4:H4" xr:uid="{00000000-0002-0000-0000-00000D000000}">
      <formula1>$L$3:$P$3</formula1>
    </dataValidation>
    <dataValidation type="list" allowBlank="1" showInputMessage="1" showErrorMessage="1" sqref="C49:H49" xr:uid="{00000000-0002-0000-0000-00000E000000}">
      <formula1>OFFSET($S$49,1,MATCH($G20,$S$49:$W$49,0)-1,15,1)</formula1>
    </dataValidation>
  </dataValidations>
  <hyperlinks>
    <hyperlink ref="C40" r:id="rId1" xr:uid="{00000000-0004-0000-0000-000000000000}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6" max="7" man="1"/>
    <brk id="199" max="16383" man="1"/>
    <brk id="242" max="16383" man="1"/>
    <brk id="284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K3" sqref="K3"/>
    </sheetView>
  </sheetViews>
  <sheetFormatPr defaultColWidth="8.77734375" defaultRowHeight="14.4" x14ac:dyDescent="0.3"/>
  <cols>
    <col min="1" max="1" width="8.77734375" style="1"/>
    <col min="2" max="2" width="22.218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7773437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174" t="s">
        <v>104</v>
      </c>
      <c r="C3" s="174"/>
      <c r="D3" s="174"/>
      <c r="E3" s="174"/>
      <c r="F3" s="174"/>
      <c r="G3" s="174"/>
      <c r="H3" s="174"/>
    </row>
    <row r="4" spans="1:9" x14ac:dyDescent="0.3">
      <c r="A4" s="2"/>
      <c r="B4" s="3" t="s">
        <v>105</v>
      </c>
      <c r="C4" s="3" t="s">
        <v>106</v>
      </c>
      <c r="D4" s="3" t="s">
        <v>66</v>
      </c>
      <c r="E4" s="3" t="s">
        <v>107</v>
      </c>
      <c r="F4" s="3" t="s">
        <v>113</v>
      </c>
      <c r="G4" s="3" t="s">
        <v>114</v>
      </c>
      <c r="H4" s="3" t="s">
        <v>108</v>
      </c>
    </row>
    <row r="5" spans="1:9" ht="15" customHeight="1" x14ac:dyDescent="0.3">
      <c r="A5" s="2"/>
      <c r="B5" s="5" t="s">
        <v>109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109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109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109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109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110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110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111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112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B3:K69"/>
  <sheetViews>
    <sheetView topLeftCell="A55" zoomScale="130" zoomScaleNormal="130" workbookViewId="0">
      <selection activeCell="C43" sqref="C43:D69"/>
    </sheetView>
  </sheetViews>
  <sheetFormatPr defaultRowHeight="14.4" x14ac:dyDescent="0.3"/>
  <cols>
    <col min="4" max="4" width="13.77734375" bestFit="1" customWidth="1"/>
    <col min="5" max="5" width="10.44140625" bestFit="1" customWidth="1"/>
    <col min="6" max="6" width="12.44140625" bestFit="1" customWidth="1"/>
    <col min="7" max="7" width="18.21875" customWidth="1"/>
    <col min="8" max="8" width="10.5546875" bestFit="1" customWidth="1"/>
  </cols>
  <sheetData>
    <row r="3" spans="2:11" x14ac:dyDescent="0.3">
      <c r="J3">
        <v>1</v>
      </c>
      <c r="K3">
        <v>2</v>
      </c>
    </row>
    <row r="4" spans="2:11" x14ac:dyDescent="0.3">
      <c r="B4" s="44"/>
      <c r="C4" s="44" t="s">
        <v>11</v>
      </c>
      <c r="D4" s="45" t="s">
        <v>176</v>
      </c>
      <c r="E4" s="45" t="s">
        <v>186</v>
      </c>
      <c r="F4" s="45" t="s">
        <v>169</v>
      </c>
      <c r="G4" s="45" t="s">
        <v>191</v>
      </c>
      <c r="H4" s="45" t="s">
        <v>209</v>
      </c>
      <c r="J4" t="s">
        <v>191</v>
      </c>
      <c r="K4" t="s">
        <v>207</v>
      </c>
    </row>
    <row r="5" spans="2:11" x14ac:dyDescent="0.3">
      <c r="B5" s="44"/>
      <c r="C5" s="44"/>
      <c r="D5" s="45" t="s">
        <v>177</v>
      </c>
      <c r="E5" s="45" t="s">
        <v>184</v>
      </c>
      <c r="F5" s="45" t="s">
        <v>206</v>
      </c>
      <c r="G5" s="45" t="s">
        <v>192</v>
      </c>
      <c r="H5" s="45" t="s">
        <v>210</v>
      </c>
    </row>
    <row r="6" spans="2:11" x14ac:dyDescent="0.3">
      <c r="B6" s="44"/>
      <c r="C6" s="44"/>
      <c r="D6" s="45" t="s">
        <v>178</v>
      </c>
      <c r="E6" s="45" t="s">
        <v>185</v>
      </c>
      <c r="F6" s="45" t="s">
        <v>207</v>
      </c>
      <c r="G6" s="45" t="s">
        <v>193</v>
      </c>
      <c r="H6" s="45" t="s">
        <v>223</v>
      </c>
    </row>
    <row r="7" spans="2:11" x14ac:dyDescent="0.3">
      <c r="B7" s="44"/>
      <c r="C7" s="44"/>
      <c r="D7" s="45" t="s">
        <v>179</v>
      </c>
      <c r="E7" s="45" t="s">
        <v>187</v>
      </c>
      <c r="F7" s="45" t="s">
        <v>208</v>
      </c>
      <c r="G7" s="45" t="s">
        <v>194</v>
      </c>
      <c r="H7" s="45" t="s">
        <v>211</v>
      </c>
    </row>
    <row r="8" spans="2:11" x14ac:dyDescent="0.3">
      <c r="B8" s="44"/>
      <c r="C8" s="44"/>
      <c r="D8" s="45" t="s">
        <v>180</v>
      </c>
      <c r="E8" s="45" t="s">
        <v>188</v>
      </c>
      <c r="F8" s="45"/>
      <c r="G8" s="45" t="s">
        <v>195</v>
      </c>
      <c r="H8" s="45" t="s">
        <v>212</v>
      </c>
    </row>
    <row r="9" spans="2:11" x14ac:dyDescent="0.3">
      <c r="B9" s="44"/>
      <c r="C9" s="44"/>
      <c r="D9" s="45" t="s">
        <v>181</v>
      </c>
      <c r="E9" s="45" t="s">
        <v>186</v>
      </c>
      <c r="F9" s="45"/>
      <c r="G9" s="45" t="s">
        <v>196</v>
      </c>
      <c r="H9" s="45" t="s">
        <v>213</v>
      </c>
    </row>
    <row r="10" spans="2:11" x14ac:dyDescent="0.3">
      <c r="B10" s="44"/>
      <c r="C10" s="44"/>
      <c r="D10" s="45" t="s">
        <v>182</v>
      </c>
      <c r="E10" s="45" t="s">
        <v>189</v>
      </c>
      <c r="F10" s="45"/>
      <c r="G10" s="45" t="s">
        <v>197</v>
      </c>
      <c r="H10" s="45" t="s">
        <v>214</v>
      </c>
    </row>
    <row r="11" spans="2:11" x14ac:dyDescent="0.3">
      <c r="B11" s="44"/>
      <c r="C11" s="44"/>
      <c r="D11" s="45" t="s">
        <v>183</v>
      </c>
      <c r="E11" s="45" t="s">
        <v>190</v>
      </c>
      <c r="F11" s="45"/>
      <c r="G11" s="45" t="s">
        <v>198</v>
      </c>
      <c r="H11" s="45" t="s">
        <v>215</v>
      </c>
    </row>
    <row r="12" spans="2:11" x14ac:dyDescent="0.3">
      <c r="B12" s="44"/>
      <c r="C12" s="44"/>
      <c r="D12" s="45"/>
      <c r="E12" s="45"/>
      <c r="F12" s="45"/>
      <c r="G12" s="45" t="s">
        <v>199</v>
      </c>
      <c r="H12" s="45" t="s">
        <v>216</v>
      </c>
    </row>
    <row r="13" spans="2:11" x14ac:dyDescent="0.3">
      <c r="B13" s="44"/>
      <c r="C13" s="44"/>
      <c r="D13" s="45"/>
      <c r="E13" s="45"/>
      <c r="F13" s="45"/>
      <c r="G13" s="45" t="s">
        <v>200</v>
      </c>
      <c r="H13" s="45" t="s">
        <v>217</v>
      </c>
    </row>
    <row r="14" spans="2:11" x14ac:dyDescent="0.3">
      <c r="B14" s="44"/>
      <c r="C14" s="44"/>
      <c r="D14" s="45"/>
      <c r="E14" s="45"/>
      <c r="F14" s="45"/>
      <c r="G14" s="45" t="s">
        <v>201</v>
      </c>
      <c r="H14" s="45" t="s">
        <v>218</v>
      </c>
    </row>
    <row r="15" spans="2:11" x14ac:dyDescent="0.3">
      <c r="B15" s="44"/>
      <c r="C15" s="44"/>
      <c r="D15" s="45"/>
      <c r="E15" s="45"/>
      <c r="F15" s="45"/>
      <c r="G15" s="45" t="s">
        <v>202</v>
      </c>
      <c r="H15" s="45" t="s">
        <v>219</v>
      </c>
    </row>
    <row r="16" spans="2:11" x14ac:dyDescent="0.3">
      <c r="B16" s="44"/>
      <c r="C16" s="44"/>
      <c r="D16" s="45"/>
      <c r="E16" s="45"/>
      <c r="F16" s="45"/>
      <c r="G16" s="45" t="s">
        <v>203</v>
      </c>
      <c r="H16" s="45" t="s">
        <v>220</v>
      </c>
    </row>
    <row r="17" spans="2:8" x14ac:dyDescent="0.3">
      <c r="B17" s="44"/>
      <c r="C17" s="44"/>
      <c r="D17" s="45"/>
      <c r="E17" s="45"/>
      <c r="F17" s="45"/>
      <c r="G17" s="45" t="s">
        <v>204</v>
      </c>
      <c r="H17" s="45" t="s">
        <v>221</v>
      </c>
    </row>
    <row r="18" spans="2:8" x14ac:dyDescent="0.3">
      <c r="B18" s="44"/>
      <c r="C18" s="44"/>
      <c r="D18" s="45"/>
      <c r="E18" s="45"/>
      <c r="F18" s="45"/>
      <c r="G18" s="45" t="s">
        <v>205</v>
      </c>
      <c r="H18" s="45" t="s">
        <v>222</v>
      </c>
    </row>
    <row r="24" spans="2:8" x14ac:dyDescent="0.3">
      <c r="C24" t="s">
        <v>166</v>
      </c>
    </row>
    <row r="25" spans="2:8" x14ac:dyDescent="0.3">
      <c r="C25" t="s">
        <v>224</v>
      </c>
    </row>
    <row r="26" spans="2:8" x14ac:dyDescent="0.3">
      <c r="C26" t="s">
        <v>225</v>
      </c>
    </row>
    <row r="27" spans="2:8" x14ac:dyDescent="0.3">
      <c r="C27" t="s">
        <v>226</v>
      </c>
    </row>
    <row r="28" spans="2:8" x14ac:dyDescent="0.3">
      <c r="C28" t="s">
        <v>227</v>
      </c>
    </row>
    <row r="29" spans="2:8" x14ac:dyDescent="0.3">
      <c r="C29" t="s">
        <v>228</v>
      </c>
    </row>
    <row r="30" spans="2:8" x14ac:dyDescent="0.3">
      <c r="C30" t="s">
        <v>166</v>
      </c>
    </row>
    <row r="33" spans="3:11" x14ac:dyDescent="0.3">
      <c r="J33">
        <v>1</v>
      </c>
      <c r="K33">
        <v>2</v>
      </c>
    </row>
    <row r="34" spans="3:11" x14ac:dyDescent="0.3">
      <c r="C34" s="47" t="s">
        <v>233</v>
      </c>
      <c r="D34" s="45" t="s">
        <v>231</v>
      </c>
      <c r="E34" s="45" t="s">
        <v>236</v>
      </c>
      <c r="F34" s="45" t="s">
        <v>234</v>
      </c>
      <c r="G34" s="45" t="s">
        <v>235</v>
      </c>
      <c r="H34" s="45" t="s">
        <v>237</v>
      </c>
      <c r="J34" t="s">
        <v>191</v>
      </c>
      <c r="K34" t="s">
        <v>207</v>
      </c>
    </row>
    <row r="35" spans="3:11" x14ac:dyDescent="0.3">
      <c r="C35" s="44" t="s">
        <v>232</v>
      </c>
      <c r="D35" s="45" t="s">
        <v>167</v>
      </c>
      <c r="E35" s="45" t="s">
        <v>241</v>
      </c>
      <c r="F35" s="45" t="s">
        <v>243</v>
      </c>
      <c r="G35" s="45" t="s">
        <v>245</v>
      </c>
      <c r="H35" s="45"/>
    </row>
    <row r="36" spans="3:11" x14ac:dyDescent="0.3">
      <c r="C36" s="44"/>
      <c r="D36" s="45" t="s">
        <v>238</v>
      </c>
      <c r="E36" s="45" t="s">
        <v>242</v>
      </c>
      <c r="F36" s="45" t="s">
        <v>244</v>
      </c>
      <c r="G36" s="45" t="s">
        <v>246</v>
      </c>
      <c r="H36" s="45"/>
    </row>
    <row r="37" spans="3:11" x14ac:dyDescent="0.3">
      <c r="C37" s="44"/>
      <c r="D37" s="45" t="s">
        <v>239</v>
      </c>
      <c r="E37" s="45"/>
      <c r="F37" s="45"/>
      <c r="G37" s="45" t="s">
        <v>247</v>
      </c>
      <c r="H37" s="45"/>
    </row>
    <row r="38" spans="3:11" x14ac:dyDescent="0.3">
      <c r="C38" s="44"/>
      <c r="D38" s="45" t="s">
        <v>240</v>
      </c>
      <c r="E38" s="45"/>
      <c r="F38" s="45"/>
      <c r="G38" s="45" t="s">
        <v>247</v>
      </c>
      <c r="H38" s="45"/>
    </row>
    <row r="39" spans="3:11" x14ac:dyDescent="0.3">
      <c r="C39" s="44"/>
      <c r="D39" s="45"/>
      <c r="E39" s="45"/>
      <c r="F39" s="45"/>
      <c r="G39" s="45" t="s">
        <v>248</v>
      </c>
      <c r="H39" s="45"/>
    </row>
    <row r="40" spans="3:11" x14ac:dyDescent="0.3">
      <c r="C40" s="44"/>
      <c r="D40" s="45"/>
      <c r="E40" s="45"/>
      <c r="F40" s="45"/>
      <c r="G40" s="45" t="s">
        <v>249</v>
      </c>
      <c r="H40" s="45"/>
    </row>
    <row r="41" spans="3:11" x14ac:dyDescent="0.3">
      <c r="C41" s="44"/>
      <c r="D41" s="45"/>
      <c r="E41" s="45"/>
      <c r="F41" s="45"/>
      <c r="G41" s="45"/>
      <c r="H41" s="45"/>
    </row>
    <row r="43" spans="3:11" x14ac:dyDescent="0.3">
      <c r="C43" t="s">
        <v>250</v>
      </c>
    </row>
    <row r="44" spans="3:11" x14ac:dyDescent="0.3">
      <c r="C44" t="s">
        <v>169</v>
      </c>
      <c r="D44" t="s">
        <v>251</v>
      </c>
    </row>
    <row r="45" spans="3:11" x14ac:dyDescent="0.3">
      <c r="D45" t="s">
        <v>252</v>
      </c>
    </row>
    <row r="46" spans="3:11" x14ac:dyDescent="0.3">
      <c r="D46" t="s">
        <v>253</v>
      </c>
    </row>
    <row r="47" spans="3:11" x14ac:dyDescent="0.3">
      <c r="D47" t="s">
        <v>254</v>
      </c>
    </row>
    <row r="48" spans="3:11" x14ac:dyDescent="0.3">
      <c r="D48" t="s">
        <v>255</v>
      </c>
    </row>
    <row r="49" spans="3:4" x14ac:dyDescent="0.3">
      <c r="C49" t="s">
        <v>176</v>
      </c>
      <c r="D49" t="s">
        <v>256</v>
      </c>
    </row>
    <row r="50" spans="3:4" x14ac:dyDescent="0.3">
      <c r="D50" t="s">
        <v>257</v>
      </c>
    </row>
    <row r="51" spans="3:4" x14ac:dyDescent="0.3">
      <c r="D51" t="s">
        <v>258</v>
      </c>
    </row>
    <row r="52" spans="3:4" x14ac:dyDescent="0.3">
      <c r="D52" t="s">
        <v>261</v>
      </c>
    </row>
    <row r="53" spans="3:4" x14ac:dyDescent="0.3">
      <c r="D53" t="s">
        <v>259</v>
      </c>
    </row>
    <row r="54" spans="3:4" x14ac:dyDescent="0.3">
      <c r="D54" t="s">
        <v>260</v>
      </c>
    </row>
    <row r="55" spans="3:4" x14ac:dyDescent="0.3">
      <c r="D55" t="s">
        <v>262</v>
      </c>
    </row>
    <row r="56" spans="3:4" x14ac:dyDescent="0.3">
      <c r="D56" t="s">
        <v>263</v>
      </c>
    </row>
    <row r="57" spans="3:4" x14ac:dyDescent="0.3">
      <c r="D57" t="s">
        <v>264</v>
      </c>
    </row>
    <row r="58" spans="3:4" x14ac:dyDescent="0.3">
      <c r="D58" t="s">
        <v>266</v>
      </c>
    </row>
    <row r="59" spans="3:4" x14ac:dyDescent="0.3">
      <c r="D59" t="s">
        <v>275</v>
      </c>
    </row>
    <row r="60" spans="3:4" x14ac:dyDescent="0.3">
      <c r="C60" t="s">
        <v>191</v>
      </c>
      <c r="D60" t="s">
        <v>267</v>
      </c>
    </row>
    <row r="61" spans="3:4" x14ac:dyDescent="0.3">
      <c r="D61" t="s">
        <v>265</v>
      </c>
    </row>
    <row r="62" spans="3:4" x14ac:dyDescent="0.3">
      <c r="D62" t="s">
        <v>255</v>
      </c>
    </row>
    <row r="63" spans="3:4" x14ac:dyDescent="0.3">
      <c r="D63" t="s">
        <v>268</v>
      </c>
    </row>
    <row r="64" spans="3:4" x14ac:dyDescent="0.3">
      <c r="D64" t="s">
        <v>269</v>
      </c>
    </row>
    <row r="65" spans="3:4" x14ac:dyDescent="0.3">
      <c r="D65" t="s">
        <v>270</v>
      </c>
    </row>
    <row r="66" spans="3:4" x14ac:dyDescent="0.3">
      <c r="D66" t="s">
        <v>271</v>
      </c>
    </row>
    <row r="67" spans="3:4" x14ac:dyDescent="0.3">
      <c r="C67" t="s">
        <v>186</v>
      </c>
      <c r="D67" t="s">
        <v>272</v>
      </c>
    </row>
    <row r="68" spans="3:4" x14ac:dyDescent="0.3">
      <c r="D68" t="s">
        <v>273</v>
      </c>
    </row>
    <row r="69" spans="3:4" x14ac:dyDescent="0.3">
      <c r="D69" t="s">
        <v>274</v>
      </c>
    </row>
  </sheetData>
  <dataValidations count="2">
    <dataValidation type="list" allowBlank="1" showInputMessage="1" showErrorMessage="1" sqref="J4 J34" xr:uid="{00000000-0002-0000-0200-000000000000}">
      <formula1>$D$4:$H$4</formula1>
    </dataValidation>
    <dataValidation type="list" allowBlank="1" showInputMessage="1" showErrorMessage="1" sqref="K4 K34" xr:uid="{00000000-0002-0000-0200-000001000000}">
      <formula1>OFFSET($D$4,1,MATCH($J4,$D$4:$H$4,0)-1,15,1)</formula1>
    </dataValidation>
  </dataValidations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Kunal Kadam</cp:lastModifiedBy>
  <cp:lastPrinted>2025-05-05T12:24:39Z</cp:lastPrinted>
  <dcterms:created xsi:type="dcterms:W3CDTF">2019-07-16T09:29:46Z</dcterms:created>
  <dcterms:modified xsi:type="dcterms:W3CDTF">2025-08-14T11:21:26Z</dcterms:modified>
</cp:coreProperties>
</file>