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Aug 25\Axis\Dump\Axis Dump\"/>
    </mc:Choice>
  </mc:AlternateContent>
  <xr:revisionPtr revIDLastSave="0" documentId="13_ncr:1_{D7D09ED0-E3C3-4B1C-8E96-996D85D3F3AE}" xr6:coauthVersionLast="47" xr6:coauthVersionMax="47" xr10:uidLastSave="{00000000-0000-0000-0000-000000000000}"/>
  <bookViews>
    <workbookView xWindow="-108" yWindow="-108" windowWidth="23256" windowHeight="12456" xr2:uid="{00000000-000D-0000-FFFF-FFFF00000000}"/>
  </bookViews>
  <sheets>
    <sheet name="Report" sheetId="1" r:id="rId1"/>
    <sheet name="Sheet1" sheetId="6" r:id="rId2"/>
    <sheet name="Flat detail" sheetId="3" r:id="rId3"/>
    <sheet name="Note" sheetId="4" r:id="rId4"/>
    <sheet name="valuation" sheetId="5" r:id="rId5"/>
  </sheets>
  <definedNames>
    <definedName name="_xlnm.Print_Area" localSheetId="0">Report!$A$1:$H$380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5" i="1" l="1"/>
  <c r="J104" i="1"/>
  <c r="J103" i="1"/>
  <c r="D249" i="1"/>
  <c r="D243" i="1"/>
  <c r="D244" i="1"/>
  <c r="D245" i="1"/>
  <c r="D246" i="1"/>
  <c r="D247" i="1"/>
  <c r="D248" i="1"/>
  <c r="D242" i="1"/>
  <c r="D239" i="1"/>
  <c r="F239" i="1" s="1"/>
  <c r="D238" i="1"/>
  <c r="D237" i="1"/>
  <c r="D225" i="1"/>
  <c r="D226" i="1"/>
  <c r="D227" i="1"/>
  <c r="D228" i="1"/>
  <c r="D229" i="1"/>
  <c r="D230" i="1"/>
  <c r="D231" i="1"/>
  <c r="D232" i="1"/>
  <c r="D233" i="1"/>
  <c r="D235" i="1"/>
  <c r="D234" i="1"/>
  <c r="D224" i="1"/>
  <c r="D223" i="1"/>
  <c r="D221" i="1"/>
  <c r="D216" i="1"/>
  <c r="D217" i="1"/>
  <c r="D218" i="1"/>
  <c r="D219" i="1"/>
  <c r="D220" i="1"/>
  <c r="D215" i="1"/>
  <c r="D210" i="1"/>
  <c r="D209" i="1"/>
  <c r="D198" i="1"/>
  <c r="D199" i="1"/>
  <c r="D200" i="1"/>
  <c r="D201" i="1"/>
  <c r="D202" i="1"/>
  <c r="D203" i="1"/>
  <c r="D204" i="1"/>
  <c r="D205" i="1"/>
  <c r="D197" i="1"/>
  <c r="D191" i="1"/>
  <c r="D192" i="1"/>
  <c r="D193" i="1"/>
  <c r="D190" i="1"/>
  <c r="D189" i="1"/>
  <c r="D188" i="1"/>
  <c r="D187" i="1"/>
  <c r="D186" i="1"/>
  <c r="D185" i="1"/>
  <c r="G237" i="1"/>
  <c r="G223" i="1"/>
  <c r="G209" i="1"/>
  <c r="G195" i="1"/>
  <c r="G185" i="1"/>
  <c r="H94" i="1"/>
  <c r="J98" i="1" l="1"/>
  <c r="D106" i="1"/>
  <c r="D102" i="1"/>
  <c r="D103" i="1"/>
  <c r="D105" i="1"/>
  <c r="D101" i="1"/>
  <c r="J97" i="1"/>
  <c r="D104" i="1"/>
  <c r="D100" i="1"/>
  <c r="D97" i="1"/>
  <c r="D99" i="1"/>
  <c r="J96" i="1"/>
  <c r="J99" i="1"/>
  <c r="J100" i="1" s="1"/>
  <c r="C130" i="1"/>
  <c r="J91" i="1"/>
  <c r="J90" i="1"/>
  <c r="J89" i="1"/>
  <c r="F225" i="1"/>
  <c r="F249" i="1"/>
  <c r="F248" i="1"/>
  <c r="F247" i="1"/>
  <c r="F246" i="1"/>
  <c r="F245" i="1"/>
  <c r="F244" i="1"/>
  <c r="F243" i="1"/>
  <c r="F242" i="1"/>
  <c r="U226" i="1"/>
  <c r="U227" i="1" s="1"/>
  <c r="U228" i="1" s="1"/>
  <c r="U229" i="1" s="1"/>
  <c r="U230" i="1" s="1"/>
  <c r="U231" i="1" s="1"/>
  <c r="U232" i="1" s="1"/>
  <c r="U233" i="1" s="1"/>
  <c r="U234" i="1" s="1"/>
  <c r="U235" i="1" s="1"/>
  <c r="U224" i="1"/>
  <c r="F238" i="1"/>
  <c r="F237" i="1"/>
  <c r="V222" i="1"/>
  <c r="F235" i="1"/>
  <c r="F231" i="1"/>
  <c r="F230" i="1"/>
  <c r="F229" i="1"/>
  <c r="F224" i="1"/>
  <c r="F223" i="1"/>
  <c r="F226" i="1"/>
  <c r="F227" i="1"/>
  <c r="F228" i="1"/>
  <c r="F234" i="1"/>
  <c r="F233" i="1"/>
  <c r="F232" i="1"/>
  <c r="U212" i="1"/>
  <c r="U213" i="1" s="1"/>
  <c r="U214" i="1" s="1"/>
  <c r="U215" i="1" s="1"/>
  <c r="U216" i="1" s="1"/>
  <c r="U217" i="1" s="1"/>
  <c r="U218" i="1" s="1"/>
  <c r="U219" i="1" s="1"/>
  <c r="U220" i="1" s="1"/>
  <c r="U221" i="1" s="1"/>
  <c r="U210" i="1"/>
  <c r="V208" i="1"/>
  <c r="H80" i="1"/>
  <c r="V211" i="1"/>
  <c r="V225" i="1"/>
  <c r="J101" i="1" l="1"/>
  <c r="J102" i="1" s="1"/>
  <c r="D92" i="1"/>
  <c r="D88" i="1"/>
  <c r="D91" i="1"/>
  <c r="D87" i="1"/>
  <c r="J83" i="1"/>
  <c r="J85" i="1"/>
  <c r="D90" i="1"/>
  <c r="D86" i="1"/>
  <c r="D89" i="1"/>
  <c r="D85" i="1"/>
  <c r="J84" i="1"/>
  <c r="J82" i="1"/>
  <c r="E130" i="1"/>
  <c r="S225" i="1"/>
  <c r="V226" i="1"/>
  <c r="V212" i="1"/>
  <c r="S211" i="1"/>
  <c r="F221" i="1"/>
  <c r="F220" i="1"/>
  <c r="F210" i="1"/>
  <c r="F209" i="1"/>
  <c r="F219" i="1"/>
  <c r="F218" i="1"/>
  <c r="F217" i="1"/>
  <c r="F216" i="1"/>
  <c r="F215" i="1"/>
  <c r="U198" i="1"/>
  <c r="U199" i="1" s="1"/>
  <c r="U200" i="1" s="1"/>
  <c r="U201" i="1" s="1"/>
  <c r="U202" i="1" s="1"/>
  <c r="U203" i="1" s="1"/>
  <c r="U204" i="1" s="1"/>
  <c r="U205" i="1" s="1"/>
  <c r="U206" i="1" s="1"/>
  <c r="U207" i="1" s="1"/>
  <c r="U196" i="1"/>
  <c r="V194" i="1"/>
  <c r="U182" i="1"/>
  <c r="F205" i="1"/>
  <c r="F204" i="1"/>
  <c r="F203" i="1"/>
  <c r="F202" i="1"/>
  <c r="F201" i="1"/>
  <c r="F200" i="1"/>
  <c r="F199" i="1"/>
  <c r="U184" i="1"/>
  <c r="U185" i="1" s="1"/>
  <c r="U186" i="1" s="1"/>
  <c r="U187" i="1" s="1"/>
  <c r="U188" i="1" s="1"/>
  <c r="U189" i="1" s="1"/>
  <c r="U190" i="1" s="1"/>
  <c r="U191" i="1" s="1"/>
  <c r="U192" i="1" s="1"/>
  <c r="U193" i="1" s="1"/>
  <c r="F198" i="1"/>
  <c r="F197" i="1"/>
  <c r="V180" i="1"/>
  <c r="F193" i="1"/>
  <c r="F192" i="1"/>
  <c r="F191" i="1"/>
  <c r="F189" i="1"/>
  <c r="F188" i="1"/>
  <c r="F187" i="1"/>
  <c r="F186" i="1"/>
  <c r="F185" i="1"/>
  <c r="F190" i="1"/>
  <c r="V169" i="1"/>
  <c r="U172" i="1"/>
  <c r="U173" i="1" s="1"/>
  <c r="U174" i="1" s="1"/>
  <c r="U175" i="1" s="1"/>
  <c r="U176" i="1" s="1"/>
  <c r="U177" i="1" s="1"/>
  <c r="U178" i="1" s="1"/>
  <c r="U179" i="1" s="1"/>
  <c r="V170" i="1"/>
  <c r="G51" i="1"/>
  <c r="C51" i="1"/>
  <c r="V183" i="1"/>
  <c r="V197" i="1"/>
  <c r="V171" i="1"/>
  <c r="J106" i="1" l="1"/>
  <c r="C98" i="1" s="1"/>
  <c r="J86" i="1"/>
  <c r="G130" i="1"/>
  <c r="D83" i="1"/>
  <c r="V227" i="1"/>
  <c r="S226" i="1"/>
  <c r="V213" i="1"/>
  <c r="S212" i="1"/>
  <c r="S197" i="1"/>
  <c r="V198" i="1"/>
  <c r="S183" i="1"/>
  <c r="V184" i="1"/>
  <c r="S171" i="1"/>
  <c r="V172" i="1"/>
  <c r="E3" i="1"/>
  <c r="J76" i="1"/>
  <c r="J75" i="1"/>
  <c r="H66" i="1"/>
  <c r="E97" i="1" l="1"/>
  <c r="I93" i="1" s="1"/>
  <c r="C95" i="1" s="1"/>
  <c r="D98" i="1"/>
  <c r="G97" i="1"/>
  <c r="J87" i="1"/>
  <c r="V228" i="1"/>
  <c r="S227" i="1"/>
  <c r="V214" i="1"/>
  <c r="S213" i="1"/>
  <c r="V199" i="1"/>
  <c r="S198" i="1"/>
  <c r="S184" i="1"/>
  <c r="V185" i="1"/>
  <c r="S172" i="1"/>
  <c r="V173" i="1"/>
  <c r="D78" i="1"/>
  <c r="D74" i="1"/>
  <c r="J70" i="1"/>
  <c r="C69" i="1" s="1"/>
  <c r="D69" i="1" s="1"/>
  <c r="J68" i="1"/>
  <c r="D77" i="1"/>
  <c r="D73" i="1"/>
  <c r="D76" i="1"/>
  <c r="D72" i="1"/>
  <c r="J69" i="1"/>
  <c r="J71" i="1"/>
  <c r="J72" i="1" s="1"/>
  <c r="J77" i="1" s="1"/>
  <c r="D75" i="1"/>
  <c r="D71" i="1"/>
  <c r="J88" i="1" l="1"/>
  <c r="V229" i="1"/>
  <c r="S228" i="1"/>
  <c r="V215" i="1"/>
  <c r="S214" i="1"/>
  <c r="S199" i="1"/>
  <c r="V200" i="1"/>
  <c r="V186" i="1"/>
  <c r="S185" i="1"/>
  <c r="V174" i="1"/>
  <c r="S173" i="1"/>
  <c r="J73" i="1"/>
  <c r="J74" i="1" s="1"/>
  <c r="J92" i="1" l="1"/>
  <c r="C84" i="1" s="1"/>
  <c r="E83" i="1" s="1"/>
  <c r="C107" i="1" s="1"/>
  <c r="V230" i="1"/>
  <c r="S229" i="1"/>
  <c r="V216" i="1"/>
  <c r="S215" i="1"/>
  <c r="V201" i="1"/>
  <c r="S200" i="1"/>
  <c r="V187" i="1"/>
  <c r="S186" i="1"/>
  <c r="S174" i="1"/>
  <c r="V175" i="1"/>
  <c r="J78" i="1"/>
  <c r="C70" i="1" s="1"/>
  <c r="D70" i="1" s="1"/>
  <c r="G83" i="1" l="1"/>
  <c r="G107" i="1" s="1"/>
  <c r="D84" i="1"/>
  <c r="I79" i="1"/>
  <c r="C81" i="1" s="1"/>
  <c r="V231" i="1"/>
  <c r="S230" i="1"/>
  <c r="V217" i="1"/>
  <c r="S216" i="1"/>
  <c r="V202" i="1"/>
  <c r="S201" i="1"/>
  <c r="V188" i="1"/>
  <c r="S187" i="1"/>
  <c r="S175" i="1"/>
  <c r="V176" i="1"/>
  <c r="G69" i="1"/>
  <c r="E69" i="1"/>
  <c r="F108" i="1" s="1"/>
  <c r="G174" i="1"/>
  <c r="D176" i="1"/>
  <c r="F176" i="1" s="1"/>
  <c r="I175" i="1" s="1"/>
  <c r="D181" i="1"/>
  <c r="F181" i="1" s="1"/>
  <c r="D180" i="1"/>
  <c r="F180" i="1" s="1"/>
  <c r="D179" i="1"/>
  <c r="F179" i="1" s="1"/>
  <c r="D178" i="1"/>
  <c r="F178" i="1" s="1"/>
  <c r="D177" i="1"/>
  <c r="F177" i="1" s="1"/>
  <c r="D174" i="1"/>
  <c r="F174" i="1" s="1"/>
  <c r="D172" i="1"/>
  <c r="F172" i="1" s="1"/>
  <c r="D171" i="1"/>
  <c r="F171" i="1" s="1"/>
  <c r="D170" i="1"/>
  <c r="F170" i="1" s="1"/>
  <c r="D169" i="1"/>
  <c r="F169" i="1" s="1"/>
  <c r="D168" i="1"/>
  <c r="F168" i="1" s="1"/>
  <c r="D165" i="1"/>
  <c r="F165" i="1" s="1"/>
  <c r="D149" i="1"/>
  <c r="D159" i="1"/>
  <c r="D160" i="1"/>
  <c r="D161" i="1"/>
  <c r="D158" i="1"/>
  <c r="D148" i="1"/>
  <c r="D157" i="1"/>
  <c r="D163" i="1"/>
  <c r="D162" i="1"/>
  <c r="D156" i="1"/>
  <c r="D153" i="1"/>
  <c r="D151" i="1"/>
  <c r="D152" i="1"/>
  <c r="D150" i="1"/>
  <c r="D154" i="1"/>
  <c r="D147" i="1"/>
  <c r="I147" i="1"/>
  <c r="D140" i="1"/>
  <c r="D139" i="1"/>
  <c r="G46" i="1"/>
  <c r="F139" i="1" l="1"/>
  <c r="C126" i="1"/>
  <c r="V232" i="1"/>
  <c r="S231" i="1"/>
  <c r="V218" i="1"/>
  <c r="S217" i="1"/>
  <c r="V203" i="1"/>
  <c r="S202" i="1"/>
  <c r="S188" i="1"/>
  <c r="V189" i="1"/>
  <c r="V177" i="1"/>
  <c r="S176" i="1"/>
  <c r="I65" i="1"/>
  <c r="C67" i="1" s="1"/>
  <c r="D64" i="1"/>
  <c r="E126" i="1"/>
  <c r="E129" i="1"/>
  <c r="E131" i="1" s="1"/>
  <c r="C129" i="1"/>
  <c r="C131" i="1" s="1"/>
  <c r="F147" i="1"/>
  <c r="F159" i="1"/>
  <c r="F163" i="1"/>
  <c r="F162" i="1"/>
  <c r="F161" i="1"/>
  <c r="F160" i="1"/>
  <c r="F158" i="1"/>
  <c r="I158" i="1" s="1"/>
  <c r="F157" i="1"/>
  <c r="F156" i="1"/>
  <c r="F148" i="1"/>
  <c r="F149" i="1"/>
  <c r="I149" i="1" s="1"/>
  <c r="F150" i="1"/>
  <c r="F151" i="1"/>
  <c r="F152" i="1"/>
  <c r="I152" i="1" s="1"/>
  <c r="F153" i="1"/>
  <c r="F154" i="1"/>
  <c r="I154" i="1" s="1"/>
  <c r="G140" i="1"/>
  <c r="A140" i="1"/>
  <c r="F140" i="1"/>
  <c r="V141" i="1"/>
  <c r="V150" i="1"/>
  <c r="W150" i="1"/>
  <c r="V151" i="1"/>
  <c r="V233" i="1" l="1"/>
  <c r="S232" i="1"/>
  <c r="S218" i="1"/>
  <c r="V219" i="1"/>
  <c r="S203" i="1"/>
  <c r="V204" i="1"/>
  <c r="V190" i="1"/>
  <c r="S189" i="1"/>
  <c r="V178" i="1"/>
  <c r="S177" i="1"/>
  <c r="G129" i="1"/>
  <c r="G131" i="1" s="1"/>
  <c r="G126" i="1"/>
  <c r="U152" i="1"/>
  <c r="U153" i="1" s="1"/>
  <c r="U154" i="1" s="1"/>
  <c r="U155" i="1" s="1"/>
  <c r="U156" i="1" s="1"/>
  <c r="U157" i="1" s="1"/>
  <c r="U158" i="1" s="1"/>
  <c r="V152" i="1"/>
  <c r="U143" i="1"/>
  <c r="U144" i="1" s="1"/>
  <c r="U145" i="1" s="1"/>
  <c r="U146" i="1" s="1"/>
  <c r="U147" i="1" s="1"/>
  <c r="U148" i="1" s="1"/>
  <c r="U149" i="1" s="1"/>
  <c r="G156" i="1"/>
  <c r="W141" i="1"/>
  <c r="W151" i="1"/>
  <c r="V142" i="1"/>
  <c r="V181" i="1"/>
  <c r="V234" i="1" l="1"/>
  <c r="S233" i="1"/>
  <c r="S219" i="1"/>
  <c r="V220" i="1"/>
  <c r="V205" i="1"/>
  <c r="S204" i="1"/>
  <c r="V182" i="1"/>
  <c r="S182" i="1" s="1"/>
  <c r="S181" i="1"/>
  <c r="V191" i="1"/>
  <c r="S190" i="1"/>
  <c r="S178" i="1"/>
  <c r="V179" i="1"/>
  <c r="W152" i="1"/>
  <c r="W153" i="1" s="1"/>
  <c r="W154" i="1" s="1"/>
  <c r="W155" i="1" s="1"/>
  <c r="W156" i="1" s="1"/>
  <c r="W157" i="1" s="1"/>
  <c r="W158" i="1" s="1"/>
  <c r="S151" i="1"/>
  <c r="A165" i="1" s="1"/>
  <c r="V153" i="1"/>
  <c r="V143" i="1"/>
  <c r="U134" i="1"/>
  <c r="U135" i="1" s="1"/>
  <c r="U136" i="1" s="1"/>
  <c r="U137" i="1" s="1"/>
  <c r="U138" i="1" s="1"/>
  <c r="U139" i="1" s="1"/>
  <c r="U140" i="1" s="1"/>
  <c r="G165" i="1"/>
  <c r="E40" i="1"/>
  <c r="V132" i="1"/>
  <c r="G148" i="1"/>
  <c r="G149" i="1" s="1"/>
  <c r="G150" i="1" s="1"/>
  <c r="G151" i="1" s="1"/>
  <c r="G152" i="1" s="1"/>
  <c r="G153" i="1" s="1"/>
  <c r="G154" i="1" s="1"/>
  <c r="E24" i="1"/>
  <c r="E22" i="1"/>
  <c r="W142" i="1"/>
  <c r="V223" i="1"/>
  <c r="V133" i="1"/>
  <c r="V224" i="1" l="1"/>
  <c r="S224" i="1" s="1"/>
  <c r="S223" i="1"/>
  <c r="V235" i="1"/>
  <c r="S235" i="1" s="1"/>
  <c r="S234" i="1"/>
  <c r="V221" i="1"/>
  <c r="S221" i="1" s="1"/>
  <c r="S220" i="1"/>
  <c r="S205" i="1"/>
  <c r="V206" i="1"/>
  <c r="S191" i="1"/>
  <c r="V192" i="1"/>
  <c r="S179" i="1"/>
  <c r="S153" i="1"/>
  <c r="A167" i="1" s="1"/>
  <c r="S152" i="1"/>
  <c r="A166" i="1" s="1"/>
  <c r="V154" i="1"/>
  <c r="S133" i="1"/>
  <c r="A147" i="1" s="1"/>
  <c r="S142" i="1"/>
  <c r="A156" i="1" s="1"/>
  <c r="W143" i="1"/>
  <c r="W144" i="1" s="1"/>
  <c r="W145" i="1" s="1"/>
  <c r="W146" i="1" s="1"/>
  <c r="W147" i="1" s="1"/>
  <c r="W148" i="1" s="1"/>
  <c r="W149" i="1" s="1"/>
  <c r="V144" i="1"/>
  <c r="V134" i="1"/>
  <c r="S134" i="1" s="1"/>
  <c r="A148" i="1" s="1"/>
  <c r="F6" i="5"/>
  <c r="G6" i="5" s="1"/>
  <c r="F7" i="5"/>
  <c r="G7" i="5" s="1"/>
  <c r="F8" i="5"/>
  <c r="G8" i="5" s="1"/>
  <c r="F5" i="5"/>
  <c r="G5" i="5" s="1"/>
  <c r="V195" i="1"/>
  <c r="V209" i="1"/>
  <c r="S209" i="1" l="1"/>
  <c r="V210" i="1"/>
  <c r="S210" i="1" s="1"/>
  <c r="S195" i="1"/>
  <c r="V196" i="1"/>
  <c r="S196" i="1" s="1"/>
  <c r="V207" i="1"/>
  <c r="S206" i="1"/>
  <c r="V193" i="1"/>
  <c r="S193" i="1" s="1"/>
  <c r="S192" i="1"/>
  <c r="S154" i="1"/>
  <c r="A168" i="1" s="1"/>
  <c r="V155" i="1"/>
  <c r="S155" i="1" s="1"/>
  <c r="S143" i="1"/>
  <c r="A157" i="1" s="1"/>
  <c r="V145" i="1"/>
  <c r="S144" i="1"/>
  <c r="A158" i="1" s="1"/>
  <c r="V135" i="1"/>
  <c r="S135" i="1" s="1"/>
  <c r="A149" i="1" s="1"/>
  <c r="G9" i="5"/>
  <c r="S207" i="1" l="1"/>
  <c r="A169" i="1"/>
  <c r="V156" i="1"/>
  <c r="S156" i="1" s="1"/>
  <c r="S145" i="1"/>
  <c r="A159" i="1" s="1"/>
  <c r="V146" i="1"/>
  <c r="V136" i="1"/>
  <c r="S136" i="1" s="1"/>
  <c r="A150" i="1" s="1"/>
  <c r="C13" i="1"/>
  <c r="S146" i="1" l="1"/>
  <c r="A160" i="1" s="1"/>
  <c r="V147" i="1"/>
  <c r="A170" i="1"/>
  <c r="V157" i="1"/>
  <c r="S157" i="1" s="1"/>
  <c r="V137" i="1"/>
  <c r="S147" i="1" l="1"/>
  <c r="A161" i="1" s="1"/>
  <c r="V148" i="1"/>
  <c r="V158" i="1"/>
  <c r="S158" i="1" s="1"/>
  <c r="A171" i="1"/>
  <c r="S137" i="1"/>
  <c r="A151" i="1" s="1"/>
  <c r="V138" i="1"/>
  <c r="E7" i="1"/>
  <c r="V149" i="1" l="1"/>
  <c r="S148" i="1"/>
  <c r="A162" i="1" s="1"/>
  <c r="A172" i="1"/>
  <c r="S138" i="1"/>
  <c r="A152" i="1" s="1"/>
  <c r="V139" i="1"/>
  <c r="D264" i="1"/>
  <c r="F123" i="1"/>
  <c r="C46" i="1"/>
  <c r="E41" i="1"/>
  <c r="S149" i="1" l="1"/>
  <c r="A163" i="1" s="1"/>
  <c r="V140" i="1"/>
  <c r="S139" i="1"/>
  <c r="A153" i="1"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S140" i="1" l="1"/>
  <c r="A154" i="1" s="1"/>
  <c r="L34" i="3"/>
  <c r="K34" i="3" s="1"/>
  <c r="E34" i="3"/>
  <c r="I34" i="3"/>
  <c r="H34" i="3" s="1"/>
  <c r="D34" i="3" l="1"/>
  <c r="D36" i="3" s="1"/>
  <c r="E36" i="3"/>
</calcChain>
</file>

<file path=xl/sharedStrings.xml><?xml version="1.0" encoding="utf-8"?>
<sst xmlns="http://schemas.openxmlformats.org/spreadsheetml/2006/main" count="496" uniqueCount="266">
  <si>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</si>
  <si>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</si>
  <si>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</si>
  <si>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</si>
  <si>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</si>
  <si>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</si>
  <si>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</si>
  <si>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</si>
  <si>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</si>
  <si>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</si>
  <si>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</si>
  <si>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</si>
  <si>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</si>
  <si>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</si>
  <si>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</si>
  <si>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</si>
  <si>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</si>
  <si>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</si>
  <si>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</si>
  <si>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</si>
  <si>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</si>
  <si>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</si>
  <si>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</si>
  <si>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</si>
  <si>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</si>
  <si>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</si>
  <si>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</si>
  <si>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</si>
  <si>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</si>
  <si>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</si>
  <si>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</si>
  <si>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</si>
  <si>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</si>
  <si>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</si>
  <si>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</si>
  <si>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</si>
  <si>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</si>
  <si>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</si>
  <si>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</si>
  <si>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</si>
  <si>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</si>
  <si>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</si>
  <si>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</si>
  <si>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</si>
  <si>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</si>
  <si>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</si>
  <si>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</si>
  <si>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</si>
  <si>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</si>
  <si>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</si>
  <si>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</si>
  <si>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</si>
  <si>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</si>
  <si>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</si>
  <si>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</si>
  <si>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</si>
  <si>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</si>
  <si>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</si>
  <si>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</si>
  <si>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</si>
  <si>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</si>
  <si>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</si>
  <si>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</si>
  <si>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</si>
  <si>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</si>
  <si>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</si>
  <si>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</si>
  <si>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</si>
  <si>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</si>
  <si>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</si>
  <si>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</si>
  <si>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</si>
  <si>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</si>
  <si>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</si>
  <si>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</si>
  <si>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</si>
  <si>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</si>
  <si>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</si>
  <si>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</si>
  <si>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</si>
  <si>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</si>
  <si>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</si>
  <si>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</si>
  <si>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</si>
  <si>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</si>
  <si>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</si>
  <si>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</si>
  <si>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</si>
  <si>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</si>
  <si>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</si>
  <si>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</si>
  <si>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</si>
  <si>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</si>
  <si>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</si>
  <si>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</si>
  <si>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</si>
  <si>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</si>
  <si>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</si>
  <si>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</si>
  <si>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</si>
  <si>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</si>
  <si>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</si>
  <si>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</si>
  <si>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</si>
  <si>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</si>
  <si>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</si>
  <si>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</si>
  <si>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</si>
  <si>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</si>
  <si>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</si>
  <si>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</si>
  <si>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</si>
  <si>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</si>
  <si>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</si>
  <si>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</si>
  <si>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</si>
  <si>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</si>
  <si>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</si>
  <si>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</si>
  <si>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</si>
  <si>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</si>
  <si>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</si>
  <si>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</si>
  <si>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</si>
  <si>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</si>
  <si>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</si>
  <si>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</si>
  <si>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</si>
  <si>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</si>
  <si>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</si>
  <si>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</si>
  <si>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</si>
  <si>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</si>
  <si>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</si>
  <si>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</si>
  <si>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</si>
  <si>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</si>
  <si>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</si>
  <si>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</si>
  <si>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</si>
  <si>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</si>
  <si>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</si>
  <si>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</si>
  <si>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</si>
  <si>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</si>
  <si>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</si>
  <si>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</si>
  <si>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</si>
  <si>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</si>
  <si>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</si>
  <si>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</si>
  <si>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</si>
  <si>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</si>
  <si>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</si>
  <si>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</si>
  <si>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Average</t>
  </si>
  <si>
    <t xml:space="preserve">Valuation Adopted </t>
  </si>
  <si>
    <t>Saleable Area</t>
  </si>
  <si>
    <t>Rate on Saleable</t>
  </si>
  <si>
    <t xml:space="preserve">Wheather the construction is as per approved Building plan : </t>
  </si>
  <si>
    <t>Saleable area
Loading :</t>
  </si>
  <si>
    <t>,..,</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</si>
  <si>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</si>
  <si>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</si>
  <si>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</si>
  <si>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</si>
  <si>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Axis Sanpada</t>
  </si>
  <si>
    <t>M/s. Raunak Jigna Associates</t>
  </si>
  <si>
    <t>Raunak Centrum</t>
  </si>
  <si>
    <t>Contact Details ( Name &amp; Contact No.)</t>
  </si>
  <si>
    <t>022-5847000</t>
  </si>
  <si>
    <t>SRA/ENG/2655/L/STGL/AP</t>
  </si>
  <si>
    <t>28/01/2021.</t>
  </si>
  <si>
    <t>19/01/2021.</t>
  </si>
  <si>
    <t>Chembur</t>
  </si>
  <si>
    <t>Kurla</t>
  </si>
  <si>
    <t>Mumbai</t>
  </si>
  <si>
    <t>Eastern Express Highway</t>
  </si>
  <si>
    <t>Botanical Garden</t>
  </si>
  <si>
    <t>Padmabhushan Vasantdada Patil Road</t>
  </si>
  <si>
    <t>Eastern Express highway</t>
  </si>
  <si>
    <t>Slum</t>
  </si>
  <si>
    <t>As per RERA - 31/12/2026</t>
  </si>
  <si>
    <t>1st to 3rd Basement Floor for parking</t>
  </si>
  <si>
    <t>Convenience Store (Duplex to 1st Floor)</t>
  </si>
  <si>
    <t>Ground &amp; 1st Floor for Commercial  &amp; Amenities</t>
  </si>
  <si>
    <t>2nd Floor for Amenities</t>
  </si>
  <si>
    <t>3rd Floor for Residential</t>
  </si>
  <si>
    <t>1BHK</t>
  </si>
  <si>
    <t>2BHK</t>
  </si>
  <si>
    <t xml:space="preserve"> </t>
  </si>
  <si>
    <t>Refuge Area</t>
  </si>
  <si>
    <t>28th Floor (Part Refuge Floor)</t>
  </si>
  <si>
    <t>3.2Km from Chembur Railway Station</t>
  </si>
  <si>
    <t>Flats - 217, Offices - 2</t>
  </si>
  <si>
    <t>Approved Plans, CC</t>
  </si>
  <si>
    <t>CTS No</t>
  </si>
  <si>
    <t>Vasantdada Patil College of Engg.</t>
  </si>
  <si>
    <t>126(Part), 126/6</t>
  </si>
  <si>
    <t>Valid Up to: This C.C is Re-endorsed as Per Approvd Ammended Plans Dated 19/01/2021.</t>
  </si>
  <si>
    <t>Ground + 1st Floor</t>
  </si>
  <si>
    <t>3rd Floor</t>
  </si>
  <si>
    <t>4th to 6th, 8th to 13th, 15th to 20th, 22nd to 27th, 29th &amp; 30th Floor</t>
  </si>
  <si>
    <t>7th, 14th &amp; 21st Floor(Part Refuge Floor)</t>
  </si>
  <si>
    <t>Sale Wing D (As per Approved Plan) = Sale Wing B (As per Builder letter &amp; Index II)</t>
  </si>
  <si>
    <t>B Wing (D Wing) = 3B + Gr + 1st &amp; 2nd Comm. + 3rd to 30th Floor</t>
  </si>
  <si>
    <t>4BHK</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</si>
  <si>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</si>
  <si>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</si>
  <si>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</si>
  <si>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</si>
  <si>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</si>
  <si>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</si>
  <si>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</si>
  <si>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</si>
  <si>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</si>
  <si>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</si>
  <si>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</si>
  <si>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</si>
  <si>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</si>
  <si>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</si>
  <si>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</si>
  <si>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</si>
  <si>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</si>
  <si>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</si>
  <si>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Raunak Centrum = P51800006705
Raunak Centrum ­ A = P51800033269</t>
  </si>
  <si>
    <t>02 Buildings</t>
  </si>
  <si>
    <t>E Wing</t>
  </si>
  <si>
    <t>3rd to 4th Floor for Residential</t>
  </si>
  <si>
    <t>5th Floor (Part Terrace As Refuge Floor Area)</t>
  </si>
  <si>
    <t>(Part Terrace As Refuge Floor Area)</t>
  </si>
  <si>
    <t>7th, 14th &amp; 21st Floor (Part Refuge Area)</t>
  </si>
  <si>
    <t>6th, 8th to 13th, 15th to 20th, 22nd to 27th, 29th &amp; 30th Floor</t>
  </si>
  <si>
    <t>3BHK</t>
  </si>
  <si>
    <t>B Wing (D Wing)</t>
  </si>
  <si>
    <t>Commencement Certificate No.
Valid Up to:</t>
  </si>
  <si>
    <t>This C.C is Re-endorsed upto plinth level for wing 'E' and college reservation sub wing 'EI' as per approved an amended plans dated 16/11/2021.</t>
  </si>
  <si>
    <t>Location Link:</t>
  </si>
  <si>
    <t>https://goo.gl/maps/QwtGzgkGNWdfv23m9?coh=178572&amp;entry=tt</t>
  </si>
  <si>
    <t>Approval Detail : Plan approval  Wing D</t>
  </si>
  <si>
    <t>Approval Detail : Plan approval  Wing E</t>
  </si>
  <si>
    <t>2nd Floor for Fitness center, Multipurpose Hall</t>
  </si>
  <si>
    <t>Sale Wing E (As per Approved Plan) = Sale Wing A (As per Builder letter &amp; Index II)</t>
  </si>
  <si>
    <t>Sale Wing D (As per Approved Plan) = Sale Wing B (As per Builder letter &amp; Index II)
Sale Wing E (As per Approved Plan) = Sale Wing A (As per Builder letter &amp; Index II)</t>
  </si>
  <si>
    <t>B Wing (D Wing) = 3B + Gr + 1st &amp; 2nd Comm. + 3rd to 30th Floor
A Wing (E Wing) = 3B + Gr + 1st &amp; 2nd Comm. + 3rd to 30th Floor</t>
  </si>
  <si>
    <t>A Wing (E Wing) = 3B + Gr + 1st &amp; 2nd Comm. + 3rd to 30th Floor</t>
  </si>
  <si>
    <t>Office No. 1031, Wing J, Akshar Business Park, Plot No. 03 Sector 25, Near APMC Market,
Vashi, Navi Mumbai, Maharashtra 400703 TEL: 022-46090378/79/80                                                                                                                          E mail : vsjcapf@gmail.com. Web site : www.vsjadon.com</t>
  </si>
  <si>
    <t>19.051353335,72.878868177</t>
  </si>
  <si>
    <t>Latitude, Longitude</t>
  </si>
  <si>
    <t>15000 to 16000</t>
  </si>
  <si>
    <t>Sanjay</t>
  </si>
  <si>
    <t>10,00,000/-</t>
  </si>
  <si>
    <t>2,35,260/-</t>
  </si>
  <si>
    <t>Possession Charges</t>
  </si>
  <si>
    <t>4,20,000/-</t>
  </si>
  <si>
    <t>other charges added by Bhargav on 13/09/2024 cost sheet on mail</t>
  </si>
  <si>
    <t>On Site, we meet Mr.Sunil (Sales) - 9769963390.</t>
  </si>
  <si>
    <t xml:space="preserve">Remark No.11: </t>
  </si>
  <si>
    <r>
      <t>1. Construction work is in process at the time of Visit. Internal photo was not allowed.
2. We considered  Saleable area  as per our calculation.
3. We considered Carpet area as per Approved Plan.
4. We considered Gross carpet area = Net carpet + Deck + Chajja Area
5. We have considered rate by verifying it from market inquire.
6. Car parking is subjected to authentic documentation.
7. We received Builder clarification letter in which they have mentioned that Sale Wing D (As per Approved Plan) will be known as Sale Wing B (As per Builder and Index II).
8. The shop area and the office area (Ground &amp; 1st Floor) of Wing E are not drafted because shop and office numbering is not mentioned in the given approved floor plan. Please provide a sales plan.
9. We have updated revised approved floor plan &amp; C.C for E Wing (on 06/06/2023).</t>
    </r>
    <r>
      <rPr>
        <b/>
        <sz val="12"/>
        <color rgb="FFFF0000"/>
        <rFont val="Times New Roman"/>
        <family val="1"/>
      </rPr>
      <t xml:space="preserve">
</t>
    </r>
    <r>
      <rPr>
        <b/>
        <sz val="12"/>
        <rFont val="Times New Roman"/>
        <family val="1"/>
      </rPr>
      <t>10. Recommended Rates / Other charges of the Property have been revised on 17/11/2023 &amp; 13/09/2024.
11. Please provide revised approved CC, As the construction work goes beyond the CC permission.
12. High tension line passes through project Raunak Centrum. provide power noc.</t>
    </r>
  </si>
  <si>
    <t>D Wing
E Wing</t>
  </si>
  <si>
    <t>Akash Kadam</t>
  </si>
  <si>
    <t>Part I = A Wing (E Wing) = 3B + Gr + 1st &amp; 2nd Comm. + 3rd to 30th Floor</t>
  </si>
  <si>
    <t>Part II = A Wing (E Wing) = 3B + Gr + 1st &amp; 2nd Comm. + 3rd to 30th Floor</t>
  </si>
  <si>
    <t xml:space="preserve">Wing A
Average Progress % </t>
  </si>
  <si>
    <t xml:space="preserve">Wing A
Average Disbursement % </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</si>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</sst>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1" fillId="0" borderId="0"/>
    <xf numFmtId="9" fontId="22" fillId="0" borderId="0" applyFont="0" applyFill="0" applyBorder="0" applyAlignment="0" applyProtection="0"/>
    <xf numFmtId="0" fontId="24" fillId="0" borderId="0" applyNumberFormat="0" applyFill="0" applyBorder="0" applyAlignment="0" applyProtection="0"/>
  </cellStyleXfs>
  <cellXfs count="183">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1" fontId="7" fillId="0" borderId="1" xfId="1" applyNumberFormat="1" applyFont="1" applyBorder="1" applyAlignment="1" applyProtection="1">
      <alignment horizontal="center" vertical="center" wrapText="1"/>
      <protection locked="0"/>
    </xf>
    <xf numFmtId="0" fontId="13" fillId="0" borderId="4" xfId="1" applyFont="1" applyBorder="1" applyAlignment="1" applyProtection="1">
      <alignment horizontal="center" vertical="top"/>
      <protection locked="0"/>
    </xf>
    <xf numFmtId="0" fontId="8" fillId="0" borderId="11" xfId="1" applyFont="1" applyBorder="1" applyProtection="1">
      <protection hidden="1"/>
    </xf>
    <xf numFmtId="0" fontId="8" fillId="0" borderId="12" xfId="1" applyFont="1" applyBorder="1" applyProtection="1">
      <protection hidden="1"/>
    </xf>
    <xf numFmtId="0" fontId="8" fillId="0" borderId="12" xfId="1" applyFont="1" applyBorder="1"/>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1" fontId="9" fillId="0" borderId="3" xfId="1" applyNumberFormat="1" applyFont="1" applyBorder="1" applyAlignment="1" applyProtection="1">
      <alignment horizontal="center" vertical="top" wrapText="1"/>
      <protection locked="0"/>
    </xf>
    <xf numFmtId="9" fontId="9" fillId="0" borderId="18" xfId="8" applyFont="1" applyFill="1" applyBorder="1" applyAlignment="1" applyProtection="1">
      <alignment horizontal="center" vertical="top" wrapText="1"/>
      <protection locked="0"/>
    </xf>
    <xf numFmtId="1" fontId="8" fillId="0" borderId="0" xfId="1" applyNumberFormat="1" applyFont="1" applyAlignment="1">
      <alignment horizontal="center" vertical="center"/>
    </xf>
    <xf numFmtId="0" fontId="13" fillId="2" borderId="1" xfId="1" applyFont="1" applyFill="1" applyBorder="1" applyAlignment="1" applyProtection="1">
      <alignment horizontal="left" vertical="top"/>
      <protection locked="0"/>
    </xf>
    <xf numFmtId="0" fontId="14" fillId="2" borderId="1" xfId="1" applyFont="1" applyFill="1" applyBorder="1" applyAlignment="1" applyProtection="1">
      <alignment horizontal="left" vertical="top"/>
      <protection locked="0"/>
    </xf>
    <xf numFmtId="0" fontId="13" fillId="0" borderId="5"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0" fontId="13" fillId="0" borderId="7" xfId="1" applyFont="1" applyBorder="1" applyAlignment="1" applyProtection="1">
      <alignment horizontal="center" wrapText="1"/>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13" fillId="0" borderId="1" xfId="1" applyFont="1" applyBorder="1" applyAlignment="1" applyProtection="1">
      <alignment horizontal="center" vertical="top"/>
      <protection locked="0"/>
    </xf>
    <xf numFmtId="9" fontId="13" fillId="2" borderId="1"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0" fontId="18" fillId="0" borderId="0" xfId="0" applyFont="1" applyProtection="1">
      <protection hidden="1"/>
    </xf>
    <xf numFmtId="0" fontId="8" fillId="0" borderId="10" xfId="1" applyFont="1" applyBorder="1" applyProtection="1">
      <protection hidden="1"/>
    </xf>
    <xf numFmtId="0" fontId="18" fillId="0" borderId="12" xfId="0" applyFont="1" applyBorder="1" applyProtection="1">
      <protection hidden="1"/>
    </xf>
    <xf numFmtId="1" fontId="0" fillId="0" borderId="12" xfId="0" applyNumberFormat="1" applyBorder="1"/>
    <xf numFmtId="2" fontId="0" fillId="0" borderId="0" xfId="0" applyNumberFormat="1"/>
    <xf numFmtId="165" fontId="0" fillId="0" borderId="0" xfId="0" applyNumberFormat="1"/>
    <xf numFmtId="2" fontId="18" fillId="0" borderId="0" xfId="0" applyNumberFormat="1" applyFont="1" applyProtection="1">
      <protection hidden="1"/>
    </xf>
    <xf numFmtId="1" fontId="0" fillId="0" borderId="12" xfId="0" applyNumberFormat="1" applyBorder="1" applyAlignment="1">
      <alignment horizontal="right"/>
    </xf>
    <xf numFmtId="0" fontId="18" fillId="0" borderId="13" xfId="0" applyFont="1" applyBorder="1" applyProtection="1">
      <protection hidden="1"/>
    </xf>
    <xf numFmtId="1" fontId="0" fillId="0" borderId="14" xfId="0" applyNumberFormat="1" applyBorder="1"/>
    <xf numFmtId="1" fontId="8" fillId="0" borderId="1" xfId="1" applyNumberFormat="1" applyFont="1" applyBorder="1" applyAlignment="1">
      <alignment horizontal="center" vertical="center"/>
    </xf>
    <xf numFmtId="0" fontId="11" fillId="0" borderId="0" xfId="0" applyFont="1" applyAlignment="1">
      <alignment horizontal="center" vertical="center"/>
    </xf>
    <xf numFmtId="0" fontId="7" fillId="0" borderId="0" xfId="1" applyFont="1" applyAlignment="1" applyProtection="1">
      <alignment vertical="top" wrapText="1"/>
      <protection locked="0"/>
    </xf>
    <xf numFmtId="0" fontId="8" fillId="3" borderId="0" xfId="1" applyFont="1" applyFill="1"/>
    <xf numFmtId="14" fontId="8" fillId="3" borderId="0" xfId="1" applyNumberFormat="1" applyFont="1" applyFill="1"/>
    <xf numFmtId="0" fontId="8" fillId="0" borderId="0" xfId="1" applyFont="1" applyAlignment="1">
      <alignment wrapText="1"/>
    </xf>
    <xf numFmtId="1" fontId="9" fillId="0" borderId="8" xfId="1" applyNumberFormat="1" applyFont="1" applyBorder="1" applyAlignment="1" applyProtection="1">
      <alignment horizontal="center" vertical="center" wrapText="1"/>
      <protection locked="0"/>
    </xf>
    <xf numFmtId="1" fontId="9" fillId="0" borderId="23"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7" fillId="0" borderId="22"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0" fontId="13" fillId="2" borderId="1" xfId="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13"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8" xfId="1" applyFont="1" applyBorder="1" applyAlignment="1" applyProtection="1">
      <alignment horizontal="center" vertical="top" wrapText="1"/>
      <protection locked="0"/>
    </xf>
    <xf numFmtId="0" fontId="13" fillId="0" borderId="9" xfId="1" applyFont="1" applyBorder="1" applyAlignment="1" applyProtection="1">
      <alignment horizontal="center" vertical="top" wrapText="1"/>
      <protection locked="0"/>
    </xf>
    <xf numFmtId="0" fontId="13" fillId="0" borderId="29"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9" fontId="13" fillId="2" borderId="19" xfId="1" applyNumberFormat="1" applyFont="1" applyFill="1" applyBorder="1" applyAlignment="1" applyProtection="1">
      <alignment horizontal="center" vertical="center" wrapText="1"/>
      <protection hidden="1"/>
    </xf>
    <xf numFmtId="9" fontId="13" fillId="2" borderId="20" xfId="1" applyNumberFormat="1" applyFont="1" applyFill="1" applyBorder="1" applyAlignment="1" applyProtection="1">
      <alignment horizontal="center" vertical="center" wrapText="1"/>
      <protection hidden="1"/>
    </xf>
    <xf numFmtId="9" fontId="13" fillId="2" borderId="25" xfId="1" applyNumberFormat="1" applyFont="1" applyFill="1" applyBorder="1" applyAlignment="1" applyProtection="1">
      <alignment horizontal="center" vertical="center" wrapText="1"/>
      <protection hidden="1"/>
    </xf>
    <xf numFmtId="9" fontId="13" fillId="2" borderId="26" xfId="1" applyNumberFormat="1" applyFont="1" applyFill="1" applyBorder="1" applyAlignment="1" applyProtection="1">
      <alignment horizontal="center" vertical="center" wrapText="1"/>
      <protection hidden="1"/>
    </xf>
    <xf numFmtId="9" fontId="13" fillId="2" borderId="31" xfId="1" applyNumberFormat="1" applyFont="1" applyFill="1" applyBorder="1" applyAlignment="1" applyProtection="1">
      <alignment horizontal="center" vertical="center" wrapText="1"/>
      <protection hidden="1"/>
    </xf>
    <xf numFmtId="9" fontId="13" fillId="2" borderId="32" xfId="1" applyNumberFormat="1" applyFont="1" applyFill="1" applyBorder="1" applyAlignment="1" applyProtection="1">
      <alignment horizontal="center" vertical="center" wrapText="1"/>
      <protection hidden="1"/>
    </xf>
    <xf numFmtId="9" fontId="13" fillId="2" borderId="30" xfId="1" applyNumberFormat="1" applyFont="1" applyFill="1" applyBorder="1" applyAlignment="1" applyProtection="1">
      <alignment horizontal="center" vertical="center" wrapText="1"/>
      <protection hidden="1"/>
    </xf>
    <xf numFmtId="9" fontId="13" fillId="2" borderId="12" xfId="1" applyNumberFormat="1" applyFont="1" applyFill="1" applyBorder="1" applyAlignment="1" applyProtection="1">
      <alignment horizontal="center" vertical="center" wrapText="1"/>
      <protection hidden="1"/>
    </xf>
    <xf numFmtId="9" fontId="13" fillId="2" borderId="14" xfId="1" applyNumberFormat="1" applyFont="1" applyFill="1" applyBorder="1" applyAlignment="1" applyProtection="1">
      <alignment horizontal="center" vertical="center" wrapText="1"/>
      <protection hidden="1"/>
    </xf>
    <xf numFmtId="0" fontId="13" fillId="0" borderId="4"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1" fontId="7" fillId="0" borderId="25" xfId="1" applyNumberFormat="1" applyFont="1" applyBorder="1" applyAlignment="1" applyProtection="1">
      <alignment horizontal="center" vertical="center" wrapText="1"/>
      <protection locked="0"/>
    </xf>
    <xf numFmtId="1" fontId="7" fillId="0" borderId="26" xfId="1" applyNumberFormat="1" applyFont="1" applyBorder="1" applyAlignment="1" applyProtection="1">
      <alignment horizontal="center" vertical="center" wrapText="1"/>
      <protection locked="0"/>
    </xf>
    <xf numFmtId="0" fontId="13" fillId="0" borderId="6" xfId="1" applyFont="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 fontId="9" fillId="0" borderId="1" xfId="1" applyNumberFormat="1" applyFont="1" applyBorder="1" applyAlignment="1" applyProtection="1">
      <alignment horizontal="center" vertical="center" wrapText="1"/>
      <protection locked="0"/>
    </xf>
    <xf numFmtId="0" fontId="14" fillId="2" borderId="1" xfId="1" applyFont="1" applyFill="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1" fontId="9" fillId="0" borderId="1" xfId="0"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18" xfId="1"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9" fillId="0" borderId="20" xfId="1" applyNumberFormat="1" applyFont="1" applyBorder="1" applyAlignment="1" applyProtection="1">
      <alignment horizontal="center" vertical="top" wrapText="1"/>
      <protection locked="0"/>
    </xf>
    <xf numFmtId="1" fontId="9" fillId="0" borderId="21" xfId="1" applyNumberFormat="1" applyFont="1" applyBorder="1" applyAlignment="1" applyProtection="1">
      <alignment horizontal="center" vertical="top" wrapText="1"/>
      <protection locked="0"/>
    </xf>
    <xf numFmtId="1" fontId="9" fillId="0" borderId="22"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67" fontId="14" fillId="0" borderId="1" xfId="1" applyNumberFormat="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9" fillId="0" borderId="1" xfId="1" applyFont="1" applyBorder="1" applyAlignment="1" applyProtection="1">
      <alignment vertical="top"/>
      <protection locked="0"/>
    </xf>
    <xf numFmtId="0" fontId="13" fillId="2" borderId="8" xfId="1" applyFont="1" applyFill="1" applyBorder="1" applyAlignment="1" applyProtection="1">
      <alignment horizontal="left" vertical="top" wrapText="1"/>
      <protection locked="0"/>
    </xf>
    <xf numFmtId="0" fontId="13" fillId="2" borderId="23" xfId="1" applyFont="1" applyFill="1" applyBorder="1" applyAlignment="1" applyProtection="1">
      <alignment horizontal="left" vertical="top" wrapText="1"/>
      <protection locked="0"/>
    </xf>
    <xf numFmtId="0" fontId="13" fillId="2" borderId="9" xfId="1" applyFont="1" applyFill="1" applyBorder="1" applyAlignment="1" applyProtection="1">
      <alignment horizontal="left" vertical="top" wrapText="1"/>
      <protection locked="0"/>
    </xf>
    <xf numFmtId="167" fontId="13" fillId="0" borderId="1" xfId="1" applyNumberFormat="1" applyFont="1" applyBorder="1" applyAlignment="1" applyProtection="1">
      <alignment horizontal="left" vertical="top" wrapText="1"/>
      <protection locked="0"/>
    </xf>
    <xf numFmtId="0" fontId="13" fillId="0" borderId="21" xfId="1" applyFont="1" applyBorder="1" applyAlignment="1" applyProtection="1">
      <alignment horizontal="left" vertical="top"/>
      <protection locked="0"/>
    </xf>
    <xf numFmtId="0" fontId="13" fillId="0" borderId="2" xfId="1" applyFont="1" applyBorder="1" applyAlignment="1" applyProtection="1">
      <alignment horizontal="left" vertical="top"/>
      <protection locked="0"/>
    </xf>
    <xf numFmtId="0" fontId="13" fillId="0" borderId="22"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4" fillId="0" borderId="27"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28" xfId="1" applyFont="1" applyBorder="1" applyAlignment="1" applyProtection="1">
      <alignment horizontal="left" vertical="top" wrapText="1"/>
      <protection locked="0"/>
    </xf>
    <xf numFmtId="0" fontId="14" fillId="0" borderId="4" xfId="1" applyFont="1" applyBorder="1" applyAlignment="1" applyProtection="1">
      <alignment horizontal="left" vertical="top"/>
      <protection locked="0"/>
    </xf>
    <xf numFmtId="0" fontId="14" fillId="0" borderId="8" xfId="1" applyFont="1" applyBorder="1" applyAlignment="1" applyProtection="1">
      <alignment horizontal="left" vertical="top" wrapText="1"/>
      <protection locked="0"/>
    </xf>
    <xf numFmtId="0" fontId="14" fillId="0" borderId="23" xfId="1" applyFont="1" applyBorder="1" applyAlignment="1" applyProtection="1">
      <alignment horizontal="left" vertical="top" wrapText="1"/>
      <protection locked="0"/>
    </xf>
    <xf numFmtId="0" fontId="14" fillId="0" borderId="29" xfId="1" applyFont="1" applyBorder="1" applyAlignment="1" applyProtection="1">
      <alignment horizontal="left" vertical="top" wrapText="1"/>
      <protection locked="0"/>
    </xf>
    <xf numFmtId="165"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protection locked="0"/>
    </xf>
    <xf numFmtId="0" fontId="14" fillId="0" borderId="1" xfId="1" applyFont="1" applyBorder="1" applyAlignment="1" applyProtection="1">
      <alignment horizontal="center"/>
      <protection locked="0"/>
    </xf>
    <xf numFmtId="0" fontId="9" fillId="0" borderId="1" xfId="1" applyFont="1" applyBorder="1" applyAlignment="1" applyProtection="1">
      <alignment horizontal="center" vertical="top"/>
      <protection locked="0"/>
    </xf>
    <xf numFmtId="0" fontId="24" fillId="0" borderId="1" xfId="9" applyBorder="1" applyAlignment="1" applyProtection="1">
      <alignment horizontal="left"/>
      <protection locked="0"/>
    </xf>
    <xf numFmtId="0" fontId="8" fillId="0" borderId="1" xfId="1" applyFont="1" applyBorder="1" applyAlignment="1" applyProtection="1">
      <alignment horizontal="left"/>
      <protection locked="0"/>
    </xf>
    <xf numFmtId="0" fontId="14"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167"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0" fontId="13" fillId="0" borderId="1" xfId="1" applyFont="1" applyBorder="1" applyAlignment="1" applyProtection="1">
      <alignment horizontal="left"/>
      <protection locked="0"/>
    </xf>
    <xf numFmtId="0" fontId="7" fillId="2" borderId="1" xfId="1" applyFont="1" applyFill="1" applyBorder="1" applyAlignment="1" applyProtection="1">
      <alignment horizontal="left" vertical="top" wrapText="1"/>
      <protection locked="0"/>
    </xf>
    <xf numFmtId="0" fontId="7" fillId="0" borderId="1" xfId="1" applyFont="1" applyBorder="1" applyAlignment="1" applyProtection="1">
      <alignment vertical="top"/>
      <protection locked="0"/>
    </xf>
    <xf numFmtId="2" fontId="7" fillId="0" borderId="1" xfId="1" applyNumberFormat="1" applyFont="1" applyBorder="1" applyAlignment="1" applyProtection="1">
      <alignment horizontal="left" vertical="top" wrapText="1"/>
      <protection locked="0"/>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1" fontId="7" fillId="0" borderId="23" xfId="1" applyNumberFormat="1" applyFont="1" applyBorder="1" applyAlignment="1" applyProtection="1">
      <alignment horizontal="center" vertical="center" wrapText="1"/>
      <protection locked="0"/>
    </xf>
    <xf numFmtId="0" fontId="13" fillId="0" borderId="8"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7" fillId="0" borderId="0" xfId="1" applyNumberFormat="1" applyFont="1" applyAlignment="1" applyProtection="1">
      <alignment horizontal="center" vertical="center"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xf numFmtId="0" fontId="13" fillId="0" borderId="33" xfId="1" applyFont="1" applyBorder="1" applyAlignment="1" applyProtection="1">
      <alignment horizontal="center" vertical="top" wrapText="1"/>
      <protection locked="0"/>
    </xf>
    <xf numFmtId="0" fontId="13" fillId="0" borderId="3" xfId="1" applyFont="1" applyBorder="1" applyAlignment="1" applyProtection="1">
      <alignment horizontal="center" vertical="top" wrapText="1"/>
      <protection locked="0"/>
    </xf>
    <xf numFmtId="0" fontId="13" fillId="0" borderId="3" xfId="1" applyFont="1" applyBorder="1" applyAlignment="1" applyProtection="1">
      <alignment horizontal="center" wrapText="1"/>
      <protection locked="0"/>
    </xf>
    <xf numFmtId="9" fontId="13" fillId="2" borderId="3" xfId="1" applyNumberFormat="1" applyFont="1" applyFill="1" applyBorder="1" applyAlignment="1" applyProtection="1">
      <alignment horizontal="center" vertical="center" wrapText="1"/>
      <protection hidden="1"/>
    </xf>
    <xf numFmtId="9" fontId="14" fillId="0" borderId="1"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center" vertical="center" wrapText="1"/>
      <protection locked="0"/>
    </xf>
    <xf numFmtId="0" fontId="14" fillId="0" borderId="1" xfId="1" applyFont="1" applyBorder="1" applyAlignment="1" applyProtection="1">
      <alignment horizontal="center" vertical="center"/>
      <protection locked="0"/>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795622</xdr:colOff>
      <xdr:row>361</xdr:row>
      <xdr:rowOff>191397</xdr:rowOff>
    </xdr:from>
    <xdr:to>
      <xdr:col>6</xdr:col>
      <xdr:colOff>712056</xdr:colOff>
      <xdr:row>378</xdr:row>
      <xdr:rowOff>109100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95622" y="47401779"/>
          <a:ext cx="5204999" cy="3346704"/>
        </a:xfrm>
        <a:prstGeom prst="rect">
          <a:avLst/>
        </a:prstGeom>
        <a:ln>
          <a:solidFill>
            <a:schemeClr val="tx1"/>
          </a:solidFill>
        </a:ln>
      </xdr:spPr>
    </xdr:pic>
    <xdr:clientData/>
  </xdr:twoCellAnchor>
  <xdr:twoCellAnchor editAs="oneCell">
    <xdr:from>
      <xdr:col>0</xdr:col>
      <xdr:colOff>795622</xdr:colOff>
      <xdr:row>344</xdr:row>
      <xdr:rowOff>145677</xdr:rowOff>
    </xdr:from>
    <xdr:to>
      <xdr:col>6</xdr:col>
      <xdr:colOff>712056</xdr:colOff>
      <xdr:row>361</xdr:row>
      <xdr:rowOff>8519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95622" y="43927059"/>
          <a:ext cx="5204999" cy="3291840"/>
        </a:xfrm>
        <a:prstGeom prst="rect">
          <a:avLst/>
        </a:prstGeom>
        <a:ln>
          <a:solidFill>
            <a:schemeClr val="tx1"/>
          </a:solidFill>
        </a:ln>
      </xdr:spPr>
    </xdr:pic>
    <xdr:clientData/>
  </xdr:twoCellAnchor>
  <xdr:twoCellAnchor editAs="oneCell">
    <xdr:from>
      <xdr:col>12</xdr:col>
      <xdr:colOff>400050</xdr:colOff>
      <xdr:row>82</xdr:row>
      <xdr:rowOff>171450</xdr:rowOff>
    </xdr:from>
    <xdr:to>
      <xdr:col>20</xdr:col>
      <xdr:colOff>276987</xdr:colOff>
      <xdr:row>108</xdr:row>
      <xdr:rowOff>12191</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0334625" y="19421475"/>
          <a:ext cx="4887087" cy="5650992"/>
        </a:xfrm>
        <a:prstGeom prst="rect">
          <a:avLst/>
        </a:prstGeom>
      </xdr:spPr>
    </xdr:pic>
    <xdr:clientData/>
  </xdr:twoCellAnchor>
  <xdr:twoCellAnchor>
    <xdr:from>
      <xdr:col>1</xdr:col>
      <xdr:colOff>457200</xdr:colOff>
      <xdr:row>307</xdr:row>
      <xdr:rowOff>152400</xdr:rowOff>
    </xdr:from>
    <xdr:to>
      <xdr:col>6</xdr:col>
      <xdr:colOff>428625</xdr:colOff>
      <xdr:row>331</xdr:row>
      <xdr:rowOff>9525</xdr:rowOff>
    </xdr:to>
    <xdr:grpSp>
      <xdr:nvGrpSpPr>
        <xdr:cNvPr id="26" name="Group 25">
          <a:extLst>
            <a:ext uri="{FF2B5EF4-FFF2-40B4-BE49-F238E27FC236}">
              <a16:creationId xmlns:a16="http://schemas.microsoft.com/office/drawing/2014/main" id="{00000000-0008-0000-0000-00001A000000}"/>
            </a:ext>
          </a:extLst>
        </xdr:cNvPr>
        <xdr:cNvGrpSpPr/>
      </xdr:nvGrpSpPr>
      <xdr:grpSpPr>
        <a:xfrm>
          <a:off x="1242060" y="67383660"/>
          <a:ext cx="4276725" cy="4612005"/>
          <a:chOff x="1352550" y="777353"/>
          <a:chExt cx="4152900" cy="4657725"/>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4"/>
          <a:stretch>
            <a:fillRect/>
          </a:stretch>
        </xdr:blipFill>
        <xdr:spPr>
          <a:xfrm>
            <a:off x="1352550" y="777353"/>
            <a:ext cx="4152900" cy="4657725"/>
          </a:xfrm>
          <a:prstGeom prst="rect">
            <a:avLst/>
          </a:prstGeom>
          <a:ln>
            <a:solidFill>
              <a:schemeClr val="tx1"/>
            </a:solidFill>
          </a:ln>
        </xdr:spPr>
      </xdr:pic>
      <xdr:cxnSp macro="">
        <xdr:nvCxnSpPr>
          <xdr:cNvPr id="28" name="Straight Connector 27">
            <a:extLst>
              <a:ext uri="{FF2B5EF4-FFF2-40B4-BE49-F238E27FC236}">
                <a16:creationId xmlns:a16="http://schemas.microsoft.com/office/drawing/2014/main" id="{00000000-0008-0000-0000-00001C000000}"/>
              </a:ext>
            </a:extLst>
          </xdr:cNvPr>
          <xdr:cNvCxnSpPr>
            <a:cxnSpLocks/>
          </xdr:cNvCxnSpPr>
        </xdr:nvCxnSpPr>
        <xdr:spPr>
          <a:xfrm>
            <a:off x="1352550" y="2159000"/>
            <a:ext cx="4152900" cy="10668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0000-00001D000000}"/>
              </a:ext>
            </a:extLst>
          </xdr:cNvPr>
          <xdr:cNvCxnSpPr>
            <a:cxnSpLocks/>
          </xdr:cNvCxnSpPr>
        </xdr:nvCxnSpPr>
        <xdr:spPr>
          <a:xfrm>
            <a:off x="1352550" y="2343150"/>
            <a:ext cx="4152900" cy="10668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0000000-0008-0000-0000-00001E000000}"/>
              </a:ext>
            </a:extLst>
          </xdr:cNvPr>
          <xdr:cNvCxnSpPr>
            <a:cxnSpLocks/>
          </xdr:cNvCxnSpPr>
        </xdr:nvCxnSpPr>
        <xdr:spPr>
          <a:xfrm>
            <a:off x="1352550" y="2482850"/>
            <a:ext cx="4152900" cy="10668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0000-00001F000000}"/>
              </a:ext>
            </a:extLst>
          </xdr:cNvPr>
          <xdr:cNvCxnSpPr>
            <a:cxnSpLocks/>
          </xdr:cNvCxnSpPr>
        </xdr:nvCxnSpPr>
        <xdr:spPr>
          <a:xfrm>
            <a:off x="1352550" y="2692400"/>
            <a:ext cx="4152900" cy="10668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TextBox 60">
            <a:extLst>
              <a:ext uri="{FF2B5EF4-FFF2-40B4-BE49-F238E27FC236}">
                <a16:creationId xmlns:a16="http://schemas.microsoft.com/office/drawing/2014/main" id="{00000000-0008-0000-0000-000020000000}"/>
              </a:ext>
            </a:extLst>
          </xdr:cNvPr>
          <xdr:cNvSpPr txBox="1"/>
        </xdr:nvSpPr>
        <xdr:spPr>
          <a:xfrm>
            <a:off x="3778250" y="3549650"/>
            <a:ext cx="1364028"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High Tension Lines</a:t>
            </a:r>
            <a:endParaRPr lang="en-IN" sz="1200" b="1">
              <a:solidFill>
                <a:srgbClr val="FF0000"/>
              </a:solidFill>
            </a:endParaRPr>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rot="873513">
            <a:off x="2335485" y="3166222"/>
            <a:ext cx="1023179" cy="44429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Rectangle 33">
            <a:extLst>
              <a:ext uri="{FF2B5EF4-FFF2-40B4-BE49-F238E27FC236}">
                <a16:creationId xmlns:a16="http://schemas.microsoft.com/office/drawing/2014/main" id="{00000000-0008-0000-0000-000022000000}"/>
              </a:ext>
            </a:extLst>
          </xdr:cNvPr>
          <xdr:cNvSpPr/>
        </xdr:nvSpPr>
        <xdr:spPr>
          <a:xfrm rot="873513">
            <a:off x="3332435" y="2194029"/>
            <a:ext cx="1023179" cy="44429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5" name="TextBox 63">
            <a:extLst>
              <a:ext uri="{FF2B5EF4-FFF2-40B4-BE49-F238E27FC236}">
                <a16:creationId xmlns:a16="http://schemas.microsoft.com/office/drawing/2014/main" id="{00000000-0008-0000-0000-000023000000}"/>
              </a:ext>
            </a:extLst>
          </xdr:cNvPr>
          <xdr:cNvSpPr txBox="1"/>
        </xdr:nvSpPr>
        <xdr:spPr>
          <a:xfrm>
            <a:off x="2182599" y="1820117"/>
            <a:ext cx="139333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A (Wing E)</a:t>
            </a:r>
            <a:endParaRPr lang="en-IN" sz="1400" b="1"/>
          </a:p>
        </xdr:txBody>
      </xdr:sp>
      <xdr:sp macro="" textlink="">
        <xdr:nvSpPr>
          <xdr:cNvPr id="36" name="TextBox 64">
            <a:extLst>
              <a:ext uri="{FF2B5EF4-FFF2-40B4-BE49-F238E27FC236}">
                <a16:creationId xmlns:a16="http://schemas.microsoft.com/office/drawing/2014/main" id="{00000000-0008-0000-0000-000024000000}"/>
              </a:ext>
            </a:extLst>
          </xdr:cNvPr>
          <xdr:cNvSpPr txBox="1"/>
        </xdr:nvSpPr>
        <xdr:spPr>
          <a:xfrm>
            <a:off x="1453744" y="3052803"/>
            <a:ext cx="840295"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B </a:t>
            </a:r>
          </a:p>
          <a:p>
            <a:r>
              <a:rPr lang="en-US" sz="1400" b="1"/>
              <a:t>(Wing D)</a:t>
            </a:r>
            <a:endParaRPr lang="en-IN" sz="1400" b="1"/>
          </a:p>
        </xdr:txBody>
      </xdr:sp>
    </xdr:grpSp>
    <xdr:clientData/>
  </xdr:twoCellAnchor>
  <xdr:twoCellAnchor>
    <xdr:from>
      <xdr:col>9</xdr:col>
      <xdr:colOff>152400</xdr:colOff>
      <xdr:row>263</xdr:row>
      <xdr:rowOff>28575</xdr:rowOff>
    </xdr:from>
    <xdr:to>
      <xdr:col>10</xdr:col>
      <xdr:colOff>266700</xdr:colOff>
      <xdr:row>266</xdr:row>
      <xdr:rowOff>0</xdr:rowOff>
    </xdr:to>
    <xdr:cxnSp macro="">
      <xdr:nvCxnSpPr>
        <xdr:cNvPr id="37" name="Straight Connector 36">
          <a:extLst>
            <a:ext uri="{FF2B5EF4-FFF2-40B4-BE49-F238E27FC236}">
              <a16:creationId xmlns:a16="http://schemas.microsoft.com/office/drawing/2014/main" id="{00000000-0008-0000-0000-000025000000}"/>
            </a:ext>
          </a:extLst>
        </xdr:cNvPr>
        <xdr:cNvCxnSpPr/>
      </xdr:nvCxnSpPr>
      <xdr:spPr>
        <a:xfrm>
          <a:off x="8451850" y="54613175"/>
          <a:ext cx="800100" cy="56197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381000</xdr:colOff>
      <xdr:row>263</xdr:row>
      <xdr:rowOff>0</xdr:rowOff>
    </xdr:from>
    <xdr:to>
      <xdr:col>10</xdr:col>
      <xdr:colOff>361950</xdr:colOff>
      <xdr:row>265</xdr:row>
      <xdr:rowOff>85725</xdr:rowOff>
    </xdr:to>
    <xdr:cxnSp macro="">
      <xdr:nvCxnSpPr>
        <xdr:cNvPr id="38" name="Straight Connector 37">
          <a:extLst>
            <a:ext uri="{FF2B5EF4-FFF2-40B4-BE49-F238E27FC236}">
              <a16:creationId xmlns:a16="http://schemas.microsoft.com/office/drawing/2014/main" id="{00000000-0008-0000-0000-000026000000}"/>
            </a:ext>
          </a:extLst>
        </xdr:cNvPr>
        <xdr:cNvCxnSpPr/>
      </xdr:nvCxnSpPr>
      <xdr:spPr>
        <a:xfrm>
          <a:off x="8680450" y="54584600"/>
          <a:ext cx="666750" cy="47942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xdr:colOff>
      <xdr:row>263</xdr:row>
      <xdr:rowOff>28575</xdr:rowOff>
    </xdr:from>
    <xdr:to>
      <xdr:col>10</xdr:col>
      <xdr:colOff>428625</xdr:colOff>
      <xdr:row>265</xdr:row>
      <xdr:rowOff>47625</xdr:rowOff>
    </xdr:to>
    <xdr:cxnSp macro="">
      <xdr:nvCxnSpPr>
        <xdr:cNvPr id="40" name="Straight Connector 39">
          <a:extLst>
            <a:ext uri="{FF2B5EF4-FFF2-40B4-BE49-F238E27FC236}">
              <a16:creationId xmlns:a16="http://schemas.microsoft.com/office/drawing/2014/main" id="{00000000-0008-0000-0000-000028000000}"/>
            </a:ext>
          </a:extLst>
        </xdr:cNvPr>
        <xdr:cNvCxnSpPr/>
      </xdr:nvCxnSpPr>
      <xdr:spPr>
        <a:xfrm>
          <a:off x="9032875" y="54613175"/>
          <a:ext cx="381000" cy="4127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0</xdr:colOff>
      <xdr:row>264</xdr:row>
      <xdr:rowOff>38100</xdr:rowOff>
    </xdr:from>
    <xdr:ext cx="647678"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8299450" y="54819550"/>
          <a:ext cx="6476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HT lines</a:t>
          </a:r>
        </a:p>
      </xdr:txBody>
    </xdr:sp>
    <xdr:clientData/>
  </xdr:oneCellAnchor>
  <xdr:twoCellAnchor>
    <xdr:from>
      <xdr:col>8</xdr:col>
      <xdr:colOff>1009650</xdr:colOff>
      <xdr:row>261</xdr:row>
      <xdr:rowOff>39370</xdr:rowOff>
    </xdr:from>
    <xdr:to>
      <xdr:col>17</xdr:col>
      <xdr:colOff>429497</xdr:colOff>
      <xdr:row>302</xdr:row>
      <xdr:rowOff>20320</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7760970" y="58157110"/>
          <a:ext cx="6056867" cy="8103870"/>
          <a:chOff x="285750" y="54889400"/>
          <a:chExt cx="6159737" cy="8051800"/>
        </a:xfrm>
      </xdr:grpSpPr>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918678" y="57867465"/>
            <a:ext cx="1215000" cy="216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050476" y="57867465"/>
            <a:ext cx="1620000" cy="216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486822" y="61778191"/>
            <a:ext cx="2413103" cy="1163009"/>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484476" y="60125530"/>
            <a:ext cx="2752000" cy="1548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282077" y="57867465"/>
            <a:ext cx="1620000"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85750" y="54889400"/>
            <a:ext cx="3840000" cy="288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285487" y="54889400"/>
            <a:ext cx="2160000" cy="2880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946149" y="61778191"/>
            <a:ext cx="2413103" cy="1163009"/>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607253" y="60125530"/>
            <a:ext cx="2752000" cy="1548000"/>
          </a:xfrm>
          <a:prstGeom prst="rect">
            <a:avLst/>
          </a:prstGeom>
          <a:ln>
            <a:solidFill>
              <a:schemeClr val="tx1"/>
            </a:solidFill>
          </a:ln>
        </xdr:spPr>
      </xdr:pic>
      <xdr:cxnSp macro="">
        <xdr:nvCxnSpPr>
          <xdr:cNvPr id="65" name="Straight Connector 64">
            <a:extLst>
              <a:ext uri="{FF2B5EF4-FFF2-40B4-BE49-F238E27FC236}">
                <a16:creationId xmlns:a16="http://schemas.microsoft.com/office/drawing/2014/main" id="{00000000-0008-0000-0000-000041000000}"/>
              </a:ext>
            </a:extLst>
          </xdr:cNvPr>
          <xdr:cNvCxnSpPr/>
        </xdr:nvCxnSpPr>
        <xdr:spPr>
          <a:xfrm>
            <a:off x="1847850" y="54933850"/>
            <a:ext cx="1079500" cy="7112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a:extLst>
              <a:ext uri="{FF2B5EF4-FFF2-40B4-BE49-F238E27FC236}">
                <a16:creationId xmlns:a16="http://schemas.microsoft.com/office/drawing/2014/main" id="{00000000-0008-0000-0000-000042000000}"/>
              </a:ext>
            </a:extLst>
          </xdr:cNvPr>
          <xdr:cNvCxnSpPr>
            <a:stCxn id="49" idx="0"/>
          </xdr:cNvCxnSpPr>
        </xdr:nvCxnSpPr>
        <xdr:spPr>
          <a:xfrm>
            <a:off x="2205750" y="54889400"/>
            <a:ext cx="689850" cy="6413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a:extLst>
              <a:ext uri="{FF2B5EF4-FFF2-40B4-BE49-F238E27FC236}">
                <a16:creationId xmlns:a16="http://schemas.microsoft.com/office/drawing/2014/main" id="{00000000-0008-0000-0000-000043000000}"/>
              </a:ext>
            </a:extLst>
          </xdr:cNvPr>
          <xdr:cNvCxnSpPr/>
        </xdr:nvCxnSpPr>
        <xdr:spPr>
          <a:xfrm>
            <a:off x="2552700" y="54902100"/>
            <a:ext cx="387350" cy="5461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2705100" y="54997350"/>
            <a:ext cx="6476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HT lines</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rot="21086570">
            <a:off x="1479549" y="56407051"/>
            <a:ext cx="59041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E Wing</a:t>
            </a:r>
          </a:p>
        </xdr:txBody>
      </xdr:sp>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2542427" y="57918265"/>
            <a:ext cx="6017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D Wing</a:t>
            </a:r>
          </a:p>
        </xdr:txBody>
      </xdr:sp>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4291776" y="57899215"/>
            <a:ext cx="6017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D Wing</a:t>
            </a:r>
          </a:p>
        </xdr:txBody>
      </xdr:sp>
    </xdr:grpSp>
    <xdr:clientData/>
  </xdr:twoCellAnchor>
  <xdr:twoCellAnchor>
    <xdr:from>
      <xdr:col>0</xdr:col>
      <xdr:colOff>350350</xdr:colOff>
      <xdr:row>264</xdr:row>
      <xdr:rowOff>137160</xdr:rowOff>
    </xdr:from>
    <xdr:to>
      <xdr:col>7</xdr:col>
      <xdr:colOff>434340</xdr:colOff>
      <xdr:row>305</xdr:row>
      <xdr:rowOff>15240</xdr:rowOff>
    </xdr:to>
    <xdr:grpSp>
      <xdr:nvGrpSpPr>
        <xdr:cNvPr id="4" name="Group 3">
          <a:extLst>
            <a:ext uri="{FF2B5EF4-FFF2-40B4-BE49-F238E27FC236}">
              <a16:creationId xmlns:a16="http://schemas.microsoft.com/office/drawing/2014/main" id="{92C0131B-9463-911A-2C32-DBD0891DF606}"/>
            </a:ext>
          </a:extLst>
        </xdr:cNvPr>
        <xdr:cNvGrpSpPr/>
      </xdr:nvGrpSpPr>
      <xdr:grpSpPr>
        <a:xfrm>
          <a:off x="350350" y="58849260"/>
          <a:ext cx="5981870" cy="8001000"/>
          <a:chOff x="457027" y="274860"/>
          <a:chExt cx="5948210" cy="8523180"/>
        </a:xfrm>
      </xdr:grpSpPr>
      <xdr:pic>
        <xdr:nvPicPr>
          <xdr:cNvPr id="5" name="Picture 4">
            <a:extLst>
              <a:ext uri="{FF2B5EF4-FFF2-40B4-BE49-F238E27FC236}">
                <a16:creationId xmlns:a16="http://schemas.microsoft.com/office/drawing/2014/main" id="{CCD0CC89-30FF-C267-CC6E-8EF08F74F138}"/>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457027" y="324960"/>
            <a:ext cx="2880000" cy="3840000"/>
          </a:xfrm>
          <a:prstGeom prst="rect">
            <a:avLst/>
          </a:prstGeom>
          <a:ln>
            <a:solidFill>
              <a:schemeClr val="tx1"/>
            </a:solidFill>
          </a:ln>
        </xdr:spPr>
      </xdr:pic>
      <xdr:grpSp>
        <xdr:nvGrpSpPr>
          <xdr:cNvPr id="6" name="Group 5">
            <a:extLst>
              <a:ext uri="{FF2B5EF4-FFF2-40B4-BE49-F238E27FC236}">
                <a16:creationId xmlns:a16="http://schemas.microsoft.com/office/drawing/2014/main" id="{B0C8D34A-F392-B8BA-44BF-CE4EBEE15E96}"/>
              </a:ext>
            </a:extLst>
          </xdr:cNvPr>
          <xdr:cNvGrpSpPr/>
        </xdr:nvGrpSpPr>
        <xdr:grpSpPr>
          <a:xfrm>
            <a:off x="836319" y="4357050"/>
            <a:ext cx="4952043" cy="2520000"/>
            <a:chOff x="836319" y="4357050"/>
            <a:chExt cx="4952043" cy="2520000"/>
          </a:xfrm>
        </xdr:grpSpPr>
        <xdr:pic>
          <xdr:nvPicPr>
            <xdr:cNvPr id="39" name="Picture 38">
              <a:extLst>
                <a:ext uri="{FF2B5EF4-FFF2-40B4-BE49-F238E27FC236}">
                  <a16:creationId xmlns:a16="http://schemas.microsoft.com/office/drawing/2014/main" id="{40DED926-D3CA-527A-31AE-4A237BB7562E}"/>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836319" y="4357050"/>
              <a:ext cx="3360000" cy="2520000"/>
            </a:xfrm>
            <a:prstGeom prst="rect">
              <a:avLst/>
            </a:prstGeom>
            <a:ln>
              <a:solidFill>
                <a:schemeClr val="tx1"/>
              </a:solidFill>
            </a:ln>
          </xdr:spPr>
        </xdr:pic>
        <xdr:pic>
          <xdr:nvPicPr>
            <xdr:cNvPr id="41" name="Picture 40">
              <a:extLst>
                <a:ext uri="{FF2B5EF4-FFF2-40B4-BE49-F238E27FC236}">
                  <a16:creationId xmlns:a16="http://schemas.microsoft.com/office/drawing/2014/main" id="{B61DD4BC-B34E-14C2-EDF2-C1DD296B88B9}"/>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370862" y="4357050"/>
              <a:ext cx="1417500" cy="2520000"/>
            </a:xfrm>
            <a:prstGeom prst="rect">
              <a:avLst/>
            </a:prstGeom>
            <a:ln>
              <a:solidFill>
                <a:schemeClr val="tx1"/>
              </a:solidFill>
            </a:ln>
          </xdr:spPr>
        </xdr:pic>
      </xdr:grpSp>
      <xdr:pic>
        <xdr:nvPicPr>
          <xdr:cNvPr id="7" name="Picture 6">
            <a:extLst>
              <a:ext uri="{FF2B5EF4-FFF2-40B4-BE49-F238E27FC236}">
                <a16:creationId xmlns:a16="http://schemas.microsoft.com/office/drawing/2014/main" id="{7B3DB668-CB9C-CD58-115B-797270DC1318}"/>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3525237" y="324960"/>
            <a:ext cx="2880000" cy="3840000"/>
          </a:xfrm>
          <a:prstGeom prst="rect">
            <a:avLst/>
          </a:prstGeom>
          <a:ln>
            <a:solidFill>
              <a:schemeClr val="tx1"/>
            </a:solidFill>
          </a:ln>
        </xdr:spPr>
      </xdr:pic>
      <xdr:grpSp>
        <xdr:nvGrpSpPr>
          <xdr:cNvPr id="8" name="Group 7">
            <a:extLst>
              <a:ext uri="{FF2B5EF4-FFF2-40B4-BE49-F238E27FC236}">
                <a16:creationId xmlns:a16="http://schemas.microsoft.com/office/drawing/2014/main" id="{8BBB03C8-3600-E273-981C-275F6FA4621C}"/>
              </a:ext>
            </a:extLst>
          </xdr:cNvPr>
          <xdr:cNvGrpSpPr/>
        </xdr:nvGrpSpPr>
        <xdr:grpSpPr>
          <a:xfrm>
            <a:off x="815337" y="6992940"/>
            <a:ext cx="5015064" cy="1805100"/>
            <a:chOff x="815337" y="6992940"/>
            <a:chExt cx="5015064" cy="1805100"/>
          </a:xfrm>
        </xdr:grpSpPr>
        <xdr:pic>
          <xdr:nvPicPr>
            <xdr:cNvPr id="23" name="Picture 22">
              <a:extLst>
                <a:ext uri="{FF2B5EF4-FFF2-40B4-BE49-F238E27FC236}">
                  <a16:creationId xmlns:a16="http://schemas.microsoft.com/office/drawing/2014/main" id="{CCDD2328-515E-A815-032A-BBCB753E9416}"/>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291619" y="6992940"/>
              <a:ext cx="2400000"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625BD6E9-9945-397D-F495-CE8018DA82BD}"/>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815337" y="6998040"/>
              <a:ext cx="1350000"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B8793D32-82CA-340B-7821-22E81301255A}"/>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4817901" y="6992940"/>
              <a:ext cx="1012500" cy="1800000"/>
            </a:xfrm>
            <a:prstGeom prst="rect">
              <a:avLst/>
            </a:prstGeom>
            <a:ln>
              <a:solidFill>
                <a:schemeClr val="tx1"/>
              </a:solidFill>
            </a:ln>
          </xdr:spPr>
        </xdr:pic>
      </xdr:grpSp>
      <xdr:sp macro="" textlink="">
        <xdr:nvSpPr>
          <xdr:cNvPr id="9" name="TextBox 19">
            <a:extLst>
              <a:ext uri="{FF2B5EF4-FFF2-40B4-BE49-F238E27FC236}">
                <a16:creationId xmlns:a16="http://schemas.microsoft.com/office/drawing/2014/main" id="{F3381CA1-DB6D-27F1-14F3-341D16E13F03}"/>
              </a:ext>
            </a:extLst>
          </xdr:cNvPr>
          <xdr:cNvSpPr txBox="1"/>
        </xdr:nvSpPr>
        <xdr:spPr>
          <a:xfrm>
            <a:off x="2353056" y="274860"/>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D</a:t>
            </a:r>
            <a:endParaRPr lang="en-IN" b="1"/>
          </a:p>
        </xdr:txBody>
      </xdr:sp>
      <xdr:sp macro="" textlink="">
        <xdr:nvSpPr>
          <xdr:cNvPr id="10" name="TextBox 20">
            <a:extLst>
              <a:ext uri="{FF2B5EF4-FFF2-40B4-BE49-F238E27FC236}">
                <a16:creationId xmlns:a16="http://schemas.microsoft.com/office/drawing/2014/main" id="{A765440C-FE91-A84D-0317-E93DFCBC6C61}"/>
              </a:ext>
            </a:extLst>
          </xdr:cNvPr>
          <xdr:cNvSpPr txBox="1"/>
        </xdr:nvSpPr>
        <xdr:spPr>
          <a:xfrm>
            <a:off x="4019535" y="274860"/>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E</a:t>
            </a:r>
            <a:endParaRPr lang="en-IN" b="1"/>
          </a:p>
        </xdr:txBody>
      </xdr:sp>
      <xdr:sp macro="" textlink="">
        <xdr:nvSpPr>
          <xdr:cNvPr id="11" name="TextBox 21">
            <a:extLst>
              <a:ext uri="{FF2B5EF4-FFF2-40B4-BE49-F238E27FC236}">
                <a16:creationId xmlns:a16="http://schemas.microsoft.com/office/drawing/2014/main" id="{DBB82FE4-1AB6-7475-0DDC-2C0BDA522319}"/>
              </a:ext>
            </a:extLst>
          </xdr:cNvPr>
          <xdr:cNvSpPr txBox="1"/>
        </xdr:nvSpPr>
        <xdr:spPr>
          <a:xfrm>
            <a:off x="3458006" y="274860"/>
            <a:ext cx="57599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Part I</a:t>
            </a:r>
            <a:r>
              <a:rPr lang="en-US" b="1"/>
              <a:t> </a:t>
            </a:r>
            <a:endParaRPr lang="en-IN" b="1"/>
          </a:p>
        </xdr:txBody>
      </xdr:sp>
      <xdr:sp macro="" textlink="">
        <xdr:nvSpPr>
          <xdr:cNvPr id="13" name="TextBox 22">
            <a:extLst>
              <a:ext uri="{FF2B5EF4-FFF2-40B4-BE49-F238E27FC236}">
                <a16:creationId xmlns:a16="http://schemas.microsoft.com/office/drawing/2014/main" id="{7BB8DB9A-D8BF-8B73-68EC-6E119722357A}"/>
              </a:ext>
            </a:extLst>
          </xdr:cNvPr>
          <xdr:cNvSpPr txBox="1"/>
        </xdr:nvSpPr>
        <xdr:spPr>
          <a:xfrm>
            <a:off x="4592673" y="1098115"/>
            <a:ext cx="6176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Part II</a:t>
            </a:r>
            <a:r>
              <a:rPr lang="en-US" b="1"/>
              <a:t> </a:t>
            </a:r>
            <a:endParaRPr lang="en-IN" b="1"/>
          </a:p>
        </xdr:txBody>
      </xdr:sp>
      <xdr:cxnSp macro="">
        <xdr:nvCxnSpPr>
          <xdr:cNvPr id="15" name="Straight Connector 14">
            <a:extLst>
              <a:ext uri="{FF2B5EF4-FFF2-40B4-BE49-F238E27FC236}">
                <a16:creationId xmlns:a16="http://schemas.microsoft.com/office/drawing/2014/main" id="{65878A78-D94E-BAB6-B8A5-E832500A3F7D}"/>
              </a:ext>
            </a:extLst>
          </xdr:cNvPr>
          <xdr:cNvCxnSpPr>
            <a:endCxn id="7" idx="0"/>
          </xdr:cNvCxnSpPr>
        </xdr:nvCxnSpPr>
        <xdr:spPr>
          <a:xfrm flipH="1" flipV="1">
            <a:off x="4965237" y="324960"/>
            <a:ext cx="460203" cy="84547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D83D390F-0276-E2A0-0E11-587F59273A26}"/>
              </a:ext>
            </a:extLst>
          </xdr:cNvPr>
          <xdr:cNvCxnSpPr>
            <a:cxnSpLocks/>
          </xdr:cNvCxnSpPr>
        </xdr:nvCxnSpPr>
        <xdr:spPr>
          <a:xfrm flipH="1" flipV="1">
            <a:off x="5071954" y="295284"/>
            <a:ext cx="417215" cy="84547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E01B9EF6-1FA5-53F3-87D1-E87C97D343DD}"/>
              </a:ext>
            </a:extLst>
          </xdr:cNvPr>
          <xdr:cNvCxnSpPr>
            <a:cxnSpLocks/>
          </xdr:cNvCxnSpPr>
        </xdr:nvCxnSpPr>
        <xdr:spPr>
          <a:xfrm flipH="1" flipV="1">
            <a:off x="5302055" y="354636"/>
            <a:ext cx="187114" cy="81579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C808605-EAD0-0B67-B863-913B92C273A2}"/>
              </a:ext>
            </a:extLst>
          </xdr:cNvPr>
          <xdr:cNvCxnSpPr>
            <a:cxnSpLocks/>
          </xdr:cNvCxnSpPr>
        </xdr:nvCxnSpPr>
        <xdr:spPr>
          <a:xfrm flipH="1" flipV="1">
            <a:off x="4828851" y="621585"/>
            <a:ext cx="596589" cy="71126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FB7587A-7B48-7B21-78F4-734EA9E90C3E}"/>
              </a:ext>
            </a:extLst>
          </xdr:cNvPr>
          <xdr:cNvCxnSpPr>
            <a:cxnSpLocks/>
          </xdr:cNvCxnSpPr>
        </xdr:nvCxnSpPr>
        <xdr:spPr>
          <a:xfrm flipV="1">
            <a:off x="5735474" y="354636"/>
            <a:ext cx="233470" cy="85846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B1C43046-3519-3DE4-579F-A7A13DFC22C8}"/>
              </a:ext>
            </a:extLst>
          </xdr:cNvPr>
          <xdr:cNvCxnSpPr>
            <a:cxnSpLocks/>
          </xdr:cNvCxnSpPr>
        </xdr:nvCxnSpPr>
        <xdr:spPr>
          <a:xfrm flipV="1">
            <a:off x="5766739" y="333300"/>
            <a:ext cx="309915" cy="94948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B8A3C4C2-7DAE-1C49-4348-C565F34388F2}"/>
              </a:ext>
            </a:extLst>
          </xdr:cNvPr>
          <xdr:cNvCxnSpPr>
            <a:cxnSpLocks/>
          </xdr:cNvCxnSpPr>
        </xdr:nvCxnSpPr>
        <xdr:spPr>
          <a:xfrm flipV="1">
            <a:off x="5766739" y="354636"/>
            <a:ext cx="390415" cy="11128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2" name="TextBox 41">
            <a:extLst>
              <a:ext uri="{FF2B5EF4-FFF2-40B4-BE49-F238E27FC236}">
                <a16:creationId xmlns:a16="http://schemas.microsoft.com/office/drawing/2014/main" id="{03EEB7A7-F08B-D6DF-1F27-EEFEB21E696F}"/>
              </a:ext>
            </a:extLst>
          </xdr:cNvPr>
          <xdr:cNvSpPr txBox="1"/>
        </xdr:nvSpPr>
        <xdr:spPr>
          <a:xfrm>
            <a:off x="5395612" y="429495"/>
            <a:ext cx="628698"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HT Lines</a:t>
            </a:r>
            <a:endParaRPr lang="en-IN" sz="10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581025</xdr:colOff>
      <xdr:row>2</xdr:row>
      <xdr:rowOff>104775</xdr:rowOff>
    </xdr:from>
    <xdr:to>
      <xdr:col>12</xdr:col>
      <xdr:colOff>276226</xdr:colOff>
      <xdr:row>32</xdr:row>
      <xdr:rowOff>104775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800225" y="485775"/>
          <a:ext cx="5791201" cy="5715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5997</xdr:colOff>
      <xdr:row>11</xdr:row>
      <xdr:rowOff>0</xdr:rowOff>
    </xdr:from>
    <xdr:to>
      <xdr:col>6</xdr:col>
      <xdr:colOff>6666</xdr:colOff>
      <xdr:row>29</xdr:row>
      <xdr:rowOff>171000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85780" y="2103783"/>
          <a:ext cx="6403125" cy="3600000"/>
        </a:xfrm>
        <a:prstGeom prst="rect">
          <a:avLst/>
        </a:prstGeom>
        <a:ln>
          <a:solidFill>
            <a:schemeClr val="tx1"/>
          </a:solidFill>
        </a:ln>
      </xdr:spPr>
    </xdr:pic>
    <xdr:clientData/>
  </xdr:twoCellAnchor>
  <xdr:twoCellAnchor editAs="oneCell">
    <xdr:from>
      <xdr:col>1</xdr:col>
      <xdr:colOff>0</xdr:colOff>
      <xdr:row>30</xdr:row>
      <xdr:rowOff>124398</xdr:rowOff>
    </xdr:from>
    <xdr:to>
      <xdr:col>6</xdr:col>
      <xdr:colOff>669</xdr:colOff>
      <xdr:row>49</xdr:row>
      <xdr:rowOff>104898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79783" y="5847681"/>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QwtGzgkGNWdfv23m9?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344"/>
  <sheetViews>
    <sheetView tabSelected="1" view="pageBreakPreview" topLeftCell="A251" zoomScaleNormal="100" zoomScaleSheetLayoutView="100" zoomScalePageLayoutView="55" workbookViewId="0">
      <selection activeCell="L251" sqref="L251"/>
    </sheetView>
  </sheetViews>
  <sheetFormatPr defaultColWidth="9.21875" defaultRowHeight="15.6" x14ac:dyDescent="0.3"/>
  <cols>
    <col min="1" max="1" width="11.44140625" style="17" customWidth="1"/>
    <col min="2" max="2" width="13" style="17" customWidth="1"/>
    <col min="3" max="3" width="13.44140625" style="17" customWidth="1"/>
    <col min="4" max="4" width="12.77734375" style="17" customWidth="1"/>
    <col min="5" max="7" width="11.77734375" style="17" customWidth="1"/>
    <col min="8" max="8" width="12.44140625" style="17" customWidth="1"/>
    <col min="9" max="9" width="20.44140625" style="8" customWidth="1"/>
    <col min="10" max="10" width="9.77734375" style="8" bestFit="1" customWidth="1"/>
    <col min="11" max="11" width="11.21875" style="8" bestFit="1" customWidth="1"/>
    <col min="12" max="18" width="9.21875" style="8"/>
    <col min="19" max="19" width="11.21875" style="8" customWidth="1"/>
    <col min="20" max="21" width="9.21875" style="8" customWidth="1"/>
    <col min="22" max="22" width="11.5546875" style="8" customWidth="1"/>
    <col min="23" max="23" width="13.44140625" style="8" customWidth="1"/>
    <col min="24" max="254" width="9.21875" style="8"/>
    <col min="255" max="255" width="8.77734375" style="8" customWidth="1"/>
    <col min="256" max="256" width="9.77734375" style="8" customWidth="1"/>
    <col min="257" max="257" width="14.44140625" style="8" customWidth="1"/>
    <col min="258" max="258" width="7.21875" style="8" customWidth="1"/>
    <col min="259" max="259" width="5.5546875" style="8" customWidth="1"/>
    <col min="260" max="260" width="9" style="8" customWidth="1"/>
    <col min="261" max="262" width="9.77734375" style="8" customWidth="1"/>
    <col min="263" max="263" width="11.21875" style="8" customWidth="1"/>
    <col min="264" max="264" width="2.77734375" style="8" customWidth="1"/>
    <col min="265" max="265" width="3.5546875" style="8" customWidth="1"/>
    <col min="266" max="510" width="9.21875" style="8"/>
    <col min="511" max="511" width="8.77734375" style="8" customWidth="1"/>
    <col min="512" max="512" width="9.77734375" style="8" customWidth="1"/>
    <col min="513" max="513" width="14.44140625" style="8" customWidth="1"/>
    <col min="514" max="514" width="7.21875" style="8" customWidth="1"/>
    <col min="515" max="515" width="5.5546875" style="8" customWidth="1"/>
    <col min="516" max="516" width="9" style="8" customWidth="1"/>
    <col min="517" max="518" width="9.77734375" style="8" customWidth="1"/>
    <col min="519" max="519" width="11.21875" style="8" customWidth="1"/>
    <col min="520" max="520" width="2.77734375" style="8" customWidth="1"/>
    <col min="521" max="521" width="3.5546875" style="8" customWidth="1"/>
    <col min="522" max="766" width="9.21875" style="8"/>
    <col min="767" max="767" width="8.77734375" style="8" customWidth="1"/>
    <col min="768" max="768" width="9.77734375" style="8" customWidth="1"/>
    <col min="769" max="769" width="14.44140625" style="8" customWidth="1"/>
    <col min="770" max="770" width="7.21875" style="8" customWidth="1"/>
    <col min="771" max="771" width="5.5546875" style="8" customWidth="1"/>
    <col min="772" max="772" width="9" style="8" customWidth="1"/>
    <col min="773" max="774" width="9.77734375" style="8" customWidth="1"/>
    <col min="775" max="775" width="11.21875" style="8" customWidth="1"/>
    <col min="776" max="776" width="2.77734375" style="8" customWidth="1"/>
    <col min="777" max="777" width="3.5546875" style="8" customWidth="1"/>
    <col min="778" max="1022" width="9.21875" style="8"/>
    <col min="1023" max="1023" width="8.77734375" style="8" customWidth="1"/>
    <col min="1024" max="1024" width="9.77734375" style="8" customWidth="1"/>
    <col min="1025" max="1025" width="14.44140625" style="8" customWidth="1"/>
    <col min="1026" max="1026" width="7.21875" style="8" customWidth="1"/>
    <col min="1027" max="1027" width="5.5546875" style="8" customWidth="1"/>
    <col min="1028" max="1028" width="9" style="8" customWidth="1"/>
    <col min="1029" max="1030" width="9.77734375" style="8" customWidth="1"/>
    <col min="1031" max="1031" width="11.21875" style="8" customWidth="1"/>
    <col min="1032" max="1032" width="2.77734375" style="8" customWidth="1"/>
    <col min="1033" max="1033" width="3.5546875" style="8" customWidth="1"/>
    <col min="1034" max="1278" width="9.21875" style="8"/>
    <col min="1279" max="1279" width="8.77734375" style="8" customWidth="1"/>
    <col min="1280" max="1280" width="9.77734375" style="8" customWidth="1"/>
    <col min="1281" max="1281" width="14.44140625" style="8" customWidth="1"/>
    <col min="1282" max="1282" width="7.21875" style="8" customWidth="1"/>
    <col min="1283" max="1283" width="5.5546875" style="8" customWidth="1"/>
    <col min="1284" max="1284" width="9" style="8" customWidth="1"/>
    <col min="1285" max="1286" width="9.77734375" style="8" customWidth="1"/>
    <col min="1287" max="1287" width="11.21875" style="8" customWidth="1"/>
    <col min="1288" max="1288" width="2.77734375" style="8" customWidth="1"/>
    <col min="1289" max="1289" width="3.5546875" style="8" customWidth="1"/>
    <col min="1290" max="1534" width="9.21875" style="8"/>
    <col min="1535" max="1535" width="8.77734375" style="8" customWidth="1"/>
    <col min="1536" max="1536" width="9.77734375" style="8" customWidth="1"/>
    <col min="1537" max="1537" width="14.44140625" style="8" customWidth="1"/>
    <col min="1538" max="1538" width="7.21875" style="8" customWidth="1"/>
    <col min="1539" max="1539" width="5.5546875" style="8" customWidth="1"/>
    <col min="1540" max="1540" width="9" style="8" customWidth="1"/>
    <col min="1541" max="1542" width="9.77734375" style="8" customWidth="1"/>
    <col min="1543" max="1543" width="11.21875" style="8" customWidth="1"/>
    <col min="1544" max="1544" width="2.77734375" style="8" customWidth="1"/>
    <col min="1545" max="1545" width="3.5546875" style="8" customWidth="1"/>
    <col min="1546" max="1790" width="9.21875" style="8"/>
    <col min="1791" max="1791" width="8.77734375" style="8" customWidth="1"/>
    <col min="1792" max="1792" width="9.77734375" style="8" customWidth="1"/>
    <col min="1793" max="1793" width="14.44140625" style="8" customWidth="1"/>
    <col min="1794" max="1794" width="7.21875" style="8" customWidth="1"/>
    <col min="1795" max="1795" width="5.5546875" style="8" customWidth="1"/>
    <col min="1796" max="1796" width="9" style="8" customWidth="1"/>
    <col min="1797" max="1798" width="9.77734375" style="8" customWidth="1"/>
    <col min="1799" max="1799" width="11.21875" style="8" customWidth="1"/>
    <col min="1800" max="1800" width="2.77734375" style="8" customWidth="1"/>
    <col min="1801" max="1801" width="3.5546875" style="8" customWidth="1"/>
    <col min="1802" max="2046" width="9.21875" style="8"/>
    <col min="2047" max="2047" width="8.77734375" style="8" customWidth="1"/>
    <col min="2048" max="2048" width="9.77734375" style="8" customWidth="1"/>
    <col min="2049" max="2049" width="14.44140625" style="8" customWidth="1"/>
    <col min="2050" max="2050" width="7.21875" style="8" customWidth="1"/>
    <col min="2051" max="2051" width="5.5546875" style="8" customWidth="1"/>
    <col min="2052" max="2052" width="9" style="8" customWidth="1"/>
    <col min="2053" max="2054" width="9.77734375" style="8" customWidth="1"/>
    <col min="2055" max="2055" width="11.21875" style="8" customWidth="1"/>
    <col min="2056" max="2056" width="2.77734375" style="8" customWidth="1"/>
    <col min="2057" max="2057" width="3.5546875" style="8" customWidth="1"/>
    <col min="2058" max="2302" width="9.21875" style="8"/>
    <col min="2303" max="2303" width="8.77734375" style="8" customWidth="1"/>
    <col min="2304" max="2304" width="9.77734375" style="8" customWidth="1"/>
    <col min="2305" max="2305" width="14.44140625" style="8" customWidth="1"/>
    <col min="2306" max="2306" width="7.21875" style="8" customWidth="1"/>
    <col min="2307" max="2307" width="5.5546875" style="8" customWidth="1"/>
    <col min="2308" max="2308" width="9" style="8" customWidth="1"/>
    <col min="2309" max="2310" width="9.77734375" style="8" customWidth="1"/>
    <col min="2311" max="2311" width="11.21875" style="8" customWidth="1"/>
    <col min="2312" max="2312" width="2.77734375" style="8" customWidth="1"/>
    <col min="2313" max="2313" width="3.5546875" style="8" customWidth="1"/>
    <col min="2314" max="2558" width="9.21875" style="8"/>
    <col min="2559" max="2559" width="8.77734375" style="8" customWidth="1"/>
    <col min="2560" max="2560" width="9.77734375" style="8" customWidth="1"/>
    <col min="2561" max="2561" width="14.44140625" style="8" customWidth="1"/>
    <col min="2562" max="2562" width="7.21875" style="8" customWidth="1"/>
    <col min="2563" max="2563" width="5.5546875" style="8" customWidth="1"/>
    <col min="2564" max="2564" width="9" style="8" customWidth="1"/>
    <col min="2565" max="2566" width="9.77734375" style="8" customWidth="1"/>
    <col min="2567" max="2567" width="11.21875" style="8" customWidth="1"/>
    <col min="2568" max="2568" width="2.77734375" style="8" customWidth="1"/>
    <col min="2569" max="2569" width="3.5546875" style="8" customWidth="1"/>
    <col min="2570" max="2814" width="9.21875" style="8"/>
    <col min="2815" max="2815" width="8.77734375" style="8" customWidth="1"/>
    <col min="2816" max="2816" width="9.77734375" style="8" customWidth="1"/>
    <col min="2817" max="2817" width="14.44140625" style="8" customWidth="1"/>
    <col min="2818" max="2818" width="7.21875" style="8" customWidth="1"/>
    <col min="2819" max="2819" width="5.5546875" style="8" customWidth="1"/>
    <col min="2820" max="2820" width="9" style="8" customWidth="1"/>
    <col min="2821" max="2822" width="9.77734375" style="8" customWidth="1"/>
    <col min="2823" max="2823" width="11.21875" style="8" customWidth="1"/>
    <col min="2824" max="2824" width="2.77734375" style="8" customWidth="1"/>
    <col min="2825" max="2825" width="3.5546875" style="8" customWidth="1"/>
    <col min="2826" max="3070" width="9.21875" style="8"/>
    <col min="3071" max="3071" width="8.77734375" style="8" customWidth="1"/>
    <col min="3072" max="3072" width="9.77734375" style="8" customWidth="1"/>
    <col min="3073" max="3073" width="14.44140625" style="8" customWidth="1"/>
    <col min="3074" max="3074" width="7.21875" style="8" customWidth="1"/>
    <col min="3075" max="3075" width="5.5546875" style="8" customWidth="1"/>
    <col min="3076" max="3076" width="9" style="8" customWidth="1"/>
    <col min="3077" max="3078" width="9.77734375" style="8" customWidth="1"/>
    <col min="3079" max="3079" width="11.21875" style="8" customWidth="1"/>
    <col min="3080" max="3080" width="2.77734375" style="8" customWidth="1"/>
    <col min="3081" max="3081" width="3.5546875" style="8" customWidth="1"/>
    <col min="3082" max="3326" width="9.21875" style="8"/>
    <col min="3327" max="3327" width="8.77734375" style="8" customWidth="1"/>
    <col min="3328" max="3328" width="9.77734375" style="8" customWidth="1"/>
    <col min="3329" max="3329" width="14.44140625" style="8" customWidth="1"/>
    <col min="3330" max="3330" width="7.21875" style="8" customWidth="1"/>
    <col min="3331" max="3331" width="5.5546875" style="8" customWidth="1"/>
    <col min="3332" max="3332" width="9" style="8" customWidth="1"/>
    <col min="3333" max="3334" width="9.77734375" style="8" customWidth="1"/>
    <col min="3335" max="3335" width="11.21875" style="8" customWidth="1"/>
    <col min="3336" max="3336" width="2.77734375" style="8" customWidth="1"/>
    <col min="3337" max="3337" width="3.5546875" style="8" customWidth="1"/>
    <col min="3338" max="3582" width="9.21875" style="8"/>
    <col min="3583" max="3583" width="8.77734375" style="8" customWidth="1"/>
    <col min="3584" max="3584" width="9.77734375" style="8" customWidth="1"/>
    <col min="3585" max="3585" width="14.44140625" style="8" customWidth="1"/>
    <col min="3586" max="3586" width="7.21875" style="8" customWidth="1"/>
    <col min="3587" max="3587" width="5.5546875" style="8" customWidth="1"/>
    <col min="3588" max="3588" width="9" style="8" customWidth="1"/>
    <col min="3589" max="3590" width="9.77734375" style="8" customWidth="1"/>
    <col min="3591" max="3591" width="11.21875" style="8" customWidth="1"/>
    <col min="3592" max="3592" width="2.77734375" style="8" customWidth="1"/>
    <col min="3593" max="3593" width="3.5546875" style="8" customWidth="1"/>
    <col min="3594" max="3838" width="9.21875" style="8"/>
    <col min="3839" max="3839" width="8.77734375" style="8" customWidth="1"/>
    <col min="3840" max="3840" width="9.77734375" style="8" customWidth="1"/>
    <col min="3841" max="3841" width="14.44140625" style="8" customWidth="1"/>
    <col min="3842" max="3842" width="7.21875" style="8" customWidth="1"/>
    <col min="3843" max="3843" width="5.5546875" style="8" customWidth="1"/>
    <col min="3844" max="3844" width="9" style="8" customWidth="1"/>
    <col min="3845" max="3846" width="9.77734375" style="8" customWidth="1"/>
    <col min="3847" max="3847" width="11.21875" style="8" customWidth="1"/>
    <col min="3848" max="3848" width="2.77734375" style="8" customWidth="1"/>
    <col min="3849" max="3849" width="3.5546875" style="8" customWidth="1"/>
    <col min="3850" max="4094" width="9.21875" style="8"/>
    <col min="4095" max="4095" width="8.77734375" style="8" customWidth="1"/>
    <col min="4096" max="4096" width="9.77734375" style="8" customWidth="1"/>
    <col min="4097" max="4097" width="14.44140625" style="8" customWidth="1"/>
    <col min="4098" max="4098" width="7.21875" style="8" customWidth="1"/>
    <col min="4099" max="4099" width="5.5546875" style="8" customWidth="1"/>
    <col min="4100" max="4100" width="9" style="8" customWidth="1"/>
    <col min="4101" max="4102" width="9.77734375" style="8" customWidth="1"/>
    <col min="4103" max="4103" width="11.21875" style="8" customWidth="1"/>
    <col min="4104" max="4104" width="2.77734375" style="8" customWidth="1"/>
    <col min="4105" max="4105" width="3.5546875" style="8" customWidth="1"/>
    <col min="4106" max="4350" width="9.21875" style="8"/>
    <col min="4351" max="4351" width="8.77734375" style="8" customWidth="1"/>
    <col min="4352" max="4352" width="9.77734375" style="8" customWidth="1"/>
    <col min="4353" max="4353" width="14.44140625" style="8" customWidth="1"/>
    <col min="4354" max="4354" width="7.21875" style="8" customWidth="1"/>
    <col min="4355" max="4355" width="5.5546875" style="8" customWidth="1"/>
    <col min="4356" max="4356" width="9" style="8" customWidth="1"/>
    <col min="4357" max="4358" width="9.77734375" style="8" customWidth="1"/>
    <col min="4359" max="4359" width="11.21875" style="8" customWidth="1"/>
    <col min="4360" max="4360" width="2.77734375" style="8" customWidth="1"/>
    <col min="4361" max="4361" width="3.5546875" style="8" customWidth="1"/>
    <col min="4362" max="4606" width="9.21875" style="8"/>
    <col min="4607" max="4607" width="8.77734375" style="8" customWidth="1"/>
    <col min="4608" max="4608" width="9.77734375" style="8" customWidth="1"/>
    <col min="4609" max="4609" width="14.44140625" style="8" customWidth="1"/>
    <col min="4610" max="4610" width="7.21875" style="8" customWidth="1"/>
    <col min="4611" max="4611" width="5.5546875" style="8" customWidth="1"/>
    <col min="4612" max="4612" width="9" style="8" customWidth="1"/>
    <col min="4613" max="4614" width="9.77734375" style="8" customWidth="1"/>
    <col min="4615" max="4615" width="11.21875" style="8" customWidth="1"/>
    <col min="4616" max="4616" width="2.77734375" style="8" customWidth="1"/>
    <col min="4617" max="4617" width="3.5546875" style="8" customWidth="1"/>
    <col min="4618" max="4862" width="9.21875" style="8"/>
    <col min="4863" max="4863" width="8.77734375" style="8" customWidth="1"/>
    <col min="4864" max="4864" width="9.77734375" style="8" customWidth="1"/>
    <col min="4865" max="4865" width="14.44140625" style="8" customWidth="1"/>
    <col min="4866" max="4866" width="7.21875" style="8" customWidth="1"/>
    <col min="4867" max="4867" width="5.5546875" style="8" customWidth="1"/>
    <col min="4868" max="4868" width="9" style="8" customWidth="1"/>
    <col min="4869" max="4870" width="9.77734375" style="8" customWidth="1"/>
    <col min="4871" max="4871" width="11.21875" style="8" customWidth="1"/>
    <col min="4872" max="4872" width="2.77734375" style="8" customWidth="1"/>
    <col min="4873" max="4873" width="3.5546875" style="8" customWidth="1"/>
    <col min="4874" max="5118" width="9.21875" style="8"/>
    <col min="5119" max="5119" width="8.77734375" style="8" customWidth="1"/>
    <col min="5120" max="5120" width="9.77734375" style="8" customWidth="1"/>
    <col min="5121" max="5121" width="14.44140625" style="8" customWidth="1"/>
    <col min="5122" max="5122" width="7.21875" style="8" customWidth="1"/>
    <col min="5123" max="5123" width="5.5546875" style="8" customWidth="1"/>
    <col min="5124" max="5124" width="9" style="8" customWidth="1"/>
    <col min="5125" max="5126" width="9.77734375" style="8" customWidth="1"/>
    <col min="5127" max="5127" width="11.21875" style="8" customWidth="1"/>
    <col min="5128" max="5128" width="2.77734375" style="8" customWidth="1"/>
    <col min="5129" max="5129" width="3.5546875" style="8" customWidth="1"/>
    <col min="5130" max="5374" width="9.21875" style="8"/>
    <col min="5375" max="5375" width="8.77734375" style="8" customWidth="1"/>
    <col min="5376" max="5376" width="9.77734375" style="8" customWidth="1"/>
    <col min="5377" max="5377" width="14.44140625" style="8" customWidth="1"/>
    <col min="5378" max="5378" width="7.21875" style="8" customWidth="1"/>
    <col min="5379" max="5379" width="5.5546875" style="8" customWidth="1"/>
    <col min="5380" max="5380" width="9" style="8" customWidth="1"/>
    <col min="5381" max="5382" width="9.77734375" style="8" customWidth="1"/>
    <col min="5383" max="5383" width="11.21875" style="8" customWidth="1"/>
    <col min="5384" max="5384" width="2.77734375" style="8" customWidth="1"/>
    <col min="5385" max="5385" width="3.5546875" style="8" customWidth="1"/>
    <col min="5386" max="5630" width="9.21875" style="8"/>
    <col min="5631" max="5631" width="8.77734375" style="8" customWidth="1"/>
    <col min="5632" max="5632" width="9.77734375" style="8" customWidth="1"/>
    <col min="5633" max="5633" width="14.44140625" style="8" customWidth="1"/>
    <col min="5634" max="5634" width="7.21875" style="8" customWidth="1"/>
    <col min="5635" max="5635" width="5.5546875" style="8" customWidth="1"/>
    <col min="5636" max="5636" width="9" style="8" customWidth="1"/>
    <col min="5637" max="5638" width="9.77734375" style="8" customWidth="1"/>
    <col min="5639" max="5639" width="11.21875" style="8" customWidth="1"/>
    <col min="5640" max="5640" width="2.77734375" style="8" customWidth="1"/>
    <col min="5641" max="5641" width="3.5546875" style="8" customWidth="1"/>
    <col min="5642" max="5886" width="9.21875" style="8"/>
    <col min="5887" max="5887" width="8.77734375" style="8" customWidth="1"/>
    <col min="5888" max="5888" width="9.77734375" style="8" customWidth="1"/>
    <col min="5889" max="5889" width="14.44140625" style="8" customWidth="1"/>
    <col min="5890" max="5890" width="7.21875" style="8" customWidth="1"/>
    <col min="5891" max="5891" width="5.5546875" style="8" customWidth="1"/>
    <col min="5892" max="5892" width="9" style="8" customWidth="1"/>
    <col min="5893" max="5894" width="9.77734375" style="8" customWidth="1"/>
    <col min="5895" max="5895" width="11.21875" style="8" customWidth="1"/>
    <col min="5896" max="5896" width="2.77734375" style="8" customWidth="1"/>
    <col min="5897" max="5897" width="3.5546875" style="8" customWidth="1"/>
    <col min="5898" max="6142" width="9.21875" style="8"/>
    <col min="6143" max="6143" width="8.77734375" style="8" customWidth="1"/>
    <col min="6144" max="6144" width="9.77734375" style="8" customWidth="1"/>
    <col min="6145" max="6145" width="14.44140625" style="8" customWidth="1"/>
    <col min="6146" max="6146" width="7.21875" style="8" customWidth="1"/>
    <col min="6147" max="6147" width="5.5546875" style="8" customWidth="1"/>
    <col min="6148" max="6148" width="9" style="8" customWidth="1"/>
    <col min="6149" max="6150" width="9.77734375" style="8" customWidth="1"/>
    <col min="6151" max="6151" width="11.21875" style="8" customWidth="1"/>
    <col min="6152" max="6152" width="2.77734375" style="8" customWidth="1"/>
    <col min="6153" max="6153" width="3.5546875" style="8" customWidth="1"/>
    <col min="6154" max="6398" width="9.21875" style="8"/>
    <col min="6399" max="6399" width="8.77734375" style="8" customWidth="1"/>
    <col min="6400" max="6400" width="9.77734375" style="8" customWidth="1"/>
    <col min="6401" max="6401" width="14.44140625" style="8" customWidth="1"/>
    <col min="6402" max="6402" width="7.21875" style="8" customWidth="1"/>
    <col min="6403" max="6403" width="5.5546875" style="8" customWidth="1"/>
    <col min="6404" max="6404" width="9" style="8" customWidth="1"/>
    <col min="6405" max="6406" width="9.77734375" style="8" customWidth="1"/>
    <col min="6407" max="6407" width="11.21875" style="8" customWidth="1"/>
    <col min="6408" max="6408" width="2.77734375" style="8" customWidth="1"/>
    <col min="6409" max="6409" width="3.5546875" style="8" customWidth="1"/>
    <col min="6410" max="6654" width="9.21875" style="8"/>
    <col min="6655" max="6655" width="8.77734375" style="8" customWidth="1"/>
    <col min="6656" max="6656" width="9.77734375" style="8" customWidth="1"/>
    <col min="6657" max="6657" width="14.44140625" style="8" customWidth="1"/>
    <col min="6658" max="6658" width="7.21875" style="8" customWidth="1"/>
    <col min="6659" max="6659" width="5.5546875" style="8" customWidth="1"/>
    <col min="6660" max="6660" width="9" style="8" customWidth="1"/>
    <col min="6661" max="6662" width="9.77734375" style="8" customWidth="1"/>
    <col min="6663" max="6663" width="11.21875" style="8" customWidth="1"/>
    <col min="6664" max="6664" width="2.77734375" style="8" customWidth="1"/>
    <col min="6665" max="6665" width="3.5546875" style="8" customWidth="1"/>
    <col min="6666" max="6910" width="9.21875" style="8"/>
    <col min="6911" max="6911" width="8.77734375" style="8" customWidth="1"/>
    <col min="6912" max="6912" width="9.77734375" style="8" customWidth="1"/>
    <col min="6913" max="6913" width="14.44140625" style="8" customWidth="1"/>
    <col min="6914" max="6914" width="7.21875" style="8" customWidth="1"/>
    <col min="6915" max="6915" width="5.5546875" style="8" customWidth="1"/>
    <col min="6916" max="6916" width="9" style="8" customWidth="1"/>
    <col min="6917" max="6918" width="9.77734375" style="8" customWidth="1"/>
    <col min="6919" max="6919" width="11.21875" style="8" customWidth="1"/>
    <col min="6920" max="6920" width="2.77734375" style="8" customWidth="1"/>
    <col min="6921" max="6921" width="3.5546875" style="8" customWidth="1"/>
    <col min="6922" max="7166" width="9.21875" style="8"/>
    <col min="7167" max="7167" width="8.77734375" style="8" customWidth="1"/>
    <col min="7168" max="7168" width="9.77734375" style="8" customWidth="1"/>
    <col min="7169" max="7169" width="14.44140625" style="8" customWidth="1"/>
    <col min="7170" max="7170" width="7.21875" style="8" customWidth="1"/>
    <col min="7171" max="7171" width="5.5546875" style="8" customWidth="1"/>
    <col min="7172" max="7172" width="9" style="8" customWidth="1"/>
    <col min="7173" max="7174" width="9.77734375" style="8" customWidth="1"/>
    <col min="7175" max="7175" width="11.21875" style="8" customWidth="1"/>
    <col min="7176" max="7176" width="2.77734375" style="8" customWidth="1"/>
    <col min="7177" max="7177" width="3.5546875" style="8" customWidth="1"/>
    <col min="7178" max="7422" width="9.21875" style="8"/>
    <col min="7423" max="7423" width="8.77734375" style="8" customWidth="1"/>
    <col min="7424" max="7424" width="9.77734375" style="8" customWidth="1"/>
    <col min="7425" max="7425" width="14.44140625" style="8" customWidth="1"/>
    <col min="7426" max="7426" width="7.21875" style="8" customWidth="1"/>
    <col min="7427" max="7427" width="5.5546875" style="8" customWidth="1"/>
    <col min="7428" max="7428" width="9" style="8" customWidth="1"/>
    <col min="7429" max="7430" width="9.77734375" style="8" customWidth="1"/>
    <col min="7431" max="7431" width="11.21875" style="8" customWidth="1"/>
    <col min="7432" max="7432" width="2.77734375" style="8" customWidth="1"/>
    <col min="7433" max="7433" width="3.5546875" style="8" customWidth="1"/>
    <col min="7434" max="7678" width="9.21875" style="8"/>
    <col min="7679" max="7679" width="8.77734375" style="8" customWidth="1"/>
    <col min="7680" max="7680" width="9.77734375" style="8" customWidth="1"/>
    <col min="7681" max="7681" width="14.44140625" style="8" customWidth="1"/>
    <col min="7682" max="7682" width="7.21875" style="8" customWidth="1"/>
    <col min="7683" max="7683" width="5.5546875" style="8" customWidth="1"/>
    <col min="7684" max="7684" width="9" style="8" customWidth="1"/>
    <col min="7685" max="7686" width="9.77734375" style="8" customWidth="1"/>
    <col min="7687" max="7687" width="11.21875" style="8" customWidth="1"/>
    <col min="7688" max="7688" width="2.77734375" style="8" customWidth="1"/>
    <col min="7689" max="7689" width="3.5546875" style="8" customWidth="1"/>
    <col min="7690" max="7934" width="9.21875" style="8"/>
    <col min="7935" max="7935" width="8.77734375" style="8" customWidth="1"/>
    <col min="7936" max="7936" width="9.77734375" style="8" customWidth="1"/>
    <col min="7937" max="7937" width="14.44140625" style="8" customWidth="1"/>
    <col min="7938" max="7938" width="7.21875" style="8" customWidth="1"/>
    <col min="7939" max="7939" width="5.5546875" style="8" customWidth="1"/>
    <col min="7940" max="7940" width="9" style="8" customWidth="1"/>
    <col min="7941" max="7942" width="9.77734375" style="8" customWidth="1"/>
    <col min="7943" max="7943" width="11.21875" style="8" customWidth="1"/>
    <col min="7944" max="7944" width="2.77734375" style="8" customWidth="1"/>
    <col min="7945" max="7945" width="3.5546875" style="8" customWidth="1"/>
    <col min="7946" max="8190" width="9.21875" style="8"/>
    <col min="8191" max="8191" width="8.77734375" style="8" customWidth="1"/>
    <col min="8192" max="8192" width="9.77734375" style="8" customWidth="1"/>
    <col min="8193" max="8193" width="14.44140625" style="8" customWidth="1"/>
    <col min="8194" max="8194" width="7.21875" style="8" customWidth="1"/>
    <col min="8195" max="8195" width="5.5546875" style="8" customWidth="1"/>
    <col min="8196" max="8196" width="9" style="8" customWidth="1"/>
    <col min="8197" max="8198" width="9.77734375" style="8" customWidth="1"/>
    <col min="8199" max="8199" width="11.21875" style="8" customWidth="1"/>
    <col min="8200" max="8200" width="2.77734375" style="8" customWidth="1"/>
    <col min="8201" max="8201" width="3.5546875" style="8" customWidth="1"/>
    <col min="8202" max="8446" width="9.21875" style="8"/>
    <col min="8447" max="8447" width="8.77734375" style="8" customWidth="1"/>
    <col min="8448" max="8448" width="9.77734375" style="8" customWidth="1"/>
    <col min="8449" max="8449" width="14.44140625" style="8" customWidth="1"/>
    <col min="8450" max="8450" width="7.21875" style="8" customWidth="1"/>
    <col min="8451" max="8451" width="5.5546875" style="8" customWidth="1"/>
    <col min="8452" max="8452" width="9" style="8" customWidth="1"/>
    <col min="8453" max="8454" width="9.77734375" style="8" customWidth="1"/>
    <col min="8455" max="8455" width="11.21875" style="8" customWidth="1"/>
    <col min="8456" max="8456" width="2.77734375" style="8" customWidth="1"/>
    <col min="8457" max="8457" width="3.5546875" style="8" customWidth="1"/>
    <col min="8458" max="8702" width="9.21875" style="8"/>
    <col min="8703" max="8703" width="8.77734375" style="8" customWidth="1"/>
    <col min="8704" max="8704" width="9.77734375" style="8" customWidth="1"/>
    <col min="8705" max="8705" width="14.44140625" style="8" customWidth="1"/>
    <col min="8706" max="8706" width="7.21875" style="8" customWidth="1"/>
    <col min="8707" max="8707" width="5.5546875" style="8" customWidth="1"/>
    <col min="8708" max="8708" width="9" style="8" customWidth="1"/>
    <col min="8709" max="8710" width="9.77734375" style="8" customWidth="1"/>
    <col min="8711" max="8711" width="11.21875" style="8" customWidth="1"/>
    <col min="8712" max="8712" width="2.77734375" style="8" customWidth="1"/>
    <col min="8713" max="8713" width="3.5546875" style="8" customWidth="1"/>
    <col min="8714" max="8958" width="9.21875" style="8"/>
    <col min="8959" max="8959" width="8.77734375" style="8" customWidth="1"/>
    <col min="8960" max="8960" width="9.77734375" style="8" customWidth="1"/>
    <col min="8961" max="8961" width="14.44140625" style="8" customWidth="1"/>
    <col min="8962" max="8962" width="7.21875" style="8" customWidth="1"/>
    <col min="8963" max="8963" width="5.5546875" style="8" customWidth="1"/>
    <col min="8964" max="8964" width="9" style="8" customWidth="1"/>
    <col min="8965" max="8966" width="9.77734375" style="8" customWidth="1"/>
    <col min="8967" max="8967" width="11.21875" style="8" customWidth="1"/>
    <col min="8968" max="8968" width="2.77734375" style="8" customWidth="1"/>
    <col min="8969" max="8969" width="3.5546875" style="8" customWidth="1"/>
    <col min="8970" max="9214" width="9.21875" style="8"/>
    <col min="9215" max="9215" width="8.77734375" style="8" customWidth="1"/>
    <col min="9216" max="9216" width="9.77734375" style="8" customWidth="1"/>
    <col min="9217" max="9217" width="14.44140625" style="8" customWidth="1"/>
    <col min="9218" max="9218" width="7.21875" style="8" customWidth="1"/>
    <col min="9219" max="9219" width="5.5546875" style="8" customWidth="1"/>
    <col min="9220" max="9220" width="9" style="8" customWidth="1"/>
    <col min="9221" max="9222" width="9.77734375" style="8" customWidth="1"/>
    <col min="9223" max="9223" width="11.21875" style="8" customWidth="1"/>
    <col min="9224" max="9224" width="2.77734375" style="8" customWidth="1"/>
    <col min="9225" max="9225" width="3.5546875" style="8" customWidth="1"/>
    <col min="9226" max="9470" width="9.21875" style="8"/>
    <col min="9471" max="9471" width="8.77734375" style="8" customWidth="1"/>
    <col min="9472" max="9472" width="9.77734375" style="8" customWidth="1"/>
    <col min="9473" max="9473" width="14.44140625" style="8" customWidth="1"/>
    <col min="9474" max="9474" width="7.21875" style="8" customWidth="1"/>
    <col min="9475" max="9475" width="5.5546875" style="8" customWidth="1"/>
    <col min="9476" max="9476" width="9" style="8" customWidth="1"/>
    <col min="9477" max="9478" width="9.77734375" style="8" customWidth="1"/>
    <col min="9479" max="9479" width="11.21875" style="8" customWidth="1"/>
    <col min="9480" max="9480" width="2.77734375" style="8" customWidth="1"/>
    <col min="9481" max="9481" width="3.5546875" style="8" customWidth="1"/>
    <col min="9482" max="9726" width="9.21875" style="8"/>
    <col min="9727" max="9727" width="8.77734375" style="8" customWidth="1"/>
    <col min="9728" max="9728" width="9.77734375" style="8" customWidth="1"/>
    <col min="9729" max="9729" width="14.44140625" style="8" customWidth="1"/>
    <col min="9730" max="9730" width="7.21875" style="8" customWidth="1"/>
    <col min="9731" max="9731" width="5.5546875" style="8" customWidth="1"/>
    <col min="9732" max="9732" width="9" style="8" customWidth="1"/>
    <col min="9733" max="9734" width="9.77734375" style="8" customWidth="1"/>
    <col min="9735" max="9735" width="11.21875" style="8" customWidth="1"/>
    <col min="9736" max="9736" width="2.77734375" style="8" customWidth="1"/>
    <col min="9737" max="9737" width="3.5546875" style="8" customWidth="1"/>
    <col min="9738" max="9982" width="9.21875" style="8"/>
    <col min="9983" max="9983" width="8.77734375" style="8" customWidth="1"/>
    <col min="9984" max="9984" width="9.77734375" style="8" customWidth="1"/>
    <col min="9985" max="9985" width="14.44140625" style="8" customWidth="1"/>
    <col min="9986" max="9986" width="7.21875" style="8" customWidth="1"/>
    <col min="9987" max="9987" width="5.5546875" style="8" customWidth="1"/>
    <col min="9988" max="9988" width="9" style="8" customWidth="1"/>
    <col min="9989" max="9990" width="9.77734375" style="8" customWidth="1"/>
    <col min="9991" max="9991" width="11.21875" style="8" customWidth="1"/>
    <col min="9992" max="9992" width="2.77734375" style="8" customWidth="1"/>
    <col min="9993" max="9993" width="3.5546875" style="8" customWidth="1"/>
    <col min="9994" max="10238" width="9.21875" style="8"/>
    <col min="10239" max="10239" width="8.77734375" style="8" customWidth="1"/>
    <col min="10240" max="10240" width="9.77734375" style="8" customWidth="1"/>
    <col min="10241" max="10241" width="14.44140625" style="8" customWidth="1"/>
    <col min="10242" max="10242" width="7.21875" style="8" customWidth="1"/>
    <col min="10243" max="10243" width="5.5546875" style="8" customWidth="1"/>
    <col min="10244" max="10244" width="9" style="8" customWidth="1"/>
    <col min="10245" max="10246" width="9.77734375" style="8" customWidth="1"/>
    <col min="10247" max="10247" width="11.21875" style="8" customWidth="1"/>
    <col min="10248" max="10248" width="2.77734375" style="8" customWidth="1"/>
    <col min="10249" max="10249" width="3.5546875" style="8" customWidth="1"/>
    <col min="10250" max="10494" width="9.21875" style="8"/>
    <col min="10495" max="10495" width="8.77734375" style="8" customWidth="1"/>
    <col min="10496" max="10496" width="9.77734375" style="8" customWidth="1"/>
    <col min="10497" max="10497" width="14.44140625" style="8" customWidth="1"/>
    <col min="10498" max="10498" width="7.21875" style="8" customWidth="1"/>
    <col min="10499" max="10499" width="5.5546875" style="8" customWidth="1"/>
    <col min="10500" max="10500" width="9" style="8" customWidth="1"/>
    <col min="10501" max="10502" width="9.77734375" style="8" customWidth="1"/>
    <col min="10503" max="10503" width="11.21875" style="8" customWidth="1"/>
    <col min="10504" max="10504" width="2.77734375" style="8" customWidth="1"/>
    <col min="10505" max="10505" width="3.5546875" style="8" customWidth="1"/>
    <col min="10506" max="10750" width="9.21875" style="8"/>
    <col min="10751" max="10751" width="8.77734375" style="8" customWidth="1"/>
    <col min="10752" max="10752" width="9.77734375" style="8" customWidth="1"/>
    <col min="10753" max="10753" width="14.44140625" style="8" customWidth="1"/>
    <col min="10754" max="10754" width="7.21875" style="8" customWidth="1"/>
    <col min="10755" max="10755" width="5.5546875" style="8" customWidth="1"/>
    <col min="10756" max="10756" width="9" style="8" customWidth="1"/>
    <col min="10757" max="10758" width="9.77734375" style="8" customWidth="1"/>
    <col min="10759" max="10759" width="11.21875" style="8" customWidth="1"/>
    <col min="10760" max="10760" width="2.77734375" style="8" customWidth="1"/>
    <col min="10761" max="10761" width="3.5546875" style="8" customWidth="1"/>
    <col min="10762" max="11006" width="9.21875" style="8"/>
    <col min="11007" max="11007" width="8.77734375" style="8" customWidth="1"/>
    <col min="11008" max="11008" width="9.77734375" style="8" customWidth="1"/>
    <col min="11009" max="11009" width="14.44140625" style="8" customWidth="1"/>
    <col min="11010" max="11010" width="7.21875" style="8" customWidth="1"/>
    <col min="11011" max="11011" width="5.5546875" style="8" customWidth="1"/>
    <col min="11012" max="11012" width="9" style="8" customWidth="1"/>
    <col min="11013" max="11014" width="9.77734375" style="8" customWidth="1"/>
    <col min="11015" max="11015" width="11.21875" style="8" customWidth="1"/>
    <col min="11016" max="11016" width="2.77734375" style="8" customWidth="1"/>
    <col min="11017" max="11017" width="3.5546875" style="8" customWidth="1"/>
    <col min="11018" max="11262" width="9.21875" style="8"/>
    <col min="11263" max="11263" width="8.77734375" style="8" customWidth="1"/>
    <col min="11264" max="11264" width="9.77734375" style="8" customWidth="1"/>
    <col min="11265" max="11265" width="14.44140625" style="8" customWidth="1"/>
    <col min="11266" max="11266" width="7.21875" style="8" customWidth="1"/>
    <col min="11267" max="11267" width="5.5546875" style="8" customWidth="1"/>
    <col min="11268" max="11268" width="9" style="8" customWidth="1"/>
    <col min="11269" max="11270" width="9.77734375" style="8" customWidth="1"/>
    <col min="11271" max="11271" width="11.21875" style="8" customWidth="1"/>
    <col min="11272" max="11272" width="2.77734375" style="8" customWidth="1"/>
    <col min="11273" max="11273" width="3.5546875" style="8" customWidth="1"/>
    <col min="11274" max="11518" width="9.21875" style="8"/>
    <col min="11519" max="11519" width="8.77734375" style="8" customWidth="1"/>
    <col min="11520" max="11520" width="9.77734375" style="8" customWidth="1"/>
    <col min="11521" max="11521" width="14.44140625" style="8" customWidth="1"/>
    <col min="11522" max="11522" width="7.21875" style="8" customWidth="1"/>
    <col min="11523" max="11523" width="5.5546875" style="8" customWidth="1"/>
    <col min="11524" max="11524" width="9" style="8" customWidth="1"/>
    <col min="11525" max="11526" width="9.77734375" style="8" customWidth="1"/>
    <col min="11527" max="11527" width="11.21875" style="8" customWidth="1"/>
    <col min="11528" max="11528" width="2.77734375" style="8" customWidth="1"/>
    <col min="11529" max="11529" width="3.5546875" style="8" customWidth="1"/>
    <col min="11530" max="11774" width="9.21875" style="8"/>
    <col min="11775" max="11775" width="8.77734375" style="8" customWidth="1"/>
    <col min="11776" max="11776" width="9.77734375" style="8" customWidth="1"/>
    <col min="11777" max="11777" width="14.44140625" style="8" customWidth="1"/>
    <col min="11778" max="11778" width="7.21875" style="8" customWidth="1"/>
    <col min="11779" max="11779" width="5.5546875" style="8" customWidth="1"/>
    <col min="11780" max="11780" width="9" style="8" customWidth="1"/>
    <col min="11781" max="11782" width="9.77734375" style="8" customWidth="1"/>
    <col min="11783" max="11783" width="11.21875" style="8" customWidth="1"/>
    <col min="11784" max="11784" width="2.77734375" style="8" customWidth="1"/>
    <col min="11785" max="11785" width="3.5546875" style="8" customWidth="1"/>
    <col min="11786" max="12030" width="9.21875" style="8"/>
    <col min="12031" max="12031" width="8.77734375" style="8" customWidth="1"/>
    <col min="12032" max="12032" width="9.77734375" style="8" customWidth="1"/>
    <col min="12033" max="12033" width="14.44140625" style="8" customWidth="1"/>
    <col min="12034" max="12034" width="7.21875" style="8" customWidth="1"/>
    <col min="12035" max="12035" width="5.5546875" style="8" customWidth="1"/>
    <col min="12036" max="12036" width="9" style="8" customWidth="1"/>
    <col min="12037" max="12038" width="9.77734375" style="8" customWidth="1"/>
    <col min="12039" max="12039" width="11.21875" style="8" customWidth="1"/>
    <col min="12040" max="12040" width="2.77734375" style="8" customWidth="1"/>
    <col min="12041" max="12041" width="3.5546875" style="8" customWidth="1"/>
    <col min="12042" max="12286" width="9.21875" style="8"/>
    <col min="12287" max="12287" width="8.77734375" style="8" customWidth="1"/>
    <col min="12288" max="12288" width="9.77734375" style="8" customWidth="1"/>
    <col min="12289" max="12289" width="14.44140625" style="8" customWidth="1"/>
    <col min="12290" max="12290" width="7.21875" style="8" customWidth="1"/>
    <col min="12291" max="12291" width="5.5546875" style="8" customWidth="1"/>
    <col min="12292" max="12292" width="9" style="8" customWidth="1"/>
    <col min="12293" max="12294" width="9.77734375" style="8" customWidth="1"/>
    <col min="12295" max="12295" width="11.21875" style="8" customWidth="1"/>
    <col min="12296" max="12296" width="2.77734375" style="8" customWidth="1"/>
    <col min="12297" max="12297" width="3.5546875" style="8" customWidth="1"/>
    <col min="12298" max="12542" width="9.21875" style="8"/>
    <col min="12543" max="12543" width="8.77734375" style="8" customWidth="1"/>
    <col min="12544" max="12544" width="9.77734375" style="8" customWidth="1"/>
    <col min="12545" max="12545" width="14.44140625" style="8" customWidth="1"/>
    <col min="12546" max="12546" width="7.21875" style="8" customWidth="1"/>
    <col min="12547" max="12547" width="5.5546875" style="8" customWidth="1"/>
    <col min="12548" max="12548" width="9" style="8" customWidth="1"/>
    <col min="12549" max="12550" width="9.77734375" style="8" customWidth="1"/>
    <col min="12551" max="12551" width="11.21875" style="8" customWidth="1"/>
    <col min="12552" max="12552" width="2.77734375" style="8" customWidth="1"/>
    <col min="12553" max="12553" width="3.5546875" style="8" customWidth="1"/>
    <col min="12554" max="12798" width="9.21875" style="8"/>
    <col min="12799" max="12799" width="8.77734375" style="8" customWidth="1"/>
    <col min="12800" max="12800" width="9.77734375" style="8" customWidth="1"/>
    <col min="12801" max="12801" width="14.44140625" style="8" customWidth="1"/>
    <col min="12802" max="12802" width="7.21875" style="8" customWidth="1"/>
    <col min="12803" max="12803" width="5.5546875" style="8" customWidth="1"/>
    <col min="12804" max="12804" width="9" style="8" customWidth="1"/>
    <col min="12805" max="12806" width="9.77734375" style="8" customWidth="1"/>
    <col min="12807" max="12807" width="11.21875" style="8" customWidth="1"/>
    <col min="12808" max="12808" width="2.77734375" style="8" customWidth="1"/>
    <col min="12809" max="12809" width="3.5546875" style="8" customWidth="1"/>
    <col min="12810" max="13054" width="9.21875" style="8"/>
    <col min="13055" max="13055" width="8.77734375" style="8" customWidth="1"/>
    <col min="13056" max="13056" width="9.77734375" style="8" customWidth="1"/>
    <col min="13057" max="13057" width="14.44140625" style="8" customWidth="1"/>
    <col min="13058" max="13058" width="7.21875" style="8" customWidth="1"/>
    <col min="13059" max="13059" width="5.5546875" style="8" customWidth="1"/>
    <col min="13060" max="13060" width="9" style="8" customWidth="1"/>
    <col min="13061" max="13062" width="9.77734375" style="8" customWidth="1"/>
    <col min="13063" max="13063" width="11.21875" style="8" customWidth="1"/>
    <col min="13064" max="13064" width="2.77734375" style="8" customWidth="1"/>
    <col min="13065" max="13065" width="3.5546875" style="8" customWidth="1"/>
    <col min="13066" max="13310" width="9.21875" style="8"/>
    <col min="13311" max="13311" width="8.77734375" style="8" customWidth="1"/>
    <col min="13312" max="13312" width="9.77734375" style="8" customWidth="1"/>
    <col min="13313" max="13313" width="14.44140625" style="8" customWidth="1"/>
    <col min="13314" max="13314" width="7.21875" style="8" customWidth="1"/>
    <col min="13315" max="13315" width="5.5546875" style="8" customWidth="1"/>
    <col min="13316" max="13316" width="9" style="8" customWidth="1"/>
    <col min="13317" max="13318" width="9.77734375" style="8" customWidth="1"/>
    <col min="13319" max="13319" width="11.21875" style="8" customWidth="1"/>
    <col min="13320" max="13320" width="2.77734375" style="8" customWidth="1"/>
    <col min="13321" max="13321" width="3.5546875" style="8" customWidth="1"/>
    <col min="13322" max="13566" width="9.21875" style="8"/>
    <col min="13567" max="13567" width="8.77734375" style="8" customWidth="1"/>
    <col min="13568" max="13568" width="9.77734375" style="8" customWidth="1"/>
    <col min="13569" max="13569" width="14.44140625" style="8" customWidth="1"/>
    <col min="13570" max="13570" width="7.21875" style="8" customWidth="1"/>
    <col min="13571" max="13571" width="5.5546875" style="8" customWidth="1"/>
    <col min="13572" max="13572" width="9" style="8" customWidth="1"/>
    <col min="13573" max="13574" width="9.77734375" style="8" customWidth="1"/>
    <col min="13575" max="13575" width="11.21875" style="8" customWidth="1"/>
    <col min="13576" max="13576" width="2.77734375" style="8" customWidth="1"/>
    <col min="13577" max="13577" width="3.5546875" style="8" customWidth="1"/>
    <col min="13578" max="13822" width="9.21875" style="8"/>
    <col min="13823" max="13823" width="8.77734375" style="8" customWidth="1"/>
    <col min="13824" max="13824" width="9.77734375" style="8" customWidth="1"/>
    <col min="13825" max="13825" width="14.44140625" style="8" customWidth="1"/>
    <col min="13826" max="13826" width="7.21875" style="8" customWidth="1"/>
    <col min="13827" max="13827" width="5.5546875" style="8" customWidth="1"/>
    <col min="13828" max="13828" width="9" style="8" customWidth="1"/>
    <col min="13829" max="13830" width="9.77734375" style="8" customWidth="1"/>
    <col min="13831" max="13831" width="11.21875" style="8" customWidth="1"/>
    <col min="13832" max="13832" width="2.77734375" style="8" customWidth="1"/>
    <col min="13833" max="13833" width="3.5546875" style="8" customWidth="1"/>
    <col min="13834" max="14078" width="9.21875" style="8"/>
    <col min="14079" max="14079" width="8.77734375" style="8" customWidth="1"/>
    <col min="14080" max="14080" width="9.77734375" style="8" customWidth="1"/>
    <col min="14081" max="14081" width="14.44140625" style="8" customWidth="1"/>
    <col min="14082" max="14082" width="7.21875" style="8" customWidth="1"/>
    <col min="14083" max="14083" width="5.5546875" style="8" customWidth="1"/>
    <col min="14084" max="14084" width="9" style="8" customWidth="1"/>
    <col min="14085" max="14086" width="9.77734375" style="8" customWidth="1"/>
    <col min="14087" max="14087" width="11.21875" style="8" customWidth="1"/>
    <col min="14088" max="14088" width="2.77734375" style="8" customWidth="1"/>
    <col min="14089" max="14089" width="3.5546875" style="8" customWidth="1"/>
    <col min="14090" max="14334" width="9.21875" style="8"/>
    <col min="14335" max="14335" width="8.77734375" style="8" customWidth="1"/>
    <col min="14336" max="14336" width="9.77734375" style="8" customWidth="1"/>
    <col min="14337" max="14337" width="14.44140625" style="8" customWidth="1"/>
    <col min="14338" max="14338" width="7.21875" style="8" customWidth="1"/>
    <col min="14339" max="14339" width="5.5546875" style="8" customWidth="1"/>
    <col min="14340" max="14340" width="9" style="8" customWidth="1"/>
    <col min="14341" max="14342" width="9.77734375" style="8" customWidth="1"/>
    <col min="14343" max="14343" width="11.21875" style="8" customWidth="1"/>
    <col min="14344" max="14344" width="2.77734375" style="8" customWidth="1"/>
    <col min="14345" max="14345" width="3.5546875" style="8" customWidth="1"/>
    <col min="14346" max="14590" width="9.21875" style="8"/>
    <col min="14591" max="14591" width="8.77734375" style="8" customWidth="1"/>
    <col min="14592" max="14592" width="9.77734375" style="8" customWidth="1"/>
    <col min="14593" max="14593" width="14.44140625" style="8" customWidth="1"/>
    <col min="14594" max="14594" width="7.21875" style="8" customWidth="1"/>
    <col min="14595" max="14595" width="5.5546875" style="8" customWidth="1"/>
    <col min="14596" max="14596" width="9" style="8" customWidth="1"/>
    <col min="14597" max="14598" width="9.77734375" style="8" customWidth="1"/>
    <col min="14599" max="14599" width="11.21875" style="8" customWidth="1"/>
    <col min="14600" max="14600" width="2.77734375" style="8" customWidth="1"/>
    <col min="14601" max="14601" width="3.5546875" style="8" customWidth="1"/>
    <col min="14602" max="14846" width="9.21875" style="8"/>
    <col min="14847" max="14847" width="8.77734375" style="8" customWidth="1"/>
    <col min="14848" max="14848" width="9.77734375" style="8" customWidth="1"/>
    <col min="14849" max="14849" width="14.44140625" style="8" customWidth="1"/>
    <col min="14850" max="14850" width="7.21875" style="8" customWidth="1"/>
    <col min="14851" max="14851" width="5.5546875" style="8" customWidth="1"/>
    <col min="14852" max="14852" width="9" style="8" customWidth="1"/>
    <col min="14853" max="14854" width="9.77734375" style="8" customWidth="1"/>
    <col min="14855" max="14855" width="11.21875" style="8" customWidth="1"/>
    <col min="14856" max="14856" width="2.77734375" style="8" customWidth="1"/>
    <col min="14857" max="14857" width="3.5546875" style="8" customWidth="1"/>
    <col min="14858" max="15102" width="9.21875" style="8"/>
    <col min="15103" max="15103" width="8.77734375" style="8" customWidth="1"/>
    <col min="15104" max="15104" width="9.77734375" style="8" customWidth="1"/>
    <col min="15105" max="15105" width="14.44140625" style="8" customWidth="1"/>
    <col min="15106" max="15106" width="7.21875" style="8" customWidth="1"/>
    <col min="15107" max="15107" width="5.5546875" style="8" customWidth="1"/>
    <col min="15108" max="15108" width="9" style="8" customWidth="1"/>
    <col min="15109" max="15110" width="9.77734375" style="8" customWidth="1"/>
    <col min="15111" max="15111" width="11.21875" style="8" customWidth="1"/>
    <col min="15112" max="15112" width="2.77734375" style="8" customWidth="1"/>
    <col min="15113" max="15113" width="3.5546875" style="8" customWidth="1"/>
    <col min="15114" max="15358" width="9.21875" style="8"/>
    <col min="15359" max="15359" width="8.77734375" style="8" customWidth="1"/>
    <col min="15360" max="15360" width="9.77734375" style="8" customWidth="1"/>
    <col min="15361" max="15361" width="14.44140625" style="8" customWidth="1"/>
    <col min="15362" max="15362" width="7.21875" style="8" customWidth="1"/>
    <col min="15363" max="15363" width="5.5546875" style="8" customWidth="1"/>
    <col min="15364" max="15364" width="9" style="8" customWidth="1"/>
    <col min="15365" max="15366" width="9.77734375" style="8" customWidth="1"/>
    <col min="15367" max="15367" width="11.21875" style="8" customWidth="1"/>
    <col min="15368" max="15368" width="2.77734375" style="8" customWidth="1"/>
    <col min="15369" max="15369" width="3.5546875" style="8" customWidth="1"/>
    <col min="15370" max="15614" width="9.21875" style="8"/>
    <col min="15615" max="15615" width="8.77734375" style="8" customWidth="1"/>
    <col min="15616" max="15616" width="9.77734375" style="8" customWidth="1"/>
    <col min="15617" max="15617" width="14.44140625" style="8" customWidth="1"/>
    <col min="15618" max="15618" width="7.21875" style="8" customWidth="1"/>
    <col min="15619" max="15619" width="5.5546875" style="8" customWidth="1"/>
    <col min="15620" max="15620" width="9" style="8" customWidth="1"/>
    <col min="15621" max="15622" width="9.77734375" style="8" customWidth="1"/>
    <col min="15623" max="15623" width="11.21875" style="8" customWidth="1"/>
    <col min="15624" max="15624" width="2.77734375" style="8" customWidth="1"/>
    <col min="15625" max="15625" width="3.5546875" style="8" customWidth="1"/>
    <col min="15626" max="15870" width="9.21875" style="8"/>
    <col min="15871" max="15871" width="8.77734375" style="8" customWidth="1"/>
    <col min="15872" max="15872" width="9.77734375" style="8" customWidth="1"/>
    <col min="15873" max="15873" width="14.44140625" style="8" customWidth="1"/>
    <col min="15874" max="15874" width="7.21875" style="8" customWidth="1"/>
    <col min="15875" max="15875" width="5.5546875" style="8" customWidth="1"/>
    <col min="15876" max="15876" width="9" style="8" customWidth="1"/>
    <col min="15877" max="15878" width="9.77734375" style="8" customWidth="1"/>
    <col min="15879" max="15879" width="11.21875" style="8" customWidth="1"/>
    <col min="15880" max="15880" width="2.77734375" style="8" customWidth="1"/>
    <col min="15881" max="15881" width="3.5546875" style="8" customWidth="1"/>
    <col min="15882" max="16126" width="9.21875" style="8"/>
    <col min="16127" max="16127" width="8.77734375" style="8" customWidth="1"/>
    <col min="16128" max="16128" width="9.77734375" style="8" customWidth="1"/>
    <col min="16129" max="16129" width="14.44140625" style="8" customWidth="1"/>
    <col min="16130" max="16130" width="7.21875" style="8" customWidth="1"/>
    <col min="16131" max="16131" width="5.5546875" style="8" customWidth="1"/>
    <col min="16132" max="16132" width="9" style="8" customWidth="1"/>
    <col min="16133" max="16134" width="9.77734375" style="8" customWidth="1"/>
    <col min="16135" max="16135" width="11.21875" style="8" customWidth="1"/>
    <col min="16136" max="16136" width="2.77734375" style="8" customWidth="1"/>
    <col min="16137" max="16137" width="3.5546875" style="8" customWidth="1"/>
    <col min="16138" max="16384" width="9.21875" style="8"/>
  </cols>
  <sheetData>
    <row r="1" spans="1:9" ht="46.5" customHeight="1" x14ac:dyDescent="0.3">
      <c r="A1" s="160" t="s">
        <v>246</v>
      </c>
      <c r="B1" s="160"/>
      <c r="C1" s="160"/>
      <c r="D1" s="160"/>
      <c r="E1" s="160"/>
      <c r="F1" s="160"/>
      <c r="G1" s="160"/>
      <c r="H1" s="160"/>
    </row>
    <row r="2" spans="1:9" ht="16.5" customHeight="1" x14ac:dyDescent="0.3">
      <c r="A2" s="156" t="s">
        <v>0</v>
      </c>
      <c r="B2" s="156"/>
      <c r="C2" s="156"/>
      <c r="D2" s="156"/>
      <c r="E2" s="156"/>
      <c r="F2" s="156"/>
      <c r="G2" s="156"/>
      <c r="H2" s="156"/>
    </row>
    <row r="3" spans="1:9" x14ac:dyDescent="0.3">
      <c r="A3" s="81" t="s">
        <v>1</v>
      </c>
      <c r="B3" s="81"/>
      <c r="C3" s="81"/>
      <c r="D3" s="81"/>
      <c r="E3" s="161" t="str">
        <f ca="1">TEXT(TODAY(),"DD/MM/YYYY")</f>
        <v>20/08/2025</v>
      </c>
      <c r="F3" s="161"/>
      <c r="G3" s="161"/>
      <c r="H3" s="161"/>
    </row>
    <row r="4" spans="1:9" ht="15" customHeight="1" x14ac:dyDescent="0.3">
      <c r="A4" s="81" t="s">
        <v>2</v>
      </c>
      <c r="B4" s="81"/>
      <c r="C4" s="81"/>
      <c r="D4" s="81"/>
      <c r="E4" s="162" t="s">
        <v>166</v>
      </c>
      <c r="F4" s="162"/>
      <c r="G4" s="162"/>
      <c r="H4" s="162"/>
    </row>
    <row r="5" spans="1:9" x14ac:dyDescent="0.3">
      <c r="A5" s="81" t="s">
        <v>3</v>
      </c>
      <c r="B5" s="81"/>
      <c r="C5" s="81"/>
      <c r="D5" s="81"/>
      <c r="E5" s="161">
        <v>45883</v>
      </c>
      <c r="F5" s="161"/>
      <c r="G5" s="161"/>
      <c r="H5" s="161"/>
    </row>
    <row r="6" spans="1:9" ht="16.5" customHeight="1" x14ac:dyDescent="0.3">
      <c r="A6" s="81" t="s">
        <v>4</v>
      </c>
      <c r="B6" s="81"/>
      <c r="C6" s="81"/>
      <c r="D6" s="81"/>
      <c r="E6" s="82" t="s">
        <v>167</v>
      </c>
      <c r="F6" s="82"/>
      <c r="G6" s="82"/>
      <c r="H6" s="82"/>
    </row>
    <row r="7" spans="1:9" ht="15" customHeight="1" x14ac:dyDescent="0.3">
      <c r="A7" s="81" t="s">
        <v>5</v>
      </c>
      <c r="B7" s="81"/>
      <c r="C7" s="81"/>
      <c r="D7" s="81"/>
      <c r="E7" s="82" t="str">
        <f>E6</f>
        <v>M/s. Raunak Jigna Associates</v>
      </c>
      <c r="F7" s="82"/>
      <c r="G7" s="82"/>
      <c r="H7" s="82"/>
    </row>
    <row r="8" spans="1:9" x14ac:dyDescent="0.3">
      <c r="A8" s="81" t="s">
        <v>6</v>
      </c>
      <c r="B8" s="81"/>
      <c r="C8" s="81"/>
      <c r="D8" s="81"/>
      <c r="E8" s="127" t="s">
        <v>168</v>
      </c>
      <c r="F8" s="139"/>
      <c r="G8" s="139"/>
      <c r="H8" s="139"/>
    </row>
    <row r="9" spans="1:9" x14ac:dyDescent="0.3">
      <c r="A9" s="81" t="s">
        <v>169</v>
      </c>
      <c r="B9" s="81"/>
      <c r="C9" s="81"/>
      <c r="D9" s="81"/>
      <c r="E9" s="81" t="s">
        <v>170</v>
      </c>
      <c r="F9" s="81"/>
      <c r="G9" s="81"/>
      <c r="H9" s="81"/>
    </row>
    <row r="10" spans="1:9" ht="66" customHeight="1" x14ac:dyDescent="0.3">
      <c r="A10" s="124" t="s">
        <v>7</v>
      </c>
      <c r="B10" s="124"/>
      <c r="C10" s="124"/>
      <c r="D10" s="124"/>
      <c r="E10" s="89" t="s">
        <v>243</v>
      </c>
      <c r="F10" s="89"/>
      <c r="G10" s="89"/>
      <c r="H10" s="89"/>
    </row>
    <row r="11" spans="1:9" x14ac:dyDescent="0.3">
      <c r="A11" s="81" t="s">
        <v>8</v>
      </c>
      <c r="B11" s="81"/>
      <c r="C11" s="81"/>
      <c r="D11" s="81"/>
      <c r="E11" s="89" t="s">
        <v>195</v>
      </c>
      <c r="F11" s="89"/>
      <c r="G11" s="89"/>
      <c r="H11" s="89"/>
    </row>
    <row r="12" spans="1:9" ht="35.25" customHeight="1" x14ac:dyDescent="0.3">
      <c r="A12" s="81" t="s">
        <v>9</v>
      </c>
      <c r="B12" s="81"/>
      <c r="C12" s="81"/>
      <c r="D12" s="81"/>
      <c r="E12" s="89" t="s">
        <v>225</v>
      </c>
      <c r="F12" s="124"/>
      <c r="G12" s="124"/>
      <c r="H12" s="124"/>
      <c r="I12" s="66" t="s">
        <v>259</v>
      </c>
    </row>
    <row r="13" spans="1:9" ht="34.5" customHeight="1" x14ac:dyDescent="0.3">
      <c r="A13" s="82" t="s">
        <v>10</v>
      </c>
      <c r="B13" s="82"/>
      <c r="C13" s="82" t="str">
        <f>CONCATENATE((IF(OR(E8="",E8="NA"),"",E8)),", ",(IF(OR(A14="",A14="NA"),"",A14)),".",(IF(OR(C14="",C14="NA"),"",C14)),", ",(IF(OR(C15="",C15="NA"),"",C15)),", ",(IF(OR(G15="",G15="NA"),"",G15)),", ",(IF(OR(C16="",C16="NA"),"",C16)),", ",(IF(OR(C17="",C17="NA"),"",C17)),", ",(IF(OR(G16="",G16="NA"),"",G16)),".")</f>
        <v>Raunak Centrum, CTS No.126(Part), 126/6, Eastern Express Highway, Chembur, Chembur, Kurla, Mumbai.</v>
      </c>
      <c r="D13" s="82"/>
      <c r="E13" s="82"/>
      <c r="F13" s="82"/>
      <c r="G13" s="82"/>
      <c r="H13" s="82"/>
    </row>
    <row r="14" spans="1:9" ht="15.75" customHeight="1" x14ac:dyDescent="0.3">
      <c r="A14" s="89" t="s">
        <v>196</v>
      </c>
      <c r="B14" s="89"/>
      <c r="C14" s="89" t="s">
        <v>198</v>
      </c>
      <c r="D14" s="89"/>
      <c r="E14" s="89"/>
      <c r="F14" s="89"/>
      <c r="G14" s="89"/>
      <c r="H14" s="89"/>
    </row>
    <row r="15" spans="1:9" ht="15.75" customHeight="1" x14ac:dyDescent="0.3">
      <c r="A15" s="82" t="s">
        <v>11</v>
      </c>
      <c r="B15" s="82"/>
      <c r="C15" s="124" t="s">
        <v>177</v>
      </c>
      <c r="D15" s="124"/>
      <c r="E15" s="82" t="s">
        <v>105</v>
      </c>
      <c r="F15" s="82"/>
      <c r="G15" s="89" t="s">
        <v>174</v>
      </c>
      <c r="H15" s="89"/>
    </row>
    <row r="16" spans="1:9" x14ac:dyDescent="0.3">
      <c r="A16" s="81" t="s">
        <v>13</v>
      </c>
      <c r="B16" s="81"/>
      <c r="C16" s="89" t="s">
        <v>174</v>
      </c>
      <c r="D16" s="89"/>
      <c r="E16" s="82" t="s">
        <v>12</v>
      </c>
      <c r="F16" s="82"/>
      <c r="G16" s="163" t="s">
        <v>176</v>
      </c>
      <c r="H16" s="163"/>
    </row>
    <row r="17" spans="1:8" x14ac:dyDescent="0.3">
      <c r="A17" s="81" t="s">
        <v>106</v>
      </c>
      <c r="B17" s="81"/>
      <c r="C17" s="89" t="s">
        <v>175</v>
      </c>
      <c r="D17" s="89"/>
      <c r="E17" s="82" t="s">
        <v>14</v>
      </c>
      <c r="F17" s="82"/>
      <c r="G17" s="89">
        <v>400022</v>
      </c>
      <c r="H17" s="89"/>
    </row>
    <row r="18" spans="1:8" ht="32.25" customHeight="1" x14ac:dyDescent="0.3">
      <c r="A18" s="81" t="s">
        <v>15</v>
      </c>
      <c r="B18" s="81"/>
      <c r="C18" s="164" t="s">
        <v>197</v>
      </c>
      <c r="D18" s="164"/>
      <c r="E18" s="82" t="s">
        <v>16</v>
      </c>
      <c r="F18" s="82"/>
      <c r="G18" s="89" t="s">
        <v>193</v>
      </c>
      <c r="H18" s="89"/>
    </row>
    <row r="19" spans="1:8" ht="15" customHeight="1" x14ac:dyDescent="0.3">
      <c r="A19" s="82" t="s">
        <v>111</v>
      </c>
      <c r="B19" s="82"/>
      <c r="C19" s="82"/>
      <c r="D19" s="82"/>
      <c r="E19" s="124" t="s">
        <v>17</v>
      </c>
      <c r="F19" s="124"/>
      <c r="G19" s="124"/>
      <c r="H19" s="124"/>
    </row>
    <row r="20" spans="1:8" ht="18.75" customHeight="1" x14ac:dyDescent="0.3">
      <c r="A20" s="82"/>
      <c r="B20" s="82"/>
      <c r="C20" s="82"/>
      <c r="D20" s="82"/>
      <c r="E20" s="124"/>
      <c r="F20" s="124"/>
      <c r="G20" s="124"/>
      <c r="H20" s="124"/>
    </row>
    <row r="21" spans="1:8" ht="15" customHeight="1" x14ac:dyDescent="0.3">
      <c r="A21" s="82" t="s">
        <v>18</v>
      </c>
      <c r="B21" s="82"/>
      <c r="C21" s="82"/>
      <c r="D21" s="82"/>
      <c r="E21" s="89" t="s">
        <v>19</v>
      </c>
      <c r="F21" s="89"/>
      <c r="G21" s="89"/>
      <c r="H21" s="89"/>
    </row>
    <row r="22" spans="1:8" ht="15" customHeight="1" x14ac:dyDescent="0.3">
      <c r="A22" s="81" t="s">
        <v>20</v>
      </c>
      <c r="B22" s="81"/>
      <c r="C22" s="81"/>
      <c r="D22" s="81"/>
      <c r="E22" s="89" t="str">
        <f>IF(AND(G16="Mumbai"),"Upper Class","Middle Class")</f>
        <v>Upper Class</v>
      </c>
      <c r="F22" s="89"/>
      <c r="G22" s="89"/>
      <c r="H22" s="89"/>
    </row>
    <row r="23" spans="1:8" x14ac:dyDescent="0.3">
      <c r="A23" s="81" t="s">
        <v>21</v>
      </c>
      <c r="B23" s="81"/>
      <c r="C23" s="81"/>
      <c r="D23" s="81"/>
      <c r="E23" s="89" t="s">
        <v>22</v>
      </c>
      <c r="F23" s="89"/>
      <c r="G23" s="89"/>
      <c r="H23" s="89"/>
    </row>
    <row r="24" spans="1:8" ht="15.75" customHeight="1" x14ac:dyDescent="0.3">
      <c r="A24" s="81" t="s">
        <v>23</v>
      </c>
      <c r="B24" s="81"/>
      <c r="C24" s="81"/>
      <c r="D24" s="81"/>
      <c r="E24" s="89" t="str">
        <f>IF(AND(G16="Mumbai"),"Developed","Developing")</f>
        <v>Developed</v>
      </c>
      <c r="F24" s="89"/>
      <c r="G24" s="89"/>
      <c r="H24" s="89"/>
    </row>
    <row r="25" spans="1:8" x14ac:dyDescent="0.3">
      <c r="A25" s="81" t="s">
        <v>24</v>
      </c>
      <c r="B25" s="81"/>
      <c r="C25" s="81"/>
      <c r="D25" s="81"/>
      <c r="E25" s="89" t="s">
        <v>25</v>
      </c>
      <c r="F25" s="89"/>
      <c r="G25" s="89"/>
      <c r="H25" s="89"/>
    </row>
    <row r="26" spans="1:8" x14ac:dyDescent="0.3">
      <c r="A26" s="81" t="s">
        <v>118</v>
      </c>
      <c r="B26" s="81"/>
      <c r="C26" s="81"/>
      <c r="D26" s="81"/>
      <c r="E26" s="89" t="s">
        <v>119</v>
      </c>
      <c r="F26" s="89"/>
      <c r="G26" s="89"/>
      <c r="H26" s="89"/>
    </row>
    <row r="27" spans="1:8" ht="15" customHeight="1" x14ac:dyDescent="0.3">
      <c r="A27" s="82" t="s">
        <v>34</v>
      </c>
      <c r="B27" s="82"/>
      <c r="C27" s="82"/>
      <c r="D27" s="82"/>
      <c r="E27" s="162" t="s">
        <v>115</v>
      </c>
      <c r="F27" s="162"/>
      <c r="G27" s="162"/>
      <c r="H27" s="162"/>
    </row>
    <row r="28" spans="1:8" x14ac:dyDescent="0.3">
      <c r="A28" s="82" t="s">
        <v>131</v>
      </c>
      <c r="B28" s="82"/>
      <c r="C28" s="82"/>
      <c r="D28" s="82"/>
      <c r="E28" s="82" t="s">
        <v>35</v>
      </c>
      <c r="F28" s="82"/>
      <c r="G28" s="82"/>
      <c r="H28" s="82"/>
    </row>
    <row r="29" spans="1:8" s="12" customFormat="1" x14ac:dyDescent="0.3">
      <c r="A29" s="155" t="s">
        <v>132</v>
      </c>
      <c r="B29" s="155"/>
      <c r="C29" s="159" t="s">
        <v>30</v>
      </c>
      <c r="D29" s="159"/>
      <c r="E29" s="159"/>
      <c r="F29" s="159" t="s">
        <v>32</v>
      </c>
      <c r="G29" s="159"/>
      <c r="H29" s="159"/>
    </row>
    <row r="30" spans="1:8" s="12" customFormat="1" x14ac:dyDescent="0.3">
      <c r="A30" s="154" t="s">
        <v>26</v>
      </c>
      <c r="B30" s="154" t="s">
        <v>31</v>
      </c>
      <c r="C30" s="100" t="s">
        <v>31</v>
      </c>
      <c r="D30" s="100"/>
      <c r="E30" s="100"/>
      <c r="F30" s="100" t="s">
        <v>178</v>
      </c>
      <c r="G30" s="100"/>
      <c r="H30" s="100"/>
    </row>
    <row r="31" spans="1:8" x14ac:dyDescent="0.3">
      <c r="A31" s="154" t="s">
        <v>27</v>
      </c>
      <c r="B31" s="154" t="s">
        <v>31</v>
      </c>
      <c r="C31" s="100" t="s">
        <v>31</v>
      </c>
      <c r="D31" s="100"/>
      <c r="E31" s="100"/>
      <c r="F31" s="100" t="s">
        <v>179</v>
      </c>
      <c r="G31" s="100"/>
      <c r="H31" s="100"/>
    </row>
    <row r="32" spans="1:8" s="12" customFormat="1" x14ac:dyDescent="0.3">
      <c r="A32" s="154" t="s">
        <v>29</v>
      </c>
      <c r="B32" s="154" t="s">
        <v>31</v>
      </c>
      <c r="C32" s="100" t="s">
        <v>31</v>
      </c>
      <c r="D32" s="100"/>
      <c r="E32" s="100"/>
      <c r="F32" s="100" t="s">
        <v>180</v>
      </c>
      <c r="G32" s="100"/>
      <c r="H32" s="100"/>
    </row>
    <row r="33" spans="1:8" x14ac:dyDescent="0.3">
      <c r="A33" s="154" t="s">
        <v>28</v>
      </c>
      <c r="B33" s="154" t="s">
        <v>31</v>
      </c>
      <c r="C33" s="100" t="s">
        <v>31</v>
      </c>
      <c r="D33" s="100"/>
      <c r="E33" s="100"/>
      <c r="F33" s="100" t="s">
        <v>181</v>
      </c>
      <c r="G33" s="100"/>
      <c r="H33" s="100"/>
    </row>
    <row r="34" spans="1:8" x14ac:dyDescent="0.3">
      <c r="A34" s="81" t="s">
        <v>33</v>
      </c>
      <c r="B34" s="81"/>
      <c r="C34" s="81"/>
      <c r="D34" s="81"/>
      <c r="E34" s="81"/>
      <c r="F34" s="81"/>
      <c r="G34" s="81"/>
      <c r="H34" s="81"/>
    </row>
    <row r="35" spans="1:8" ht="15.75" customHeight="1" x14ac:dyDescent="0.3">
      <c r="A35" s="156" t="s">
        <v>248</v>
      </c>
      <c r="B35" s="156"/>
      <c r="C35" s="158" t="s">
        <v>247</v>
      </c>
      <c r="D35" s="158"/>
      <c r="E35" s="158"/>
      <c r="F35" s="158"/>
      <c r="G35" s="158"/>
      <c r="H35" s="158"/>
    </row>
    <row r="36" spans="1:8" ht="15.75" customHeight="1" x14ac:dyDescent="0.3">
      <c r="A36" s="156" t="s">
        <v>237</v>
      </c>
      <c r="B36" s="156"/>
      <c r="C36" s="157" t="s">
        <v>238</v>
      </c>
      <c r="D36" s="158"/>
      <c r="E36" s="158"/>
      <c r="F36" s="158"/>
      <c r="G36" s="158"/>
      <c r="H36" s="158"/>
    </row>
    <row r="37" spans="1:8" x14ac:dyDescent="0.3">
      <c r="A37" s="139" t="s">
        <v>36</v>
      </c>
      <c r="B37" s="139"/>
      <c r="C37" s="139"/>
      <c r="D37" s="139"/>
      <c r="E37" s="139"/>
      <c r="F37" s="139"/>
      <c r="G37" s="139"/>
      <c r="H37" s="139"/>
    </row>
    <row r="38" spans="1:8" x14ac:dyDescent="0.3">
      <c r="A38" s="81" t="s">
        <v>37</v>
      </c>
      <c r="B38" s="81"/>
      <c r="C38" s="81"/>
      <c r="D38" s="81"/>
      <c r="E38" s="166">
        <v>12420.2</v>
      </c>
      <c r="F38" s="166"/>
      <c r="G38" s="166"/>
      <c r="H38" s="166"/>
    </row>
    <row r="39" spans="1:8" x14ac:dyDescent="0.3">
      <c r="A39" s="81" t="s">
        <v>38</v>
      </c>
      <c r="B39" s="81"/>
      <c r="C39" s="81"/>
      <c r="D39" s="81"/>
      <c r="E39" s="150">
        <v>4.4400000000000004</v>
      </c>
      <c r="F39" s="150"/>
      <c r="G39" s="150"/>
      <c r="H39" s="150"/>
    </row>
    <row r="40" spans="1:8" x14ac:dyDescent="0.3">
      <c r="A40" s="81" t="s">
        <v>39</v>
      </c>
      <c r="B40" s="81"/>
      <c r="C40" s="81"/>
      <c r="D40" s="81"/>
      <c r="E40" s="149">
        <f>E42/E38-E39</f>
        <v>-3.9917231606585446E-3</v>
      </c>
      <c r="F40" s="149"/>
      <c r="G40" s="149"/>
      <c r="H40" s="149"/>
    </row>
    <row r="41" spans="1:8" x14ac:dyDescent="0.3">
      <c r="A41" s="81" t="s">
        <v>40</v>
      </c>
      <c r="B41" s="81"/>
      <c r="C41" s="81"/>
      <c r="D41" s="81"/>
      <c r="E41" s="150">
        <f>E39+E40</f>
        <v>4.4360082768393418</v>
      </c>
      <c r="F41" s="150"/>
      <c r="G41" s="150"/>
      <c r="H41" s="150"/>
    </row>
    <row r="42" spans="1:8" x14ac:dyDescent="0.3">
      <c r="A42" s="81" t="s">
        <v>130</v>
      </c>
      <c r="B42" s="81"/>
      <c r="C42" s="81"/>
      <c r="D42" s="81"/>
      <c r="E42" s="150">
        <v>55096.11</v>
      </c>
      <c r="F42" s="150"/>
      <c r="G42" s="150"/>
      <c r="H42" s="150"/>
    </row>
    <row r="43" spans="1:8" x14ac:dyDescent="0.3">
      <c r="A43" s="124" t="s">
        <v>41</v>
      </c>
      <c r="B43" s="124"/>
      <c r="C43" s="124"/>
      <c r="D43" s="124"/>
      <c r="E43" s="124" t="s">
        <v>226</v>
      </c>
      <c r="F43" s="124"/>
      <c r="G43" s="124"/>
      <c r="H43" s="124"/>
    </row>
    <row r="44" spans="1:8" x14ac:dyDescent="0.3">
      <c r="A44" s="139" t="s">
        <v>239</v>
      </c>
      <c r="B44" s="139"/>
      <c r="C44" s="139"/>
      <c r="D44" s="139"/>
      <c r="E44" s="139"/>
      <c r="F44" s="139"/>
      <c r="G44" s="139"/>
      <c r="H44" s="139"/>
    </row>
    <row r="45" spans="1:8" x14ac:dyDescent="0.3">
      <c r="A45" s="82" t="s">
        <v>42</v>
      </c>
      <c r="B45" s="82"/>
      <c r="C45" s="126" t="s">
        <v>171</v>
      </c>
      <c r="D45" s="126"/>
      <c r="E45" s="126"/>
      <c r="F45" s="39" t="s">
        <v>43</v>
      </c>
      <c r="G45" s="135" t="s">
        <v>173</v>
      </c>
      <c r="H45" s="135"/>
    </row>
    <row r="46" spans="1:8" x14ac:dyDescent="0.3">
      <c r="A46" s="129" t="s">
        <v>44</v>
      </c>
      <c r="B46" s="130"/>
      <c r="C46" s="126" t="str">
        <f>C45</f>
        <v>SRA/ENG/2655/L/STGL/AP</v>
      </c>
      <c r="D46" s="126"/>
      <c r="E46" s="126"/>
      <c r="F46" s="39" t="s">
        <v>43</v>
      </c>
      <c r="G46" s="135" t="str">
        <f>G45</f>
        <v>19/01/2021.</v>
      </c>
      <c r="H46" s="135"/>
    </row>
    <row r="47" spans="1:8" s="11" customFormat="1" x14ac:dyDescent="0.3">
      <c r="A47" s="89" t="s">
        <v>45</v>
      </c>
      <c r="B47" s="89"/>
      <c r="C47" s="126" t="s">
        <v>171</v>
      </c>
      <c r="D47" s="80"/>
      <c r="E47" s="80"/>
      <c r="F47" s="14" t="s">
        <v>43</v>
      </c>
      <c r="G47" s="135" t="s">
        <v>172</v>
      </c>
      <c r="H47" s="135"/>
    </row>
    <row r="48" spans="1:8" s="11" customFormat="1" ht="33.75" customHeight="1" x14ac:dyDescent="0.3">
      <c r="A48" s="89"/>
      <c r="B48" s="89"/>
      <c r="C48" s="132" t="s">
        <v>199</v>
      </c>
      <c r="D48" s="133"/>
      <c r="E48" s="133"/>
      <c r="F48" s="133"/>
      <c r="G48" s="133"/>
      <c r="H48" s="134"/>
    </row>
    <row r="49" spans="1:11" x14ac:dyDescent="0.3">
      <c r="A49" s="139" t="s">
        <v>240</v>
      </c>
      <c r="B49" s="139"/>
      <c r="C49" s="139"/>
      <c r="D49" s="139"/>
      <c r="E49" s="139"/>
      <c r="F49" s="139"/>
      <c r="G49" s="139"/>
      <c r="H49" s="139"/>
    </row>
    <row r="50" spans="1:11" x14ac:dyDescent="0.3">
      <c r="A50" s="89" t="s">
        <v>42</v>
      </c>
      <c r="B50" s="89"/>
      <c r="C50" s="126" t="s">
        <v>171</v>
      </c>
      <c r="D50" s="126"/>
      <c r="E50" s="126"/>
      <c r="F50" s="39" t="s">
        <v>43</v>
      </c>
      <c r="G50" s="135">
        <v>44783</v>
      </c>
      <c r="H50" s="135"/>
    </row>
    <row r="51" spans="1:11" x14ac:dyDescent="0.3">
      <c r="A51" s="170" t="s">
        <v>44</v>
      </c>
      <c r="B51" s="171"/>
      <c r="C51" s="126" t="str">
        <f>C50</f>
        <v>SRA/ENG/2655/L/STGL/AP</v>
      </c>
      <c r="D51" s="126"/>
      <c r="E51" s="126"/>
      <c r="F51" s="39" t="s">
        <v>43</v>
      </c>
      <c r="G51" s="135">
        <f>G50</f>
        <v>44783</v>
      </c>
      <c r="H51" s="135"/>
    </row>
    <row r="52" spans="1:11" s="11" customFormat="1" x14ac:dyDescent="0.3">
      <c r="A52" s="89" t="s">
        <v>235</v>
      </c>
      <c r="B52" s="89"/>
      <c r="C52" s="126" t="s">
        <v>171</v>
      </c>
      <c r="D52" s="80"/>
      <c r="E52" s="80"/>
      <c r="F52" s="14" t="s">
        <v>43</v>
      </c>
      <c r="G52" s="135">
        <v>44517</v>
      </c>
      <c r="H52" s="135"/>
    </row>
    <row r="53" spans="1:11" s="11" customFormat="1" ht="33.75" customHeight="1" x14ac:dyDescent="0.3">
      <c r="A53" s="89"/>
      <c r="B53" s="89"/>
      <c r="C53" s="132" t="s">
        <v>236</v>
      </c>
      <c r="D53" s="133"/>
      <c r="E53" s="133"/>
      <c r="F53" s="133"/>
      <c r="G53" s="133"/>
      <c r="H53" s="134"/>
    </row>
    <row r="54" spans="1:11" x14ac:dyDescent="0.3">
      <c r="A54" s="127" t="s">
        <v>46</v>
      </c>
      <c r="B54" s="127"/>
      <c r="C54" s="128" t="s">
        <v>147</v>
      </c>
      <c r="D54" s="112"/>
      <c r="E54" s="112" t="s">
        <v>47</v>
      </c>
      <c r="F54" s="40" t="s">
        <v>43</v>
      </c>
      <c r="G54" s="125" t="s">
        <v>31</v>
      </c>
      <c r="H54" s="125"/>
    </row>
    <row r="55" spans="1:11" x14ac:dyDescent="0.3">
      <c r="A55" s="131" t="s">
        <v>49</v>
      </c>
      <c r="B55" s="131"/>
      <c r="C55" s="131"/>
      <c r="D55" s="131"/>
      <c r="E55" s="131"/>
      <c r="F55" s="131"/>
      <c r="G55" s="131"/>
      <c r="H55" s="131"/>
    </row>
    <row r="56" spans="1:11" x14ac:dyDescent="0.3">
      <c r="A56" s="82" t="s">
        <v>129</v>
      </c>
      <c r="B56" s="82"/>
      <c r="C56" s="82"/>
      <c r="D56" s="81">
        <v>13349.54</v>
      </c>
      <c r="E56" s="81"/>
      <c r="F56" s="81"/>
      <c r="G56" s="81"/>
      <c r="H56" s="81"/>
    </row>
    <row r="57" spans="1:11" x14ac:dyDescent="0.3">
      <c r="A57" s="89" t="s">
        <v>50</v>
      </c>
      <c r="B57" s="124"/>
      <c r="C57" s="124"/>
      <c r="D57" s="124" t="s">
        <v>194</v>
      </c>
      <c r="E57" s="124"/>
      <c r="F57" s="124"/>
      <c r="G57" s="124"/>
      <c r="H57" s="124"/>
    </row>
    <row r="58" spans="1:11" ht="30.75" customHeight="1" x14ac:dyDescent="0.3">
      <c r="A58" s="89" t="s">
        <v>51</v>
      </c>
      <c r="B58" s="124"/>
      <c r="C58" s="124"/>
      <c r="D58" s="89" t="s">
        <v>244</v>
      </c>
      <c r="E58" s="89"/>
      <c r="F58" s="89"/>
      <c r="G58" s="89"/>
      <c r="H58" s="89"/>
    </row>
    <row r="59" spans="1:11" x14ac:dyDescent="0.3">
      <c r="A59" s="89" t="s">
        <v>127</v>
      </c>
      <c r="B59" s="89"/>
      <c r="C59" s="89"/>
      <c r="D59" s="89" t="s">
        <v>205</v>
      </c>
      <c r="E59" s="89"/>
      <c r="F59" s="89"/>
      <c r="G59" s="89"/>
      <c r="H59" s="89"/>
    </row>
    <row r="60" spans="1:11" x14ac:dyDescent="0.3">
      <c r="A60" s="89"/>
      <c r="B60" s="89"/>
      <c r="C60" s="89"/>
      <c r="D60" s="89" t="s">
        <v>245</v>
      </c>
      <c r="E60" s="89"/>
      <c r="F60" s="89"/>
      <c r="G60" s="89"/>
      <c r="H60" s="89"/>
    </row>
    <row r="61" spans="1:11" ht="15.75" customHeight="1" x14ac:dyDescent="0.3">
      <c r="A61" s="81" t="s">
        <v>48</v>
      </c>
      <c r="B61" s="81"/>
      <c r="C61" s="81"/>
      <c r="D61" s="82" t="s">
        <v>182</v>
      </c>
      <c r="E61" s="82"/>
      <c r="F61" s="82"/>
      <c r="G61" s="82"/>
      <c r="H61" s="82"/>
    </row>
    <row r="62" spans="1:11" ht="15.75" customHeight="1" x14ac:dyDescent="0.3">
      <c r="A62" s="81" t="s">
        <v>124</v>
      </c>
      <c r="B62" s="81"/>
      <c r="C62" s="81"/>
      <c r="D62" s="82" t="s">
        <v>125</v>
      </c>
      <c r="E62" s="82"/>
      <c r="F62" s="82"/>
      <c r="G62" s="82"/>
      <c r="H62" s="82"/>
    </row>
    <row r="63" spans="1:11" ht="15.75" customHeight="1" x14ac:dyDescent="0.3">
      <c r="A63" s="81" t="s">
        <v>126</v>
      </c>
      <c r="B63" s="81"/>
      <c r="C63" s="81"/>
      <c r="D63" s="82" t="s">
        <v>25</v>
      </c>
      <c r="E63" s="82"/>
      <c r="F63" s="82"/>
      <c r="G63" s="82"/>
      <c r="H63" s="82"/>
      <c r="J63" s="19"/>
      <c r="K63" s="19"/>
    </row>
    <row r="64" spans="1:11" ht="15.75" customHeight="1" thickBot="1" x14ac:dyDescent="0.35">
      <c r="A64" s="81" t="s">
        <v>123</v>
      </c>
      <c r="B64" s="81"/>
      <c r="C64" s="81"/>
      <c r="D64" s="89" t="str">
        <f ca="1">(IF(E69&gt;95%,"Nothing",IF(E69&gt;0%,"Cement, Aggregate, Steel, etc",IF(E69=0%,"Work not yet Started"))))</f>
        <v>Cement, Aggregate, Steel, etc</v>
      </c>
      <c r="E64" s="89"/>
      <c r="F64" s="89"/>
      <c r="G64" s="89"/>
      <c r="H64" s="89"/>
      <c r="J64" s="19"/>
      <c r="K64" s="19"/>
    </row>
    <row r="65" spans="1:14" customFormat="1" ht="15.75" customHeight="1" x14ac:dyDescent="0.3">
      <c r="A65" s="113" t="s">
        <v>207</v>
      </c>
      <c r="B65" s="113"/>
      <c r="C65" s="113" t="s">
        <v>205</v>
      </c>
      <c r="D65" s="113"/>
      <c r="E65" s="113"/>
      <c r="F65" s="113"/>
      <c r="G65" s="113"/>
      <c r="H65" s="113"/>
      <c r="I65" s="52" t="str">
        <f ca="1">(IF(E69&gt;99%,"All work completed. Please provide OC.",IF(E69&gt;89.8%,"Plinth, RCC, Brick, Plaster, Flooring, Painting work Completed. Finishing work is in process.",IF(E69&lt;94%,(IF(C69=0,"Work not yet Started.",IF(D69=25%,"Piling work in process",IF(D69=50%,"Excavation work in process",IF(D69=100%,"Excavation work Completed. ","0")))&amp;(IF(C70=0%,"",IF(C70=J71,"Footing work is process",IF(C70=J72,"Footing work Completed",IF(C70=J73,"1st Basement Completed",IF(C70=J74,"1st &amp; 2nd Basement Completed",IF(C70=J75,"1st to 3rd Basement Completed",IF(C70=J76,"1st to 4th Basement Completed",IF(C70=J77,"Plinth work is process",IF(C70=J78,"Plinth work completed","0")))))))))))&amp;(IF(C71=(D66+F66+H66),", RCC Slab",IF(C71&gt;0,", RCC upto "&amp;C71&amp;" Slab",""))&amp;(IF(C72=H66,", Brickwork",IF(C72&gt;0,", Brickwork upto "&amp;C72&amp;" Floor",""))&amp;(IF(C73=H66,", Internal Plaster",IF(C73&gt;0,", Internal Plaster upto "&amp;C73&amp;" Floor",""))&amp;(IF(C74=H66,", External Plaster",IF(C74&gt;0,", External Plaster upto "&amp;C74&amp;" Floor",""))&amp;(IF(C75=H66,", Flooring",IF(C75&gt;0,", Flooring upto "&amp;C75&amp;" Floor",""))&amp;(IF(C76=H66,", Painting",IF(C76&gt;0,", Painting upto "&amp;C76&amp;" Floor",""))&amp;(IF(C77&gt;0,", Finishing upto "&amp;C77&amp;" Floor","")&amp;(IF(C71&gt;0.5," Completed",""))))))))))))))</f>
        <v>Excavation work Completed. Plinth work completed, RCC Slab, Brickwork, Internal Plaster, External Plaster upto 25 Floor, Flooring upto 15 Floor Completed</v>
      </c>
      <c r="J65" s="22"/>
    </row>
    <row r="66" spans="1:14" customFormat="1" x14ac:dyDescent="0.3">
      <c r="A66" s="48" t="s">
        <v>102</v>
      </c>
      <c r="B66" s="48">
        <v>3</v>
      </c>
      <c r="C66" s="48" t="s">
        <v>104</v>
      </c>
      <c r="D66" s="48">
        <v>1</v>
      </c>
      <c r="E66" s="48" t="s">
        <v>103</v>
      </c>
      <c r="F66" s="48">
        <v>0</v>
      </c>
      <c r="G66" s="48" t="s">
        <v>117</v>
      </c>
      <c r="H66" s="48">
        <f ca="1">--TRIM(RIGHT(SUBSTITUTE(LEFT(C65,_xlfn.AGGREGATE(16,6,FIND({0,1,2,3,4,5,6,7,8,9},C65,ROW(INDIRECT("1:"&amp;LEN(C65)))),1))," ",REPT(" ",LEN(C65))),LEN(C65)))</f>
        <v>30</v>
      </c>
      <c r="I66" s="19"/>
      <c r="J66" s="23"/>
    </row>
    <row r="67" spans="1:14" customFormat="1" ht="46.95" customHeight="1" x14ac:dyDescent="0.3">
      <c r="A67" s="83" t="s">
        <v>128</v>
      </c>
      <c r="B67" s="83"/>
      <c r="C67" s="113" t="str">
        <f ca="1">I65</f>
        <v>Excavation work Completed. Plinth work completed, RCC Slab, Brickwork, Internal Plaster, External Plaster upto 25 Floor, Flooring upto 15 Floor Completed</v>
      </c>
      <c r="D67" s="113"/>
      <c r="E67" s="113"/>
      <c r="F67" s="113"/>
      <c r="G67" s="113"/>
      <c r="H67" s="113"/>
      <c r="I67" s="19" t="s">
        <v>146</v>
      </c>
      <c r="J67" s="23"/>
    </row>
    <row r="68" spans="1:14" customFormat="1" x14ac:dyDescent="0.3">
      <c r="A68" s="84" t="s">
        <v>52</v>
      </c>
      <c r="B68" s="85"/>
      <c r="C68" s="42" t="s">
        <v>208</v>
      </c>
      <c r="D68" s="48" t="s">
        <v>120</v>
      </c>
      <c r="E68" s="86" t="s">
        <v>122</v>
      </c>
      <c r="F68" s="87"/>
      <c r="G68" s="86" t="s">
        <v>121</v>
      </c>
      <c r="H68" s="88"/>
      <c r="I68" s="51" t="s">
        <v>209</v>
      </c>
      <c r="J68" s="24">
        <f ca="1">H66*25%</f>
        <v>7.5</v>
      </c>
    </row>
    <row r="69" spans="1:14" customFormat="1" x14ac:dyDescent="0.3">
      <c r="A69" s="84" t="s">
        <v>210</v>
      </c>
      <c r="B69" s="85"/>
      <c r="C69" s="43">
        <f ca="1">J70</f>
        <v>30</v>
      </c>
      <c r="D69" s="49">
        <f ca="1">((100/H66)*C69)/100</f>
        <v>1</v>
      </c>
      <c r="E69" s="90">
        <f ca="1">(((C70/H66*10)+(40/(D66+F66+H66)*C71)+(7.5/(H66)*C72)+(7.5/(H66)*C73)+(10/H66*C74)+(10/H66*C75)+(5/H66*C76)+(5/H66*C77)+(5/H66*C78))/100)</f>
        <v>0.78333333333333333</v>
      </c>
      <c r="F69" s="91"/>
      <c r="G69" s="90">
        <f ca="1">((((C69/H66)*20)+((C70/H66)*25)+(30/(H66+F66+D66)*C71)+(5/H66*C72)+(5/H66*C73)+(5/H66*C74)+(5/H66*C75)+(0/H66*C76)+(0/H66*C77)+(5/H66*C78))/100)</f>
        <v>0.91666666666666674</v>
      </c>
      <c r="H69" s="96"/>
      <c r="I69" s="51" t="s">
        <v>140</v>
      </c>
      <c r="J69" s="53">
        <f ca="1">H66*50%</f>
        <v>15</v>
      </c>
    </row>
    <row r="70" spans="1:14" customFormat="1" x14ac:dyDescent="0.3">
      <c r="A70" s="84" t="s">
        <v>53</v>
      </c>
      <c r="B70" s="85"/>
      <c r="C70" s="44">
        <f ca="1">J78</f>
        <v>30</v>
      </c>
      <c r="D70" s="49">
        <f ca="1">((100/H66)*C70)/100</f>
        <v>1</v>
      </c>
      <c r="E70" s="92"/>
      <c r="F70" s="93"/>
      <c r="G70" s="92"/>
      <c r="H70" s="97"/>
      <c r="I70" s="51" t="s">
        <v>141</v>
      </c>
      <c r="J70" s="53">
        <f ca="1">H66</f>
        <v>30</v>
      </c>
    </row>
    <row r="71" spans="1:14" customFormat="1" x14ac:dyDescent="0.3">
      <c r="A71" s="99" t="s">
        <v>211</v>
      </c>
      <c r="B71" s="100"/>
      <c r="C71" s="44">
        <v>31</v>
      </c>
      <c r="D71" s="49">
        <f ca="1">((100/(D66+F66+H66))*C71)/100</f>
        <v>1</v>
      </c>
      <c r="E71" s="92"/>
      <c r="F71" s="93"/>
      <c r="G71" s="92"/>
      <c r="H71" s="97"/>
      <c r="I71" s="51" t="s">
        <v>142</v>
      </c>
      <c r="J71" s="54">
        <f ca="1">(IF(B66&gt;1,(H66/(B66+2)),H66/4))</f>
        <v>6</v>
      </c>
      <c r="L71" s="55"/>
    </row>
    <row r="72" spans="1:14" customFormat="1" ht="15.75" customHeight="1" x14ac:dyDescent="0.3">
      <c r="A72" s="84" t="s">
        <v>212</v>
      </c>
      <c r="B72" s="85" t="s">
        <v>213</v>
      </c>
      <c r="C72" s="43">
        <v>30</v>
      </c>
      <c r="D72" s="49">
        <f ca="1">((100/H66)*C72)/100</f>
        <v>1</v>
      </c>
      <c r="E72" s="92"/>
      <c r="F72" s="93"/>
      <c r="G72" s="92"/>
      <c r="H72" s="97"/>
      <c r="I72" s="51" t="s">
        <v>143</v>
      </c>
      <c r="J72" s="54">
        <f ca="1">(IF(B66&gt;1,(H66/(B66+2)+J71),H66/4+J71))</f>
        <v>12</v>
      </c>
      <c r="L72" s="55"/>
    </row>
    <row r="73" spans="1:14" customFormat="1" ht="15.75" customHeight="1" x14ac:dyDescent="0.3">
      <c r="A73" s="84" t="s">
        <v>214</v>
      </c>
      <c r="B73" s="85" t="s">
        <v>213</v>
      </c>
      <c r="C73" s="43">
        <v>30</v>
      </c>
      <c r="D73" s="49">
        <f ca="1">((100/H66)*C73)/100</f>
        <v>1</v>
      </c>
      <c r="E73" s="92"/>
      <c r="F73" s="93"/>
      <c r="G73" s="92"/>
      <c r="H73" s="97"/>
      <c r="I73" s="51" t="s">
        <v>215</v>
      </c>
      <c r="J73" s="54">
        <f ca="1">(IF(B66&gt;1,(H66/(B66+2)+J72),0))</f>
        <v>18</v>
      </c>
      <c r="L73" s="56"/>
      <c r="N73" s="55"/>
    </row>
    <row r="74" spans="1:14" customFormat="1" ht="15.75" customHeight="1" x14ac:dyDescent="0.3">
      <c r="A74" s="84" t="s">
        <v>216</v>
      </c>
      <c r="B74" s="85" t="s">
        <v>217</v>
      </c>
      <c r="C74" s="43">
        <v>25</v>
      </c>
      <c r="D74" s="49">
        <f ca="1">((100/(H66))*C74)/100</f>
        <v>0.83333333333333348</v>
      </c>
      <c r="E74" s="92"/>
      <c r="F74" s="93"/>
      <c r="G74" s="92"/>
      <c r="H74" s="97"/>
      <c r="I74" s="51" t="s">
        <v>218</v>
      </c>
      <c r="J74" s="54">
        <f ca="1">(IF(B66&gt;2,(H66/(B66+2)+J73),0))</f>
        <v>24</v>
      </c>
      <c r="K74" s="57"/>
      <c r="L74" s="56"/>
    </row>
    <row r="75" spans="1:14" customFormat="1" ht="15.75" customHeight="1" x14ac:dyDescent="0.3">
      <c r="A75" s="84" t="s">
        <v>219</v>
      </c>
      <c r="B75" s="85" t="s">
        <v>219</v>
      </c>
      <c r="C75" s="43">
        <v>15</v>
      </c>
      <c r="D75" s="49">
        <f ca="1">((100/H66)*C75)/100</f>
        <v>0.5</v>
      </c>
      <c r="E75" s="92"/>
      <c r="F75" s="93"/>
      <c r="G75" s="92"/>
      <c r="H75" s="97"/>
      <c r="I75" s="51" t="s">
        <v>220</v>
      </c>
      <c r="J75" s="58">
        <f>(IF(B66&gt;3,(H66/(B66+2)+J74),0))</f>
        <v>0</v>
      </c>
      <c r="K75" s="57"/>
      <c r="L75" s="56"/>
    </row>
    <row r="76" spans="1:14" customFormat="1" ht="15.75" customHeight="1" x14ac:dyDescent="0.3">
      <c r="A76" s="84" t="s">
        <v>221</v>
      </c>
      <c r="B76" s="85"/>
      <c r="C76" s="43">
        <v>0</v>
      </c>
      <c r="D76" s="49">
        <f ca="1">((100/H66)*C76)/100</f>
        <v>0</v>
      </c>
      <c r="E76" s="92"/>
      <c r="F76" s="93"/>
      <c r="G76" s="92"/>
      <c r="H76" s="97"/>
      <c r="I76" s="51" t="s">
        <v>222</v>
      </c>
      <c r="J76" s="54">
        <f>(IF(B66&gt;4,(H66/(B66+2)+J75),0))</f>
        <v>0</v>
      </c>
      <c r="K76" s="55"/>
      <c r="L76" s="56"/>
    </row>
    <row r="77" spans="1:14" customFormat="1" ht="15.75" customHeight="1" x14ac:dyDescent="0.3">
      <c r="A77" s="84" t="s">
        <v>223</v>
      </c>
      <c r="B77" s="85" t="s">
        <v>223</v>
      </c>
      <c r="C77" s="43">
        <v>0</v>
      </c>
      <c r="D77" s="49">
        <f ca="1">((100/(H66))*C77)/100</f>
        <v>0</v>
      </c>
      <c r="E77" s="92"/>
      <c r="F77" s="93"/>
      <c r="G77" s="92"/>
      <c r="H77" s="97"/>
      <c r="I77" s="51" t="s">
        <v>144</v>
      </c>
      <c r="J77" s="54">
        <f>(IF(B66=1,(H66/(B66+3)+J72),IF(B66=0,(H66/4+J72),IF(B66&gt;1,0))))</f>
        <v>0</v>
      </c>
      <c r="K77" s="57"/>
      <c r="L77" s="56"/>
    </row>
    <row r="78" spans="1:14" customFormat="1" ht="16.2" thickBot="1" x14ac:dyDescent="0.35">
      <c r="A78" s="103" t="s">
        <v>224</v>
      </c>
      <c r="B78" s="104"/>
      <c r="C78" s="45">
        <v>0</v>
      </c>
      <c r="D78" s="50">
        <f ca="1">((100/(H66))*C78)/100</f>
        <v>0</v>
      </c>
      <c r="E78" s="94"/>
      <c r="F78" s="95"/>
      <c r="G78" s="94"/>
      <c r="H78" s="98"/>
      <c r="I78" s="59" t="s">
        <v>145</v>
      </c>
      <c r="J78" s="60">
        <f ca="1">(IF(B66&gt;1.5,(H66/(B66+2)+J72+MAX(0,J73-J72)+MAX(0,J74-J73)+MAX(0,J75-J74)+MAX(0,J76-J75)+MAX(0,J77-J76)),IF(B66=1,(H66/(B66+3)+J77),IF(B66=0,H66/4+J77))))</f>
        <v>30</v>
      </c>
      <c r="K78" s="57"/>
      <c r="L78" s="56"/>
    </row>
    <row r="79" spans="1:14" customFormat="1" ht="15.75" customHeight="1" x14ac:dyDescent="0.3">
      <c r="A79" s="140" t="s">
        <v>207</v>
      </c>
      <c r="B79" s="141"/>
      <c r="C79" s="142" t="s">
        <v>261</v>
      </c>
      <c r="D79" s="143"/>
      <c r="E79" s="143"/>
      <c r="F79" s="143"/>
      <c r="G79" s="143"/>
      <c r="H79" s="144"/>
      <c r="I79" s="52" t="str">
        <f ca="1">(IF(E83&gt;99%,"All work completed. Please provide OC.",IF(E83&gt;89.8%,"Plinth, RCC, Brick, Plaster, Flooring, Painting work Completed. Finishing work is in process.",IF(E83&lt;94%,(IF(C83=0,"Work not yet Started.",IF(D83=25%,"Piling work in process",IF(D83=50%,"Excavation work in process",IF(D83=100%,"Excavation work Completed. ","0")))&amp;(IF(C84=0%,"",IF(C84=J85,"Footing work is process",IF(C84=J86,"Footing work Completed",IF(C84=J87,"1st Basement Completed",IF(C84=J88,"1st &amp; 2nd Basement Completed",IF(C84=J89,"1st to 3rd Basement Completed",IF(C84=J90,"1st to 4th Basement Completed",IF(C84=J91,"Plinth work is process",IF(C84=J92,"Plinth work completed","0")))))))))))&amp;(IF(C85=(D80+F80+H80),", RCC Slab",IF(C85&gt;0,", RCC upto "&amp;C85&amp;" Slab",""))&amp;(IF(C86=H80,", Brickwork",IF(C86&gt;0,", Brickwork upto "&amp;C86&amp;" Floor",""))&amp;(IF(C87=H80,", Internal Plaster",IF(C87&gt;0,", Internal Plaster upto "&amp;C87&amp;" Floor",""))&amp;(IF(C88=H80,", External Plaster",IF(C88&gt;0,", External Plaster upto "&amp;C88&amp;" Floor",""))&amp;(IF(C89=H80,", Flooring",IF(C89&gt;0,", Flooring upto "&amp;C89&amp;" Floor",""))&amp;(IF(C90=H80,", Painting",IF(C90&gt;0,", Painting upto "&amp;C90&amp;" Floor",""))&amp;(IF(C91&gt;0,", Finishing upto "&amp;C91&amp;" Floor","")&amp;(IF(C85&gt;0.5," Completed",""))))))))))))))</f>
        <v>Excavation work Completed. Plinth work completed, RCC upto 5 Slab Completed</v>
      </c>
      <c r="J79" s="22"/>
    </row>
    <row r="80" spans="1:14" customFormat="1" x14ac:dyDescent="0.3">
      <c r="A80" s="21" t="s">
        <v>102</v>
      </c>
      <c r="B80" s="48">
        <v>3</v>
      </c>
      <c r="C80" s="48" t="s">
        <v>104</v>
      </c>
      <c r="D80" s="48">
        <v>1</v>
      </c>
      <c r="E80" s="48" t="s">
        <v>103</v>
      </c>
      <c r="F80" s="48">
        <v>0</v>
      </c>
      <c r="G80" s="48" t="s">
        <v>117</v>
      </c>
      <c r="H80" s="41">
        <f ca="1">--TRIM(RIGHT(SUBSTITUTE(LEFT(C79,_xlfn.AGGREGATE(16,6,FIND({0,1,2,3,4,5,6,7,8,9},C79,ROW(INDIRECT("1:"&amp;LEN(C79)))),1))," ",REPT(" ",LEN(C79))),LEN(C79)))</f>
        <v>30</v>
      </c>
      <c r="I80" s="19"/>
      <c r="J80" s="23"/>
    </row>
    <row r="81" spans="1:14" customFormat="1" ht="32.549999999999997" customHeight="1" x14ac:dyDescent="0.3">
      <c r="A81" s="145" t="s">
        <v>128</v>
      </c>
      <c r="B81" s="83"/>
      <c r="C81" s="146" t="str">
        <f ca="1">I79</f>
        <v>Excavation work Completed. Plinth work completed, RCC upto 5 Slab Completed</v>
      </c>
      <c r="D81" s="147"/>
      <c r="E81" s="147"/>
      <c r="F81" s="147"/>
      <c r="G81" s="147"/>
      <c r="H81" s="148"/>
      <c r="I81" s="19" t="s">
        <v>146</v>
      </c>
      <c r="J81" s="23"/>
    </row>
    <row r="82" spans="1:14" customFormat="1" x14ac:dyDescent="0.3">
      <c r="A82" s="84" t="s">
        <v>52</v>
      </c>
      <c r="B82" s="85"/>
      <c r="C82" s="42" t="s">
        <v>208</v>
      </c>
      <c r="D82" s="48" t="s">
        <v>120</v>
      </c>
      <c r="E82" s="86" t="s">
        <v>122</v>
      </c>
      <c r="F82" s="87"/>
      <c r="G82" s="86" t="s">
        <v>121</v>
      </c>
      <c r="H82" s="88"/>
      <c r="I82" s="51" t="s">
        <v>209</v>
      </c>
      <c r="J82" s="24">
        <f ca="1">H80*25%</f>
        <v>7.5</v>
      </c>
    </row>
    <row r="83" spans="1:14" customFormat="1" x14ac:dyDescent="0.3">
      <c r="A83" s="84" t="s">
        <v>210</v>
      </c>
      <c r="B83" s="85"/>
      <c r="C83" s="43">
        <v>30</v>
      </c>
      <c r="D83" s="49">
        <f ca="1">((100/H80)*C83)/100</f>
        <v>1</v>
      </c>
      <c r="E83" s="90">
        <f ca="1">(((C84/H80*10)+(40/(D80+F80+H80)*C85)+(7.5/(H80)*C86)+(7.5/(H80)*C87)+(10/H80*C88)+(10/H80*C89)+(5/H80*C90)+(5/H80*C91)+(5/H80*C92))/100)</f>
        <v>0.16451612903225807</v>
      </c>
      <c r="F83" s="91"/>
      <c r="G83" s="90">
        <f ca="1">((((C83/H80)*20)+((C84/H80)*25)+(30/(H80+F80+D80)*C85)+(5/H80*C86)+(5/H80*C87)+(5/H80*C88)+(5/H80*C89)+(0/H80*C90)+(0/H80*C91)+(5/H80*C92))/100)</f>
        <v>0.49838709677419352</v>
      </c>
      <c r="H83" s="96"/>
      <c r="I83" s="51" t="s">
        <v>140</v>
      </c>
      <c r="J83" s="53">
        <f ca="1">H80*50%</f>
        <v>15</v>
      </c>
    </row>
    <row r="84" spans="1:14" customFormat="1" x14ac:dyDescent="0.3">
      <c r="A84" s="84" t="s">
        <v>53</v>
      </c>
      <c r="B84" s="85"/>
      <c r="C84" s="44">
        <f ca="1">J92</f>
        <v>30</v>
      </c>
      <c r="D84" s="49">
        <f ca="1">((100/H80)*C84)/100</f>
        <v>1</v>
      </c>
      <c r="E84" s="92"/>
      <c r="F84" s="93"/>
      <c r="G84" s="92"/>
      <c r="H84" s="97"/>
      <c r="I84" s="51" t="s">
        <v>141</v>
      </c>
      <c r="J84" s="53">
        <f ca="1">H80</f>
        <v>30</v>
      </c>
    </row>
    <row r="85" spans="1:14" customFormat="1" x14ac:dyDescent="0.3">
      <c r="A85" s="99" t="s">
        <v>211</v>
      </c>
      <c r="B85" s="100"/>
      <c r="C85" s="44">
        <v>5</v>
      </c>
      <c r="D85" s="49">
        <f ca="1">((100/(D80+F80+H80))*C85)/100</f>
        <v>0.16129032258064516</v>
      </c>
      <c r="E85" s="92"/>
      <c r="F85" s="93"/>
      <c r="G85" s="92"/>
      <c r="H85" s="97"/>
      <c r="I85" s="51" t="s">
        <v>142</v>
      </c>
      <c r="J85" s="54">
        <f ca="1">(IF(B80&gt;1,(H80/(B80+2)),H80/4))</f>
        <v>6</v>
      </c>
      <c r="L85" s="55"/>
    </row>
    <row r="86" spans="1:14" customFormat="1" ht="15.75" customHeight="1" x14ac:dyDescent="0.3">
      <c r="A86" s="84" t="s">
        <v>212</v>
      </c>
      <c r="B86" s="85" t="s">
        <v>213</v>
      </c>
      <c r="C86" s="43">
        <v>0</v>
      </c>
      <c r="D86" s="49">
        <f ca="1">((100/H80)*C86)/100</f>
        <v>0</v>
      </c>
      <c r="E86" s="92"/>
      <c r="F86" s="93"/>
      <c r="G86" s="92"/>
      <c r="H86" s="97"/>
      <c r="I86" s="51" t="s">
        <v>143</v>
      </c>
      <c r="J86" s="54">
        <f ca="1">(IF(B80&gt;1,(H80/(B80+2)+J85),H80/4+J85))</f>
        <v>12</v>
      </c>
      <c r="L86" s="55"/>
    </row>
    <row r="87" spans="1:14" customFormat="1" ht="15.75" customHeight="1" x14ac:dyDescent="0.3">
      <c r="A87" s="84" t="s">
        <v>214</v>
      </c>
      <c r="B87" s="85" t="s">
        <v>213</v>
      </c>
      <c r="C87" s="43">
        <v>0</v>
      </c>
      <c r="D87" s="49">
        <f ca="1">((100/H80)*C87)/100</f>
        <v>0</v>
      </c>
      <c r="E87" s="92"/>
      <c r="F87" s="93"/>
      <c r="G87" s="92"/>
      <c r="H87" s="97"/>
      <c r="I87" s="51" t="s">
        <v>215</v>
      </c>
      <c r="J87" s="54">
        <f ca="1">(IF(B80&gt;1,(H80/(B80+2)+J86),0))</f>
        <v>18</v>
      </c>
      <c r="L87" s="56"/>
      <c r="N87" s="55"/>
    </row>
    <row r="88" spans="1:14" customFormat="1" ht="15.75" customHeight="1" x14ac:dyDescent="0.3">
      <c r="A88" s="84" t="s">
        <v>216</v>
      </c>
      <c r="B88" s="85" t="s">
        <v>217</v>
      </c>
      <c r="C88" s="43">
        <v>0</v>
      </c>
      <c r="D88" s="49">
        <f ca="1">((100/(H80))*C88)/100</f>
        <v>0</v>
      </c>
      <c r="E88" s="92"/>
      <c r="F88" s="93"/>
      <c r="G88" s="92"/>
      <c r="H88" s="97"/>
      <c r="I88" s="51" t="s">
        <v>218</v>
      </c>
      <c r="J88" s="54">
        <f ca="1">(IF(B80&gt;2,(H80/(B80+2)+J87),0))</f>
        <v>24</v>
      </c>
      <c r="K88" s="57"/>
      <c r="L88" s="56"/>
    </row>
    <row r="89" spans="1:14" customFormat="1" ht="15.75" customHeight="1" x14ac:dyDescent="0.3">
      <c r="A89" s="84" t="s">
        <v>219</v>
      </c>
      <c r="B89" s="85" t="s">
        <v>219</v>
      </c>
      <c r="C89" s="43">
        <v>0</v>
      </c>
      <c r="D89" s="49">
        <f ca="1">((100/H80)*C89)/100</f>
        <v>0</v>
      </c>
      <c r="E89" s="92"/>
      <c r="F89" s="93"/>
      <c r="G89" s="92"/>
      <c r="H89" s="97"/>
      <c r="I89" s="51" t="s">
        <v>220</v>
      </c>
      <c r="J89" s="58">
        <f>(IF(B80&gt;3,(H80/(B80+2)+J88),0))</f>
        <v>0</v>
      </c>
      <c r="K89" s="57"/>
      <c r="L89" s="56"/>
    </row>
    <row r="90" spans="1:14" customFormat="1" ht="15.75" customHeight="1" x14ac:dyDescent="0.3">
      <c r="A90" s="84" t="s">
        <v>221</v>
      </c>
      <c r="B90" s="85"/>
      <c r="C90" s="43">
        <v>0</v>
      </c>
      <c r="D90" s="49">
        <f ca="1">((100/H80)*C90)/100</f>
        <v>0</v>
      </c>
      <c r="E90" s="92"/>
      <c r="F90" s="93"/>
      <c r="G90" s="92"/>
      <c r="H90" s="97"/>
      <c r="I90" s="51" t="s">
        <v>222</v>
      </c>
      <c r="J90" s="54">
        <f>(IF(B80&gt;4,(H80/(B80+2)+J89),0))</f>
        <v>0</v>
      </c>
      <c r="K90" s="55"/>
      <c r="L90" s="56"/>
    </row>
    <row r="91" spans="1:14" customFormat="1" ht="15.75" customHeight="1" x14ac:dyDescent="0.3">
      <c r="A91" s="84" t="s">
        <v>223</v>
      </c>
      <c r="B91" s="85" t="s">
        <v>223</v>
      </c>
      <c r="C91" s="43">
        <v>0</v>
      </c>
      <c r="D91" s="49">
        <f ca="1">((100/(H80))*C91)/100</f>
        <v>0</v>
      </c>
      <c r="E91" s="92"/>
      <c r="F91" s="93"/>
      <c r="G91" s="92"/>
      <c r="H91" s="97"/>
      <c r="I91" s="51" t="s">
        <v>144</v>
      </c>
      <c r="J91" s="54">
        <f>(IF(B80=1,(H80/(B80+3)+J86),IF(B80=0,(H80/4+J86),IF(B80&gt;1,0))))</f>
        <v>0</v>
      </c>
      <c r="K91" s="57"/>
      <c r="L91" s="56"/>
    </row>
    <row r="92" spans="1:14" customFormat="1" ht="16.2" thickBot="1" x14ac:dyDescent="0.35">
      <c r="A92" s="103" t="s">
        <v>224</v>
      </c>
      <c r="B92" s="104"/>
      <c r="C92" s="45">
        <v>0</v>
      </c>
      <c r="D92" s="50">
        <f ca="1">((100/(H80))*C92)/100</f>
        <v>0</v>
      </c>
      <c r="E92" s="94"/>
      <c r="F92" s="95"/>
      <c r="G92" s="94"/>
      <c r="H92" s="98"/>
      <c r="I92" s="59" t="s">
        <v>145</v>
      </c>
      <c r="J92" s="60">
        <f ca="1">(IF(B80&gt;1.5,(H80/(B80+2)+J86+MAX(0,J87-J86)+MAX(0,J88-J87)+MAX(0,J89-J88)+MAX(0,J90-J89)+MAX(0,J91-J90)),IF(B80=1,(H80/(B80+3)+J91),IF(B80=0,H80/4+J91))))</f>
        <v>30</v>
      </c>
      <c r="K92" s="57"/>
      <c r="L92" s="56"/>
    </row>
    <row r="93" spans="1:14" customFormat="1" ht="15.75" customHeight="1" x14ac:dyDescent="0.3">
      <c r="A93" s="140" t="s">
        <v>207</v>
      </c>
      <c r="B93" s="141"/>
      <c r="C93" s="142" t="s">
        <v>262</v>
      </c>
      <c r="D93" s="143"/>
      <c r="E93" s="143"/>
      <c r="F93" s="143"/>
      <c r="G93" s="143"/>
      <c r="H93" s="144"/>
      <c r="I93" s="52" t="str">
        <f ca="1">(IF(E97&gt;99%,"All work completed. Please provide OC.",IF(E97&gt;89.8%,"Plinth, RCC, Brick, Plaster, Flooring, Painting work Completed. Finishing work is in process.",IF(E97&lt;94%,(IF(C97=0,"Work not yet Started.",IF(D97=25%,"Piling work in process",IF(D97=50%,"Excavation work in process",IF(D97=100%,"Excavation work Completed. ","0")))&amp;(IF(C98=0%,"",IF(C98=J99,"Footing work is process",IF(C98=J100,"Footing work Completed",IF(C98=J101,"1st Basement Completed",IF(C98=J102,"1st &amp; 2nd Basement Completed",IF(C98=J103,"1st to 3rd Basement Completed",IF(C98=J104,"1st to 4th Basement Completed",IF(C98=J105,"Plinth work is process",IF(C98=J106,"Plinth work completed","0")))))))))))&amp;(IF(C99=(D94+F94+H94),", RCC Slab",IF(C99&gt;0,", RCC upto "&amp;C99&amp;" Slab",""))&amp;(IF(C100=H94,", Brickwork",IF(C100&gt;0,", Brickwork upto "&amp;C100&amp;" Floor",""))&amp;(IF(C101=H94,", Internal Plaster",IF(C101&gt;0,", Internal Plaster upto "&amp;C101&amp;" Floor",""))&amp;(IF(C102=H94,", External Plaster",IF(C102&gt;0,", External Plaster upto "&amp;C102&amp;" Floor",""))&amp;(IF(C103=H94,", Flooring",IF(C103&gt;0,", Flooring upto "&amp;C103&amp;" Floor",""))&amp;(IF(C104=H94,", Painting",IF(C104&gt;0,", Painting upto "&amp;C104&amp;" Floor",""))&amp;(IF(C105&gt;0,", Finishing upto "&amp;C105&amp;" Floor","")&amp;(IF(C99&gt;0.5," Completed",""))))))))))))))</f>
        <v>Excavation work Completed. Plinth work completed, RCC upto 4 Slab Completed</v>
      </c>
      <c r="J93" s="22"/>
    </row>
    <row r="94" spans="1:14" customFormat="1" x14ac:dyDescent="0.3">
      <c r="A94" s="21" t="s">
        <v>102</v>
      </c>
      <c r="B94" s="48">
        <v>3</v>
      </c>
      <c r="C94" s="48" t="s">
        <v>104</v>
      </c>
      <c r="D94" s="48">
        <v>1</v>
      </c>
      <c r="E94" s="48" t="s">
        <v>103</v>
      </c>
      <c r="F94" s="48">
        <v>0</v>
      </c>
      <c r="G94" s="48" t="s">
        <v>117</v>
      </c>
      <c r="H94" s="41">
        <f ca="1">--TRIM(RIGHT(SUBSTITUTE(LEFT(C93,_xlfn.AGGREGATE(16,6,FIND({0,1,2,3,4,5,6,7,8,9},C93,ROW(INDIRECT("1:"&amp;LEN(C93)))),1))," ",REPT(" ",LEN(C93))),LEN(C93)))</f>
        <v>30</v>
      </c>
      <c r="I94" s="19"/>
      <c r="J94" s="23"/>
    </row>
    <row r="95" spans="1:14" customFormat="1" ht="32.549999999999997" customHeight="1" x14ac:dyDescent="0.3">
      <c r="A95" s="145" t="s">
        <v>128</v>
      </c>
      <c r="B95" s="83"/>
      <c r="C95" s="146" t="str">
        <f ca="1">I93</f>
        <v>Excavation work Completed. Plinth work completed, RCC upto 4 Slab Completed</v>
      </c>
      <c r="D95" s="147"/>
      <c r="E95" s="147"/>
      <c r="F95" s="147"/>
      <c r="G95" s="147"/>
      <c r="H95" s="148"/>
      <c r="I95" s="19" t="s">
        <v>146</v>
      </c>
      <c r="J95" s="23"/>
    </row>
    <row r="96" spans="1:14" customFormat="1" x14ac:dyDescent="0.3">
      <c r="A96" s="84" t="s">
        <v>52</v>
      </c>
      <c r="B96" s="85"/>
      <c r="C96" s="42" t="s">
        <v>208</v>
      </c>
      <c r="D96" s="48" t="s">
        <v>120</v>
      </c>
      <c r="E96" s="86" t="s">
        <v>122</v>
      </c>
      <c r="F96" s="87"/>
      <c r="G96" s="86" t="s">
        <v>121</v>
      </c>
      <c r="H96" s="88"/>
      <c r="I96" s="51" t="s">
        <v>209</v>
      </c>
      <c r="J96" s="24">
        <f ca="1">H94*25%</f>
        <v>7.5</v>
      </c>
    </row>
    <row r="97" spans="1:14" customFormat="1" x14ac:dyDescent="0.3">
      <c r="A97" s="84" t="s">
        <v>210</v>
      </c>
      <c r="B97" s="85"/>
      <c r="C97" s="43">
        <v>30</v>
      </c>
      <c r="D97" s="49">
        <f ca="1">((100/H94)*C97)/100</f>
        <v>1</v>
      </c>
      <c r="E97" s="90">
        <f ca="1">(((C98/H94*10)+(40/(D94+F94+H94)*C99)+(7.5/(H94)*C100)+(7.5/(H94)*C101)+(10/H94*C102)+(10/H94*C103)+(5/H94*C104)+(5/H94*C105)+(5/H94*C106))/100)</f>
        <v>0.15161290322580645</v>
      </c>
      <c r="F97" s="91"/>
      <c r="G97" s="90">
        <f ca="1">((((C97/H94)*20)+((C98/H94)*25)+(30/(H94+F94+D94)*C99)+(5/H94*C100)+(5/H94*C101)+(5/H94*C102)+(5/H94*C103)+(0/H94*C104)+(0/H94*C105)+(5/H94*C106))/100)</f>
        <v>0.48870967741935489</v>
      </c>
      <c r="H97" s="96"/>
      <c r="I97" s="51" t="s">
        <v>140</v>
      </c>
      <c r="J97" s="53">
        <f ca="1">H94*50%</f>
        <v>15</v>
      </c>
    </row>
    <row r="98" spans="1:14" customFormat="1" x14ac:dyDescent="0.3">
      <c r="A98" s="84" t="s">
        <v>53</v>
      </c>
      <c r="B98" s="85"/>
      <c r="C98" s="44">
        <f ca="1">J106</f>
        <v>30</v>
      </c>
      <c r="D98" s="49">
        <f ca="1">((100/H94)*C98)/100</f>
        <v>1</v>
      </c>
      <c r="E98" s="92"/>
      <c r="F98" s="93"/>
      <c r="G98" s="92"/>
      <c r="H98" s="97"/>
      <c r="I98" s="51" t="s">
        <v>141</v>
      </c>
      <c r="J98" s="53">
        <f ca="1">H94</f>
        <v>30</v>
      </c>
    </row>
    <row r="99" spans="1:14" customFormat="1" x14ac:dyDescent="0.3">
      <c r="A99" s="99" t="s">
        <v>211</v>
      </c>
      <c r="B99" s="100"/>
      <c r="C99" s="44">
        <v>4</v>
      </c>
      <c r="D99" s="49">
        <f ca="1">((100/(D94+F94+H94))*C99)/100</f>
        <v>0.12903225806451613</v>
      </c>
      <c r="E99" s="92"/>
      <c r="F99" s="93"/>
      <c r="G99" s="92"/>
      <c r="H99" s="97"/>
      <c r="I99" s="51" t="s">
        <v>142</v>
      </c>
      <c r="J99" s="54">
        <f ca="1">(IF(B94&gt;1,(H94/(B94+2)),H94/4))</f>
        <v>6</v>
      </c>
      <c r="L99" s="55"/>
    </row>
    <row r="100" spans="1:14" customFormat="1" ht="15.75" customHeight="1" x14ac:dyDescent="0.3">
      <c r="A100" s="84" t="s">
        <v>212</v>
      </c>
      <c r="B100" s="85" t="s">
        <v>213</v>
      </c>
      <c r="C100" s="43">
        <v>0</v>
      </c>
      <c r="D100" s="49">
        <f ca="1">((100/H94)*C100)/100</f>
        <v>0</v>
      </c>
      <c r="E100" s="92"/>
      <c r="F100" s="93"/>
      <c r="G100" s="92"/>
      <c r="H100" s="97"/>
      <c r="I100" s="51" t="s">
        <v>143</v>
      </c>
      <c r="J100" s="54">
        <f ca="1">(IF(B94&gt;1,(H94/(B94+2)+J99),H94/4+J99))</f>
        <v>12</v>
      </c>
      <c r="L100" s="55"/>
    </row>
    <row r="101" spans="1:14" customFormat="1" ht="15.75" customHeight="1" x14ac:dyDescent="0.3">
      <c r="A101" s="84" t="s">
        <v>214</v>
      </c>
      <c r="B101" s="85" t="s">
        <v>213</v>
      </c>
      <c r="C101" s="43">
        <v>0</v>
      </c>
      <c r="D101" s="49">
        <f ca="1">((100/H94)*C101)/100</f>
        <v>0</v>
      </c>
      <c r="E101" s="92"/>
      <c r="F101" s="93"/>
      <c r="G101" s="92"/>
      <c r="H101" s="97"/>
      <c r="I101" s="51" t="s">
        <v>215</v>
      </c>
      <c r="J101" s="54">
        <f ca="1">(IF(B94&gt;1,(H94/(B94+2)+J100),0))</f>
        <v>18</v>
      </c>
      <c r="L101" s="56"/>
      <c r="N101" s="55"/>
    </row>
    <row r="102" spans="1:14" customFormat="1" ht="15.75" customHeight="1" x14ac:dyDescent="0.3">
      <c r="A102" s="84" t="s">
        <v>216</v>
      </c>
      <c r="B102" s="85" t="s">
        <v>217</v>
      </c>
      <c r="C102" s="43">
        <v>0</v>
      </c>
      <c r="D102" s="49">
        <f ca="1">((100/(H94))*C102)/100</f>
        <v>0</v>
      </c>
      <c r="E102" s="92"/>
      <c r="F102" s="93"/>
      <c r="G102" s="92"/>
      <c r="H102" s="97"/>
      <c r="I102" s="51" t="s">
        <v>218</v>
      </c>
      <c r="J102" s="54">
        <f ca="1">(IF(B94&gt;2,(H94/(B94+2)+J101),0))</f>
        <v>24</v>
      </c>
      <c r="K102" s="57"/>
      <c r="L102" s="56"/>
    </row>
    <row r="103" spans="1:14" customFormat="1" ht="15.75" customHeight="1" x14ac:dyDescent="0.3">
      <c r="A103" s="84" t="s">
        <v>219</v>
      </c>
      <c r="B103" s="85" t="s">
        <v>219</v>
      </c>
      <c r="C103" s="43">
        <v>0</v>
      </c>
      <c r="D103" s="49">
        <f ca="1">((100/H94)*C103)/100</f>
        <v>0</v>
      </c>
      <c r="E103" s="92"/>
      <c r="F103" s="93"/>
      <c r="G103" s="92"/>
      <c r="H103" s="97"/>
      <c r="I103" s="51" t="s">
        <v>220</v>
      </c>
      <c r="J103" s="58">
        <f>(IF(B94&gt;3,(H94/(B94+2)+J102),0))</f>
        <v>0</v>
      </c>
      <c r="K103" s="57"/>
      <c r="L103" s="56"/>
    </row>
    <row r="104" spans="1:14" customFormat="1" ht="15.75" customHeight="1" x14ac:dyDescent="0.3">
      <c r="A104" s="84" t="s">
        <v>221</v>
      </c>
      <c r="B104" s="85"/>
      <c r="C104" s="43">
        <v>0</v>
      </c>
      <c r="D104" s="49">
        <f ca="1">((100/H94)*C104)/100</f>
        <v>0</v>
      </c>
      <c r="E104" s="92"/>
      <c r="F104" s="93"/>
      <c r="G104" s="92"/>
      <c r="H104" s="97"/>
      <c r="I104" s="51" t="s">
        <v>222</v>
      </c>
      <c r="J104" s="54">
        <f>(IF(B94&gt;4,(H94/(B94+2)+J103),0))</f>
        <v>0</v>
      </c>
      <c r="K104" s="55"/>
      <c r="L104" s="56"/>
    </row>
    <row r="105" spans="1:14" customFormat="1" ht="15.75" customHeight="1" x14ac:dyDescent="0.3">
      <c r="A105" s="84" t="s">
        <v>223</v>
      </c>
      <c r="B105" s="85" t="s">
        <v>223</v>
      </c>
      <c r="C105" s="43">
        <v>0</v>
      </c>
      <c r="D105" s="49">
        <f ca="1">((100/(H94))*C105)/100</f>
        <v>0</v>
      </c>
      <c r="E105" s="92"/>
      <c r="F105" s="93"/>
      <c r="G105" s="92"/>
      <c r="H105" s="97"/>
      <c r="I105" s="51" t="s">
        <v>144</v>
      </c>
      <c r="J105" s="54">
        <f>(IF(B94=1,(H94/(B94+3)+J100),IF(B94=0,(H94/4+J100),IF(B94&gt;1,0))))</f>
        <v>0</v>
      </c>
      <c r="K105" s="57"/>
      <c r="L105" s="56"/>
    </row>
    <row r="106" spans="1:14" customFormat="1" ht="16.2" thickBot="1" x14ac:dyDescent="0.35">
      <c r="A106" s="176" t="s">
        <v>224</v>
      </c>
      <c r="B106" s="177"/>
      <c r="C106" s="178">
        <v>0</v>
      </c>
      <c r="D106" s="179">
        <f ca="1">((100/(H94))*C106)/100</f>
        <v>0</v>
      </c>
      <c r="E106" s="92"/>
      <c r="F106" s="93"/>
      <c r="G106" s="92"/>
      <c r="H106" s="97"/>
      <c r="I106" s="59" t="s">
        <v>145</v>
      </c>
      <c r="J106" s="60">
        <f ca="1">(IF(B94&gt;1.5,(H94/(B94+2)+J100+MAX(0,J101-J100)+MAX(0,J102-J101)+MAX(0,J103-J102)+MAX(0,J104-J103)+MAX(0,J105-J104)),IF(B94=1,(H94/(B94+3)+J105),IF(B94=0,H94/4+J105))))</f>
        <v>30</v>
      </c>
      <c r="K106" s="57"/>
      <c r="L106" s="56"/>
    </row>
    <row r="107" spans="1:14" customFormat="1" ht="45" customHeight="1" x14ac:dyDescent="0.3">
      <c r="A107" s="181" t="s">
        <v>263</v>
      </c>
      <c r="B107" s="182"/>
      <c r="C107" s="180">
        <f ca="1">AVERAGE(E83,E97)</f>
        <v>0.15806451612903227</v>
      </c>
      <c r="D107" s="181"/>
      <c r="E107" s="181" t="s">
        <v>264</v>
      </c>
      <c r="F107" s="182"/>
      <c r="G107" s="180">
        <f ca="1">AVERAGE(G83,G97)</f>
        <v>0.49354838709677418</v>
      </c>
      <c r="H107" s="181"/>
      <c r="I107" s="19"/>
      <c r="J107" s="23"/>
    </row>
    <row r="108" spans="1:14" x14ac:dyDescent="0.3">
      <c r="A108" s="136" t="s">
        <v>159</v>
      </c>
      <c r="B108" s="137"/>
      <c r="C108" s="137"/>
      <c r="D108" s="137"/>
      <c r="E108" s="138"/>
      <c r="F108" s="136" t="str">
        <f ca="1">(IF(E69="100%","Yes",IF(E69&gt;0%,"Under Construction",IF(E69=0%,"Work not yet Started"))))</f>
        <v>Under Construction</v>
      </c>
      <c r="G108" s="137"/>
      <c r="H108" s="138"/>
    </row>
    <row r="109" spans="1:14" s="9" customFormat="1" x14ac:dyDescent="0.3">
      <c r="A109" s="81" t="s">
        <v>54</v>
      </c>
      <c r="B109" s="81"/>
      <c r="C109" s="81"/>
      <c r="D109" s="81"/>
      <c r="E109" s="81"/>
      <c r="F109" s="81"/>
      <c r="G109" s="81"/>
      <c r="H109" s="81"/>
      <c r="I109" s="8"/>
      <c r="J109" s="8"/>
      <c r="K109" s="8"/>
    </row>
    <row r="110" spans="1:14" s="1" customFormat="1" ht="15.75" customHeight="1" x14ac:dyDescent="0.3">
      <c r="A110" s="83" t="s">
        <v>107</v>
      </c>
      <c r="B110" s="83"/>
      <c r="C110" s="113" t="s">
        <v>108</v>
      </c>
      <c r="D110" s="113"/>
      <c r="E110" s="113"/>
      <c r="F110" s="113"/>
      <c r="G110" s="113"/>
      <c r="H110" s="113"/>
      <c r="I110" s="8"/>
      <c r="J110" s="8"/>
      <c r="K110" s="8"/>
    </row>
    <row r="111" spans="1:14" s="1" customFormat="1" ht="15.75" customHeight="1" x14ac:dyDescent="0.3">
      <c r="A111" s="139" t="s">
        <v>55</v>
      </c>
      <c r="B111" s="139"/>
      <c r="C111" s="139"/>
      <c r="D111" s="139"/>
      <c r="E111" s="139"/>
      <c r="F111" s="139"/>
      <c r="G111" s="139"/>
      <c r="H111" s="139"/>
      <c r="I111" s="8"/>
      <c r="J111" s="8"/>
      <c r="K111" s="8"/>
    </row>
    <row r="112" spans="1:14" s="1" customFormat="1" x14ac:dyDescent="0.3">
      <c r="A112" s="81" t="s">
        <v>109</v>
      </c>
      <c r="B112" s="81"/>
      <c r="C112" s="81"/>
      <c r="D112" s="81"/>
      <c r="E112" s="81"/>
      <c r="F112" s="112">
        <v>16000</v>
      </c>
      <c r="G112" s="112"/>
      <c r="H112" s="112"/>
      <c r="I112" s="64" t="s">
        <v>249</v>
      </c>
      <c r="J112" s="64" t="s">
        <v>250</v>
      </c>
      <c r="K112" s="65">
        <v>45247</v>
      </c>
    </row>
    <row r="113" spans="1:21" s="1" customFormat="1" x14ac:dyDescent="0.3">
      <c r="A113" s="81" t="s">
        <v>116</v>
      </c>
      <c r="B113" s="81"/>
      <c r="C113" s="81"/>
      <c r="D113" s="81"/>
      <c r="E113" s="81"/>
      <c r="F113" s="80">
        <v>25000</v>
      </c>
      <c r="G113" s="80"/>
      <c r="H113" s="80"/>
      <c r="I113" s="8"/>
      <c r="J113" s="8"/>
      <c r="K113" s="8"/>
    </row>
    <row r="114" spans="1:21" s="1" customFormat="1" ht="15.75" hidden="1" customHeight="1" x14ac:dyDescent="0.25">
      <c r="A114" s="81" t="s">
        <v>133</v>
      </c>
      <c r="B114" s="81"/>
      <c r="C114" s="81"/>
      <c r="D114" s="81"/>
      <c r="E114" s="81"/>
      <c r="F114" s="80" t="s">
        <v>31</v>
      </c>
      <c r="G114" s="80"/>
      <c r="H114" s="80"/>
      <c r="I114" s="13"/>
      <c r="J114" s="13"/>
      <c r="K114" s="13"/>
    </row>
    <row r="115" spans="1:21" s="1" customFormat="1" hidden="1" x14ac:dyDescent="0.25">
      <c r="A115" s="81" t="s">
        <v>134</v>
      </c>
      <c r="B115" s="81"/>
      <c r="C115" s="81"/>
      <c r="D115" s="81"/>
      <c r="E115" s="81"/>
      <c r="F115" s="80" t="s">
        <v>31</v>
      </c>
      <c r="G115" s="80"/>
      <c r="H115" s="80"/>
      <c r="I115" s="13"/>
      <c r="J115" s="13"/>
      <c r="K115" s="13"/>
    </row>
    <row r="116" spans="1:21" s="1" customFormat="1" hidden="1" x14ac:dyDescent="0.25">
      <c r="A116" s="81" t="s">
        <v>135</v>
      </c>
      <c r="B116" s="81"/>
      <c r="C116" s="81"/>
      <c r="D116" s="81"/>
      <c r="E116" s="81"/>
      <c r="F116" s="80" t="s">
        <v>31</v>
      </c>
      <c r="G116" s="80"/>
      <c r="H116" s="80"/>
      <c r="I116" s="13"/>
      <c r="J116" s="13"/>
      <c r="K116" s="13"/>
    </row>
    <row r="117" spans="1:21" s="62" customFormat="1" hidden="1" x14ac:dyDescent="0.25">
      <c r="A117" s="81" t="s">
        <v>136</v>
      </c>
      <c r="B117" s="81"/>
      <c r="C117" s="81"/>
      <c r="D117" s="81"/>
      <c r="E117" s="81"/>
      <c r="F117" s="80" t="s">
        <v>31</v>
      </c>
      <c r="G117" s="80"/>
      <c r="H117" s="80"/>
      <c r="I117" s="13"/>
      <c r="J117" s="13"/>
      <c r="K117" s="13"/>
    </row>
    <row r="118" spans="1:21" s="9" customFormat="1" hidden="1" x14ac:dyDescent="0.3">
      <c r="A118" s="81" t="s">
        <v>137</v>
      </c>
      <c r="B118" s="81"/>
      <c r="C118" s="81"/>
      <c r="D118" s="81"/>
      <c r="E118" s="81"/>
      <c r="F118" s="80" t="s">
        <v>31</v>
      </c>
      <c r="G118" s="80"/>
      <c r="H118" s="80"/>
      <c r="I118" s="13"/>
      <c r="J118" s="13"/>
      <c r="K118" s="13"/>
    </row>
    <row r="119" spans="1:21" hidden="1" x14ac:dyDescent="0.3">
      <c r="A119" s="81" t="s">
        <v>138</v>
      </c>
      <c r="B119" s="81"/>
      <c r="C119" s="81"/>
      <c r="D119" s="81"/>
      <c r="E119" s="81"/>
      <c r="F119" s="80" t="s">
        <v>31</v>
      </c>
      <c r="G119" s="80"/>
      <c r="H119" s="80"/>
      <c r="I119" s="13"/>
      <c r="J119" s="13"/>
      <c r="K119" s="13"/>
    </row>
    <row r="120" spans="1:21" x14ac:dyDescent="0.3">
      <c r="A120" s="81" t="s">
        <v>253</v>
      </c>
      <c r="B120" s="81"/>
      <c r="C120" s="81"/>
      <c r="D120" s="81"/>
      <c r="E120" s="81"/>
      <c r="F120" s="80" t="s">
        <v>254</v>
      </c>
      <c r="G120" s="80"/>
      <c r="H120" s="80"/>
      <c r="I120" s="13"/>
      <c r="J120" s="13"/>
      <c r="K120" s="13"/>
    </row>
    <row r="121" spans="1:21" s="2" customFormat="1" x14ac:dyDescent="0.25">
      <c r="A121" s="81" t="s">
        <v>139</v>
      </c>
      <c r="B121" s="81"/>
      <c r="C121" s="81"/>
      <c r="D121" s="81"/>
      <c r="E121" s="81"/>
      <c r="F121" s="80" t="s">
        <v>252</v>
      </c>
      <c r="G121" s="80"/>
      <c r="H121" s="80"/>
      <c r="I121" s="13" t="s">
        <v>255</v>
      </c>
      <c r="J121" s="13"/>
      <c r="K121" s="13"/>
    </row>
    <row r="122" spans="1:21" s="2" customFormat="1" x14ac:dyDescent="0.3">
      <c r="A122" s="81" t="s">
        <v>56</v>
      </c>
      <c r="B122" s="81"/>
      <c r="C122" s="81"/>
      <c r="D122" s="81"/>
      <c r="E122" s="81"/>
      <c r="F122" s="126" t="s">
        <v>251</v>
      </c>
      <c r="G122" s="126"/>
      <c r="H122" s="126"/>
      <c r="I122" s="8"/>
      <c r="J122" s="8"/>
      <c r="K122" s="8"/>
    </row>
    <row r="123" spans="1:21" s="2" customFormat="1" x14ac:dyDescent="0.3">
      <c r="A123" s="139" t="s">
        <v>57</v>
      </c>
      <c r="B123" s="139"/>
      <c r="C123" s="139"/>
      <c r="D123" s="139"/>
      <c r="E123" s="139"/>
      <c r="F123" s="80">
        <f>F112*0.8</f>
        <v>12800</v>
      </c>
      <c r="G123" s="80"/>
      <c r="H123" s="80"/>
      <c r="I123" s="9"/>
      <c r="J123" s="9"/>
      <c r="K123" s="9"/>
    </row>
    <row r="124" spans="1:21" s="2" customFormat="1" x14ac:dyDescent="0.3">
      <c r="A124" s="105" t="s">
        <v>110</v>
      </c>
      <c r="B124" s="105"/>
      <c r="C124" s="105"/>
      <c r="D124" s="105"/>
      <c r="E124" s="105"/>
      <c r="F124" s="105"/>
      <c r="G124" s="105"/>
      <c r="H124" s="105"/>
      <c r="I124" s="1"/>
      <c r="J124" s="1"/>
      <c r="K124" s="1"/>
    </row>
    <row r="125" spans="1:21" s="2" customFormat="1" x14ac:dyDescent="0.3">
      <c r="A125" s="114" t="s">
        <v>58</v>
      </c>
      <c r="B125" s="114"/>
      <c r="C125" s="106" t="s">
        <v>113</v>
      </c>
      <c r="D125" s="106"/>
      <c r="E125" s="108" t="s">
        <v>59</v>
      </c>
      <c r="F125" s="108"/>
      <c r="G125" s="114" t="s">
        <v>60</v>
      </c>
      <c r="H125" s="114"/>
      <c r="I125" s="1"/>
      <c r="J125" s="1"/>
      <c r="K125" s="1"/>
      <c r="S125" s="110"/>
      <c r="T125" s="110"/>
      <c r="U125" s="38"/>
    </row>
    <row r="126" spans="1:21" s="2" customFormat="1" x14ac:dyDescent="0.3">
      <c r="A126" s="153" t="s">
        <v>184</v>
      </c>
      <c r="B126" s="153"/>
      <c r="C126" s="117">
        <f>COUNT(D139:D140)</f>
        <v>2</v>
      </c>
      <c r="D126" s="117"/>
      <c r="E126" s="118">
        <f>SUM(D139:D140)</f>
        <v>5755.5473975999994</v>
      </c>
      <c r="F126" s="119"/>
      <c r="G126" s="118">
        <f>SUM(F139:F140)</f>
        <v>9496.6532060399986</v>
      </c>
      <c r="H126" s="119"/>
      <c r="I126" s="1"/>
      <c r="J126" s="1"/>
      <c r="K126" s="1"/>
      <c r="S126" s="110"/>
      <c r="T126" s="110"/>
      <c r="U126" s="38"/>
    </row>
    <row r="127" spans="1:21" s="2" customFormat="1" x14ac:dyDescent="0.3">
      <c r="A127" s="105" t="s">
        <v>101</v>
      </c>
      <c r="B127" s="105"/>
      <c r="C127" s="105"/>
      <c r="D127" s="105"/>
      <c r="E127" s="105"/>
      <c r="F127" s="105"/>
      <c r="G127" s="105"/>
      <c r="H127" s="105"/>
      <c r="I127" s="1"/>
      <c r="J127" s="1"/>
      <c r="K127" s="1"/>
      <c r="U127" s="38"/>
    </row>
    <row r="128" spans="1:21" x14ac:dyDescent="0.3">
      <c r="A128" s="114" t="s">
        <v>58</v>
      </c>
      <c r="B128" s="114"/>
      <c r="C128" s="106" t="s">
        <v>113</v>
      </c>
      <c r="D128" s="106"/>
      <c r="E128" s="108" t="s">
        <v>59</v>
      </c>
      <c r="F128" s="108"/>
      <c r="G128" s="114" t="s">
        <v>60</v>
      </c>
      <c r="H128" s="114"/>
      <c r="I128" s="1"/>
      <c r="J128" s="1"/>
      <c r="K128" s="1"/>
    </row>
    <row r="129" spans="1:23" s="2" customFormat="1" x14ac:dyDescent="0.3">
      <c r="A129" s="153" t="s">
        <v>234</v>
      </c>
      <c r="B129" s="153"/>
      <c r="C129" s="117">
        <f>COUNT(D147:D154)+COUNT(D156:D163)*23+COUNT(D165)*3+COUNT(D168:D172)*3+COUNT(D174)+COUNT(D176:D181)</f>
        <v>217</v>
      </c>
      <c r="D129" s="117"/>
      <c r="E129" s="118">
        <f>SUM(D147:D154)+SUM(D156:D163)*23+SUM(D165)*3+SUM(D168:D172)*3+SUM(D174)+SUM(D176:D181)</f>
        <v>111766.20744599999</v>
      </c>
      <c r="F129" s="118"/>
      <c r="G129" s="118">
        <f>SUM(F147:F154)+SUM(F156:F163)*23+SUM(F165)*3+SUM(F168:F172)*3+SUM(F174)+SUM(F176:F181)</f>
        <v>178825.93191360001</v>
      </c>
      <c r="H129" s="119"/>
      <c r="I129" s="1"/>
      <c r="J129" s="1"/>
      <c r="K129" s="1"/>
    </row>
    <row r="130" spans="1:23" s="2" customFormat="1" x14ac:dyDescent="0.3">
      <c r="A130" s="153" t="s">
        <v>227</v>
      </c>
      <c r="B130" s="153"/>
      <c r="C130" s="117">
        <f>COUNT(D185:D193)*2+COUNT(D197:D205)+COUNT(D209:D210,D215:D221)*3+COUNT(D223:D235)*21+COUNT(D237:D239,D242:D249)</f>
        <v>338</v>
      </c>
      <c r="D130" s="117"/>
      <c r="E130" s="118">
        <f>SUM(D185:D193)*2+SUM(D197:D205)+SUM(D209:D210,D215:D221)*3+SUM(D223:D235)*21+SUM(D237:D239,D242:D249)</f>
        <v>213565.69845</v>
      </c>
      <c r="F130" s="118"/>
      <c r="G130" s="118">
        <f>SUM(F185:F193)*2+SUM(F197:F205)+SUM(F209:F210,F215:F221)*3+SUM(F223:F235)*21+SUM(F237:F239,F242:F249)</f>
        <v>341705.11751999997</v>
      </c>
      <c r="H130" s="118"/>
      <c r="I130" s="1"/>
      <c r="J130" s="1"/>
      <c r="K130" s="1"/>
    </row>
    <row r="131" spans="1:23" s="2" customFormat="1" x14ac:dyDescent="0.3">
      <c r="A131" s="105" t="s">
        <v>62</v>
      </c>
      <c r="B131" s="105"/>
      <c r="C131" s="106">
        <f>SUM(C129:C130)</f>
        <v>555</v>
      </c>
      <c r="D131" s="106"/>
      <c r="E131" s="107">
        <f>SUM(E129:E130)</f>
        <v>325331.90589599998</v>
      </c>
      <c r="F131" s="107"/>
      <c r="G131" s="107">
        <f>SUM(G129:G130)</f>
        <v>520531.04943359998</v>
      </c>
      <c r="H131" s="108"/>
      <c r="I131" s="62"/>
      <c r="J131" s="62"/>
      <c r="K131" s="62"/>
    </row>
    <row r="132" spans="1:23" s="2" customFormat="1" x14ac:dyDescent="0.3">
      <c r="A132" s="156" t="s">
        <v>63</v>
      </c>
      <c r="B132" s="156"/>
      <c r="C132" s="156"/>
      <c r="D132" s="156"/>
      <c r="E132" s="156"/>
      <c r="F132" s="156"/>
      <c r="G132" s="156"/>
      <c r="H132" s="156"/>
      <c r="I132" s="9"/>
      <c r="J132" s="9"/>
      <c r="K132" s="9"/>
      <c r="S132" s="110"/>
      <c r="T132" s="110"/>
      <c r="V132" s="2" t="str">
        <f>LEFT(A146,SUM(LEN(A146)-LEN(SUBSTITUTE(A146,{"0","1","2","3","4","5","6","7","8","9"},""))))</f>
        <v>3</v>
      </c>
    </row>
    <row r="133" spans="1:23" s="2" customFormat="1" x14ac:dyDescent="0.3">
      <c r="A133" s="156" t="s">
        <v>64</v>
      </c>
      <c r="B133" s="156"/>
      <c r="C133" s="156"/>
      <c r="D133" s="156"/>
      <c r="E133" s="156"/>
      <c r="F133" s="156"/>
      <c r="G133" s="156"/>
      <c r="H133" s="156"/>
      <c r="I133" s="8"/>
      <c r="J133" s="8"/>
      <c r="K133" s="8"/>
      <c r="S133" s="110">
        <f t="shared" ref="S133:S140" ca="1" si="0">V133</f>
        <v>301</v>
      </c>
      <c r="T133" s="110"/>
      <c r="U133" s="38">
        <v>1</v>
      </c>
      <c r="V133" s="2">
        <f ca="1">(SUMPRODUCT(MID(0&amp;V132, LARGE(INDEX(ISNUMBER(--MID(V132, ROW(INDIRECT("1:"&amp;LEN(V132))), 1)) * ROW(INDIRECT("1:"&amp;LEN(V132))), 0), ROW(INDIRECT("1:"&amp;LEN(V132))))+1, 1) * 10^ROW(INDIRECT("1:"&amp;LEN(V132)))/10))*U133*100+1</f>
        <v>301</v>
      </c>
    </row>
    <row r="134" spans="1:23" s="2" customFormat="1" ht="46.8" x14ac:dyDescent="0.3">
      <c r="A134" s="78" t="s">
        <v>163</v>
      </c>
      <c r="B134" s="78" t="s">
        <v>162</v>
      </c>
      <c r="C134" s="78" t="s">
        <v>65</v>
      </c>
      <c r="D134" s="78" t="s">
        <v>66</v>
      </c>
      <c r="E134" s="115" t="s">
        <v>67</v>
      </c>
      <c r="F134" s="36" t="s">
        <v>160</v>
      </c>
      <c r="G134" s="120" t="s">
        <v>68</v>
      </c>
      <c r="H134" s="121"/>
      <c r="I134" s="8"/>
      <c r="J134" s="8"/>
      <c r="K134" s="8"/>
      <c r="S134" s="110">
        <f t="shared" ca="1" si="0"/>
        <v>302</v>
      </c>
      <c r="T134" s="110"/>
      <c r="U134" s="38">
        <f>U133+1</f>
        <v>2</v>
      </c>
      <c r="V134" s="2">
        <f ca="1">V133+1</f>
        <v>302</v>
      </c>
    </row>
    <row r="135" spans="1:23" s="2" customFormat="1" x14ac:dyDescent="0.3">
      <c r="A135" s="79"/>
      <c r="B135" s="79"/>
      <c r="C135" s="79"/>
      <c r="D135" s="79"/>
      <c r="E135" s="116"/>
      <c r="F135" s="37">
        <v>0.65</v>
      </c>
      <c r="G135" s="122"/>
      <c r="H135" s="123"/>
      <c r="S135" s="110">
        <f t="shared" ca="1" si="0"/>
        <v>303</v>
      </c>
      <c r="T135" s="110"/>
      <c r="U135" s="38">
        <f>U134+1</f>
        <v>3</v>
      </c>
      <c r="V135" s="2">
        <f ca="1">V134+1</f>
        <v>303</v>
      </c>
    </row>
    <row r="136" spans="1:23" s="2" customFormat="1" x14ac:dyDescent="0.3">
      <c r="A136" s="67" t="s">
        <v>204</v>
      </c>
      <c r="B136" s="68"/>
      <c r="C136" s="68"/>
      <c r="D136" s="68"/>
      <c r="E136" s="68"/>
      <c r="F136" s="68"/>
      <c r="G136" s="68"/>
      <c r="H136" s="69"/>
      <c r="S136" s="110">
        <f t="shared" ca="1" si="0"/>
        <v>304</v>
      </c>
      <c r="T136" s="110"/>
      <c r="U136" s="38">
        <f t="shared" ref="U136:U137" si="1">U135+1</f>
        <v>4</v>
      </c>
      <c r="V136" s="2">
        <f t="shared" ref="V136:V140" ca="1" si="2">V135+1</f>
        <v>304</v>
      </c>
    </row>
    <row r="137" spans="1:23" s="2" customFormat="1" x14ac:dyDescent="0.3">
      <c r="A137" s="67" t="s">
        <v>183</v>
      </c>
      <c r="B137" s="68"/>
      <c r="C137" s="68"/>
      <c r="D137" s="68"/>
      <c r="E137" s="68"/>
      <c r="F137" s="68"/>
      <c r="G137" s="68"/>
      <c r="H137" s="69"/>
      <c r="S137" s="110">
        <f t="shared" ca="1" si="0"/>
        <v>305</v>
      </c>
      <c r="T137" s="110"/>
      <c r="U137" s="38">
        <f t="shared" si="1"/>
        <v>5</v>
      </c>
      <c r="V137" s="2">
        <f t="shared" ca="1" si="2"/>
        <v>305</v>
      </c>
    </row>
    <row r="138" spans="1:23" s="2" customFormat="1" x14ac:dyDescent="0.3">
      <c r="A138" s="67" t="s">
        <v>185</v>
      </c>
      <c r="B138" s="68"/>
      <c r="C138" s="68"/>
      <c r="D138" s="68"/>
      <c r="E138" s="68"/>
      <c r="F138" s="68"/>
      <c r="G138" s="68"/>
      <c r="H138" s="69"/>
      <c r="S138" s="110">
        <f t="shared" ca="1" si="0"/>
        <v>306</v>
      </c>
      <c r="T138" s="110"/>
      <c r="U138" s="38">
        <f>U137+1</f>
        <v>6</v>
      </c>
      <c r="V138" s="2">
        <f t="shared" ca="1" si="2"/>
        <v>306</v>
      </c>
    </row>
    <row r="139" spans="1:23" s="2" customFormat="1" ht="46.8" x14ac:dyDescent="0.3">
      <c r="A139" s="70">
        <v>1</v>
      </c>
      <c r="B139" s="71"/>
      <c r="C139" s="20" t="s">
        <v>184</v>
      </c>
      <c r="D139" s="20">
        <f>(8.71*8.87+6.56+6.56*0.9+7.2*14.6+3.1*9.6+5.7*7.5)*10.764</f>
        <v>2877.7736987999997</v>
      </c>
      <c r="E139" s="20">
        <v>0</v>
      </c>
      <c r="F139" s="20">
        <f>D139*(($F$135)+1)+E139</f>
        <v>4748.3266030199993</v>
      </c>
      <c r="G139" s="70" t="s">
        <v>200</v>
      </c>
      <c r="H139" s="71"/>
      <c r="S139" s="110">
        <f t="shared" ca="1" si="0"/>
        <v>307</v>
      </c>
      <c r="T139" s="110"/>
      <c r="U139" s="38">
        <f>U138+1</f>
        <v>7</v>
      </c>
      <c r="V139" s="2">
        <f t="shared" ca="1" si="2"/>
        <v>307</v>
      </c>
    </row>
    <row r="140" spans="1:23" s="2" customFormat="1" ht="46.8" x14ac:dyDescent="0.3">
      <c r="A140" s="70">
        <f>A139+1</f>
        <v>2</v>
      </c>
      <c r="B140" s="71"/>
      <c r="C140" s="20" t="s">
        <v>184</v>
      </c>
      <c r="D140" s="20">
        <f>(8.71*8.87+6.56+6.56*0.9+7.2*14.6+3.1*9.6+5.7*7.5)*10.764</f>
        <v>2877.7736987999997</v>
      </c>
      <c r="E140" s="20">
        <v>0</v>
      </c>
      <c r="F140" s="20">
        <f>D140*(($F$135)+1)+E140</f>
        <v>4748.3266030199993</v>
      </c>
      <c r="G140" s="70" t="str">
        <f t="shared" ref="G140" si="3">G139</f>
        <v>Ground + 1st Floor</v>
      </c>
      <c r="H140" s="71"/>
      <c r="S140" s="110">
        <f t="shared" ca="1" si="0"/>
        <v>308</v>
      </c>
      <c r="T140" s="110"/>
      <c r="U140" s="38">
        <f t="shared" ref="U140" si="4">U139+1</f>
        <v>8</v>
      </c>
      <c r="V140" s="2">
        <f t="shared" ca="1" si="2"/>
        <v>308</v>
      </c>
    </row>
    <row r="141" spans="1:23" s="2" customFormat="1" x14ac:dyDescent="0.3">
      <c r="A141" s="70"/>
      <c r="B141" s="169"/>
      <c r="C141" s="169"/>
      <c r="D141" s="169"/>
      <c r="E141" s="169"/>
      <c r="F141" s="169"/>
      <c r="G141" s="169"/>
      <c r="H141" s="71"/>
      <c r="S141" s="110" t="s">
        <v>161</v>
      </c>
      <c r="T141" s="110"/>
      <c r="V141" s="2" t="str">
        <f>MID(A155,1,3)</f>
        <v>4th</v>
      </c>
      <c r="W141" s="2">
        <f ca="1">--TRIM(RIGHT(SUBSTITUTE(LEFT(A155,_xlfn.AGGREGATE(14,6,FIND({0,1,2,3,4,5,6,7,8,9},A155,ROW(INDIRECT("1:"&amp;LEN(A155)))),1))," ",REPT(" ",LEN(A155))),LEN(A155)))</f>
        <v>30</v>
      </c>
    </row>
    <row r="142" spans="1:23" s="2" customFormat="1" ht="33" customHeight="1" x14ac:dyDescent="0.3">
      <c r="A142" s="120" t="s">
        <v>164</v>
      </c>
      <c r="B142" s="120" t="s">
        <v>165</v>
      </c>
      <c r="C142" s="78" t="s">
        <v>65</v>
      </c>
      <c r="D142" s="78" t="s">
        <v>66</v>
      </c>
      <c r="E142" s="115" t="s">
        <v>67</v>
      </c>
      <c r="F142" s="36" t="s">
        <v>160</v>
      </c>
      <c r="G142" s="120" t="s">
        <v>68</v>
      </c>
      <c r="H142" s="121"/>
      <c r="I142" s="8"/>
      <c r="J142" s="8"/>
      <c r="K142" s="8"/>
      <c r="S142" s="110" t="str">
        <f t="shared" ref="S142:S149" ca="1" si="5">V142&amp;""&amp;$S$141&amp;""&amp;W142</f>
        <v>401,..,3001</v>
      </c>
      <c r="T142" s="110"/>
      <c r="U142" s="38">
        <v>1</v>
      </c>
      <c r="V142" s="2">
        <f ca="1">(SUMPRODUCT(MID(0&amp;V141, LARGE(INDEX(ISNUMBER(--MID(V141, ROW(INDIRECT("1:"&amp;LEN(V141))), 1)) * ROW(INDIRECT("1:"&amp;LEN(V141))), 0), ROW(INDIRECT("1:"&amp;LEN(V141))))+1, 1) * 10^ROW(INDIRECT("1:"&amp;LEN(V141)))/10))*U142*100+1</f>
        <v>401</v>
      </c>
      <c r="W142" s="2">
        <f ca="1">(SUMPRODUCT(MID(0&amp;W141, LARGE(INDEX(ISNUMBER(--MID(W141, ROW(INDIRECT("1:"&amp;LEN(W141))), 1)) * ROW(INDIRECT("1:"&amp;LEN(W141))), 0), ROW(INDIRECT("1:"&amp;LEN(W141))))+1, 1) * 10^ROW(INDIRECT("1:"&amp;LEN(W141)))/10))*U142*100+1</f>
        <v>3001</v>
      </c>
    </row>
    <row r="143" spans="1:23" s="2" customFormat="1" x14ac:dyDescent="0.3">
      <c r="A143" s="122"/>
      <c r="B143" s="122"/>
      <c r="C143" s="79"/>
      <c r="D143" s="79"/>
      <c r="E143" s="116"/>
      <c r="F143" s="37">
        <v>0.6</v>
      </c>
      <c r="G143" s="122"/>
      <c r="H143" s="123"/>
      <c r="M143" s="2" t="s">
        <v>190</v>
      </c>
      <c r="S143" s="110" t="str">
        <f t="shared" ca="1" si="5"/>
        <v>402,..,3002</v>
      </c>
      <c r="T143" s="110"/>
      <c r="U143" s="38">
        <f t="shared" ref="U143:W146" si="6">U142+1</f>
        <v>2</v>
      </c>
      <c r="V143" s="2">
        <f t="shared" ca="1" si="6"/>
        <v>402</v>
      </c>
      <c r="W143" s="2">
        <f t="shared" ca="1" si="6"/>
        <v>3002</v>
      </c>
    </row>
    <row r="144" spans="1:23" s="2" customFormat="1" ht="15.75" customHeight="1" x14ac:dyDescent="0.3">
      <c r="A144" s="111" t="s">
        <v>204</v>
      </c>
      <c r="B144" s="111"/>
      <c r="C144" s="111"/>
      <c r="D144" s="111"/>
      <c r="E144" s="111"/>
      <c r="F144" s="111"/>
      <c r="G144" s="111"/>
      <c r="H144" s="111"/>
      <c r="S144" s="110" t="str">
        <f t="shared" ca="1" si="5"/>
        <v>403,..,3003</v>
      </c>
      <c r="T144" s="110"/>
      <c r="U144" s="38">
        <f t="shared" si="6"/>
        <v>3</v>
      </c>
      <c r="V144" s="2">
        <f t="shared" ca="1" si="6"/>
        <v>403</v>
      </c>
      <c r="W144" s="2">
        <f t="shared" ca="1" si="6"/>
        <v>3003</v>
      </c>
    </row>
    <row r="145" spans="1:23" s="2" customFormat="1" ht="15.75" customHeight="1" x14ac:dyDescent="0.3">
      <c r="A145" s="111" t="s">
        <v>186</v>
      </c>
      <c r="B145" s="111"/>
      <c r="C145" s="111"/>
      <c r="D145" s="111"/>
      <c r="E145" s="111"/>
      <c r="F145" s="111"/>
      <c r="G145" s="111"/>
      <c r="H145" s="111"/>
      <c r="S145" s="110" t="str">
        <f t="shared" ca="1" si="5"/>
        <v>404,..,3004</v>
      </c>
      <c r="T145" s="110"/>
      <c r="U145" s="38">
        <f t="shared" si="6"/>
        <v>4</v>
      </c>
      <c r="V145" s="2">
        <f t="shared" ca="1" si="6"/>
        <v>404</v>
      </c>
      <c r="W145" s="2">
        <f t="shared" ca="1" si="6"/>
        <v>3004</v>
      </c>
    </row>
    <row r="146" spans="1:23" s="2" customFormat="1" ht="15.75" customHeight="1" x14ac:dyDescent="0.3">
      <c r="A146" s="111" t="s">
        <v>187</v>
      </c>
      <c r="B146" s="111"/>
      <c r="C146" s="111"/>
      <c r="D146" s="111"/>
      <c r="E146" s="111"/>
      <c r="F146" s="111"/>
      <c r="G146" s="111"/>
      <c r="H146" s="111"/>
      <c r="S146" s="110" t="str">
        <f t="shared" ca="1" si="5"/>
        <v>405,..,3005</v>
      </c>
      <c r="T146" s="110"/>
      <c r="U146" s="38">
        <f t="shared" si="6"/>
        <v>5</v>
      </c>
      <c r="V146" s="2">
        <f t="shared" ca="1" si="6"/>
        <v>405</v>
      </c>
      <c r="W146" s="2">
        <f t="shared" ca="1" si="6"/>
        <v>3005</v>
      </c>
    </row>
    <row r="147" spans="1:23" s="2" customFormat="1" ht="15.75" customHeight="1" x14ac:dyDescent="0.3">
      <c r="A147" s="109">
        <f t="shared" ref="A147:A154" ca="1" si="7">S133</f>
        <v>301</v>
      </c>
      <c r="B147" s="109"/>
      <c r="C147" s="20" t="s">
        <v>188</v>
      </c>
      <c r="D147" s="20">
        <f>33.65*10.764</f>
        <v>362.20859999999999</v>
      </c>
      <c r="E147" s="20">
        <v>0</v>
      </c>
      <c r="F147" s="20">
        <f t="shared" ref="F147:F154" si="8">D147*(($F$143)+1)+E147</f>
        <v>579.53376000000003</v>
      </c>
      <c r="G147" s="109" t="s">
        <v>201</v>
      </c>
      <c r="H147" s="109"/>
      <c r="I147" s="2">
        <f>(4.6*2.75+0.95*1+2.39*1.7+3.45*2.75+1.25*1.15+1.53*1.25+1*1.2)</f>
        <v>31.700499999999998</v>
      </c>
      <c r="S147" s="110" t="str">
        <f t="shared" ca="1" si="5"/>
        <v>406,..,3006</v>
      </c>
      <c r="T147" s="110"/>
      <c r="U147" s="38">
        <f t="shared" ref="U147:W147" si="9">U146+1</f>
        <v>6</v>
      </c>
      <c r="V147" s="2">
        <f t="shared" ca="1" si="9"/>
        <v>406</v>
      </c>
      <c r="W147" s="2">
        <f t="shared" ca="1" si="9"/>
        <v>3006</v>
      </c>
    </row>
    <row r="148" spans="1:23" s="2" customFormat="1" ht="15.75" customHeight="1" x14ac:dyDescent="0.3">
      <c r="A148" s="109">
        <f t="shared" ca="1" si="7"/>
        <v>302</v>
      </c>
      <c r="B148" s="109"/>
      <c r="C148" s="20" t="s">
        <v>189</v>
      </c>
      <c r="D148" s="20">
        <f>(51.39)*10.746</f>
        <v>552.23694</v>
      </c>
      <c r="E148" s="20">
        <v>0</v>
      </c>
      <c r="F148" s="20">
        <f t="shared" si="8"/>
        <v>883.57910400000003</v>
      </c>
      <c r="G148" s="109" t="str">
        <f t="shared" ref="G148:G154" si="10">G147</f>
        <v>3rd Floor</v>
      </c>
      <c r="H148" s="109"/>
      <c r="S148" s="110" t="str">
        <f t="shared" ca="1" si="5"/>
        <v>407,..,3007</v>
      </c>
      <c r="T148" s="110"/>
      <c r="U148" s="38">
        <f t="shared" ref="U148:W148" si="11">U147+1</f>
        <v>7</v>
      </c>
      <c r="V148" s="2">
        <f t="shared" ca="1" si="11"/>
        <v>407</v>
      </c>
      <c r="W148" s="2">
        <f t="shared" ca="1" si="11"/>
        <v>3007</v>
      </c>
    </row>
    <row r="149" spans="1:23" s="2" customFormat="1" ht="15.75" customHeight="1" x14ac:dyDescent="0.3">
      <c r="A149" s="109">
        <f t="shared" ca="1" si="7"/>
        <v>303</v>
      </c>
      <c r="B149" s="109"/>
      <c r="C149" s="20" t="s">
        <v>189</v>
      </c>
      <c r="D149" s="20">
        <f>(53.25+7.96*0.9)*10.764</f>
        <v>650.29629599999998</v>
      </c>
      <c r="E149" s="20">
        <v>0</v>
      </c>
      <c r="F149" s="20">
        <f t="shared" si="8"/>
        <v>1040.4740736000001</v>
      </c>
      <c r="G149" s="109" t="str">
        <f t="shared" si="10"/>
        <v>3rd Floor</v>
      </c>
      <c r="H149" s="109"/>
      <c r="I149" s="2">
        <f>15000000/F149</f>
        <v>14416.505303299466</v>
      </c>
      <c r="S149" s="110" t="str">
        <f t="shared" ca="1" si="5"/>
        <v>408,..,3008</v>
      </c>
      <c r="T149" s="110"/>
      <c r="U149" s="38">
        <f t="shared" ref="U149:W149" si="12">U148+1</f>
        <v>8</v>
      </c>
      <c r="V149" s="2">
        <f t="shared" ca="1" si="12"/>
        <v>408</v>
      </c>
      <c r="W149" s="2">
        <f t="shared" ca="1" si="12"/>
        <v>3008</v>
      </c>
    </row>
    <row r="150" spans="1:23" s="2" customFormat="1" ht="15.75" customHeight="1" x14ac:dyDescent="0.3">
      <c r="A150" s="109">
        <f t="shared" ca="1" si="7"/>
        <v>304</v>
      </c>
      <c r="B150" s="109"/>
      <c r="C150" s="20" t="s">
        <v>189</v>
      </c>
      <c r="D150" s="20">
        <f>(53.25+7.69*0.75)*10.764</f>
        <v>635.26436999999999</v>
      </c>
      <c r="E150" s="20">
        <v>0</v>
      </c>
      <c r="F150" s="20">
        <f t="shared" si="8"/>
        <v>1016.422992</v>
      </c>
      <c r="G150" s="109" t="str">
        <f t="shared" si="10"/>
        <v>3rd Floor</v>
      </c>
      <c r="H150" s="109"/>
      <c r="S150" s="110" t="s">
        <v>161</v>
      </c>
      <c r="T150" s="110"/>
      <c r="V150" s="2" t="str">
        <f>LEFT(A164,SUM(LEN(A164)-LEN(SUBSTITUTE(A164,{"0","1","2","3","4","5","6","7","8","9"},""))))</f>
        <v xml:space="preserve">7th, </v>
      </c>
      <c r="W150" s="2">
        <f ca="1">--TRIM(RIGHT(SUBSTITUTE(LEFT(A164,_xlfn.AGGREGATE(16,6,FIND({0,1,2,3,4,5,6,7,8,9},A164,ROW(INDIRECT("1:"&amp;LEN(A164)))),1))," ",REPT(" ",LEN(A164))),LEN(A164)))</f>
        <v>21</v>
      </c>
    </row>
    <row r="151" spans="1:23" s="2" customFormat="1" ht="15.75" customHeight="1" x14ac:dyDescent="0.3">
      <c r="A151" s="109">
        <f t="shared" ca="1" si="7"/>
        <v>305</v>
      </c>
      <c r="B151" s="109"/>
      <c r="C151" s="20" t="s">
        <v>189</v>
      </c>
      <c r="D151" s="20">
        <f t="shared" ref="D151:D152" si="13">(53.25+7.69*0.75)*10.764</f>
        <v>635.26436999999999</v>
      </c>
      <c r="E151" s="20">
        <v>0</v>
      </c>
      <c r="F151" s="20">
        <f t="shared" si="8"/>
        <v>1016.422992</v>
      </c>
      <c r="G151" s="109" t="str">
        <f t="shared" si="10"/>
        <v>3rd Floor</v>
      </c>
      <c r="H151" s="109"/>
      <c r="S151" s="110" t="str">
        <f ca="1">V151&amp;""&amp;$S$150&amp;""&amp;W151</f>
        <v>701,..,2101</v>
      </c>
      <c r="T151" s="110"/>
      <c r="U151" s="38">
        <v>1</v>
      </c>
      <c r="V151" s="2">
        <f ca="1">(SUMPRODUCT(MID(0&amp;V150, LARGE(INDEX(ISNUMBER(--MID(V150, ROW(INDIRECT("1:"&amp;LEN(V150))), 1)) * ROW(INDIRECT("1:"&amp;LEN(V150))), 0), ROW(INDIRECT("1:"&amp;LEN(V150))))+1, 1) * 10^ROW(INDIRECT("1:"&amp;LEN(V150)))/10))*U151*100+1</f>
        <v>701</v>
      </c>
      <c r="W151" s="2">
        <f ca="1">(SUMPRODUCT(MID(0&amp;W150, LARGE(INDEX(ISNUMBER(--MID(W150, ROW(INDIRECT("1:"&amp;LEN(W150))), 1)) * ROW(INDIRECT("1:"&amp;LEN(W150))), 0), ROW(INDIRECT("1:"&amp;LEN(W150))))+1, 1) * 10^ROW(INDIRECT("1:"&amp;LEN(W150)))/10))*U151*100+1</f>
        <v>2101</v>
      </c>
    </row>
    <row r="152" spans="1:23" s="2" customFormat="1" ht="15.75" customHeight="1" x14ac:dyDescent="0.3">
      <c r="A152" s="109">
        <f t="shared" ca="1" si="7"/>
        <v>306</v>
      </c>
      <c r="B152" s="109"/>
      <c r="C152" s="20" t="s">
        <v>189</v>
      </c>
      <c r="D152" s="20">
        <f t="shared" si="13"/>
        <v>635.26436999999999</v>
      </c>
      <c r="E152" s="20">
        <v>0</v>
      </c>
      <c r="F152" s="20">
        <f t="shared" si="8"/>
        <v>1016.422992</v>
      </c>
      <c r="G152" s="109" t="str">
        <f t="shared" si="10"/>
        <v>3rd Floor</v>
      </c>
      <c r="H152" s="109"/>
      <c r="I152" s="2">
        <f>13300000/F152</f>
        <v>13085.103450709819</v>
      </c>
      <c r="S152" s="110" t="str">
        <f t="shared" ref="S152:S158" ca="1" si="14">V152&amp;""&amp;$S$150&amp;""&amp;W152</f>
        <v>702,..,2102</v>
      </c>
      <c r="T152" s="110"/>
      <c r="U152" s="38">
        <f t="shared" ref="U152:W155" si="15">U151+1</f>
        <v>2</v>
      </c>
      <c r="V152" s="2">
        <f t="shared" ca="1" si="15"/>
        <v>702</v>
      </c>
      <c r="W152" s="2">
        <f t="shared" ca="1" si="15"/>
        <v>2102</v>
      </c>
    </row>
    <row r="153" spans="1:23" s="2" customFormat="1" ht="15.75" customHeight="1" x14ac:dyDescent="0.3">
      <c r="A153" s="109">
        <f t="shared" ca="1" si="7"/>
        <v>307</v>
      </c>
      <c r="B153" s="109"/>
      <c r="C153" s="20" t="s">
        <v>189</v>
      </c>
      <c r="D153" s="20">
        <f>51.39*10.764</f>
        <v>553.16196000000002</v>
      </c>
      <c r="E153" s="20">
        <v>0</v>
      </c>
      <c r="F153" s="20">
        <f t="shared" si="8"/>
        <v>885.05913600000008</v>
      </c>
      <c r="G153" s="109" t="str">
        <f t="shared" si="10"/>
        <v>3rd Floor</v>
      </c>
      <c r="H153" s="109"/>
      <c r="S153" s="110" t="str">
        <f t="shared" ca="1" si="14"/>
        <v>703,..,2103</v>
      </c>
      <c r="T153" s="110"/>
      <c r="U153" s="38">
        <f t="shared" si="15"/>
        <v>3</v>
      </c>
      <c r="V153" s="2">
        <f t="shared" ca="1" si="15"/>
        <v>703</v>
      </c>
      <c r="W153" s="2">
        <f t="shared" ca="1" si="15"/>
        <v>2103</v>
      </c>
    </row>
    <row r="154" spans="1:23" s="2" customFormat="1" ht="15.75" customHeight="1" x14ac:dyDescent="0.3">
      <c r="A154" s="109">
        <f t="shared" ca="1" si="7"/>
        <v>308</v>
      </c>
      <c r="B154" s="109"/>
      <c r="C154" s="20" t="s">
        <v>188</v>
      </c>
      <c r="D154" s="20">
        <f>33.65*10.764</f>
        <v>362.20859999999999</v>
      </c>
      <c r="E154" s="20">
        <v>0</v>
      </c>
      <c r="F154" s="20">
        <f t="shared" si="8"/>
        <v>579.53376000000003</v>
      </c>
      <c r="G154" s="109" t="str">
        <f t="shared" si="10"/>
        <v>3rd Floor</v>
      </c>
      <c r="H154" s="109"/>
      <c r="I154" s="2">
        <f>8990000/F154</f>
        <v>15512.469886137435</v>
      </c>
      <c r="S154" s="110" t="str">
        <f t="shared" ca="1" si="14"/>
        <v>704,..,2104</v>
      </c>
      <c r="T154" s="110"/>
      <c r="U154" s="38">
        <f t="shared" si="15"/>
        <v>4</v>
      </c>
      <c r="V154" s="2">
        <f t="shared" ca="1" si="15"/>
        <v>704</v>
      </c>
      <c r="W154" s="2">
        <f t="shared" ca="1" si="15"/>
        <v>2104</v>
      </c>
    </row>
    <row r="155" spans="1:23" s="2" customFormat="1" ht="15.75" customHeight="1" x14ac:dyDescent="0.3">
      <c r="A155" s="111" t="s">
        <v>202</v>
      </c>
      <c r="B155" s="111"/>
      <c r="C155" s="111"/>
      <c r="D155" s="111"/>
      <c r="E155" s="111"/>
      <c r="F155" s="111"/>
      <c r="G155" s="111"/>
      <c r="H155" s="111"/>
      <c r="S155" s="110" t="str">
        <f t="shared" ca="1" si="14"/>
        <v>705,..,2105</v>
      </c>
      <c r="T155" s="110"/>
      <c r="U155" s="38">
        <f t="shared" si="15"/>
        <v>5</v>
      </c>
      <c r="V155" s="2">
        <f t="shared" ca="1" si="15"/>
        <v>705</v>
      </c>
      <c r="W155" s="2">
        <f t="shared" ca="1" si="15"/>
        <v>2105</v>
      </c>
    </row>
    <row r="156" spans="1:23" s="2" customFormat="1" ht="15.75" customHeight="1" x14ac:dyDescent="0.3">
      <c r="A156" s="109" t="str">
        <f t="shared" ref="A156:A163" ca="1" si="16">S142</f>
        <v>401,..,3001</v>
      </c>
      <c r="B156" s="109"/>
      <c r="C156" s="20" t="s">
        <v>188</v>
      </c>
      <c r="D156" s="20">
        <f>33.65*10.764</f>
        <v>362.20859999999999</v>
      </c>
      <c r="E156" s="20">
        <v>0</v>
      </c>
      <c r="F156" s="20">
        <f t="shared" ref="F156:F163" si="17">D156*(($F$143)+1)+E156</f>
        <v>579.53376000000003</v>
      </c>
      <c r="G156" s="109" t="str">
        <f>A155</f>
        <v>4th to 6th, 8th to 13th, 15th to 20th, 22nd to 27th, 29th &amp; 30th Floor</v>
      </c>
      <c r="H156" s="109"/>
      <c r="S156" s="110" t="str">
        <f t="shared" ca="1" si="14"/>
        <v>706,..,2106</v>
      </c>
      <c r="T156" s="110"/>
      <c r="U156" s="38">
        <f t="shared" ref="U156:W156" si="18">U155+1</f>
        <v>6</v>
      </c>
      <c r="V156" s="2">
        <f t="shared" ca="1" si="18"/>
        <v>706</v>
      </c>
      <c r="W156" s="2">
        <f t="shared" ca="1" si="18"/>
        <v>2106</v>
      </c>
    </row>
    <row r="157" spans="1:23" s="2" customFormat="1" ht="15.75" customHeight="1" x14ac:dyDescent="0.3">
      <c r="A157" s="109" t="str">
        <f t="shared" ca="1" si="16"/>
        <v>402,..,3002</v>
      </c>
      <c r="B157" s="109"/>
      <c r="C157" s="20" t="s">
        <v>189</v>
      </c>
      <c r="D157" s="20">
        <f>(51.39)*10.746</f>
        <v>552.23694</v>
      </c>
      <c r="E157" s="20">
        <v>0</v>
      </c>
      <c r="F157" s="20">
        <f t="shared" si="17"/>
        <v>883.57910400000003</v>
      </c>
      <c r="G157" s="109"/>
      <c r="H157" s="109"/>
      <c r="S157" s="110" t="str">
        <f t="shared" ca="1" si="14"/>
        <v>707,..,2107</v>
      </c>
      <c r="T157" s="110"/>
      <c r="U157" s="38">
        <f t="shared" ref="U157:W157" si="19">U156+1</f>
        <v>7</v>
      </c>
      <c r="V157" s="2">
        <f t="shared" ca="1" si="19"/>
        <v>707</v>
      </c>
      <c r="W157" s="2">
        <f t="shared" ca="1" si="19"/>
        <v>2107</v>
      </c>
    </row>
    <row r="158" spans="1:23" s="2" customFormat="1" ht="15.75" customHeight="1" x14ac:dyDescent="0.3">
      <c r="A158" s="109" t="str">
        <f t="shared" ca="1" si="16"/>
        <v>403,..,3003</v>
      </c>
      <c r="B158" s="109"/>
      <c r="C158" s="20" t="s">
        <v>189</v>
      </c>
      <c r="D158" s="20">
        <f>(53.25)*10.764</f>
        <v>573.18299999999999</v>
      </c>
      <c r="E158" s="20">
        <v>0</v>
      </c>
      <c r="F158" s="20">
        <f t="shared" si="17"/>
        <v>917.09280000000001</v>
      </c>
      <c r="G158" s="109"/>
      <c r="H158" s="109"/>
      <c r="I158" s="2">
        <f>12700000/F158</f>
        <v>13848.107846883107</v>
      </c>
      <c r="S158" s="110" t="str">
        <f t="shared" ca="1" si="14"/>
        <v>708,..,2108</v>
      </c>
      <c r="T158" s="110"/>
      <c r="U158" s="38">
        <f t="shared" ref="U158:W158" si="20">U157+1</f>
        <v>8</v>
      </c>
      <c r="V158" s="2">
        <f t="shared" ca="1" si="20"/>
        <v>708</v>
      </c>
      <c r="W158" s="2">
        <f t="shared" ca="1" si="20"/>
        <v>2108</v>
      </c>
    </row>
    <row r="159" spans="1:23" s="2" customFormat="1" x14ac:dyDescent="0.3">
      <c r="A159" s="109" t="str">
        <f t="shared" ca="1" si="16"/>
        <v>404,..,3004</v>
      </c>
      <c r="B159" s="109"/>
      <c r="C159" s="20" t="s">
        <v>189</v>
      </c>
      <c r="D159" s="20">
        <f t="shared" ref="D159:D161" si="21">(53.25)*10.764</f>
        <v>573.18299999999999</v>
      </c>
      <c r="E159" s="20">
        <v>0</v>
      </c>
      <c r="F159" s="20">
        <f t="shared" si="17"/>
        <v>917.09280000000001</v>
      </c>
      <c r="G159" s="109"/>
      <c r="H159" s="109"/>
      <c r="U159" s="38"/>
    </row>
    <row r="160" spans="1:23" s="2" customFormat="1" x14ac:dyDescent="0.3">
      <c r="A160" s="109" t="str">
        <f t="shared" ca="1" si="16"/>
        <v>405,..,3005</v>
      </c>
      <c r="B160" s="109"/>
      <c r="C160" s="20" t="s">
        <v>189</v>
      </c>
      <c r="D160" s="20">
        <f t="shared" si="21"/>
        <v>573.18299999999999</v>
      </c>
      <c r="E160" s="20">
        <v>0</v>
      </c>
      <c r="F160" s="20">
        <f t="shared" si="17"/>
        <v>917.09280000000001</v>
      </c>
      <c r="G160" s="109"/>
      <c r="H160" s="109"/>
      <c r="U160" s="38"/>
    </row>
    <row r="161" spans="1:22" s="2" customFormat="1" x14ac:dyDescent="0.3">
      <c r="A161" s="109" t="str">
        <f t="shared" ca="1" si="16"/>
        <v>406,..,3006</v>
      </c>
      <c r="B161" s="109"/>
      <c r="C161" s="20" t="s">
        <v>189</v>
      </c>
      <c r="D161" s="20">
        <f t="shared" si="21"/>
        <v>573.18299999999999</v>
      </c>
      <c r="E161" s="20">
        <v>0</v>
      </c>
      <c r="F161" s="20">
        <f t="shared" si="17"/>
        <v>917.09280000000001</v>
      </c>
      <c r="G161" s="109"/>
      <c r="H161" s="109"/>
      <c r="U161" s="38"/>
    </row>
    <row r="162" spans="1:22" s="2" customFormat="1" x14ac:dyDescent="0.3">
      <c r="A162" s="109" t="str">
        <f t="shared" ca="1" si="16"/>
        <v>407,..,3007</v>
      </c>
      <c r="B162" s="109"/>
      <c r="C162" s="20" t="s">
        <v>189</v>
      </c>
      <c r="D162" s="20">
        <f>51.39*10.764</f>
        <v>553.16196000000002</v>
      </c>
      <c r="E162" s="20">
        <v>0</v>
      </c>
      <c r="F162" s="20">
        <f t="shared" si="17"/>
        <v>885.05913600000008</v>
      </c>
      <c r="G162" s="109"/>
      <c r="H162" s="109"/>
      <c r="U162" s="38"/>
    </row>
    <row r="163" spans="1:22" s="2" customFormat="1" x14ac:dyDescent="0.3">
      <c r="A163" s="109" t="str">
        <f t="shared" ca="1" si="16"/>
        <v>408,..,3008</v>
      </c>
      <c r="B163" s="109"/>
      <c r="C163" s="20" t="s">
        <v>188</v>
      </c>
      <c r="D163" s="20">
        <f>33.65*10.764</f>
        <v>362.20859999999999</v>
      </c>
      <c r="E163" s="20">
        <v>0</v>
      </c>
      <c r="F163" s="20">
        <f t="shared" si="17"/>
        <v>579.53376000000003</v>
      </c>
      <c r="G163" s="109"/>
      <c r="H163" s="109"/>
      <c r="U163" s="38"/>
    </row>
    <row r="164" spans="1:22" s="2" customFormat="1" x14ac:dyDescent="0.3">
      <c r="A164" s="111" t="s">
        <v>203</v>
      </c>
      <c r="B164" s="111"/>
      <c r="C164" s="111"/>
      <c r="D164" s="111"/>
      <c r="E164" s="111"/>
      <c r="F164" s="111"/>
      <c r="G164" s="111"/>
      <c r="H164" s="111"/>
      <c r="U164" s="38"/>
    </row>
    <row r="165" spans="1:22" s="2" customFormat="1" x14ac:dyDescent="0.3">
      <c r="A165" s="70" t="str">
        <f t="shared" ref="A165:A172" ca="1" si="22">S151</f>
        <v>701,..,2101</v>
      </c>
      <c r="B165" s="71"/>
      <c r="C165" s="20" t="s">
        <v>188</v>
      </c>
      <c r="D165" s="20">
        <f>33.65*10.764</f>
        <v>362.20859999999999</v>
      </c>
      <c r="E165" s="20">
        <v>0</v>
      </c>
      <c r="F165" s="20">
        <f>D165*(($F$143)+1)+E165</f>
        <v>579.53376000000003</v>
      </c>
      <c r="G165" s="72" t="str">
        <f>A164</f>
        <v>7th, 14th &amp; 21st Floor(Part Refuge Floor)</v>
      </c>
      <c r="H165" s="74"/>
      <c r="U165" s="38"/>
    </row>
    <row r="166" spans="1:22" s="2" customFormat="1" x14ac:dyDescent="0.3">
      <c r="A166" s="70" t="str">
        <f t="shared" ca="1" si="22"/>
        <v>702,..,2102</v>
      </c>
      <c r="B166" s="71"/>
      <c r="C166" s="72" t="s">
        <v>191</v>
      </c>
      <c r="D166" s="73"/>
      <c r="E166" s="73"/>
      <c r="F166" s="74"/>
      <c r="G166" s="101"/>
      <c r="H166" s="102"/>
      <c r="U166" s="38"/>
    </row>
    <row r="167" spans="1:22" s="2" customFormat="1" x14ac:dyDescent="0.3">
      <c r="A167" s="70" t="str">
        <f t="shared" ca="1" si="22"/>
        <v>703,..,2103</v>
      </c>
      <c r="B167" s="71"/>
      <c r="C167" s="75"/>
      <c r="D167" s="76"/>
      <c r="E167" s="76"/>
      <c r="F167" s="77"/>
      <c r="G167" s="101"/>
      <c r="H167" s="102"/>
      <c r="U167" s="38"/>
    </row>
    <row r="168" spans="1:22" s="2" customFormat="1" x14ac:dyDescent="0.3">
      <c r="A168" s="70" t="str">
        <f t="shared" ca="1" si="22"/>
        <v>704,..,2104</v>
      </c>
      <c r="B168" s="71"/>
      <c r="C168" s="20" t="s">
        <v>189</v>
      </c>
      <c r="D168" s="20">
        <f t="shared" ref="D168:D170" si="23">(53.25)*10.764</f>
        <v>573.18299999999999</v>
      </c>
      <c r="E168" s="20">
        <v>0</v>
      </c>
      <c r="F168" s="20">
        <f>D168*(($F$143)+1)+E168</f>
        <v>917.09280000000001</v>
      </c>
      <c r="G168" s="101"/>
      <c r="H168" s="102"/>
    </row>
    <row r="169" spans="1:22" s="2" customFormat="1" x14ac:dyDescent="0.3">
      <c r="A169" s="70" t="str">
        <f t="shared" ca="1" si="22"/>
        <v>705,..,2105</v>
      </c>
      <c r="B169" s="71"/>
      <c r="C169" s="20" t="s">
        <v>189</v>
      </c>
      <c r="D169" s="20">
        <f t="shared" si="23"/>
        <v>573.18299999999999</v>
      </c>
      <c r="E169" s="20">
        <v>0</v>
      </c>
      <c r="F169" s="20">
        <f>D169*(($F$143)+1)+E169</f>
        <v>917.09280000000001</v>
      </c>
      <c r="G169" s="101"/>
      <c r="H169" s="102"/>
      <c r="S169" s="110"/>
      <c r="T169" s="110"/>
      <c r="V169" s="2" t="str">
        <f>LEFT(A183,SUM(LEN(A183)-LEN(SUBSTITUTE(A183,{"0","1","2","3","4","5","6","7","8","9"},""))))</f>
        <v>2</v>
      </c>
    </row>
    <row r="170" spans="1:22" s="2" customFormat="1" x14ac:dyDescent="0.3">
      <c r="A170" s="70" t="str">
        <f t="shared" ca="1" si="22"/>
        <v>706,..,2106</v>
      </c>
      <c r="B170" s="71"/>
      <c r="C170" s="20" t="s">
        <v>189</v>
      </c>
      <c r="D170" s="20">
        <f t="shared" si="23"/>
        <v>573.18299999999999</v>
      </c>
      <c r="E170" s="20">
        <v>0</v>
      </c>
      <c r="F170" s="20">
        <f>D170*(($F$143)+1)+E170</f>
        <v>917.09280000000001</v>
      </c>
      <c r="G170" s="101"/>
      <c r="H170" s="102"/>
      <c r="S170" s="110"/>
      <c r="T170" s="110"/>
      <c r="V170" s="2" t="str">
        <f>LEFT(A184,SUM(LEN(A184)-LEN(SUBSTITUTE(A184,{"0","1","2","3","4","5","6","7","8","9"},""))))</f>
        <v>3r</v>
      </c>
    </row>
    <row r="171" spans="1:22" s="2" customFormat="1" x14ac:dyDescent="0.3">
      <c r="A171" s="70" t="str">
        <f t="shared" ca="1" si="22"/>
        <v>707,..,2107</v>
      </c>
      <c r="B171" s="71"/>
      <c r="C171" s="20" t="s">
        <v>189</v>
      </c>
      <c r="D171" s="20">
        <f>51.39*10.764</f>
        <v>553.16196000000002</v>
      </c>
      <c r="E171" s="20">
        <v>0</v>
      </c>
      <c r="F171" s="20">
        <f>D171*(($F$143)+1)+E171</f>
        <v>885.05913600000008</v>
      </c>
      <c r="G171" s="101"/>
      <c r="H171" s="102"/>
      <c r="S171" s="110">
        <f t="shared" ref="S171:S178" ca="1" si="24">V171</f>
        <v>301</v>
      </c>
      <c r="T171" s="110"/>
      <c r="U171" s="38">
        <v>1</v>
      </c>
      <c r="V171" s="2">
        <f ca="1">(SUMPRODUCT(MID(0&amp;V170, LARGE(INDEX(ISNUMBER(--MID(V170, ROW(INDIRECT("1:"&amp;LEN(V170))), 1)) * ROW(INDIRECT("1:"&amp;LEN(V170))), 0), ROW(INDIRECT("1:"&amp;LEN(V170))))+1, 1) * 10^ROW(INDIRECT("1:"&amp;LEN(V170)))/10))*U171*100+1</f>
        <v>301</v>
      </c>
    </row>
    <row r="172" spans="1:22" s="2" customFormat="1" x14ac:dyDescent="0.3">
      <c r="A172" s="70" t="str">
        <f t="shared" ca="1" si="22"/>
        <v>708,..,2108</v>
      </c>
      <c r="B172" s="71"/>
      <c r="C172" s="20" t="s">
        <v>188</v>
      </c>
      <c r="D172" s="20">
        <f>33.65*10.764</f>
        <v>362.20859999999999</v>
      </c>
      <c r="E172" s="20">
        <v>0</v>
      </c>
      <c r="F172" s="20">
        <f>D172*(($F$143)+1)+E172</f>
        <v>579.53376000000003</v>
      </c>
      <c r="G172" s="75"/>
      <c r="H172" s="77"/>
      <c r="S172" s="110">
        <f t="shared" ca="1" si="24"/>
        <v>302</v>
      </c>
      <c r="T172" s="110"/>
      <c r="U172" s="38">
        <f>U171+1</f>
        <v>2</v>
      </c>
      <c r="V172" s="2">
        <f ca="1">V171+1</f>
        <v>302</v>
      </c>
    </row>
    <row r="173" spans="1:22" s="2" customFormat="1" x14ac:dyDescent="0.3">
      <c r="A173" s="67" t="s">
        <v>192</v>
      </c>
      <c r="B173" s="68"/>
      <c r="C173" s="68"/>
      <c r="D173" s="68"/>
      <c r="E173" s="68"/>
      <c r="F173" s="68"/>
      <c r="G173" s="68"/>
      <c r="H173" s="69"/>
      <c r="S173" s="110">
        <f t="shared" ca="1" si="24"/>
        <v>303</v>
      </c>
      <c r="T173" s="110"/>
      <c r="U173" s="38">
        <f>U172+1</f>
        <v>3</v>
      </c>
      <c r="V173" s="2">
        <f ca="1">V172+1</f>
        <v>303</v>
      </c>
    </row>
    <row r="174" spans="1:22" s="2" customFormat="1" x14ac:dyDescent="0.3">
      <c r="A174" s="70">
        <v>2801</v>
      </c>
      <c r="B174" s="71"/>
      <c r="C174" s="20" t="s">
        <v>188</v>
      </c>
      <c r="D174" s="20">
        <f>33.65*10.764</f>
        <v>362.20859999999999</v>
      </c>
      <c r="E174" s="20">
        <v>0</v>
      </c>
      <c r="F174" s="20">
        <f>D174*(($F$143)+1)+E174</f>
        <v>579.53376000000003</v>
      </c>
      <c r="G174" s="72" t="str">
        <f>A173</f>
        <v>28th Floor (Part Refuge Floor)</v>
      </c>
      <c r="H174" s="74"/>
      <c r="S174" s="110">
        <f t="shared" ca="1" si="24"/>
        <v>304</v>
      </c>
      <c r="T174" s="110"/>
      <c r="U174" s="38">
        <f t="shared" ref="U174:V178" si="25">U173+1</f>
        <v>4</v>
      </c>
      <c r="V174" s="2">
        <f t="shared" ca="1" si="25"/>
        <v>304</v>
      </c>
    </row>
    <row r="175" spans="1:22" s="2" customFormat="1" x14ac:dyDescent="0.3">
      <c r="A175" s="70">
        <v>2802</v>
      </c>
      <c r="B175" s="71"/>
      <c r="C175" s="70" t="s">
        <v>191</v>
      </c>
      <c r="D175" s="169"/>
      <c r="E175" s="169"/>
      <c r="F175" s="71"/>
      <c r="G175" s="101"/>
      <c r="H175" s="102"/>
      <c r="I175" s="2">
        <f>12700000/F176</f>
        <v>13848.107846883107</v>
      </c>
      <c r="S175" s="110">
        <f t="shared" ca="1" si="24"/>
        <v>305</v>
      </c>
      <c r="T175" s="110"/>
      <c r="U175" s="38">
        <f t="shared" si="25"/>
        <v>5</v>
      </c>
      <c r="V175" s="2">
        <f t="shared" ca="1" si="25"/>
        <v>305</v>
      </c>
    </row>
    <row r="176" spans="1:22" s="2" customFormat="1" x14ac:dyDescent="0.3">
      <c r="A176" s="70">
        <v>2803</v>
      </c>
      <c r="B176" s="71"/>
      <c r="C176" s="20" t="s">
        <v>189</v>
      </c>
      <c r="D176" s="20">
        <f>(53.25)*10.764</f>
        <v>573.18299999999999</v>
      </c>
      <c r="E176" s="20">
        <v>0</v>
      </c>
      <c r="F176" s="20">
        <f t="shared" ref="F176:F181" si="26">D176*(($F$143)+1)+E176</f>
        <v>917.09280000000001</v>
      </c>
      <c r="G176" s="101"/>
      <c r="H176" s="102"/>
      <c r="S176" s="110">
        <f t="shared" ca="1" si="24"/>
        <v>306</v>
      </c>
      <c r="T176" s="110"/>
      <c r="U176" s="38">
        <f>U175+1</f>
        <v>6</v>
      </c>
      <c r="V176" s="2">
        <f t="shared" ca="1" si="25"/>
        <v>306</v>
      </c>
    </row>
    <row r="177" spans="1:22" s="2" customFormat="1" x14ac:dyDescent="0.3">
      <c r="A177" s="70">
        <v>2804</v>
      </c>
      <c r="B177" s="71"/>
      <c r="C177" s="20" t="s">
        <v>189</v>
      </c>
      <c r="D177" s="20">
        <f t="shared" ref="D177:D179" si="27">(53.25)*10.764</f>
        <v>573.18299999999999</v>
      </c>
      <c r="E177" s="20">
        <v>0</v>
      </c>
      <c r="F177" s="20">
        <f t="shared" si="26"/>
        <v>917.09280000000001</v>
      </c>
      <c r="G177" s="101"/>
      <c r="H177" s="102"/>
      <c r="S177" s="110">
        <f t="shared" ca="1" si="24"/>
        <v>307</v>
      </c>
      <c r="T177" s="110"/>
      <c r="U177" s="38">
        <f>U176+1</f>
        <v>7</v>
      </c>
      <c r="V177" s="2">
        <f t="shared" ca="1" si="25"/>
        <v>307</v>
      </c>
    </row>
    <row r="178" spans="1:22" s="2" customFormat="1" x14ac:dyDescent="0.3">
      <c r="A178" s="70">
        <v>2805</v>
      </c>
      <c r="B178" s="71"/>
      <c r="C178" s="20" t="s">
        <v>189</v>
      </c>
      <c r="D178" s="20">
        <f t="shared" si="27"/>
        <v>573.18299999999999</v>
      </c>
      <c r="E178" s="20">
        <v>0</v>
      </c>
      <c r="F178" s="20">
        <f t="shared" si="26"/>
        <v>917.09280000000001</v>
      </c>
      <c r="G178" s="101"/>
      <c r="H178" s="102"/>
      <c r="S178" s="110">
        <f t="shared" ca="1" si="24"/>
        <v>308</v>
      </c>
      <c r="T178" s="110"/>
      <c r="U178" s="38">
        <f t="shared" ref="U178" si="28">U177+1</f>
        <v>8</v>
      </c>
      <c r="V178" s="2">
        <f t="shared" ca="1" si="25"/>
        <v>308</v>
      </c>
    </row>
    <row r="179" spans="1:22" s="2" customFormat="1" x14ac:dyDescent="0.3">
      <c r="A179" s="70">
        <v>2806</v>
      </c>
      <c r="B179" s="71"/>
      <c r="C179" s="20" t="s">
        <v>189</v>
      </c>
      <c r="D179" s="20">
        <f t="shared" si="27"/>
        <v>573.18299999999999</v>
      </c>
      <c r="E179" s="20">
        <v>0</v>
      </c>
      <c r="F179" s="20">
        <f t="shared" si="26"/>
        <v>917.09280000000001</v>
      </c>
      <c r="G179" s="101"/>
      <c r="H179" s="102"/>
      <c r="S179" s="110">
        <f t="shared" ref="S179" ca="1" si="29">V179</f>
        <v>309</v>
      </c>
      <c r="T179" s="110"/>
      <c r="U179" s="38">
        <f>U178+1</f>
        <v>9</v>
      </c>
      <c r="V179" s="2">
        <f t="shared" ref="V179" ca="1" si="30">V178+1</f>
        <v>309</v>
      </c>
    </row>
    <row r="180" spans="1:22" s="2" customFormat="1" x14ac:dyDescent="0.3">
      <c r="A180" s="70">
        <v>2807</v>
      </c>
      <c r="B180" s="71"/>
      <c r="C180" s="20" t="s">
        <v>189</v>
      </c>
      <c r="D180" s="20">
        <f>51.39*10.764</f>
        <v>553.16196000000002</v>
      </c>
      <c r="E180" s="20">
        <v>0</v>
      </c>
      <c r="F180" s="20">
        <f t="shared" si="26"/>
        <v>885.05913600000008</v>
      </c>
      <c r="G180" s="101"/>
      <c r="H180" s="102"/>
      <c r="S180" s="110"/>
      <c r="T180" s="110"/>
      <c r="V180" s="2" t="str">
        <f>LEFT(A194,SUM(LEN(A194)-LEN(SUBSTITUTE(A194,{"0","1","2","3","4","5","6","7","8","9"},""))))</f>
        <v>5</v>
      </c>
    </row>
    <row r="181" spans="1:22" s="2" customFormat="1" x14ac:dyDescent="0.3">
      <c r="A181" s="70">
        <v>2808</v>
      </c>
      <c r="B181" s="71"/>
      <c r="C181" s="20" t="s">
        <v>188</v>
      </c>
      <c r="D181" s="20">
        <f>33.65*10.764</f>
        <v>362.20859999999999</v>
      </c>
      <c r="E181" s="20">
        <v>0</v>
      </c>
      <c r="F181" s="20">
        <f t="shared" si="26"/>
        <v>579.53376000000003</v>
      </c>
      <c r="G181" s="75"/>
      <c r="H181" s="77"/>
      <c r="S181" s="110">
        <f t="shared" ref="S181:S182" ca="1" si="31">V181</f>
        <v>30801</v>
      </c>
      <c r="T181" s="110"/>
      <c r="U181" s="38">
        <v>1</v>
      </c>
      <c r="V181" s="2">
        <f ca="1">(SUMPRODUCT(MID(0&amp;V178, LARGE(INDEX(ISNUMBER(--MID(V178, ROW(INDIRECT("1:"&amp;LEN(V178))), 1)) * ROW(INDIRECT("1:"&amp;LEN(V178))), 0), ROW(INDIRECT("1:"&amp;LEN(V178))))+1, 1) * 10^ROW(INDIRECT("1:"&amp;LEN(V178)))/10))*U181*100+1</f>
        <v>30801</v>
      </c>
    </row>
    <row r="182" spans="1:22" s="2" customFormat="1" x14ac:dyDescent="0.3">
      <c r="A182" s="111" t="s">
        <v>242</v>
      </c>
      <c r="B182" s="111"/>
      <c r="C182" s="111"/>
      <c r="D182" s="111"/>
      <c r="E182" s="111"/>
      <c r="F182" s="111"/>
      <c r="G182" s="111"/>
      <c r="H182" s="111"/>
      <c r="S182" s="110">
        <f t="shared" ca="1" si="31"/>
        <v>30802</v>
      </c>
      <c r="T182" s="110"/>
      <c r="U182" s="38">
        <f>U181+1</f>
        <v>2</v>
      </c>
      <c r="V182" s="2">
        <f ca="1">V181+1</f>
        <v>30802</v>
      </c>
    </row>
    <row r="183" spans="1:22" s="2" customFormat="1" x14ac:dyDescent="0.3">
      <c r="A183" s="111" t="s">
        <v>241</v>
      </c>
      <c r="B183" s="111"/>
      <c r="C183" s="111"/>
      <c r="D183" s="111"/>
      <c r="E183" s="111"/>
      <c r="F183" s="111"/>
      <c r="G183" s="111"/>
      <c r="H183" s="111"/>
      <c r="S183" s="110">
        <f t="shared" ref="S183:S191" ca="1" si="32">V183</f>
        <v>501</v>
      </c>
      <c r="T183" s="110"/>
      <c r="U183" s="38">
        <v>1</v>
      </c>
      <c r="V183" s="2">
        <f ca="1">(SUMPRODUCT(MID(0&amp;V180, LARGE(INDEX(ISNUMBER(--MID(V180, ROW(INDIRECT("1:"&amp;LEN(V180))), 1)) * ROW(INDIRECT("1:"&amp;LEN(V180))), 0), ROW(INDIRECT("1:"&amp;LEN(V180))))+1, 1) * 10^ROW(INDIRECT("1:"&amp;LEN(V180)))/10))*U183*100+1</f>
        <v>501</v>
      </c>
    </row>
    <row r="184" spans="1:22" s="2" customFormat="1" x14ac:dyDescent="0.3">
      <c r="A184" s="111" t="s">
        <v>228</v>
      </c>
      <c r="B184" s="111"/>
      <c r="C184" s="111"/>
      <c r="D184" s="111"/>
      <c r="E184" s="111"/>
      <c r="F184" s="111"/>
      <c r="G184" s="111"/>
      <c r="H184" s="111"/>
      <c r="J184" s="61">
        <v>10.763999999999999</v>
      </c>
      <c r="S184" s="110">
        <f t="shared" ca="1" si="32"/>
        <v>502</v>
      </c>
      <c r="T184" s="110"/>
      <c r="U184" s="38">
        <f>U183+1</f>
        <v>2</v>
      </c>
      <c r="V184" s="2">
        <f ca="1">V183+1</f>
        <v>502</v>
      </c>
    </row>
    <row r="185" spans="1:22" s="2" customFormat="1" x14ac:dyDescent="0.3">
      <c r="A185" s="109">
        <v>3</v>
      </c>
      <c r="B185" s="109"/>
      <c r="C185" s="20" t="s">
        <v>189</v>
      </c>
      <c r="D185" s="61">
        <f t="shared" ref="D185:D190" si="33">(1.2*2.45+3*4.15+2.7*2.45+3*3.05+3*4.15+2.1*1.2+2.1*1.2+3*1.01)*10.764</f>
        <v>556.22970000000009</v>
      </c>
      <c r="E185" s="20">
        <v>0</v>
      </c>
      <c r="F185" s="20">
        <f t="shared" ref="F185:F193" si="34">D185*(($F$143)+1)+E185</f>
        <v>889.96752000000015</v>
      </c>
      <c r="G185" s="72" t="str">
        <f>A184</f>
        <v>3rd to 4th Floor for Residential</v>
      </c>
      <c r="H185" s="74"/>
      <c r="S185" s="110">
        <f t="shared" ca="1" si="32"/>
        <v>503</v>
      </c>
      <c r="T185" s="110"/>
      <c r="U185" s="38">
        <f>U184+1</f>
        <v>3</v>
      </c>
      <c r="V185" s="2">
        <f ca="1">V184+1</f>
        <v>503</v>
      </c>
    </row>
    <row r="186" spans="1:22" s="2" customFormat="1" x14ac:dyDescent="0.3">
      <c r="A186" s="109">
        <v>4</v>
      </c>
      <c r="B186" s="109"/>
      <c r="C186" s="20" t="s">
        <v>189</v>
      </c>
      <c r="D186" s="61">
        <f t="shared" si="33"/>
        <v>556.22970000000009</v>
      </c>
      <c r="E186" s="20">
        <v>0</v>
      </c>
      <c r="F186" s="20">
        <f t="shared" si="34"/>
        <v>889.96752000000015</v>
      </c>
      <c r="G186" s="101"/>
      <c r="H186" s="102"/>
      <c r="S186" s="110">
        <f t="shared" ca="1" si="32"/>
        <v>504</v>
      </c>
      <c r="T186" s="110"/>
      <c r="U186" s="38">
        <f t="shared" ref="U186:V186" si="35">U185+1</f>
        <v>4</v>
      </c>
      <c r="V186" s="2">
        <f t="shared" ca="1" si="35"/>
        <v>504</v>
      </c>
    </row>
    <row r="187" spans="1:22" s="2" customFormat="1" x14ac:dyDescent="0.3">
      <c r="A187" s="109">
        <v>5</v>
      </c>
      <c r="B187" s="109"/>
      <c r="C187" s="20" t="s">
        <v>189</v>
      </c>
      <c r="D187" s="61">
        <f t="shared" si="33"/>
        <v>556.22970000000009</v>
      </c>
      <c r="E187" s="20">
        <v>0</v>
      </c>
      <c r="F187" s="20">
        <f t="shared" si="34"/>
        <v>889.96752000000015</v>
      </c>
      <c r="G187" s="101"/>
      <c r="H187" s="102"/>
      <c r="S187" s="110">
        <f t="shared" ca="1" si="32"/>
        <v>505</v>
      </c>
      <c r="T187" s="110"/>
      <c r="U187" s="38">
        <f t="shared" ref="U187:V187" si="36">U186+1</f>
        <v>5</v>
      </c>
      <c r="V187" s="2">
        <f t="shared" ca="1" si="36"/>
        <v>505</v>
      </c>
    </row>
    <row r="188" spans="1:22" s="2" customFormat="1" x14ac:dyDescent="0.3">
      <c r="A188" s="109">
        <v>6</v>
      </c>
      <c r="B188" s="109"/>
      <c r="C188" s="20" t="s">
        <v>189</v>
      </c>
      <c r="D188" s="61">
        <f t="shared" si="33"/>
        <v>556.22970000000009</v>
      </c>
      <c r="E188" s="20">
        <v>0</v>
      </c>
      <c r="F188" s="20">
        <f t="shared" si="34"/>
        <v>889.96752000000015</v>
      </c>
      <c r="G188" s="101"/>
      <c r="H188" s="102"/>
      <c r="S188" s="110">
        <f t="shared" ca="1" si="32"/>
        <v>506</v>
      </c>
      <c r="T188" s="110"/>
      <c r="U188" s="38">
        <f>U187+1</f>
        <v>6</v>
      </c>
      <c r="V188" s="2">
        <f t="shared" ref="V188" ca="1" si="37">V187+1</f>
        <v>506</v>
      </c>
    </row>
    <row r="189" spans="1:22" s="2" customFormat="1" x14ac:dyDescent="0.3">
      <c r="A189" s="109">
        <v>7</v>
      </c>
      <c r="B189" s="109"/>
      <c r="C189" s="20" t="s">
        <v>189</v>
      </c>
      <c r="D189" s="61">
        <f t="shared" si="33"/>
        <v>556.22970000000009</v>
      </c>
      <c r="E189" s="20">
        <v>0</v>
      </c>
      <c r="F189" s="20">
        <f t="shared" si="34"/>
        <v>889.96752000000015</v>
      </c>
      <c r="G189" s="101"/>
      <c r="H189" s="102"/>
      <c r="S189" s="110">
        <f t="shared" ca="1" si="32"/>
        <v>507</v>
      </c>
      <c r="T189" s="110"/>
      <c r="U189" s="38">
        <f>U188+1</f>
        <v>7</v>
      </c>
      <c r="V189" s="2">
        <f t="shared" ref="V189" ca="1" si="38">V188+1</f>
        <v>507</v>
      </c>
    </row>
    <row r="190" spans="1:22" s="2" customFormat="1" x14ac:dyDescent="0.3">
      <c r="A190" s="109">
        <v>8</v>
      </c>
      <c r="B190" s="109"/>
      <c r="C190" s="20" t="s">
        <v>189</v>
      </c>
      <c r="D190" s="61">
        <f t="shared" si="33"/>
        <v>556.22970000000009</v>
      </c>
      <c r="E190" s="20">
        <v>0</v>
      </c>
      <c r="F190" s="20">
        <f t="shared" si="34"/>
        <v>889.96752000000015</v>
      </c>
      <c r="G190" s="101"/>
      <c r="H190" s="102"/>
      <c r="S190" s="110">
        <f t="shared" ca="1" si="32"/>
        <v>508</v>
      </c>
      <c r="T190" s="110"/>
      <c r="U190" s="38">
        <f t="shared" ref="U190:V190" si="39">U189+1</f>
        <v>8</v>
      </c>
      <c r="V190" s="2">
        <f t="shared" ca="1" si="39"/>
        <v>508</v>
      </c>
    </row>
    <row r="191" spans="1:22" s="2" customFormat="1" x14ac:dyDescent="0.3">
      <c r="A191" s="109">
        <v>9</v>
      </c>
      <c r="B191" s="109"/>
      <c r="C191" s="20" t="s">
        <v>189</v>
      </c>
      <c r="D191" s="61">
        <f t="shared" ref="D191:D193" si="40">(1.2*2.45+3*4.15+2.7*2.45+3*3.05+3*4.15+2.1*1.2+2.1*1.2+3*1.01)*10.764</f>
        <v>556.22970000000009</v>
      </c>
      <c r="E191" s="20">
        <v>0</v>
      </c>
      <c r="F191" s="20">
        <f t="shared" si="34"/>
        <v>889.96752000000015</v>
      </c>
      <c r="G191" s="101"/>
      <c r="H191" s="102"/>
      <c r="S191" s="110">
        <f t="shared" ca="1" si="32"/>
        <v>509</v>
      </c>
      <c r="T191" s="110"/>
      <c r="U191" s="38">
        <f>U190+1</f>
        <v>9</v>
      </c>
      <c r="V191" s="2">
        <f t="shared" ref="V191" ca="1" si="41">V190+1</f>
        <v>509</v>
      </c>
    </row>
    <row r="192" spans="1:22" s="2" customFormat="1" x14ac:dyDescent="0.3">
      <c r="A192" s="109">
        <v>10</v>
      </c>
      <c r="B192" s="109"/>
      <c r="C192" s="20" t="s">
        <v>189</v>
      </c>
      <c r="D192" s="61">
        <f t="shared" si="40"/>
        <v>556.22970000000009</v>
      </c>
      <c r="E192" s="20">
        <v>0</v>
      </c>
      <c r="F192" s="20">
        <f t="shared" si="34"/>
        <v>889.96752000000015</v>
      </c>
      <c r="G192" s="101"/>
      <c r="H192" s="102"/>
      <c r="S192" s="110">
        <f t="shared" ref="S192:S193" ca="1" si="42">V192</f>
        <v>510</v>
      </c>
      <c r="T192" s="110"/>
      <c r="U192" s="38">
        <f t="shared" ref="U192:V192" si="43">U191+1</f>
        <v>10</v>
      </c>
      <c r="V192" s="2">
        <f t="shared" ca="1" si="43"/>
        <v>510</v>
      </c>
    </row>
    <row r="193" spans="1:22" s="2" customFormat="1" x14ac:dyDescent="0.3">
      <c r="A193" s="109">
        <v>11</v>
      </c>
      <c r="B193" s="109"/>
      <c r="C193" s="20" t="s">
        <v>189</v>
      </c>
      <c r="D193" s="61">
        <f t="shared" si="40"/>
        <v>556.22970000000009</v>
      </c>
      <c r="E193" s="20">
        <v>0</v>
      </c>
      <c r="F193" s="20">
        <f t="shared" si="34"/>
        <v>889.96752000000015</v>
      </c>
      <c r="G193" s="75"/>
      <c r="H193" s="77"/>
      <c r="S193" s="110">
        <f t="shared" ca="1" si="42"/>
        <v>511</v>
      </c>
      <c r="T193" s="110"/>
      <c r="U193" s="38">
        <f>U192+1</f>
        <v>11</v>
      </c>
      <c r="V193" s="2">
        <f t="shared" ref="V193" ca="1" si="44">V192+1</f>
        <v>511</v>
      </c>
    </row>
    <row r="194" spans="1:22" s="2" customFormat="1" x14ac:dyDescent="0.3">
      <c r="A194" s="111" t="s">
        <v>229</v>
      </c>
      <c r="B194" s="111"/>
      <c r="C194" s="111"/>
      <c r="D194" s="111"/>
      <c r="E194" s="111"/>
      <c r="F194" s="111"/>
      <c r="G194" s="111"/>
      <c r="H194" s="111"/>
      <c r="J194" s="61">
        <v>10.763999999999999</v>
      </c>
      <c r="S194" s="110"/>
      <c r="T194" s="110"/>
      <c r="V194" s="2" t="str">
        <f>LEFT(A208,SUM(LEN(A208)-LEN(SUBSTITUTE(A208,{"0","1","2","3","4","5","6","7","8","9"},""))))</f>
        <v xml:space="preserve">7th, </v>
      </c>
    </row>
    <row r="195" spans="1:22" s="2" customFormat="1" ht="15.75" customHeight="1" x14ac:dyDescent="0.3">
      <c r="A195" s="109">
        <v>1</v>
      </c>
      <c r="B195" s="109"/>
      <c r="C195" s="109" t="s">
        <v>230</v>
      </c>
      <c r="D195" s="109"/>
      <c r="E195" s="109"/>
      <c r="F195" s="109"/>
      <c r="G195" s="109" t="str">
        <f>A194</f>
        <v>5th Floor (Part Terrace As Refuge Floor Area)</v>
      </c>
      <c r="H195" s="109"/>
      <c r="S195" s="110">
        <f t="shared" ref="S195:S207" ca="1" si="45">V195</f>
        <v>51001</v>
      </c>
      <c r="T195" s="110"/>
      <c r="U195" s="38">
        <v>1</v>
      </c>
      <c r="V195" s="2">
        <f ca="1">(SUMPRODUCT(MID(0&amp;V192, LARGE(INDEX(ISNUMBER(--MID(V192, ROW(INDIRECT("1:"&amp;LEN(V192))), 1)) * ROW(INDIRECT("1:"&amp;LEN(V192))), 0), ROW(INDIRECT("1:"&amp;LEN(V192))))+1, 1) * 10^ROW(INDIRECT("1:"&amp;LEN(V192)))/10))*U195*100+1</f>
        <v>51001</v>
      </c>
    </row>
    <row r="196" spans="1:22" s="2" customFormat="1" x14ac:dyDescent="0.3">
      <c r="A196" s="109">
        <v>2</v>
      </c>
      <c r="B196" s="109"/>
      <c r="C196" s="109"/>
      <c r="D196" s="109"/>
      <c r="E196" s="109"/>
      <c r="F196" s="109"/>
      <c r="G196" s="109"/>
      <c r="H196" s="109"/>
      <c r="S196" s="110">
        <f t="shared" ca="1" si="45"/>
        <v>51002</v>
      </c>
      <c r="T196" s="110"/>
      <c r="U196" s="38">
        <f>U195+1</f>
        <v>2</v>
      </c>
      <c r="V196" s="2">
        <f ca="1">V195+1</f>
        <v>51002</v>
      </c>
    </row>
    <row r="197" spans="1:22" s="2" customFormat="1" x14ac:dyDescent="0.3">
      <c r="A197" s="109">
        <v>3</v>
      </c>
      <c r="B197" s="109"/>
      <c r="C197" s="20" t="s">
        <v>189</v>
      </c>
      <c r="D197" s="61">
        <f>(1.2*2.45+3*4.15+2.7*2.45+3*3.05+3*4.15+2.1*1.2+2.1*1.2+3*1.01)*10.764</f>
        <v>556.22970000000009</v>
      </c>
      <c r="E197" s="20">
        <v>0</v>
      </c>
      <c r="F197" s="20">
        <f t="shared" ref="F197:F205" si="46">D197*(($F$143)+1)+E197</f>
        <v>889.96752000000015</v>
      </c>
      <c r="G197" s="109"/>
      <c r="H197" s="109"/>
      <c r="S197" s="110">
        <f t="shared" ca="1" si="45"/>
        <v>701</v>
      </c>
      <c r="T197" s="110"/>
      <c r="U197" s="38">
        <v>1</v>
      </c>
      <c r="V197" s="2">
        <f ca="1">(SUMPRODUCT(MID(0&amp;V194, LARGE(INDEX(ISNUMBER(--MID(V194, ROW(INDIRECT("1:"&amp;LEN(V194))), 1)) * ROW(INDIRECT("1:"&amp;LEN(V194))), 0), ROW(INDIRECT("1:"&amp;LEN(V194))))+1, 1) * 10^ROW(INDIRECT("1:"&amp;LEN(V194)))/10))*U197*100+1</f>
        <v>701</v>
      </c>
    </row>
    <row r="198" spans="1:22" s="2" customFormat="1" x14ac:dyDescent="0.3">
      <c r="A198" s="109">
        <v>4</v>
      </c>
      <c r="B198" s="109"/>
      <c r="C198" s="20" t="s">
        <v>189</v>
      </c>
      <c r="D198" s="61">
        <f t="shared" ref="D198:D205" si="47">(1.2*2.45+3*4.15+2.7*2.45+3*3.05+3*4.15+2.1*1.2+2.1*1.2+3*1.01)*10.764</f>
        <v>556.22970000000009</v>
      </c>
      <c r="E198" s="20">
        <v>0</v>
      </c>
      <c r="F198" s="20">
        <f t="shared" si="46"/>
        <v>889.96752000000015</v>
      </c>
      <c r="G198" s="109"/>
      <c r="H198" s="109"/>
      <c r="S198" s="110">
        <f t="shared" ca="1" si="45"/>
        <v>702</v>
      </c>
      <c r="T198" s="110"/>
      <c r="U198" s="38">
        <f>U197+1</f>
        <v>2</v>
      </c>
      <c r="V198" s="2">
        <f ca="1">V197+1</f>
        <v>702</v>
      </c>
    </row>
    <row r="199" spans="1:22" s="2" customFormat="1" x14ac:dyDescent="0.3">
      <c r="A199" s="109">
        <v>5</v>
      </c>
      <c r="B199" s="109"/>
      <c r="C199" s="20" t="s">
        <v>189</v>
      </c>
      <c r="D199" s="61">
        <f t="shared" si="47"/>
        <v>556.22970000000009</v>
      </c>
      <c r="E199" s="20">
        <v>0</v>
      </c>
      <c r="F199" s="20">
        <f t="shared" si="46"/>
        <v>889.96752000000015</v>
      </c>
      <c r="G199" s="109"/>
      <c r="H199" s="109"/>
      <c r="S199" s="110">
        <f t="shared" ca="1" si="45"/>
        <v>703</v>
      </c>
      <c r="T199" s="110"/>
      <c r="U199" s="38">
        <f>U198+1</f>
        <v>3</v>
      </c>
      <c r="V199" s="2">
        <f ca="1">V198+1</f>
        <v>703</v>
      </c>
    </row>
    <row r="200" spans="1:22" s="2" customFormat="1" x14ac:dyDescent="0.3">
      <c r="A200" s="109">
        <v>6</v>
      </c>
      <c r="B200" s="109"/>
      <c r="C200" s="20" t="s">
        <v>189</v>
      </c>
      <c r="D200" s="61">
        <f t="shared" si="47"/>
        <v>556.22970000000009</v>
      </c>
      <c r="E200" s="20">
        <v>0</v>
      </c>
      <c r="F200" s="20">
        <f t="shared" si="46"/>
        <v>889.96752000000015</v>
      </c>
      <c r="G200" s="109"/>
      <c r="H200" s="109"/>
      <c r="S200" s="110">
        <f t="shared" ca="1" si="45"/>
        <v>704</v>
      </c>
      <c r="T200" s="110"/>
      <c r="U200" s="38">
        <f t="shared" ref="U200:V200" si="48">U199+1</f>
        <v>4</v>
      </c>
      <c r="V200" s="2">
        <f t="shared" ca="1" si="48"/>
        <v>704</v>
      </c>
    </row>
    <row r="201" spans="1:22" s="2" customFormat="1" x14ac:dyDescent="0.3">
      <c r="A201" s="109">
        <v>7</v>
      </c>
      <c r="B201" s="109"/>
      <c r="C201" s="20" t="s">
        <v>189</v>
      </c>
      <c r="D201" s="61">
        <f t="shared" si="47"/>
        <v>556.22970000000009</v>
      </c>
      <c r="E201" s="20">
        <v>0</v>
      </c>
      <c r="F201" s="20">
        <f t="shared" si="46"/>
        <v>889.96752000000015</v>
      </c>
      <c r="G201" s="109"/>
      <c r="H201" s="109"/>
      <c r="S201" s="110">
        <f t="shared" ca="1" si="45"/>
        <v>705</v>
      </c>
      <c r="T201" s="110"/>
      <c r="U201" s="38">
        <f t="shared" ref="U201:V201" si="49">U200+1</f>
        <v>5</v>
      </c>
      <c r="V201" s="2">
        <f t="shared" ca="1" si="49"/>
        <v>705</v>
      </c>
    </row>
    <row r="202" spans="1:22" s="2" customFormat="1" x14ac:dyDescent="0.3">
      <c r="A202" s="109">
        <v>8</v>
      </c>
      <c r="B202" s="109"/>
      <c r="C202" s="20" t="s">
        <v>189</v>
      </c>
      <c r="D202" s="61">
        <f t="shared" si="47"/>
        <v>556.22970000000009</v>
      </c>
      <c r="E202" s="20">
        <v>0</v>
      </c>
      <c r="F202" s="20">
        <f t="shared" si="46"/>
        <v>889.96752000000015</v>
      </c>
      <c r="G202" s="109"/>
      <c r="H202" s="109"/>
      <c r="S202" s="110">
        <f t="shared" ca="1" si="45"/>
        <v>706</v>
      </c>
      <c r="T202" s="110"/>
      <c r="U202" s="38">
        <f>U201+1</f>
        <v>6</v>
      </c>
      <c r="V202" s="2">
        <f t="shared" ref="V202" ca="1" si="50">V201+1</f>
        <v>706</v>
      </c>
    </row>
    <row r="203" spans="1:22" s="2" customFormat="1" x14ac:dyDescent="0.3">
      <c r="A203" s="109">
        <v>9</v>
      </c>
      <c r="B203" s="109"/>
      <c r="C203" s="20" t="s">
        <v>189</v>
      </c>
      <c r="D203" s="61">
        <f t="shared" si="47"/>
        <v>556.22970000000009</v>
      </c>
      <c r="E203" s="20">
        <v>0</v>
      </c>
      <c r="F203" s="20">
        <f t="shared" si="46"/>
        <v>889.96752000000015</v>
      </c>
      <c r="G203" s="109"/>
      <c r="H203" s="109"/>
      <c r="S203" s="110">
        <f t="shared" ca="1" si="45"/>
        <v>707</v>
      </c>
      <c r="T203" s="110"/>
      <c r="U203" s="38">
        <f>U202+1</f>
        <v>7</v>
      </c>
      <c r="V203" s="2">
        <f t="shared" ref="V203" ca="1" si="51">V202+1</f>
        <v>707</v>
      </c>
    </row>
    <row r="204" spans="1:22" s="2" customFormat="1" x14ac:dyDescent="0.3">
      <c r="A204" s="109">
        <v>10</v>
      </c>
      <c r="B204" s="109"/>
      <c r="C204" s="20" t="s">
        <v>189</v>
      </c>
      <c r="D204" s="61">
        <f t="shared" si="47"/>
        <v>556.22970000000009</v>
      </c>
      <c r="E204" s="20">
        <v>0</v>
      </c>
      <c r="F204" s="20">
        <f t="shared" si="46"/>
        <v>889.96752000000015</v>
      </c>
      <c r="G204" s="109"/>
      <c r="H204" s="109"/>
      <c r="S204" s="110">
        <f t="shared" ca="1" si="45"/>
        <v>708</v>
      </c>
      <c r="T204" s="110"/>
      <c r="U204" s="38">
        <f t="shared" ref="U204:V204" si="52">U203+1</f>
        <v>8</v>
      </c>
      <c r="V204" s="2">
        <f t="shared" ca="1" si="52"/>
        <v>708</v>
      </c>
    </row>
    <row r="205" spans="1:22" s="2" customFormat="1" x14ac:dyDescent="0.3">
      <c r="A205" s="109">
        <v>11</v>
      </c>
      <c r="B205" s="109"/>
      <c r="C205" s="20" t="s">
        <v>189</v>
      </c>
      <c r="D205" s="61">
        <f t="shared" si="47"/>
        <v>556.22970000000009</v>
      </c>
      <c r="E205" s="20">
        <v>0</v>
      </c>
      <c r="F205" s="20">
        <f t="shared" si="46"/>
        <v>889.96752000000015</v>
      </c>
      <c r="G205" s="109"/>
      <c r="H205" s="109"/>
      <c r="S205" s="110">
        <f t="shared" ca="1" si="45"/>
        <v>709</v>
      </c>
      <c r="T205" s="110"/>
      <c r="U205" s="38">
        <f>U204+1</f>
        <v>9</v>
      </c>
      <c r="V205" s="2">
        <f t="shared" ref="V205" ca="1" si="53">V204+1</f>
        <v>709</v>
      </c>
    </row>
    <row r="206" spans="1:22" s="2" customFormat="1" ht="15.75" customHeight="1" x14ac:dyDescent="0.3">
      <c r="A206" s="109">
        <v>12</v>
      </c>
      <c r="B206" s="109"/>
      <c r="C206" s="109" t="s">
        <v>230</v>
      </c>
      <c r="D206" s="109"/>
      <c r="E206" s="109"/>
      <c r="F206" s="109"/>
      <c r="G206" s="109"/>
      <c r="H206" s="109"/>
      <c r="S206" s="110">
        <f t="shared" ca="1" si="45"/>
        <v>710</v>
      </c>
      <c r="T206" s="110"/>
      <c r="U206" s="38">
        <f t="shared" ref="U206:V206" si="54">U205+1</f>
        <v>10</v>
      </c>
      <c r="V206" s="2">
        <f t="shared" ca="1" si="54"/>
        <v>710</v>
      </c>
    </row>
    <row r="207" spans="1:22" s="2" customFormat="1" x14ac:dyDescent="0.3">
      <c r="A207" s="109">
        <v>13</v>
      </c>
      <c r="B207" s="109"/>
      <c r="C207" s="109"/>
      <c r="D207" s="109"/>
      <c r="E207" s="109"/>
      <c r="F207" s="109"/>
      <c r="G207" s="109"/>
      <c r="H207" s="109"/>
      <c r="S207" s="110">
        <f t="shared" ca="1" si="45"/>
        <v>711</v>
      </c>
      <c r="T207" s="110"/>
      <c r="U207" s="38">
        <f>U206+1</f>
        <v>11</v>
      </c>
      <c r="V207" s="2">
        <f t="shared" ref="V207" ca="1" si="55">V206+1</f>
        <v>711</v>
      </c>
    </row>
    <row r="208" spans="1:22" s="2" customFormat="1" x14ac:dyDescent="0.3">
      <c r="A208" s="111" t="s">
        <v>231</v>
      </c>
      <c r="B208" s="111"/>
      <c r="C208" s="111"/>
      <c r="D208" s="111"/>
      <c r="E208" s="111"/>
      <c r="F208" s="111"/>
      <c r="G208" s="111"/>
      <c r="H208" s="111"/>
      <c r="J208" s="61">
        <v>10.763999999999999</v>
      </c>
      <c r="S208" s="110"/>
      <c r="T208" s="110"/>
      <c r="V208" s="2" t="str">
        <f>LEFT(A222,SUM(LEN(A222)-LEN(SUBSTITUTE(A222,{"0","1","2","3","4","5","6","7","8","9"},""))))</f>
        <v>6th, 8th to 13th</v>
      </c>
    </row>
    <row r="209" spans="1:22" s="2" customFormat="1" ht="15.75" customHeight="1" x14ac:dyDescent="0.3">
      <c r="A209" s="109">
        <v>1</v>
      </c>
      <c r="B209" s="109"/>
      <c r="C209" s="20" t="s">
        <v>233</v>
      </c>
      <c r="D209" s="61">
        <f>(1.35*2.35+1.55*2+2.7*2.2+0.9*2.2+0.55*2.7+3.35*6.05+3.05*3.2+3.35*4.4+3.05*3.35+1.55*1.21+1.9*1.2+2.1*1.5+2.35*1.5+1.2*2.55)*10.764</f>
        <v>910.12849200000005</v>
      </c>
      <c r="E209" s="20">
        <v>0</v>
      </c>
      <c r="F209" s="20">
        <f>D209*(($F$143)+1)+E209</f>
        <v>1456.2055872000001</v>
      </c>
      <c r="G209" s="72" t="str">
        <f>A208</f>
        <v>7th, 14th &amp; 21st Floor (Part Refuge Area)</v>
      </c>
      <c r="H209" s="74"/>
      <c r="S209" s="110">
        <f t="shared" ref="S209:S221" ca="1" si="56">V209</f>
        <v>71001</v>
      </c>
      <c r="T209" s="110"/>
      <c r="U209" s="38">
        <v>1</v>
      </c>
      <c r="V209" s="2">
        <f ca="1">(SUMPRODUCT(MID(0&amp;V206, LARGE(INDEX(ISNUMBER(--MID(V206, ROW(INDIRECT("1:"&amp;LEN(V206))), 1)) * ROW(INDIRECT("1:"&amp;LEN(V206))), 0), ROW(INDIRECT("1:"&amp;LEN(V206))))+1, 1) * 10^ROW(INDIRECT("1:"&amp;LEN(V206)))/10))*U209*100+1</f>
        <v>71001</v>
      </c>
    </row>
    <row r="210" spans="1:22" s="2" customFormat="1" x14ac:dyDescent="0.3">
      <c r="A210" s="109">
        <v>2</v>
      </c>
      <c r="B210" s="109"/>
      <c r="C210" s="20" t="s">
        <v>233</v>
      </c>
      <c r="D210" s="61">
        <f>(1.35*2.35+1.55*2+2.7*2.2+0.9*2.2+0.55*2.7+3.35*6.05+3.05*3.2+3.35*4.4+3.05*3.35+1.55*1.21+1.9*1.2+2.1*1.5+2.35*1.5+1.2*2.55)*10.764</f>
        <v>910.12849200000005</v>
      </c>
      <c r="E210" s="20">
        <v>0</v>
      </c>
      <c r="F210" s="20">
        <f>D210*(($F$143)+1)+E210</f>
        <v>1456.2055872000001</v>
      </c>
      <c r="G210" s="101"/>
      <c r="H210" s="102"/>
      <c r="S210" s="110">
        <f t="shared" ca="1" si="56"/>
        <v>71002</v>
      </c>
      <c r="T210" s="110"/>
      <c r="U210" s="38">
        <f>U209+1</f>
        <v>2</v>
      </c>
      <c r="V210" s="2">
        <f ca="1">V209+1</f>
        <v>71002</v>
      </c>
    </row>
    <row r="211" spans="1:22" s="2" customFormat="1" x14ac:dyDescent="0.3">
      <c r="A211" s="109">
        <v>3</v>
      </c>
      <c r="B211" s="109"/>
      <c r="C211" s="72" t="s">
        <v>191</v>
      </c>
      <c r="D211" s="73"/>
      <c r="E211" s="73"/>
      <c r="F211" s="74"/>
      <c r="G211" s="101"/>
      <c r="H211" s="102"/>
      <c r="S211" s="110">
        <f t="shared" ca="1" si="56"/>
        <v>681301</v>
      </c>
      <c r="T211" s="110"/>
      <c r="U211" s="38">
        <v>1</v>
      </c>
      <c r="V211" s="2">
        <f ca="1">(SUMPRODUCT(MID(0&amp;V208, LARGE(INDEX(ISNUMBER(--MID(V208, ROW(INDIRECT("1:"&amp;LEN(V208))), 1)) * ROW(INDIRECT("1:"&amp;LEN(V208))), 0), ROW(INDIRECT("1:"&amp;LEN(V208))))+1, 1) * 10^ROW(INDIRECT("1:"&amp;LEN(V208)))/10))*U211*100+1</f>
        <v>681301</v>
      </c>
    </row>
    <row r="212" spans="1:22" s="2" customFormat="1" x14ac:dyDescent="0.3">
      <c r="A212" s="109">
        <v>4</v>
      </c>
      <c r="B212" s="109"/>
      <c r="C212" s="101"/>
      <c r="D212" s="172"/>
      <c r="E212" s="172"/>
      <c r="F212" s="102"/>
      <c r="G212" s="101"/>
      <c r="H212" s="102"/>
      <c r="S212" s="110">
        <f t="shared" ca="1" si="56"/>
        <v>681302</v>
      </c>
      <c r="T212" s="110"/>
      <c r="U212" s="38">
        <f>U211+1</f>
        <v>2</v>
      </c>
      <c r="V212" s="2">
        <f ca="1">V211+1</f>
        <v>681302</v>
      </c>
    </row>
    <row r="213" spans="1:22" s="2" customFormat="1" x14ac:dyDescent="0.3">
      <c r="A213" s="109">
        <v>5</v>
      </c>
      <c r="B213" s="109"/>
      <c r="C213" s="101"/>
      <c r="D213" s="172"/>
      <c r="E213" s="172"/>
      <c r="F213" s="102"/>
      <c r="G213" s="101"/>
      <c r="H213" s="102"/>
      <c r="S213" s="110">
        <f t="shared" ca="1" si="56"/>
        <v>681303</v>
      </c>
      <c r="T213" s="110"/>
      <c r="U213" s="38">
        <f>U212+1</f>
        <v>3</v>
      </c>
      <c r="V213" s="2">
        <f ca="1">V212+1</f>
        <v>681303</v>
      </c>
    </row>
    <row r="214" spans="1:22" s="2" customFormat="1" x14ac:dyDescent="0.3">
      <c r="A214" s="109">
        <v>6</v>
      </c>
      <c r="B214" s="109"/>
      <c r="C214" s="75"/>
      <c r="D214" s="76"/>
      <c r="E214" s="76"/>
      <c r="F214" s="77"/>
      <c r="G214" s="101"/>
      <c r="H214" s="102"/>
      <c r="S214" s="110">
        <f t="shared" ca="1" si="56"/>
        <v>681304</v>
      </c>
      <c r="T214" s="110"/>
      <c r="U214" s="38">
        <f t="shared" ref="U214:V214" si="57">U213+1</f>
        <v>4</v>
      </c>
      <c r="V214" s="2">
        <f t="shared" ca="1" si="57"/>
        <v>681304</v>
      </c>
    </row>
    <row r="215" spans="1:22" s="2" customFormat="1" x14ac:dyDescent="0.3">
      <c r="A215" s="109">
        <v>7</v>
      </c>
      <c r="B215" s="109"/>
      <c r="C215" s="20" t="s">
        <v>189</v>
      </c>
      <c r="D215" s="61">
        <f t="shared" ref="D215:D220" si="58">(1.2*2.45+3*4.15+2.7*2.45+3*3.05+3*4.15+2.1*1.2+2.1*1.2+3*1.01)*10.764</f>
        <v>556.22970000000009</v>
      </c>
      <c r="E215" s="20">
        <v>0</v>
      </c>
      <c r="F215" s="20">
        <f t="shared" ref="F215:F221" si="59">D215*(($F$143)+1)+E215</f>
        <v>889.96752000000015</v>
      </c>
      <c r="G215" s="101"/>
      <c r="H215" s="102"/>
      <c r="S215" s="110">
        <f t="shared" ca="1" si="56"/>
        <v>681305</v>
      </c>
      <c r="T215" s="110"/>
      <c r="U215" s="38">
        <f t="shared" ref="U215:V217" si="60">U214+1</f>
        <v>5</v>
      </c>
      <c r="V215" s="2">
        <f t="shared" ca="1" si="60"/>
        <v>681305</v>
      </c>
    </row>
    <row r="216" spans="1:22" s="2" customFormat="1" x14ac:dyDescent="0.3">
      <c r="A216" s="109">
        <v>8</v>
      </c>
      <c r="B216" s="109"/>
      <c r="C216" s="20" t="s">
        <v>189</v>
      </c>
      <c r="D216" s="61">
        <f t="shared" si="58"/>
        <v>556.22970000000009</v>
      </c>
      <c r="E216" s="20">
        <v>0</v>
      </c>
      <c r="F216" s="20">
        <f t="shared" si="59"/>
        <v>889.96752000000015</v>
      </c>
      <c r="G216" s="101"/>
      <c r="H216" s="102"/>
      <c r="S216" s="110">
        <f t="shared" ca="1" si="56"/>
        <v>681306</v>
      </c>
      <c r="T216" s="110"/>
      <c r="U216" s="38">
        <f>U215+1</f>
        <v>6</v>
      </c>
      <c r="V216" s="2">
        <f t="shared" ca="1" si="60"/>
        <v>681306</v>
      </c>
    </row>
    <row r="217" spans="1:22" s="2" customFormat="1" x14ac:dyDescent="0.3">
      <c r="A217" s="109">
        <v>9</v>
      </c>
      <c r="B217" s="109"/>
      <c r="C217" s="20" t="s">
        <v>189</v>
      </c>
      <c r="D217" s="61">
        <f t="shared" si="58"/>
        <v>556.22970000000009</v>
      </c>
      <c r="E217" s="20">
        <v>0</v>
      </c>
      <c r="F217" s="20">
        <f t="shared" si="59"/>
        <v>889.96752000000015</v>
      </c>
      <c r="G217" s="101"/>
      <c r="H217" s="102"/>
      <c r="S217" s="110">
        <f t="shared" ca="1" si="56"/>
        <v>681307</v>
      </c>
      <c r="T217" s="110"/>
      <c r="U217" s="38">
        <f>U216+1</f>
        <v>7</v>
      </c>
      <c r="V217" s="2">
        <f t="shared" ca="1" si="60"/>
        <v>681307</v>
      </c>
    </row>
    <row r="218" spans="1:22" s="2" customFormat="1" x14ac:dyDescent="0.3">
      <c r="A218" s="109">
        <v>10</v>
      </c>
      <c r="B218" s="109"/>
      <c r="C218" s="20" t="s">
        <v>189</v>
      </c>
      <c r="D218" s="61">
        <f t="shared" si="58"/>
        <v>556.22970000000009</v>
      </c>
      <c r="E218" s="20">
        <v>0</v>
      </c>
      <c r="F218" s="20">
        <f t="shared" si="59"/>
        <v>889.96752000000015</v>
      </c>
      <c r="G218" s="101"/>
      <c r="H218" s="102"/>
      <c r="S218" s="110">
        <f t="shared" ca="1" si="56"/>
        <v>681308</v>
      </c>
      <c r="T218" s="110"/>
      <c r="U218" s="38">
        <f t="shared" ref="U218:V219" si="61">U217+1</f>
        <v>8</v>
      </c>
      <c r="V218" s="2">
        <f t="shared" ca="1" si="61"/>
        <v>681308</v>
      </c>
    </row>
    <row r="219" spans="1:22" s="2" customFormat="1" x14ac:dyDescent="0.3">
      <c r="A219" s="109">
        <v>11</v>
      </c>
      <c r="B219" s="109"/>
      <c r="C219" s="20" t="s">
        <v>189</v>
      </c>
      <c r="D219" s="61">
        <f t="shared" si="58"/>
        <v>556.22970000000009</v>
      </c>
      <c r="E219" s="20">
        <v>0</v>
      </c>
      <c r="F219" s="20">
        <f t="shared" si="59"/>
        <v>889.96752000000015</v>
      </c>
      <c r="G219" s="101"/>
      <c r="H219" s="102"/>
      <c r="S219" s="110">
        <f t="shared" ca="1" si="56"/>
        <v>681309</v>
      </c>
      <c r="T219" s="110"/>
      <c r="U219" s="38">
        <f>U218+1</f>
        <v>9</v>
      </c>
      <c r="V219" s="2">
        <f t="shared" ca="1" si="61"/>
        <v>681309</v>
      </c>
    </row>
    <row r="220" spans="1:22" s="2" customFormat="1" ht="15.75" customHeight="1" x14ac:dyDescent="0.3">
      <c r="A220" s="109">
        <v>12</v>
      </c>
      <c r="B220" s="109"/>
      <c r="C220" s="20" t="s">
        <v>189</v>
      </c>
      <c r="D220" s="61">
        <f t="shared" si="58"/>
        <v>556.22970000000009</v>
      </c>
      <c r="E220" s="20">
        <v>0</v>
      </c>
      <c r="F220" s="20">
        <f t="shared" si="59"/>
        <v>889.96752000000015</v>
      </c>
      <c r="G220" s="101"/>
      <c r="H220" s="102"/>
      <c r="S220" s="110">
        <f t="shared" ca="1" si="56"/>
        <v>681310</v>
      </c>
      <c r="T220" s="110"/>
      <c r="U220" s="38">
        <f t="shared" ref="U220:V221" si="62">U219+1</f>
        <v>10</v>
      </c>
      <c r="V220" s="2">
        <f t="shared" ca="1" si="62"/>
        <v>681310</v>
      </c>
    </row>
    <row r="221" spans="1:22" s="2" customFormat="1" x14ac:dyDescent="0.3">
      <c r="A221" s="109">
        <v>13</v>
      </c>
      <c r="B221" s="109"/>
      <c r="C221" s="20" t="s">
        <v>233</v>
      </c>
      <c r="D221" s="61">
        <f>(1.35*2.35+2.7*2.2+0.9*2.2+2.7*0.55+3.35*6.05+3.05*3.2+3.35*3.65+3.05*3.35+0.9*2.5+1.1*1.2+1.8*1.2+1.2*1.5+1.5*2.35+1.75*1.85+1.2*1.3)*10.764</f>
        <v>870.8345099999998</v>
      </c>
      <c r="E221" s="20">
        <v>0</v>
      </c>
      <c r="F221" s="20">
        <f t="shared" si="59"/>
        <v>1393.3352159999997</v>
      </c>
      <c r="G221" s="75"/>
      <c r="H221" s="77"/>
      <c r="S221" s="110">
        <f t="shared" ca="1" si="56"/>
        <v>681311</v>
      </c>
      <c r="T221" s="110"/>
      <c r="U221" s="38">
        <f>U220+1</f>
        <v>11</v>
      </c>
      <c r="V221" s="2">
        <f t="shared" ca="1" si="62"/>
        <v>681311</v>
      </c>
    </row>
    <row r="222" spans="1:22" s="2" customFormat="1" x14ac:dyDescent="0.3">
      <c r="A222" s="111" t="s">
        <v>232</v>
      </c>
      <c r="B222" s="111"/>
      <c r="C222" s="111"/>
      <c r="D222" s="111"/>
      <c r="E222" s="111"/>
      <c r="F222" s="111"/>
      <c r="G222" s="111"/>
      <c r="H222" s="111"/>
      <c r="J222" s="61">
        <v>10.763999999999999</v>
      </c>
      <c r="S222" s="110"/>
      <c r="T222" s="110"/>
      <c r="V222" s="2" t="str">
        <f>LEFT(A236,SUM(LEN(A236)-LEN(SUBSTITUTE(A236,{"0","1","2","3","4","5","6","7","8","9"},""))))</f>
        <v>28</v>
      </c>
    </row>
    <row r="223" spans="1:22" s="2" customFormat="1" ht="15.75" customHeight="1" x14ac:dyDescent="0.3">
      <c r="A223" s="109">
        <v>1</v>
      </c>
      <c r="B223" s="109"/>
      <c r="C223" s="20" t="s">
        <v>233</v>
      </c>
      <c r="D223" s="61">
        <f>(1.35*2.35+1.55*2+2.7*2.2+0.9*2.2+0.55*2.7+3.35*6.05+3.05*3.2+3.35*4.4+3.05*3.35+1.55*1.21+1.9*1.2+2.1*1.5+2.35*1.5+1.2*2.55)*10.764</f>
        <v>910.12849200000005</v>
      </c>
      <c r="E223" s="20">
        <v>0</v>
      </c>
      <c r="F223" s="20">
        <f t="shared" ref="F223:F235" si="63">D223*(($F$143)+1)+E223</f>
        <v>1456.2055872000001</v>
      </c>
      <c r="G223" s="72" t="str">
        <f>A222</f>
        <v>6th, 8th to 13th, 15th to 20th, 22nd to 27th, 29th &amp; 30th Floor</v>
      </c>
      <c r="H223" s="74"/>
      <c r="S223" s="110">
        <f t="shared" ref="S223:S235" ca="1" si="64">V223</f>
        <v>68131001</v>
      </c>
      <c r="T223" s="110"/>
      <c r="U223" s="38">
        <v>1</v>
      </c>
      <c r="V223" s="2">
        <f ca="1">(SUMPRODUCT(MID(0&amp;V220, LARGE(INDEX(ISNUMBER(--MID(V220, ROW(INDIRECT("1:"&amp;LEN(V220))), 1)) * ROW(INDIRECT("1:"&amp;LEN(V220))), 0), ROW(INDIRECT("1:"&amp;LEN(V220))))+1, 1) * 10^ROW(INDIRECT("1:"&amp;LEN(V220)))/10))*U223*100+1</f>
        <v>68131001</v>
      </c>
    </row>
    <row r="224" spans="1:22" s="2" customFormat="1" x14ac:dyDescent="0.3">
      <c r="A224" s="109">
        <v>2</v>
      </c>
      <c r="B224" s="109"/>
      <c r="C224" s="20" t="s">
        <v>233</v>
      </c>
      <c r="D224" s="61">
        <f>(1.35*2.35+1.55*2+2.7*2.2+0.9*2.2+0.55*2.7+3.35*6.05+3.05*3.2+3.35*4.4+3.05*3.35+1.55*1.21+1.9*1.2+2.1*1.5+2.35*1.5+1.2*2.55)*10.764</f>
        <v>910.12849200000005</v>
      </c>
      <c r="E224" s="20">
        <v>0</v>
      </c>
      <c r="F224" s="20">
        <f t="shared" si="63"/>
        <v>1456.2055872000001</v>
      </c>
      <c r="G224" s="101"/>
      <c r="H224" s="102"/>
      <c r="S224" s="110">
        <f t="shared" ca="1" si="64"/>
        <v>68131002</v>
      </c>
      <c r="T224" s="110"/>
      <c r="U224" s="38">
        <f>U223+1</f>
        <v>2</v>
      </c>
      <c r="V224" s="2">
        <f ca="1">V223+1</f>
        <v>68131002</v>
      </c>
    </row>
    <row r="225" spans="1:22" s="2" customFormat="1" x14ac:dyDescent="0.3">
      <c r="A225" s="109">
        <v>3</v>
      </c>
      <c r="B225" s="109"/>
      <c r="C225" s="20" t="s">
        <v>189</v>
      </c>
      <c r="D225" s="61">
        <f t="shared" ref="D225:D233" si="65">(1.2*2.45+3*4.15+2.7*2.45+3*3.05+3*4.15+2.1*1.2+2.1*1.2+3*1.01)*10.764</f>
        <v>556.22970000000009</v>
      </c>
      <c r="E225" s="20">
        <v>0</v>
      </c>
      <c r="F225" s="20">
        <f t="shared" si="63"/>
        <v>889.96752000000015</v>
      </c>
      <c r="G225" s="101"/>
      <c r="H225" s="102"/>
      <c r="S225" s="110">
        <f t="shared" ca="1" si="64"/>
        <v>2801</v>
      </c>
      <c r="T225" s="110"/>
      <c r="U225" s="38">
        <v>1</v>
      </c>
      <c r="V225" s="2">
        <f ca="1">(SUMPRODUCT(MID(0&amp;V222, LARGE(INDEX(ISNUMBER(--MID(V222, ROW(INDIRECT("1:"&amp;LEN(V222))), 1)) * ROW(INDIRECT("1:"&amp;LEN(V222))), 0), ROW(INDIRECT("1:"&amp;LEN(V222))))+1, 1) * 10^ROW(INDIRECT("1:"&amp;LEN(V222)))/10))*U225*100+1</f>
        <v>2801</v>
      </c>
    </row>
    <row r="226" spans="1:22" s="2" customFormat="1" x14ac:dyDescent="0.3">
      <c r="A226" s="109">
        <v>4</v>
      </c>
      <c r="B226" s="109"/>
      <c r="C226" s="20" t="s">
        <v>189</v>
      </c>
      <c r="D226" s="61">
        <f t="shared" si="65"/>
        <v>556.22970000000009</v>
      </c>
      <c r="E226" s="20">
        <v>0</v>
      </c>
      <c r="F226" s="20">
        <f t="shared" si="63"/>
        <v>889.96752000000015</v>
      </c>
      <c r="G226" s="101"/>
      <c r="H226" s="102"/>
      <c r="S226" s="110">
        <f t="shared" ca="1" si="64"/>
        <v>2802</v>
      </c>
      <c r="T226" s="110"/>
      <c r="U226" s="38">
        <f>U225+1</f>
        <v>2</v>
      </c>
      <c r="V226" s="2">
        <f ca="1">V225+1</f>
        <v>2802</v>
      </c>
    </row>
    <row r="227" spans="1:22" s="2" customFormat="1" x14ac:dyDescent="0.3">
      <c r="A227" s="109">
        <v>5</v>
      </c>
      <c r="B227" s="109"/>
      <c r="C227" s="20" t="s">
        <v>189</v>
      </c>
      <c r="D227" s="61">
        <f t="shared" si="65"/>
        <v>556.22970000000009</v>
      </c>
      <c r="E227" s="20">
        <v>0</v>
      </c>
      <c r="F227" s="20">
        <f t="shared" si="63"/>
        <v>889.96752000000015</v>
      </c>
      <c r="G227" s="101"/>
      <c r="H227" s="102"/>
      <c r="S227" s="110">
        <f t="shared" ca="1" si="64"/>
        <v>2803</v>
      </c>
      <c r="T227" s="110"/>
      <c r="U227" s="38">
        <f>U226+1</f>
        <v>3</v>
      </c>
      <c r="V227" s="2">
        <f ca="1">V226+1</f>
        <v>2803</v>
      </c>
    </row>
    <row r="228" spans="1:22" s="2" customFormat="1" x14ac:dyDescent="0.3">
      <c r="A228" s="109">
        <v>6</v>
      </c>
      <c r="B228" s="109"/>
      <c r="C228" s="20" t="s">
        <v>189</v>
      </c>
      <c r="D228" s="61">
        <f t="shared" si="65"/>
        <v>556.22970000000009</v>
      </c>
      <c r="E228" s="20">
        <v>0</v>
      </c>
      <c r="F228" s="20">
        <f t="shared" si="63"/>
        <v>889.96752000000015</v>
      </c>
      <c r="G228" s="101"/>
      <c r="H228" s="102"/>
      <c r="S228" s="110">
        <f t="shared" ca="1" si="64"/>
        <v>2804</v>
      </c>
      <c r="T228" s="110"/>
      <c r="U228" s="38">
        <f t="shared" ref="U228:V228" si="66">U227+1</f>
        <v>4</v>
      </c>
      <c r="V228" s="2">
        <f t="shared" ca="1" si="66"/>
        <v>2804</v>
      </c>
    </row>
    <row r="229" spans="1:22" s="2" customFormat="1" x14ac:dyDescent="0.3">
      <c r="A229" s="109">
        <v>7</v>
      </c>
      <c r="B229" s="109"/>
      <c r="C229" s="20" t="s">
        <v>189</v>
      </c>
      <c r="D229" s="61">
        <f t="shared" si="65"/>
        <v>556.22970000000009</v>
      </c>
      <c r="E229" s="20">
        <v>0</v>
      </c>
      <c r="F229" s="20">
        <f t="shared" si="63"/>
        <v>889.96752000000015</v>
      </c>
      <c r="G229" s="101"/>
      <c r="H229" s="102"/>
      <c r="S229" s="110">
        <f t="shared" ca="1" si="64"/>
        <v>2805</v>
      </c>
      <c r="T229" s="110"/>
      <c r="U229" s="38">
        <f t="shared" ref="U229:V229" si="67">U228+1</f>
        <v>5</v>
      </c>
      <c r="V229" s="2">
        <f t="shared" ca="1" si="67"/>
        <v>2805</v>
      </c>
    </row>
    <row r="230" spans="1:22" s="2" customFormat="1" x14ac:dyDescent="0.3">
      <c r="A230" s="109">
        <v>8</v>
      </c>
      <c r="B230" s="109"/>
      <c r="C230" s="20" t="s">
        <v>189</v>
      </c>
      <c r="D230" s="61">
        <f t="shared" si="65"/>
        <v>556.22970000000009</v>
      </c>
      <c r="E230" s="20">
        <v>0</v>
      </c>
      <c r="F230" s="20">
        <f t="shared" si="63"/>
        <v>889.96752000000015</v>
      </c>
      <c r="G230" s="101"/>
      <c r="H230" s="102"/>
      <c r="S230" s="110">
        <f t="shared" ca="1" si="64"/>
        <v>2806</v>
      </c>
      <c r="T230" s="110"/>
      <c r="U230" s="38">
        <f>U229+1</f>
        <v>6</v>
      </c>
      <c r="V230" s="2">
        <f t="shared" ref="V230" ca="1" si="68">V229+1</f>
        <v>2806</v>
      </c>
    </row>
    <row r="231" spans="1:22" s="2" customFormat="1" x14ac:dyDescent="0.3">
      <c r="A231" s="109">
        <v>9</v>
      </c>
      <c r="B231" s="109"/>
      <c r="C231" s="20" t="s">
        <v>189</v>
      </c>
      <c r="D231" s="61">
        <f t="shared" si="65"/>
        <v>556.22970000000009</v>
      </c>
      <c r="E231" s="20">
        <v>0</v>
      </c>
      <c r="F231" s="20">
        <f t="shared" si="63"/>
        <v>889.96752000000015</v>
      </c>
      <c r="G231" s="101"/>
      <c r="H231" s="102"/>
      <c r="S231" s="110">
        <f t="shared" ca="1" si="64"/>
        <v>2807</v>
      </c>
      <c r="T231" s="110"/>
      <c r="U231" s="38">
        <f>U230+1</f>
        <v>7</v>
      </c>
      <c r="V231" s="2">
        <f t="shared" ref="V231" ca="1" si="69">V230+1</f>
        <v>2807</v>
      </c>
    </row>
    <row r="232" spans="1:22" s="2" customFormat="1" x14ac:dyDescent="0.3">
      <c r="A232" s="109">
        <v>10</v>
      </c>
      <c r="B232" s="109"/>
      <c r="C232" s="20" t="s">
        <v>189</v>
      </c>
      <c r="D232" s="61">
        <f t="shared" si="65"/>
        <v>556.22970000000009</v>
      </c>
      <c r="E232" s="20">
        <v>0</v>
      </c>
      <c r="F232" s="20">
        <f t="shared" si="63"/>
        <v>889.96752000000015</v>
      </c>
      <c r="G232" s="101"/>
      <c r="H232" s="102"/>
      <c r="S232" s="110">
        <f t="shared" ca="1" si="64"/>
        <v>2808</v>
      </c>
      <c r="T232" s="110"/>
      <c r="U232" s="38">
        <f t="shared" ref="U232:V232" si="70">U231+1</f>
        <v>8</v>
      </c>
      <c r="V232" s="2">
        <f t="shared" ca="1" si="70"/>
        <v>2808</v>
      </c>
    </row>
    <row r="233" spans="1:22" s="2" customFormat="1" x14ac:dyDescent="0.3">
      <c r="A233" s="109">
        <v>11</v>
      </c>
      <c r="B233" s="109"/>
      <c r="C233" s="20" t="s">
        <v>189</v>
      </c>
      <c r="D233" s="61">
        <f t="shared" si="65"/>
        <v>556.22970000000009</v>
      </c>
      <c r="E233" s="20">
        <v>0</v>
      </c>
      <c r="F233" s="20">
        <f t="shared" si="63"/>
        <v>889.96752000000015</v>
      </c>
      <c r="G233" s="101"/>
      <c r="H233" s="102"/>
      <c r="S233" s="110">
        <f t="shared" ca="1" si="64"/>
        <v>2809</v>
      </c>
      <c r="T233" s="110"/>
      <c r="U233" s="38">
        <f>U232+1</f>
        <v>9</v>
      </c>
      <c r="V233" s="2">
        <f t="shared" ref="V233" ca="1" si="71">V232+1</f>
        <v>2809</v>
      </c>
    </row>
    <row r="234" spans="1:22" s="2" customFormat="1" ht="15.75" customHeight="1" x14ac:dyDescent="0.3">
      <c r="A234" s="109">
        <v>12</v>
      </c>
      <c r="B234" s="109"/>
      <c r="C234" s="20" t="s">
        <v>189</v>
      </c>
      <c r="D234" s="61">
        <f t="shared" ref="D234" si="72">(1.2*2.45+3*4.15+2.7*2.45+3*3.05+3*4.15+2.1*1.2+2.1*1.2+3*1.01)*10.764</f>
        <v>556.22970000000009</v>
      </c>
      <c r="E234" s="20">
        <v>0</v>
      </c>
      <c r="F234" s="20">
        <f t="shared" si="63"/>
        <v>889.96752000000015</v>
      </c>
      <c r="G234" s="101"/>
      <c r="H234" s="102"/>
      <c r="S234" s="110">
        <f t="shared" ca="1" si="64"/>
        <v>2810</v>
      </c>
      <c r="T234" s="110"/>
      <c r="U234" s="38">
        <f t="shared" ref="U234:V234" si="73">U233+1</f>
        <v>10</v>
      </c>
      <c r="V234" s="2">
        <f t="shared" ca="1" si="73"/>
        <v>2810</v>
      </c>
    </row>
    <row r="235" spans="1:22" s="2" customFormat="1" x14ac:dyDescent="0.3">
      <c r="A235" s="109">
        <v>13</v>
      </c>
      <c r="B235" s="109"/>
      <c r="C235" s="20" t="s">
        <v>233</v>
      </c>
      <c r="D235" s="61">
        <f>(1.35*2.35+2.7*2.2+0.9*2.2+2.7*0.55+3.35*6.05+3.05*3.2+3.35*3.65+3.05*3.35+0.9*2.5+1.1*1.2+1.8*1.2+1.2*1.5+1.5*2.35+1.75*1.85+1.2*1.3)*10.764</f>
        <v>870.8345099999998</v>
      </c>
      <c r="E235" s="20">
        <v>0</v>
      </c>
      <c r="F235" s="20">
        <f t="shared" si="63"/>
        <v>1393.3352159999997</v>
      </c>
      <c r="G235" s="75"/>
      <c r="H235" s="77"/>
      <c r="S235" s="110">
        <f t="shared" ca="1" si="64"/>
        <v>2811</v>
      </c>
      <c r="T235" s="110"/>
      <c r="U235" s="38">
        <f>U234+1</f>
        <v>11</v>
      </c>
      <c r="V235" s="2">
        <f t="shared" ref="V235" ca="1" si="74">V234+1</f>
        <v>2811</v>
      </c>
    </row>
    <row r="236" spans="1:22" s="1" customFormat="1" x14ac:dyDescent="0.3">
      <c r="A236" s="111" t="s">
        <v>192</v>
      </c>
      <c r="B236" s="111"/>
      <c r="C236" s="111"/>
      <c r="D236" s="111"/>
      <c r="E236" s="111"/>
      <c r="F236" s="111"/>
      <c r="G236" s="111"/>
      <c r="H236" s="111"/>
      <c r="I236" s="2"/>
      <c r="J236" s="61">
        <v>10.763999999999999</v>
      </c>
      <c r="K236" s="2"/>
    </row>
    <row r="237" spans="1:22" s="10" customFormat="1" x14ac:dyDescent="0.3">
      <c r="A237" s="109">
        <v>1</v>
      </c>
      <c r="B237" s="109"/>
      <c r="C237" s="20" t="s">
        <v>233</v>
      </c>
      <c r="D237" s="61">
        <f>(1.35*2.35+1.55*2+2.7*2.2+0.9*2.2+0.55*2.7+3.35*6.05+3.05*3.2+3.35*4.4+3.05*3.35+1.55*1.21+1.9*1.2+2.1*1.5+2.35*1.5+1.2*2.55)*10.764</f>
        <v>910.12849200000005</v>
      </c>
      <c r="E237" s="20">
        <v>0</v>
      </c>
      <c r="F237" s="20">
        <f>D237*(($F$143)+1)+E237</f>
        <v>1456.2055872000001</v>
      </c>
      <c r="G237" s="109" t="str">
        <f>A236</f>
        <v>28th Floor (Part Refuge Floor)</v>
      </c>
      <c r="H237" s="109"/>
      <c r="I237" s="2"/>
      <c r="J237" s="2"/>
      <c r="K237" s="2"/>
    </row>
    <row r="238" spans="1:22" x14ac:dyDescent="0.3">
      <c r="A238" s="109">
        <v>2</v>
      </c>
      <c r="B238" s="109"/>
      <c r="C238" s="20" t="s">
        <v>233</v>
      </c>
      <c r="D238" s="61">
        <f>(1.35*2.35+1.55*2+2.7*2.2+0.9*2.2+0.55*2.7+3.35*6.05+3.05*3.2+3.35*4.4+3.05*3.35+1.55*1.21+1.9*1.2+2.1*1.5+2.35*1.5+1.2*2.55)*10.764</f>
        <v>910.12849200000005</v>
      </c>
      <c r="E238" s="20">
        <v>0</v>
      </c>
      <c r="F238" s="20">
        <f>D238*(($F$143)+1)+E238</f>
        <v>1456.2055872000001</v>
      </c>
      <c r="G238" s="109"/>
      <c r="H238" s="109"/>
      <c r="I238" s="2"/>
      <c r="J238" s="2"/>
      <c r="K238" s="2"/>
    </row>
    <row r="239" spans="1:22" x14ac:dyDescent="0.3">
      <c r="A239" s="109">
        <v>3</v>
      </c>
      <c r="B239" s="109"/>
      <c r="C239" s="20" t="s">
        <v>189</v>
      </c>
      <c r="D239" s="61">
        <f t="shared" ref="D239" si="75">(1.2*2.45+3*4.15+2.7*2.45+3*3.05+3*4.15+2.1*1.2+2.1*1.2+3*1.01)*10.764</f>
        <v>556.22970000000009</v>
      </c>
      <c r="E239" s="20">
        <v>0</v>
      </c>
      <c r="F239" s="20">
        <f>D239*(($F$143)+1)+E239</f>
        <v>889.96752000000015</v>
      </c>
      <c r="G239" s="109"/>
      <c r="H239" s="109"/>
      <c r="I239" s="2"/>
      <c r="J239" s="2"/>
      <c r="K239" s="2"/>
    </row>
    <row r="240" spans="1:22" ht="15.75" customHeight="1" x14ac:dyDescent="0.3">
      <c r="A240" s="109">
        <v>4</v>
      </c>
      <c r="B240" s="109"/>
      <c r="C240" s="109" t="s">
        <v>191</v>
      </c>
      <c r="D240" s="109"/>
      <c r="E240" s="109"/>
      <c r="F240" s="109"/>
      <c r="G240" s="109"/>
      <c r="H240" s="109"/>
      <c r="I240" s="2"/>
      <c r="J240" s="2"/>
      <c r="K240" s="2"/>
    </row>
    <row r="241" spans="1:11" x14ac:dyDescent="0.3">
      <c r="A241" s="109">
        <v>5</v>
      </c>
      <c r="B241" s="109"/>
      <c r="C241" s="109"/>
      <c r="D241" s="109"/>
      <c r="E241" s="109"/>
      <c r="F241" s="109"/>
      <c r="G241" s="109"/>
      <c r="H241" s="109"/>
      <c r="I241" s="2"/>
      <c r="J241" s="2"/>
      <c r="K241" s="2"/>
    </row>
    <row r="242" spans="1:11" x14ac:dyDescent="0.3">
      <c r="A242" s="109">
        <v>6</v>
      </c>
      <c r="B242" s="109"/>
      <c r="C242" s="20" t="s">
        <v>189</v>
      </c>
      <c r="D242" s="61">
        <f t="shared" ref="D242:D248" si="76">(1.2*2.45+3*4.15+2.7*2.45+3*3.05+3*4.15+2.1*1.2+2.1*1.2+3*1.01)*10.764</f>
        <v>556.22970000000009</v>
      </c>
      <c r="E242" s="20">
        <v>0</v>
      </c>
      <c r="F242" s="20">
        <f t="shared" ref="F242:F249" si="77">D242*(($F$143)+1)+E242</f>
        <v>889.96752000000015</v>
      </c>
      <c r="G242" s="109"/>
      <c r="H242" s="109"/>
      <c r="I242" s="2"/>
      <c r="J242" s="2"/>
      <c r="K242" s="2"/>
    </row>
    <row r="243" spans="1:11" x14ac:dyDescent="0.3">
      <c r="A243" s="109">
        <v>7</v>
      </c>
      <c r="B243" s="109"/>
      <c r="C243" s="20" t="s">
        <v>189</v>
      </c>
      <c r="D243" s="61">
        <f t="shared" si="76"/>
        <v>556.22970000000009</v>
      </c>
      <c r="E243" s="20">
        <v>0</v>
      </c>
      <c r="F243" s="20">
        <f t="shared" si="77"/>
        <v>889.96752000000015</v>
      </c>
      <c r="G243" s="109"/>
      <c r="H243" s="109"/>
      <c r="I243" s="2"/>
      <c r="J243" s="2"/>
      <c r="K243" s="2"/>
    </row>
    <row r="244" spans="1:11" x14ac:dyDescent="0.3">
      <c r="A244" s="109">
        <v>8</v>
      </c>
      <c r="B244" s="109"/>
      <c r="C244" s="20" t="s">
        <v>189</v>
      </c>
      <c r="D244" s="61">
        <f t="shared" si="76"/>
        <v>556.22970000000009</v>
      </c>
      <c r="E244" s="20">
        <v>0</v>
      </c>
      <c r="F244" s="20">
        <f t="shared" si="77"/>
        <v>889.96752000000015</v>
      </c>
      <c r="G244" s="109"/>
      <c r="H244" s="109"/>
      <c r="I244" s="2"/>
      <c r="J244" s="2"/>
      <c r="K244" s="2"/>
    </row>
    <row r="245" spans="1:11" x14ac:dyDescent="0.3">
      <c r="A245" s="109">
        <v>9</v>
      </c>
      <c r="B245" s="109"/>
      <c r="C245" s="20" t="s">
        <v>189</v>
      </c>
      <c r="D245" s="61">
        <f t="shared" si="76"/>
        <v>556.22970000000009</v>
      </c>
      <c r="E245" s="20">
        <v>0</v>
      </c>
      <c r="F245" s="20">
        <f t="shared" si="77"/>
        <v>889.96752000000015</v>
      </c>
      <c r="G245" s="109"/>
      <c r="H245" s="109"/>
      <c r="I245" s="2"/>
      <c r="J245" s="2"/>
      <c r="K245" s="2"/>
    </row>
    <row r="246" spans="1:11" x14ac:dyDescent="0.3">
      <c r="A246" s="109">
        <v>10</v>
      </c>
      <c r="B246" s="109"/>
      <c r="C246" s="20" t="s">
        <v>189</v>
      </c>
      <c r="D246" s="61">
        <f t="shared" si="76"/>
        <v>556.22970000000009</v>
      </c>
      <c r="E246" s="20">
        <v>0</v>
      </c>
      <c r="F246" s="20">
        <f t="shared" si="77"/>
        <v>889.96752000000015</v>
      </c>
      <c r="G246" s="109"/>
      <c r="H246" s="109"/>
      <c r="I246" s="2"/>
      <c r="J246" s="2"/>
      <c r="K246" s="2"/>
    </row>
    <row r="247" spans="1:11" x14ac:dyDescent="0.3">
      <c r="A247" s="109">
        <v>11</v>
      </c>
      <c r="B247" s="109"/>
      <c r="C247" s="20" t="s">
        <v>189</v>
      </c>
      <c r="D247" s="61">
        <f t="shared" si="76"/>
        <v>556.22970000000009</v>
      </c>
      <c r="E247" s="20">
        <v>0</v>
      </c>
      <c r="F247" s="20">
        <f t="shared" si="77"/>
        <v>889.96752000000015</v>
      </c>
      <c r="G247" s="109"/>
      <c r="H247" s="109"/>
      <c r="I247" s="2"/>
      <c r="J247" s="2"/>
      <c r="K247" s="2"/>
    </row>
    <row r="248" spans="1:11" x14ac:dyDescent="0.3">
      <c r="A248" s="109">
        <v>12</v>
      </c>
      <c r="B248" s="109"/>
      <c r="C248" s="20" t="s">
        <v>189</v>
      </c>
      <c r="D248" s="61">
        <f t="shared" si="76"/>
        <v>556.22970000000009</v>
      </c>
      <c r="E248" s="20">
        <v>0</v>
      </c>
      <c r="F248" s="20">
        <f t="shared" si="77"/>
        <v>889.96752000000015</v>
      </c>
      <c r="G248" s="109"/>
      <c r="H248" s="109"/>
      <c r="I248" s="2"/>
      <c r="J248" s="2"/>
      <c r="K248" s="2"/>
    </row>
    <row r="249" spans="1:11" x14ac:dyDescent="0.3">
      <c r="A249" s="109">
        <v>13</v>
      </c>
      <c r="B249" s="109"/>
      <c r="C249" s="20" t="s">
        <v>233</v>
      </c>
      <c r="D249" s="61">
        <f>(1.35*2.35+2.7*2.2+0.9*2.2+2.7*0.55+3.35*6.05+3.05*3.2+3.35*3.65+3.05*3.35+0.9*2.5+1.1*1.2+1.8*1.2+1.2*1.5+1.5*2.35+1.75*1.85+1.2*1.3)*10.764</f>
        <v>870.8345099999998</v>
      </c>
      <c r="E249" s="20">
        <v>0</v>
      </c>
      <c r="F249" s="20">
        <f t="shared" si="77"/>
        <v>1393.3352159999997</v>
      </c>
      <c r="G249" s="109"/>
      <c r="H249" s="109"/>
      <c r="I249" s="2"/>
      <c r="J249" s="2"/>
      <c r="K249" s="2"/>
    </row>
    <row r="250" spans="1:11" x14ac:dyDescent="0.3">
      <c r="A250" s="167" t="s">
        <v>78</v>
      </c>
      <c r="B250" s="167"/>
      <c r="C250" s="167"/>
      <c r="D250" s="167"/>
      <c r="E250" s="167"/>
      <c r="F250" s="167"/>
      <c r="G250" s="167"/>
      <c r="H250" s="167"/>
      <c r="I250" s="1"/>
      <c r="J250" s="1"/>
      <c r="K250" s="1"/>
    </row>
    <row r="251" spans="1:11" ht="220.8" customHeight="1" x14ac:dyDescent="0.3">
      <c r="A251" s="168" t="s">
        <v>258</v>
      </c>
      <c r="B251" s="168"/>
      <c r="C251" s="168"/>
      <c r="D251" s="168"/>
      <c r="E251" s="168"/>
      <c r="F251" s="168"/>
      <c r="G251" s="168"/>
      <c r="H251" s="168"/>
      <c r="I251" s="10" t="s">
        <v>256</v>
      </c>
      <c r="J251" s="10"/>
      <c r="K251" s="10"/>
    </row>
    <row r="252" spans="1:11" x14ac:dyDescent="0.3">
      <c r="A252" s="165" t="s">
        <v>69</v>
      </c>
      <c r="B252" s="165"/>
      <c r="C252" s="165"/>
      <c r="D252" s="165"/>
      <c r="E252" s="165"/>
      <c r="F252" s="165"/>
      <c r="G252" s="165"/>
      <c r="H252" s="165"/>
    </row>
    <row r="253" spans="1:11" ht="15" customHeight="1" x14ac:dyDescent="0.3">
      <c r="A253" s="81" t="s">
        <v>70</v>
      </c>
      <c r="B253" s="81"/>
      <c r="C253" s="81"/>
      <c r="D253" s="81"/>
      <c r="E253" s="81"/>
      <c r="F253" s="81"/>
      <c r="G253" s="81"/>
      <c r="H253" s="81"/>
    </row>
    <row r="254" spans="1:11" x14ac:dyDescent="0.3">
      <c r="A254" s="165" t="s">
        <v>71</v>
      </c>
      <c r="B254" s="165"/>
      <c r="C254" s="165"/>
      <c r="D254" s="165"/>
      <c r="E254" s="165"/>
      <c r="F254" s="165"/>
      <c r="G254" s="165"/>
      <c r="H254" s="165"/>
    </row>
    <row r="255" spans="1:11" x14ac:dyDescent="0.3">
      <c r="A255" s="81" t="s">
        <v>72</v>
      </c>
      <c r="B255" s="81"/>
      <c r="C255" s="81"/>
      <c r="D255" s="81"/>
      <c r="E255" s="81"/>
      <c r="F255" s="81"/>
      <c r="G255" s="81"/>
      <c r="H255" s="81"/>
    </row>
    <row r="256" spans="1:11" x14ac:dyDescent="0.3">
      <c r="A256" s="81" t="s">
        <v>73</v>
      </c>
      <c r="B256" s="81"/>
      <c r="C256" s="81"/>
      <c r="D256" s="81"/>
      <c r="E256" s="81"/>
      <c r="F256" s="81"/>
      <c r="G256" s="81"/>
      <c r="H256" s="81"/>
    </row>
    <row r="257" spans="1:8" x14ac:dyDescent="0.3">
      <c r="A257" s="81" t="s">
        <v>74</v>
      </c>
      <c r="B257" s="81"/>
      <c r="C257" s="81"/>
      <c r="D257" s="81"/>
      <c r="E257" s="81"/>
      <c r="F257" s="81"/>
      <c r="G257" s="81"/>
      <c r="H257" s="81"/>
    </row>
    <row r="258" spans="1:8" x14ac:dyDescent="0.3">
      <c r="A258" s="82" t="s">
        <v>75</v>
      </c>
      <c r="B258" s="82"/>
      <c r="C258" s="82"/>
      <c r="D258" s="82"/>
      <c r="E258" s="82"/>
      <c r="F258" s="82"/>
      <c r="G258" s="82"/>
      <c r="H258" s="82"/>
    </row>
    <row r="259" spans="1:8" x14ac:dyDescent="0.3">
      <c r="A259" s="152" t="s">
        <v>112</v>
      </c>
      <c r="B259" s="152"/>
      <c r="C259" s="152" t="s">
        <v>260</v>
      </c>
      <c r="D259" s="152"/>
      <c r="E259" s="152" t="s">
        <v>148</v>
      </c>
      <c r="F259" s="152"/>
      <c r="G259" s="152" t="s">
        <v>265</v>
      </c>
      <c r="H259" s="152"/>
    </row>
    <row r="260" spans="1:8" x14ac:dyDescent="0.3">
      <c r="A260" s="151" t="s">
        <v>114</v>
      </c>
      <c r="B260" s="151"/>
      <c r="C260" s="151"/>
      <c r="D260" s="151"/>
      <c r="E260" s="151"/>
      <c r="F260" s="151"/>
      <c r="G260" s="151"/>
      <c r="H260" s="151"/>
    </row>
    <row r="261" spans="1:8" x14ac:dyDescent="0.3">
      <c r="A261" s="151"/>
      <c r="B261" s="151"/>
      <c r="C261" s="151"/>
      <c r="D261" s="151"/>
      <c r="E261" s="151"/>
      <c r="F261" s="151"/>
      <c r="G261" s="151"/>
      <c r="H261" s="151"/>
    </row>
    <row r="262" spans="1:8" x14ac:dyDescent="0.3">
      <c r="A262" s="151"/>
      <c r="B262" s="151"/>
      <c r="C262" s="151"/>
      <c r="D262" s="151"/>
      <c r="E262" s="151"/>
      <c r="F262" s="151"/>
      <c r="G262" s="151"/>
      <c r="H262" s="151"/>
    </row>
    <row r="263" spans="1:8" x14ac:dyDescent="0.3">
      <c r="A263" s="151"/>
      <c r="B263" s="151"/>
      <c r="C263" s="151"/>
      <c r="D263" s="151"/>
      <c r="E263" s="151"/>
      <c r="F263" s="151"/>
      <c r="G263" s="151"/>
      <c r="H263" s="151"/>
    </row>
    <row r="264" spans="1:8" x14ac:dyDescent="0.3">
      <c r="A264" s="15" t="s">
        <v>76</v>
      </c>
      <c r="B264" s="16"/>
      <c r="C264" s="16"/>
      <c r="D264" s="15" t="str">
        <f>E8</f>
        <v>Raunak Centrum</v>
      </c>
      <c r="F264" s="16"/>
      <c r="G264" s="16"/>
      <c r="H264" s="16"/>
    </row>
    <row r="265" spans="1:8" x14ac:dyDescent="0.3">
      <c r="A265" s="16"/>
      <c r="B265" s="16"/>
      <c r="C265" s="16"/>
      <c r="D265" s="16"/>
      <c r="E265" s="16"/>
      <c r="F265" s="16"/>
      <c r="G265" s="16"/>
      <c r="H265" s="16"/>
    </row>
    <row r="266" spans="1:8" x14ac:dyDescent="0.3">
      <c r="A266" s="63"/>
      <c r="B266" s="16"/>
      <c r="C266" s="16"/>
      <c r="D266" s="16"/>
      <c r="E266" s="16"/>
      <c r="F266" s="16"/>
      <c r="G266" s="16"/>
      <c r="H266" s="16"/>
    </row>
    <row r="277" spans="9:9" x14ac:dyDescent="0.3">
      <c r="I277"/>
    </row>
    <row r="307" spans="1:1" x14ac:dyDescent="0.3">
      <c r="A307" s="18" t="s">
        <v>257</v>
      </c>
    </row>
    <row r="344" spans="1:1" x14ac:dyDescent="0.3">
      <c r="A344" s="18" t="s">
        <v>77</v>
      </c>
    </row>
  </sheetData>
  <mergeCells count="513">
    <mergeCell ref="A107:B107"/>
    <mergeCell ref="C107:D107"/>
    <mergeCell ref="E107:F107"/>
    <mergeCell ref="G107:H107"/>
    <mergeCell ref="A97:B97"/>
    <mergeCell ref="E97:F106"/>
    <mergeCell ref="G97:H106"/>
    <mergeCell ref="A98:B98"/>
    <mergeCell ref="A99:B99"/>
    <mergeCell ref="A100:B100"/>
    <mergeCell ref="A101:B101"/>
    <mergeCell ref="A102:B102"/>
    <mergeCell ref="A103:B103"/>
    <mergeCell ref="A104:B104"/>
    <mergeCell ref="A105:B105"/>
    <mergeCell ref="A106:B106"/>
    <mergeCell ref="S202:T202"/>
    <mergeCell ref="A220:B220"/>
    <mergeCell ref="S206:T206"/>
    <mergeCell ref="A221:B221"/>
    <mergeCell ref="S207:T207"/>
    <mergeCell ref="A217:B217"/>
    <mergeCell ref="S203:T203"/>
    <mergeCell ref="A218:B218"/>
    <mergeCell ref="S204:T204"/>
    <mergeCell ref="A219:B219"/>
    <mergeCell ref="S205:T205"/>
    <mergeCell ref="A208:H208"/>
    <mergeCell ref="S211:T211"/>
    <mergeCell ref="S214:T214"/>
    <mergeCell ref="S215:T215"/>
    <mergeCell ref="S216:T216"/>
    <mergeCell ref="S208:T208"/>
    <mergeCell ref="S209:T209"/>
    <mergeCell ref="S210:T210"/>
    <mergeCell ref="S212:T212"/>
    <mergeCell ref="S194:T194"/>
    <mergeCell ref="A209:B209"/>
    <mergeCell ref="S195:T195"/>
    <mergeCell ref="A210:B210"/>
    <mergeCell ref="S196:T196"/>
    <mergeCell ref="A205:B205"/>
    <mergeCell ref="S191:T191"/>
    <mergeCell ref="A206:B206"/>
    <mergeCell ref="S192:T192"/>
    <mergeCell ref="A207:B207"/>
    <mergeCell ref="S193:T193"/>
    <mergeCell ref="C206:F207"/>
    <mergeCell ref="G209:H221"/>
    <mergeCell ref="S197:T197"/>
    <mergeCell ref="A212:B212"/>
    <mergeCell ref="S198:T198"/>
    <mergeCell ref="A213:B213"/>
    <mergeCell ref="S199:T199"/>
    <mergeCell ref="C211:F214"/>
    <mergeCell ref="A214:B214"/>
    <mergeCell ref="S200:T200"/>
    <mergeCell ref="A215:B215"/>
    <mergeCell ref="S201:T201"/>
    <mergeCell ref="A216:B216"/>
    <mergeCell ref="S180:T180"/>
    <mergeCell ref="A194:H194"/>
    <mergeCell ref="A197:B197"/>
    <mergeCell ref="S183:T183"/>
    <mergeCell ref="A198:B198"/>
    <mergeCell ref="S184:T184"/>
    <mergeCell ref="A195:B195"/>
    <mergeCell ref="S181:T181"/>
    <mergeCell ref="A196:B196"/>
    <mergeCell ref="S182:T182"/>
    <mergeCell ref="C195:F196"/>
    <mergeCell ref="G195:H207"/>
    <mergeCell ref="S185:T185"/>
    <mergeCell ref="A200:B200"/>
    <mergeCell ref="S186:T186"/>
    <mergeCell ref="A201:B201"/>
    <mergeCell ref="S187:T187"/>
    <mergeCell ref="A202:B202"/>
    <mergeCell ref="S188:T188"/>
    <mergeCell ref="A203:B203"/>
    <mergeCell ref="S189:T189"/>
    <mergeCell ref="S190:T190"/>
    <mergeCell ref="A181:B181"/>
    <mergeCell ref="G185:H193"/>
    <mergeCell ref="S177:T177"/>
    <mergeCell ref="A192:B192"/>
    <mergeCell ref="S178:T178"/>
    <mergeCell ref="A183:H183"/>
    <mergeCell ref="S169:T169"/>
    <mergeCell ref="A193:B193"/>
    <mergeCell ref="S179:T179"/>
    <mergeCell ref="A188:B188"/>
    <mergeCell ref="S174:T174"/>
    <mergeCell ref="A189:B189"/>
    <mergeCell ref="S175:T175"/>
    <mergeCell ref="A190:B190"/>
    <mergeCell ref="S176:T176"/>
    <mergeCell ref="A184:H184"/>
    <mergeCell ref="S170:T170"/>
    <mergeCell ref="A185:B185"/>
    <mergeCell ref="A187:B187"/>
    <mergeCell ref="S173:T173"/>
    <mergeCell ref="A186:B186"/>
    <mergeCell ref="S172:T172"/>
    <mergeCell ref="A172:B172"/>
    <mergeCell ref="A176:B176"/>
    <mergeCell ref="A179:B179"/>
    <mergeCell ref="A180:B180"/>
    <mergeCell ref="A182:H182"/>
    <mergeCell ref="A148:B148"/>
    <mergeCell ref="A149:B149"/>
    <mergeCell ref="A150:B150"/>
    <mergeCell ref="A77:B77"/>
    <mergeCell ref="A78:B78"/>
    <mergeCell ref="A141:H141"/>
    <mergeCell ref="A142:A143"/>
    <mergeCell ref="A161:B161"/>
    <mergeCell ref="A140:B140"/>
    <mergeCell ref="A138:H138"/>
    <mergeCell ref="A137:H137"/>
    <mergeCell ref="A136:H136"/>
    <mergeCell ref="A154:B154"/>
    <mergeCell ref="G154:H154"/>
    <mergeCell ref="A159:B159"/>
    <mergeCell ref="A160:B160"/>
    <mergeCell ref="A93:B93"/>
    <mergeCell ref="C93:H93"/>
    <mergeCell ref="A95:B95"/>
    <mergeCell ref="C95:H95"/>
    <mergeCell ref="A96:B96"/>
    <mergeCell ref="E96:F96"/>
    <mergeCell ref="G96:H96"/>
    <mergeCell ref="A157:B157"/>
    <mergeCell ref="A158:B158"/>
    <mergeCell ref="S171:T171"/>
    <mergeCell ref="S156:T156"/>
    <mergeCell ref="S157:T157"/>
    <mergeCell ref="S158:T158"/>
    <mergeCell ref="S153:T153"/>
    <mergeCell ref="S154:T154"/>
    <mergeCell ref="S155:T155"/>
    <mergeCell ref="A169:B169"/>
    <mergeCell ref="A168:B168"/>
    <mergeCell ref="A170:B170"/>
    <mergeCell ref="A171:B171"/>
    <mergeCell ref="G156:H163"/>
    <mergeCell ref="G153:H153"/>
    <mergeCell ref="S132:T132"/>
    <mergeCell ref="A145:H145"/>
    <mergeCell ref="B142:B143"/>
    <mergeCell ref="C142:C143"/>
    <mergeCell ref="A151:B151"/>
    <mergeCell ref="G151:H151"/>
    <mergeCell ref="S137:T137"/>
    <mergeCell ref="S133:T133"/>
    <mergeCell ref="S134:T134"/>
    <mergeCell ref="S135:T135"/>
    <mergeCell ref="D142:D143"/>
    <mergeCell ref="E142:E143"/>
    <mergeCell ref="G142:H143"/>
    <mergeCell ref="S147:T147"/>
    <mergeCell ref="S138:T138"/>
    <mergeCell ref="S140:T140"/>
    <mergeCell ref="S141:T141"/>
    <mergeCell ref="S151:T151"/>
    <mergeCell ref="A144:H144"/>
    <mergeCell ref="S126:T126"/>
    <mergeCell ref="S125:T125"/>
    <mergeCell ref="G139:H139"/>
    <mergeCell ref="G140:H140"/>
    <mergeCell ref="A139:B139"/>
    <mergeCell ref="S152:T152"/>
    <mergeCell ref="S146:T146"/>
    <mergeCell ref="S150:T150"/>
    <mergeCell ref="G147:H147"/>
    <mergeCell ref="G148:H148"/>
    <mergeCell ref="G149:H149"/>
    <mergeCell ref="S136:T136"/>
    <mergeCell ref="G150:H150"/>
    <mergeCell ref="S139:T139"/>
    <mergeCell ref="S148:T148"/>
    <mergeCell ref="S149:T149"/>
    <mergeCell ref="S144:T144"/>
    <mergeCell ref="S145:T145"/>
    <mergeCell ref="S142:T142"/>
    <mergeCell ref="S143:T143"/>
    <mergeCell ref="A130:B130"/>
    <mergeCell ref="C130:D130"/>
    <mergeCell ref="E130:F130"/>
    <mergeCell ref="G130:H130"/>
    <mergeCell ref="A257:H257"/>
    <mergeCell ref="A258:H258"/>
    <mergeCell ref="A63:C63"/>
    <mergeCell ref="D63:H63"/>
    <mergeCell ref="A250:H250"/>
    <mergeCell ref="A251:H251"/>
    <mergeCell ref="A252:H252"/>
    <mergeCell ref="A253:H253"/>
    <mergeCell ref="A133:H133"/>
    <mergeCell ref="A147:B147"/>
    <mergeCell ref="A128:B128"/>
    <mergeCell ref="A132:H132"/>
    <mergeCell ref="A119:E119"/>
    <mergeCell ref="A121:E121"/>
    <mergeCell ref="F121:H121"/>
    <mergeCell ref="C175:F175"/>
    <mergeCell ref="G174:H181"/>
    <mergeCell ref="A177:B177"/>
    <mergeCell ref="A191:B191"/>
    <mergeCell ref="A199:B199"/>
    <mergeCell ref="A204:B204"/>
    <mergeCell ref="A211:B211"/>
    <mergeCell ref="A152:B152"/>
    <mergeCell ref="G152:H152"/>
    <mergeCell ref="A24:D24"/>
    <mergeCell ref="A254:H254"/>
    <mergeCell ref="E23:H23"/>
    <mergeCell ref="A25:D25"/>
    <mergeCell ref="E25:H25"/>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A36:B36"/>
    <mergeCell ref="G15:H15"/>
    <mergeCell ref="A23:D23"/>
    <mergeCell ref="A16:B16"/>
    <mergeCell ref="C16:D16"/>
    <mergeCell ref="E16:F16"/>
    <mergeCell ref="G16:H16"/>
    <mergeCell ref="A22:D22"/>
    <mergeCell ref="E22:H22"/>
    <mergeCell ref="A17:B17"/>
    <mergeCell ref="C17:D17"/>
    <mergeCell ref="E17:F17"/>
    <mergeCell ref="G17:H17"/>
    <mergeCell ref="A18:B18"/>
    <mergeCell ref="C18:D18"/>
    <mergeCell ref="E18:F18"/>
    <mergeCell ref="G18:H18"/>
    <mergeCell ref="E24:H24"/>
    <mergeCell ref="A19:D20"/>
    <mergeCell ref="E19:H20"/>
    <mergeCell ref="A21:D21"/>
    <mergeCell ref="E21:H21"/>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A1:H1"/>
    <mergeCell ref="A2:H2"/>
    <mergeCell ref="A3:D3"/>
    <mergeCell ref="E3:H3"/>
    <mergeCell ref="A4:D4"/>
    <mergeCell ref="A8:D8"/>
    <mergeCell ref="E8:H8"/>
    <mergeCell ref="A9:D9"/>
    <mergeCell ref="E9:H9"/>
    <mergeCell ref="E4:H4"/>
    <mergeCell ref="C30:E30"/>
    <mergeCell ref="A31:B31"/>
    <mergeCell ref="C31:E31"/>
    <mergeCell ref="A29:B29"/>
    <mergeCell ref="A35:B35"/>
    <mergeCell ref="C36:H36"/>
    <mergeCell ref="C35:H35"/>
    <mergeCell ref="A32:B32"/>
    <mergeCell ref="C32:E32"/>
    <mergeCell ref="C33:E33"/>
    <mergeCell ref="A30:B30"/>
    <mergeCell ref="F29:H29"/>
    <mergeCell ref="A260:H263"/>
    <mergeCell ref="A259:B259"/>
    <mergeCell ref="E259:F259"/>
    <mergeCell ref="C259:D259"/>
    <mergeCell ref="G259:H259"/>
    <mergeCell ref="A124:H124"/>
    <mergeCell ref="A122:E122"/>
    <mergeCell ref="F122:H122"/>
    <mergeCell ref="A123:E123"/>
    <mergeCell ref="F123:H123"/>
    <mergeCell ref="A146:H146"/>
    <mergeCell ref="A129:B129"/>
    <mergeCell ref="A167:B167"/>
    <mergeCell ref="A126:B126"/>
    <mergeCell ref="A255:H255"/>
    <mergeCell ref="A127:H127"/>
    <mergeCell ref="C129:D129"/>
    <mergeCell ref="E129:F129"/>
    <mergeCell ref="G129:H129"/>
    <mergeCell ref="A155:H155"/>
    <mergeCell ref="A164:H164"/>
    <mergeCell ref="C125:D125"/>
    <mergeCell ref="E125:F125"/>
    <mergeCell ref="A256:H256"/>
    <mergeCell ref="A81:B81"/>
    <mergeCell ref="C81:H81"/>
    <mergeCell ref="C47:E47"/>
    <mergeCell ref="A45:B45"/>
    <mergeCell ref="C45:E45"/>
    <mergeCell ref="A40:D40"/>
    <mergeCell ref="E40:H40"/>
    <mergeCell ref="E41:H41"/>
    <mergeCell ref="E42:H42"/>
    <mergeCell ref="E43:H43"/>
    <mergeCell ref="A41:D41"/>
    <mergeCell ref="A42:D42"/>
    <mergeCell ref="A43:D43"/>
    <mergeCell ref="A44:H44"/>
    <mergeCell ref="G45:H45"/>
    <mergeCell ref="G46:H46"/>
    <mergeCell ref="G47:H47"/>
    <mergeCell ref="A49:H49"/>
    <mergeCell ref="A51:B51"/>
    <mergeCell ref="A52:B53"/>
    <mergeCell ref="C52:E52"/>
    <mergeCell ref="G52:H52"/>
    <mergeCell ref="C53:H53"/>
    <mergeCell ref="E68:F68"/>
    <mergeCell ref="G68:H68"/>
    <mergeCell ref="D59:H59"/>
    <mergeCell ref="D62:H62"/>
    <mergeCell ref="A65:B65"/>
    <mergeCell ref="C65:H65"/>
    <mergeCell ref="F117:H117"/>
    <mergeCell ref="A118:E118"/>
    <mergeCell ref="F118:H118"/>
    <mergeCell ref="A114:E114"/>
    <mergeCell ref="F114:H114"/>
    <mergeCell ref="A115:E115"/>
    <mergeCell ref="F115:H115"/>
    <mergeCell ref="A108:E108"/>
    <mergeCell ref="F108:H108"/>
    <mergeCell ref="F113:H113"/>
    <mergeCell ref="A113:E113"/>
    <mergeCell ref="A111:H111"/>
    <mergeCell ref="A112:E112"/>
    <mergeCell ref="A69:B69"/>
    <mergeCell ref="D60:H60"/>
    <mergeCell ref="A59:C60"/>
    <mergeCell ref="A79:B79"/>
    <mergeCell ref="C79:H79"/>
    <mergeCell ref="A175:B175"/>
    <mergeCell ref="S218:T218"/>
    <mergeCell ref="D58:H58"/>
    <mergeCell ref="A58:C58"/>
    <mergeCell ref="G54:H54"/>
    <mergeCell ref="C46:E46"/>
    <mergeCell ref="A117:E117"/>
    <mergeCell ref="A54:B54"/>
    <mergeCell ref="C54:E54"/>
    <mergeCell ref="A46:B46"/>
    <mergeCell ref="A55:H55"/>
    <mergeCell ref="A56:C56"/>
    <mergeCell ref="C48:H48"/>
    <mergeCell ref="A47:B48"/>
    <mergeCell ref="A57:C57"/>
    <mergeCell ref="D57:H57"/>
    <mergeCell ref="D56:H56"/>
    <mergeCell ref="A50:B50"/>
    <mergeCell ref="C50:E50"/>
    <mergeCell ref="G50:H50"/>
    <mergeCell ref="C51:E51"/>
    <mergeCell ref="G51:H51"/>
    <mergeCell ref="C67:H67"/>
    <mergeCell ref="A68:B68"/>
    <mergeCell ref="F112:H112"/>
    <mergeCell ref="A109:H109"/>
    <mergeCell ref="A110:B110"/>
    <mergeCell ref="C110:H110"/>
    <mergeCell ref="G125:H125"/>
    <mergeCell ref="F119:H119"/>
    <mergeCell ref="A120:E120"/>
    <mergeCell ref="A125:B125"/>
    <mergeCell ref="E134:E135"/>
    <mergeCell ref="D134:D135"/>
    <mergeCell ref="C134:C135"/>
    <mergeCell ref="C126:D126"/>
    <mergeCell ref="E126:F126"/>
    <mergeCell ref="G126:H126"/>
    <mergeCell ref="C128:D128"/>
    <mergeCell ref="E128:F128"/>
    <mergeCell ref="G128:H128"/>
    <mergeCell ref="G134:H135"/>
    <mergeCell ref="B134:B135"/>
    <mergeCell ref="A223:B223"/>
    <mergeCell ref="A224:B224"/>
    <mergeCell ref="A225:B225"/>
    <mergeCell ref="S227:T227"/>
    <mergeCell ref="A226:B226"/>
    <mergeCell ref="S226:T226"/>
    <mergeCell ref="G223:H235"/>
    <mergeCell ref="A227:B227"/>
    <mergeCell ref="S213:T213"/>
    <mergeCell ref="S220:T220"/>
    <mergeCell ref="A178:B178"/>
    <mergeCell ref="A242:B242"/>
    <mergeCell ref="S228:T228"/>
    <mergeCell ref="A237:B237"/>
    <mergeCell ref="S223:T223"/>
    <mergeCell ref="A238:B238"/>
    <mergeCell ref="S224:T224"/>
    <mergeCell ref="A239:B239"/>
    <mergeCell ref="S225:T225"/>
    <mergeCell ref="S235:T235"/>
    <mergeCell ref="C240:F241"/>
    <mergeCell ref="A222:H222"/>
    <mergeCell ref="A235:B235"/>
    <mergeCell ref="S221:T221"/>
    <mergeCell ref="A236:H236"/>
    <mergeCell ref="S222:T222"/>
    <mergeCell ref="A231:B231"/>
    <mergeCell ref="S217:T217"/>
    <mergeCell ref="S232:T232"/>
    <mergeCell ref="A233:B233"/>
    <mergeCell ref="S219:T219"/>
    <mergeCell ref="A228:B228"/>
    <mergeCell ref="A229:B229"/>
    <mergeCell ref="A230:B230"/>
    <mergeCell ref="A247:B247"/>
    <mergeCell ref="S233:T233"/>
    <mergeCell ref="A248:B248"/>
    <mergeCell ref="S234:T234"/>
    <mergeCell ref="A243:B243"/>
    <mergeCell ref="S229:T229"/>
    <mergeCell ref="A244:B244"/>
    <mergeCell ref="S230:T230"/>
    <mergeCell ref="A245:B245"/>
    <mergeCell ref="S231:T231"/>
    <mergeCell ref="A240:B240"/>
    <mergeCell ref="A232:B232"/>
    <mergeCell ref="G237:H249"/>
    <mergeCell ref="A249:B249"/>
    <mergeCell ref="A241:B241"/>
    <mergeCell ref="A234:B234"/>
    <mergeCell ref="A246:B246"/>
    <mergeCell ref="A76:B76"/>
    <mergeCell ref="G165:H172"/>
    <mergeCell ref="A83:B83"/>
    <mergeCell ref="E83:F92"/>
    <mergeCell ref="G83:H92"/>
    <mergeCell ref="A84:B84"/>
    <mergeCell ref="A85:B85"/>
    <mergeCell ref="A86:B86"/>
    <mergeCell ref="A87:B87"/>
    <mergeCell ref="A88:B88"/>
    <mergeCell ref="A89:B89"/>
    <mergeCell ref="A90:B90"/>
    <mergeCell ref="A91:B91"/>
    <mergeCell ref="A92:B92"/>
    <mergeCell ref="A131:B131"/>
    <mergeCell ref="C131:D131"/>
    <mergeCell ref="E131:F131"/>
    <mergeCell ref="G131:H131"/>
    <mergeCell ref="A162:B162"/>
    <mergeCell ref="A163:B163"/>
    <mergeCell ref="A165:B165"/>
    <mergeCell ref="A166:B166"/>
    <mergeCell ref="A153:B153"/>
    <mergeCell ref="A156:B156"/>
    <mergeCell ref="A173:H173"/>
    <mergeCell ref="A174:B174"/>
    <mergeCell ref="C166:F167"/>
    <mergeCell ref="A134:A135"/>
    <mergeCell ref="F120:H120"/>
    <mergeCell ref="A116:E116"/>
    <mergeCell ref="F116:H116"/>
    <mergeCell ref="A61:C61"/>
    <mergeCell ref="A62:C62"/>
    <mergeCell ref="D61:H61"/>
    <mergeCell ref="A67:B67"/>
    <mergeCell ref="A82:B82"/>
    <mergeCell ref="E82:F82"/>
    <mergeCell ref="G82:H82"/>
    <mergeCell ref="A64:C64"/>
    <mergeCell ref="D64:H64"/>
    <mergeCell ref="E69:F78"/>
    <mergeCell ref="G69:H78"/>
    <mergeCell ref="A70:B70"/>
    <mergeCell ref="A71:B71"/>
    <mergeCell ref="A72:B72"/>
    <mergeCell ref="A73:B73"/>
    <mergeCell ref="A74:B74"/>
    <mergeCell ref="A75:B75"/>
  </mergeCells>
  <dataValidations count="1">
    <dataValidation type="list" allowBlank="1" showInputMessage="1" showErrorMessage="1" sqref="G259:H259" xr:uid="{00000000-0002-0000-0000-000000000000}">
      <formula1>"Gaurav Panchal,Kunal Kadam,Pranita Mhatre,Shruti Fule,Pooja Kawale,Mansee Mohite,Anjali Kamble, Hitakshi Mhatre, Sachin Sawant"</formula1>
    </dataValidation>
  </dataValidation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scale="99" fitToHeight="0" orientation="portrait" r:id="rId2"/>
  <headerFooter>
    <oddHeader>&amp;C&amp;G</oddHeader>
    <oddFooter>&amp;L&amp;"Times New Roman,Bold"&amp;12Ref No: &amp;F&amp;C&amp;G&amp;R&amp;"Times New Roman,Bold"&amp;12                                                           &amp;P</oddFooter>
  </headerFooter>
  <rowBreaks count="5" manualBreakCount="5">
    <brk id="64" max="9" man="1"/>
    <brk id="255" max="16383" man="1"/>
    <brk id="263" max="9" man="1"/>
    <brk id="306" max="16383" man="1"/>
    <brk id="343"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L36"/>
  <sheetViews>
    <sheetView workbookViewId="0">
      <selection activeCell="L6" sqref="L6"/>
    </sheetView>
  </sheetViews>
  <sheetFormatPr defaultRowHeight="14.4" x14ac:dyDescent="0.3"/>
  <cols>
    <col min="2" max="2" width="12.21875" customWidth="1"/>
  </cols>
  <sheetData>
    <row r="2" spans="1:12" x14ac:dyDescent="0.3">
      <c r="B2" s="3" t="s">
        <v>79</v>
      </c>
      <c r="C2" s="173"/>
      <c r="D2" s="173"/>
    </row>
    <row r="3" spans="1:12" x14ac:dyDescent="0.3">
      <c r="D3" s="4"/>
      <c r="E3" s="4"/>
      <c r="F3" s="4"/>
      <c r="G3" s="4"/>
      <c r="H3" s="4"/>
      <c r="I3" s="4"/>
    </row>
    <row r="4" spans="1:12" x14ac:dyDescent="0.3">
      <c r="A4" s="3" t="s">
        <v>80</v>
      </c>
      <c r="B4" s="5" t="s">
        <v>81</v>
      </c>
      <c r="C4" s="174" t="s">
        <v>82</v>
      </c>
      <c r="D4" s="174"/>
      <c r="E4" s="174"/>
      <c r="F4" s="6"/>
      <c r="G4" s="174" t="s">
        <v>83</v>
      </c>
      <c r="H4" s="174"/>
      <c r="I4" s="174"/>
      <c r="J4" s="174" t="s">
        <v>84</v>
      </c>
      <c r="K4" s="174"/>
      <c r="L4" s="174"/>
    </row>
    <row r="5" spans="1:12" x14ac:dyDescent="0.3">
      <c r="A5" s="3">
        <v>202</v>
      </c>
      <c r="B5" s="5"/>
      <c r="C5" s="5" t="s">
        <v>85</v>
      </c>
      <c r="D5" s="5" t="s">
        <v>86</v>
      </c>
      <c r="E5" s="5" t="s">
        <v>61</v>
      </c>
      <c r="F5" s="5"/>
      <c r="G5" s="5" t="s">
        <v>85</v>
      </c>
      <c r="H5" s="5" t="s">
        <v>86</v>
      </c>
      <c r="I5" s="5" t="s">
        <v>61</v>
      </c>
      <c r="J5" s="5" t="s">
        <v>85</v>
      </c>
      <c r="K5" s="5" t="s">
        <v>86</v>
      </c>
      <c r="L5" s="5" t="s">
        <v>61</v>
      </c>
    </row>
    <row r="6" spans="1:12" x14ac:dyDescent="0.3">
      <c r="B6" s="7" t="s">
        <v>87</v>
      </c>
      <c r="C6" s="7">
        <v>4.5</v>
      </c>
      <c r="D6" s="7">
        <v>2.9</v>
      </c>
      <c r="E6" s="7">
        <f>C6*D6</f>
        <v>13.049999999999999</v>
      </c>
      <c r="F6" s="7" t="s">
        <v>88</v>
      </c>
      <c r="G6" s="7"/>
      <c r="H6" s="7"/>
      <c r="I6" s="7">
        <f>G6*H6</f>
        <v>0</v>
      </c>
      <c r="J6" s="7"/>
      <c r="K6" s="7"/>
      <c r="L6" s="7">
        <f>J6*K6</f>
        <v>0</v>
      </c>
    </row>
    <row r="7" spans="1:12" x14ac:dyDescent="0.3">
      <c r="B7" s="7"/>
      <c r="C7" s="7"/>
      <c r="D7" s="7"/>
      <c r="E7" s="7">
        <f t="shared" ref="E7:E33" si="0">C7*D7</f>
        <v>0</v>
      </c>
      <c r="F7" s="7" t="s">
        <v>89</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90</v>
      </c>
      <c r="C9" s="7">
        <v>1.88</v>
      </c>
      <c r="D9" s="7">
        <v>2.13</v>
      </c>
      <c r="E9" s="7">
        <f t="shared" si="0"/>
        <v>4.0043999999999995</v>
      </c>
      <c r="F9" s="7" t="s">
        <v>88</v>
      </c>
      <c r="G9" s="7"/>
      <c r="H9" s="7"/>
      <c r="I9" s="7">
        <f t="shared" si="1"/>
        <v>0</v>
      </c>
      <c r="J9" s="7"/>
      <c r="K9" s="7"/>
      <c r="L9" s="7">
        <f t="shared" si="2"/>
        <v>0</v>
      </c>
    </row>
    <row r="10" spans="1:12" x14ac:dyDescent="0.3">
      <c r="B10" s="7"/>
      <c r="C10" s="7"/>
      <c r="D10" s="7"/>
      <c r="E10" s="7">
        <f t="shared" si="0"/>
        <v>0</v>
      </c>
      <c r="F10" s="7" t="s">
        <v>89</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91</v>
      </c>
      <c r="C13" s="7"/>
      <c r="D13" s="7"/>
      <c r="E13" s="7">
        <f t="shared" si="0"/>
        <v>0</v>
      </c>
      <c r="F13" s="7" t="s">
        <v>88</v>
      </c>
      <c r="G13" s="7"/>
      <c r="H13" s="7"/>
      <c r="I13" s="7">
        <f t="shared" si="1"/>
        <v>0</v>
      </c>
      <c r="J13" s="7"/>
      <c r="K13" s="7"/>
      <c r="L13" s="7">
        <f t="shared" si="2"/>
        <v>0</v>
      </c>
    </row>
    <row r="14" spans="1:12" x14ac:dyDescent="0.3">
      <c r="B14" s="7"/>
      <c r="C14" s="7"/>
      <c r="D14" s="7"/>
      <c r="E14" s="7">
        <f t="shared" si="0"/>
        <v>0</v>
      </c>
      <c r="F14" s="7" t="s">
        <v>89</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92</v>
      </c>
      <c r="C17" s="7"/>
      <c r="D17" s="7"/>
      <c r="E17" s="7">
        <f t="shared" si="0"/>
        <v>0</v>
      </c>
      <c r="F17" s="7" t="s">
        <v>88</v>
      </c>
      <c r="G17" s="7"/>
      <c r="H17" s="7"/>
      <c r="I17" s="7">
        <f t="shared" si="1"/>
        <v>0</v>
      </c>
      <c r="J17" s="7"/>
      <c r="K17" s="7"/>
      <c r="L17" s="7">
        <f t="shared" si="2"/>
        <v>0</v>
      </c>
    </row>
    <row r="18" spans="2:12" x14ac:dyDescent="0.3">
      <c r="B18" s="7"/>
      <c r="C18" s="7"/>
      <c r="D18" s="7"/>
      <c r="E18" s="7">
        <f t="shared" si="0"/>
        <v>0</v>
      </c>
      <c r="F18" s="7" t="s">
        <v>89</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92</v>
      </c>
      <c r="C20" s="7"/>
      <c r="D20" s="7"/>
      <c r="E20" s="7">
        <f t="shared" si="0"/>
        <v>0</v>
      </c>
      <c r="F20" s="7" t="s">
        <v>88</v>
      </c>
      <c r="G20" s="7"/>
      <c r="H20" s="7"/>
      <c r="I20" s="7">
        <f t="shared" si="1"/>
        <v>0</v>
      </c>
      <c r="J20" s="7"/>
      <c r="K20" s="7"/>
      <c r="L20" s="7">
        <f t="shared" si="2"/>
        <v>0</v>
      </c>
    </row>
    <row r="21" spans="2:12" x14ac:dyDescent="0.3">
      <c r="B21" s="7"/>
      <c r="C21" s="7"/>
      <c r="D21" s="7"/>
      <c r="E21" s="7">
        <f t="shared" si="0"/>
        <v>0</v>
      </c>
      <c r="F21" s="7" t="s">
        <v>89</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93</v>
      </c>
      <c r="C23" s="7">
        <v>1.9</v>
      </c>
      <c r="D23" s="7">
        <v>1.07</v>
      </c>
      <c r="E23" s="7">
        <f t="shared" si="0"/>
        <v>2.0329999999999999</v>
      </c>
      <c r="F23" s="7" t="s">
        <v>94</v>
      </c>
      <c r="G23" s="7"/>
      <c r="H23" s="7"/>
      <c r="I23" s="7">
        <f t="shared" si="1"/>
        <v>0</v>
      </c>
      <c r="J23" s="7"/>
      <c r="K23" s="7"/>
      <c r="L23" s="7">
        <f t="shared" si="2"/>
        <v>0</v>
      </c>
    </row>
    <row r="24" spans="2:12" x14ac:dyDescent="0.3">
      <c r="B24" s="7" t="s">
        <v>95</v>
      </c>
      <c r="C24" s="7"/>
      <c r="D24" s="7"/>
      <c r="E24" s="7">
        <f t="shared" si="0"/>
        <v>0</v>
      </c>
      <c r="F24" s="7" t="s">
        <v>94</v>
      </c>
      <c r="G24" s="7"/>
      <c r="H24" s="7"/>
      <c r="I24" s="7">
        <f t="shared" si="1"/>
        <v>0</v>
      </c>
      <c r="J24" s="7"/>
      <c r="K24" s="7"/>
      <c r="L24" s="7">
        <f t="shared" si="2"/>
        <v>0</v>
      </c>
    </row>
    <row r="25" spans="2:12" x14ac:dyDescent="0.3">
      <c r="B25" s="7" t="s">
        <v>96</v>
      </c>
      <c r="C25" s="7"/>
      <c r="D25" s="7"/>
      <c r="E25" s="7">
        <f t="shared" si="0"/>
        <v>0</v>
      </c>
      <c r="F25" s="7" t="s">
        <v>94</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97</v>
      </c>
      <c r="C27" s="7"/>
      <c r="D27" s="7"/>
      <c r="E27" s="7">
        <f t="shared" si="0"/>
        <v>0</v>
      </c>
      <c r="F27" s="7"/>
      <c r="G27" s="7"/>
      <c r="H27" s="7"/>
      <c r="I27" s="7">
        <f t="shared" si="1"/>
        <v>0</v>
      </c>
      <c r="J27" s="7"/>
      <c r="K27" s="7"/>
      <c r="L27" s="7">
        <f t="shared" si="2"/>
        <v>0</v>
      </c>
    </row>
    <row r="28" spans="2:12" x14ac:dyDescent="0.3">
      <c r="B28" s="7" t="s">
        <v>98</v>
      </c>
      <c r="C28" s="7"/>
      <c r="D28" s="7"/>
      <c r="E28" s="7">
        <f t="shared" si="0"/>
        <v>0</v>
      </c>
      <c r="F28" s="7"/>
      <c r="G28" s="7"/>
      <c r="H28" s="7"/>
      <c r="I28" s="7">
        <f t="shared" si="1"/>
        <v>0</v>
      </c>
      <c r="J28" s="7"/>
      <c r="K28" s="7"/>
      <c r="L28" s="7">
        <f t="shared" si="2"/>
        <v>0</v>
      </c>
    </row>
    <row r="29" spans="2:12" x14ac:dyDescent="0.3">
      <c r="B29" s="7" t="s">
        <v>99</v>
      </c>
      <c r="C29" s="7"/>
      <c r="D29" s="7"/>
      <c r="E29" s="7">
        <f t="shared" si="0"/>
        <v>0</v>
      </c>
      <c r="F29" s="7"/>
      <c r="G29" s="7"/>
      <c r="H29" s="7"/>
      <c r="I29" s="7">
        <f t="shared" si="1"/>
        <v>0</v>
      </c>
      <c r="J29" s="7"/>
      <c r="K29" s="7"/>
      <c r="L29" s="7">
        <f t="shared" si="2"/>
        <v>0</v>
      </c>
    </row>
    <row r="30" spans="2:12" x14ac:dyDescent="0.3">
      <c r="B30" s="7" t="s">
        <v>100</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62</v>
      </c>
      <c r="C34" s="7"/>
      <c r="D34" s="7">
        <f>E34*10.764</f>
        <v>205.45677359999996</v>
      </c>
      <c r="E34" s="7">
        <f>SUM(E6:E33)</f>
        <v>19.087399999999999</v>
      </c>
      <c r="F34" s="7"/>
      <c r="G34" s="7"/>
      <c r="H34" s="7">
        <f>I34*10.764</f>
        <v>0</v>
      </c>
      <c r="I34" s="7">
        <f>SUM(I6:I33)</f>
        <v>0</v>
      </c>
      <c r="J34" s="7"/>
      <c r="K34" s="7">
        <f>L34*10.764</f>
        <v>0</v>
      </c>
      <c r="L34" s="7">
        <f>SUM(L6:L33)</f>
        <v>0</v>
      </c>
    </row>
    <row r="36" spans="2:12" x14ac:dyDescent="0.3">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election activeCell="A11" sqref="A11"/>
    </sheetView>
  </sheetViews>
  <sheetFormatPr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13"/>
  <sheetViews>
    <sheetView zoomScale="115" zoomScaleNormal="115" workbookViewId="0">
      <selection activeCell="C9" sqref="C9"/>
    </sheetView>
  </sheetViews>
  <sheetFormatPr defaultColWidth="8.77734375" defaultRowHeight="14.4" x14ac:dyDescent="0.3"/>
  <cols>
    <col min="1" max="1" width="8.77734375" style="25"/>
    <col min="2" max="2" width="22.21875" style="25" customWidth="1"/>
    <col min="3" max="3" width="37" style="25" customWidth="1"/>
    <col min="4" max="5" width="11.44140625" style="25" customWidth="1"/>
    <col min="6" max="6" width="14" style="25" customWidth="1"/>
    <col min="7" max="7" width="20" style="25" customWidth="1"/>
    <col min="8" max="8" width="16.44140625" style="25" customWidth="1"/>
    <col min="9" max="16384" width="8.77734375" style="25"/>
  </cols>
  <sheetData>
    <row r="1" spans="1:9" ht="15" customHeight="1" x14ac:dyDescent="0.3"/>
    <row r="2" spans="1:9" ht="15" customHeight="1" x14ac:dyDescent="0.3">
      <c r="A2" s="26"/>
      <c r="B2" s="26"/>
      <c r="C2" s="26"/>
      <c r="D2" s="26"/>
      <c r="E2" s="26"/>
      <c r="F2" s="26"/>
      <c r="G2" s="26"/>
      <c r="H2" s="26"/>
    </row>
    <row r="3" spans="1:9" ht="15.75" customHeight="1" x14ac:dyDescent="0.3">
      <c r="A3" s="26"/>
      <c r="B3" s="175" t="s">
        <v>149</v>
      </c>
      <c r="C3" s="175"/>
      <c r="D3" s="175"/>
      <c r="E3" s="175"/>
      <c r="F3" s="175"/>
      <c r="G3" s="175"/>
      <c r="H3" s="175"/>
    </row>
    <row r="4" spans="1:9" x14ac:dyDescent="0.3">
      <c r="A4" s="26"/>
      <c r="B4" s="27" t="s">
        <v>150</v>
      </c>
      <c r="C4" s="27" t="s">
        <v>151</v>
      </c>
      <c r="D4" s="27" t="s">
        <v>80</v>
      </c>
      <c r="E4" s="27" t="s">
        <v>152</v>
      </c>
      <c r="F4" s="27" t="s">
        <v>157</v>
      </c>
      <c r="G4" s="27" t="s">
        <v>158</v>
      </c>
      <c r="H4" s="27" t="s">
        <v>153</v>
      </c>
    </row>
    <row r="5" spans="1:9" ht="15" customHeight="1" x14ac:dyDescent="0.3">
      <c r="A5" s="26"/>
      <c r="B5" s="29" t="s">
        <v>154</v>
      </c>
      <c r="C5" s="46" t="s">
        <v>168</v>
      </c>
      <c r="D5" s="47" t="s">
        <v>189</v>
      </c>
      <c r="E5" s="29">
        <v>587</v>
      </c>
      <c r="F5" s="30">
        <f>E5*1.6</f>
        <v>939.2</v>
      </c>
      <c r="G5" s="30">
        <f>H5/F5</f>
        <v>13522.146507666099</v>
      </c>
      <c r="H5" s="31">
        <v>12700000</v>
      </c>
    </row>
    <row r="6" spans="1:9" x14ac:dyDescent="0.3">
      <c r="A6" s="26"/>
      <c r="B6" s="29" t="s">
        <v>154</v>
      </c>
      <c r="C6" s="46" t="s">
        <v>168</v>
      </c>
      <c r="D6" s="47" t="s">
        <v>189</v>
      </c>
      <c r="E6" s="29">
        <v>588</v>
      </c>
      <c r="F6" s="30">
        <f t="shared" ref="F6:F8" si="0">E6*1.6</f>
        <v>940.80000000000007</v>
      </c>
      <c r="G6" s="30">
        <f t="shared" ref="G6:G8" si="1">H6/F6</f>
        <v>13499.149659863944</v>
      </c>
      <c r="H6" s="31">
        <v>12700000</v>
      </c>
    </row>
    <row r="7" spans="1:9" ht="15" customHeight="1" x14ac:dyDescent="0.3">
      <c r="A7" s="26"/>
      <c r="B7" s="29" t="s">
        <v>154</v>
      </c>
      <c r="C7" s="46" t="s">
        <v>168</v>
      </c>
      <c r="D7" s="47" t="s">
        <v>206</v>
      </c>
      <c r="E7" s="29">
        <v>1012</v>
      </c>
      <c r="F7" s="30">
        <f t="shared" si="0"/>
        <v>1619.2</v>
      </c>
      <c r="G7" s="30">
        <f t="shared" si="1"/>
        <v>13895.750988142292</v>
      </c>
      <c r="H7" s="31">
        <v>22500000</v>
      </c>
    </row>
    <row r="8" spans="1:9" x14ac:dyDescent="0.3">
      <c r="A8" s="26"/>
      <c r="B8" s="29" t="s">
        <v>154</v>
      </c>
      <c r="C8" s="32"/>
      <c r="D8" s="47" t="s">
        <v>189</v>
      </c>
      <c r="E8" s="29">
        <v>659</v>
      </c>
      <c r="F8" s="30">
        <f t="shared" si="0"/>
        <v>1054.4000000000001</v>
      </c>
      <c r="G8" s="30">
        <f t="shared" si="1"/>
        <v>14226.100151745068</v>
      </c>
      <c r="H8" s="31">
        <v>15000000</v>
      </c>
    </row>
    <row r="9" spans="1:9" ht="15" customHeight="1" x14ac:dyDescent="0.3">
      <c r="A9" s="26"/>
      <c r="B9" s="33" t="s">
        <v>155</v>
      </c>
      <c r="C9" s="29"/>
      <c r="D9" s="29"/>
      <c r="E9" s="29"/>
      <c r="F9" s="29"/>
      <c r="G9" s="34">
        <f>AVERAGE(G5:G8)</f>
        <v>13785.78682685435</v>
      </c>
      <c r="H9" s="29"/>
    </row>
    <row r="10" spans="1:9" ht="15" customHeight="1" x14ac:dyDescent="0.3">
      <c r="B10" s="33" t="s">
        <v>156</v>
      </c>
      <c r="C10" s="29"/>
      <c r="D10" s="29"/>
      <c r="E10" s="29"/>
      <c r="F10" s="35"/>
      <c r="G10" s="33">
        <v>13800</v>
      </c>
      <c r="H10" s="33"/>
      <c r="I10" s="28"/>
    </row>
    <row r="11" spans="1:9" ht="15" customHeight="1" x14ac:dyDescent="0.3"/>
    <row r="12" spans="1:9" ht="15" customHeight="1" x14ac:dyDescent="0.3"/>
    <row r="13" spans="1:9" ht="15" customHeight="1" x14ac:dyDescent="0.3"/>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Sheet1</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2025-08-20T12:26:43Z</cp:lastPrinted>
  <dcterms:created xsi:type="dcterms:W3CDTF">2019-07-16T09:29:46Z</dcterms:created>
  <dcterms:modified xsi:type="dcterms:W3CDTF">2025-08-20T12:27:47Z</dcterms:modified>
</cp:coreProperties>
</file>