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Axis Dump\"/>
    </mc:Choice>
  </mc:AlternateContent>
  <xr:revisionPtr revIDLastSave="0" documentId="13_ncr:1_{4EDAB6C6-7CA9-451E-943E-6276681B0851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D178" i="1" l="1"/>
  <c r="D176" i="1"/>
  <c r="D171" i="1"/>
  <c r="D170" i="1"/>
  <c r="D168" i="1"/>
  <c r="D167" i="1"/>
  <c r="D166" i="1"/>
  <c r="D164" i="1"/>
  <c r="D163" i="1"/>
  <c r="D162" i="1"/>
  <c r="D161" i="1"/>
  <c r="D160" i="1"/>
  <c r="D159" i="1"/>
  <c r="D157" i="1"/>
  <c r="D156" i="1"/>
  <c r="D155" i="1"/>
  <c r="D154" i="1"/>
  <c r="D153" i="1"/>
  <c r="D152" i="1"/>
  <c r="L152" i="1"/>
  <c r="D150" i="1"/>
  <c r="D147" i="1"/>
  <c r="D146" i="1"/>
  <c r="D145" i="1"/>
  <c r="D143" i="1"/>
  <c r="D142" i="1"/>
  <c r="D141" i="1"/>
  <c r="D140" i="1"/>
  <c r="D139" i="1"/>
  <c r="D138" i="1"/>
  <c r="D136" i="1"/>
  <c r="D133" i="1"/>
  <c r="D132" i="1"/>
  <c r="D131" i="1"/>
  <c r="D129" i="1"/>
  <c r="D128" i="1"/>
  <c r="D127" i="1"/>
  <c r="D126" i="1"/>
  <c r="D125" i="1"/>
  <c r="D124" i="1"/>
  <c r="D122" i="1"/>
  <c r="D118" i="1"/>
  <c r="D117" i="1"/>
  <c r="K117" i="1"/>
  <c r="C96" i="1" l="1"/>
  <c r="E96" i="1"/>
  <c r="I137" i="1" l="1"/>
  <c r="I123" i="1"/>
  <c r="J117" i="1"/>
  <c r="F176" i="1"/>
  <c r="F178" i="1"/>
  <c r="G173" i="1"/>
  <c r="F170" i="1"/>
  <c r="F171" i="1"/>
  <c r="F168" i="1"/>
  <c r="F167" i="1"/>
  <c r="G166" i="1"/>
  <c r="F166" i="1"/>
  <c r="F164" i="1"/>
  <c r="F163" i="1"/>
  <c r="F162" i="1"/>
  <c r="F161" i="1"/>
  <c r="F160" i="1"/>
  <c r="G159" i="1"/>
  <c r="F159" i="1"/>
  <c r="F154" i="1"/>
  <c r="F157" i="1"/>
  <c r="F156" i="1"/>
  <c r="F155" i="1"/>
  <c r="F153" i="1"/>
  <c r="G152" i="1"/>
  <c r="F152" i="1"/>
  <c r="J126" i="1"/>
  <c r="J125" i="1"/>
  <c r="D112" i="1"/>
  <c r="D111" i="1"/>
  <c r="D110" i="1"/>
  <c r="D109" i="1"/>
  <c r="D108" i="1"/>
  <c r="F108" i="1" s="1"/>
  <c r="D107" i="1"/>
  <c r="D106" i="1"/>
  <c r="D105" i="1"/>
  <c r="D104" i="1"/>
  <c r="E40" i="1"/>
  <c r="P159" i="1"/>
  <c r="O173" i="1"/>
  <c r="O166" i="1"/>
  <c r="P173" i="1"/>
  <c r="P152" i="1"/>
  <c r="O159" i="1"/>
  <c r="P166" i="1"/>
  <c r="O152" i="1"/>
  <c r="P174" i="1" l="1"/>
  <c r="P175" i="1" s="1"/>
  <c r="P176" i="1" s="1"/>
  <c r="P177" i="1" s="1"/>
  <c r="P178" i="1" s="1"/>
  <c r="N173" i="1"/>
  <c r="O174" i="1"/>
  <c r="O167" i="1"/>
  <c r="N166" i="1"/>
  <c r="P167" i="1"/>
  <c r="P168" i="1" s="1"/>
  <c r="P169" i="1" s="1"/>
  <c r="P170" i="1" s="1"/>
  <c r="P171" i="1" s="1"/>
  <c r="N159" i="1"/>
  <c r="O160" i="1"/>
  <c r="P160" i="1"/>
  <c r="P161" i="1" s="1"/>
  <c r="P162" i="1" s="1"/>
  <c r="P163" i="1" s="1"/>
  <c r="P164" i="1" s="1"/>
  <c r="N152" i="1"/>
  <c r="O153" i="1"/>
  <c r="P153" i="1"/>
  <c r="P154" i="1" s="1"/>
  <c r="P155" i="1" s="1"/>
  <c r="P156" i="1" s="1"/>
  <c r="P157" i="1" s="1"/>
  <c r="E3" i="1"/>
  <c r="F150" i="1"/>
  <c r="F146" i="1"/>
  <c r="F143" i="1"/>
  <c r="F142" i="1"/>
  <c r="F141" i="1"/>
  <c r="F140" i="1"/>
  <c r="F139" i="1"/>
  <c r="F136" i="1"/>
  <c r="F133" i="1"/>
  <c r="F132" i="1"/>
  <c r="F138" i="1"/>
  <c r="F131" i="1"/>
  <c r="F145" i="1"/>
  <c r="G131" i="1"/>
  <c r="F147" i="1"/>
  <c r="G145" i="1"/>
  <c r="G138" i="1"/>
  <c r="F112" i="1"/>
  <c r="F111" i="1"/>
  <c r="D103" i="1"/>
  <c r="P145" i="1"/>
  <c r="O138" i="1"/>
  <c r="P138" i="1"/>
  <c r="P131" i="1"/>
  <c r="O145" i="1"/>
  <c r="O131" i="1"/>
  <c r="C93" i="1" l="1"/>
  <c r="E93" i="1"/>
  <c r="N174" i="1"/>
  <c r="O175" i="1"/>
  <c r="N167" i="1"/>
  <c r="O168" i="1"/>
  <c r="O161" i="1"/>
  <c r="N160" i="1"/>
  <c r="O154" i="1"/>
  <c r="N153" i="1"/>
  <c r="P132" i="1"/>
  <c r="P133" i="1" s="1"/>
  <c r="P134" i="1" s="1"/>
  <c r="P135" i="1" s="1"/>
  <c r="P136" i="1" s="1"/>
  <c r="O132" i="1"/>
  <c r="N131" i="1"/>
  <c r="P146" i="1"/>
  <c r="P147" i="1" s="1"/>
  <c r="P148" i="1" s="1"/>
  <c r="P149" i="1" s="1"/>
  <c r="P150" i="1" s="1"/>
  <c r="O146" i="1"/>
  <c r="N145" i="1"/>
  <c r="P139" i="1"/>
  <c r="P140" i="1" s="1"/>
  <c r="P141" i="1" s="1"/>
  <c r="P142" i="1" s="1"/>
  <c r="P143" i="1" s="1"/>
  <c r="O139" i="1"/>
  <c r="N138" i="1"/>
  <c r="F125" i="1"/>
  <c r="F126" i="1"/>
  <c r="F127" i="1"/>
  <c r="J127" i="1" s="1"/>
  <c r="F128" i="1"/>
  <c r="F129" i="1"/>
  <c r="F124" i="1"/>
  <c r="F118" i="1"/>
  <c r="F122" i="1"/>
  <c r="F117" i="1"/>
  <c r="G96" i="1" l="1"/>
  <c r="O176" i="1"/>
  <c r="N175" i="1"/>
  <c r="O169" i="1"/>
  <c r="N168" i="1"/>
  <c r="N161" i="1"/>
  <c r="O162" i="1"/>
  <c r="N154" i="1"/>
  <c r="O155" i="1"/>
  <c r="C97" i="1"/>
  <c r="E97" i="1"/>
  <c r="O133" i="1"/>
  <c r="N132" i="1"/>
  <c r="O147" i="1"/>
  <c r="N146" i="1"/>
  <c r="O140" i="1"/>
  <c r="N139" i="1"/>
  <c r="B182" i="1"/>
  <c r="B181" i="1"/>
  <c r="N176" i="1" l="1"/>
  <c r="O177" i="1"/>
  <c r="N169" i="1"/>
  <c r="O170" i="1"/>
  <c r="O163" i="1"/>
  <c r="N162" i="1"/>
  <c r="N155" i="1"/>
  <c r="O156" i="1"/>
  <c r="O134" i="1"/>
  <c r="N133" i="1"/>
  <c r="O148" i="1"/>
  <c r="N147" i="1"/>
  <c r="O141" i="1"/>
  <c r="N140" i="1"/>
  <c r="F104" i="1"/>
  <c r="F105" i="1"/>
  <c r="F106" i="1"/>
  <c r="F107" i="1"/>
  <c r="F109" i="1"/>
  <c r="F110" i="1"/>
  <c r="F103" i="1"/>
  <c r="O124" i="1"/>
  <c r="G93" i="1" l="1"/>
  <c r="G97" i="1" s="1"/>
  <c r="O178" i="1"/>
  <c r="N178" i="1" s="1"/>
  <c r="N177" i="1"/>
  <c r="O171" i="1"/>
  <c r="N171" i="1" s="1"/>
  <c r="N170" i="1"/>
  <c r="O164" i="1"/>
  <c r="N164" i="1" s="1"/>
  <c r="N163" i="1"/>
  <c r="O157" i="1"/>
  <c r="N157" i="1" s="1"/>
  <c r="N156" i="1"/>
  <c r="O135" i="1"/>
  <c r="N134" i="1"/>
  <c r="O149" i="1"/>
  <c r="N148" i="1"/>
  <c r="O142" i="1"/>
  <c r="N141" i="1"/>
  <c r="E28" i="1"/>
  <c r="O136" i="1" l="1"/>
  <c r="N136" i="1" s="1"/>
  <c r="N135" i="1"/>
  <c r="O150" i="1"/>
  <c r="N150" i="1" s="1"/>
  <c r="N149" i="1"/>
  <c r="O143" i="1"/>
  <c r="N143" i="1" s="1"/>
  <c r="N142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4" i="1"/>
  <c r="A181" i="1"/>
  <c r="G124" i="1"/>
  <c r="G117" i="1"/>
  <c r="A104" i="1"/>
  <c r="A105" i="1" s="1"/>
  <c r="A106" i="1" s="1"/>
  <c r="A107" i="1" s="1"/>
  <c r="A108" i="1" s="1"/>
  <c r="A109" i="1" s="1"/>
  <c r="A110" i="1" s="1"/>
  <c r="A111" i="1" s="1"/>
  <c r="A112" i="1" s="1"/>
  <c r="G103" i="1"/>
  <c r="F90" i="1"/>
  <c r="J74" i="1"/>
  <c r="J73" i="1"/>
  <c r="J72" i="1"/>
  <c r="J71" i="1"/>
  <c r="C63" i="1"/>
  <c r="D57" i="1"/>
  <c r="D52" i="1"/>
  <c r="G47" i="1"/>
  <c r="C47" i="1"/>
  <c r="E41" i="1"/>
  <c r="E42" i="1" s="1"/>
  <c r="E25" i="1"/>
  <c r="E23" i="1"/>
  <c r="E7" i="1"/>
  <c r="P124" i="1"/>
  <c r="H64" i="1"/>
  <c r="A182" i="1" l="1"/>
  <c r="A183" i="1" s="1"/>
  <c r="A184" i="1" s="1"/>
  <c r="A185" i="1" s="1"/>
  <c r="J67" i="1"/>
  <c r="D76" i="1"/>
  <c r="D74" i="1"/>
  <c r="D72" i="1"/>
  <c r="D70" i="1"/>
  <c r="J68" i="1"/>
  <c r="C67" i="1" s="1"/>
  <c r="D67" i="1" s="1"/>
  <c r="J66" i="1"/>
  <c r="J69" i="1"/>
  <c r="J70" i="1" s="1"/>
  <c r="J75" i="1" s="1"/>
  <c r="J76" i="1" s="1"/>
  <c r="C68" i="1" s="1"/>
  <c r="D75" i="1"/>
  <c r="D71" i="1"/>
  <c r="D73" i="1"/>
  <c r="D69" i="1"/>
  <c r="N124" i="1"/>
  <c r="O125" i="1"/>
  <c r="P125" i="1"/>
  <c r="P126" i="1" s="1"/>
  <c r="P127" i="1" s="1"/>
  <c r="P128" i="1" s="1"/>
  <c r="P129" i="1" s="1"/>
  <c r="A186" i="1" l="1"/>
  <c r="A187" i="1" s="1"/>
  <c r="A188" i="1" s="1"/>
  <c r="A189" i="1" s="1"/>
  <c r="A190" i="1" s="1"/>
  <c r="A191" i="1" s="1"/>
  <c r="E67" i="1"/>
  <c r="I63" i="1" s="1"/>
  <c r="C65" i="1" s="1"/>
  <c r="D68" i="1"/>
  <c r="N125" i="1"/>
  <c r="O126" i="1"/>
  <c r="G67" i="1"/>
  <c r="D61" i="1" s="1"/>
  <c r="F62" i="1" l="1"/>
  <c r="D62" i="1"/>
  <c r="N126" i="1"/>
  <c r="O127" i="1"/>
  <c r="N127" i="1" l="1"/>
  <c r="O128" i="1"/>
  <c r="N128" i="1" l="1"/>
  <c r="O129" i="1"/>
  <c r="N129" i="1" s="1"/>
</calcChain>
</file>

<file path=xl/sharedStrings.xml><?xml version="1.0" encoding="utf-8"?>
<sst xmlns="http://schemas.openxmlformats.org/spreadsheetml/2006/main" count="325" uniqueCount="232">
  <si>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</si>
  <si>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</si>
  <si>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</si>
  <si>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</si>
  <si>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</si>
  <si>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</si>
  <si>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</si>
  <si>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</si>
  <si>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</si>
  <si>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</si>
  <si>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</si>
  <si>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</si>
  <si>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</si>
  <si>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</si>
  <si>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</si>
  <si>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</si>
  <si>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</si>
  <si>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</si>
  <si>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</si>
  <si>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</si>
  <si>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</si>
  <si>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</si>
  <si>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</si>
  <si>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</si>
  <si>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</si>
  <si>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</si>
  <si>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</si>
  <si>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</si>
  <si>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</si>
  <si>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</si>
  <si>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</si>
  <si>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</si>
  <si>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</si>
  <si>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</si>
  <si>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</si>
  <si>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</si>
  <si>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</si>
  <si>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</si>
  <si>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</si>
  <si>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</si>
  <si>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</si>
  <si>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</si>
  <si>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</si>
  <si>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</si>
  <si>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</si>
  <si>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</si>
  <si>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</si>
  <si>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</si>
  <si>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</si>
  <si>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</si>
  <si>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</si>
  <si>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</si>
  <si>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</si>
  <si>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</si>
  <si>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</si>
  <si>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</si>
  <si>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</si>
  <si>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</si>
  <si>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</si>
  <si>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</si>
  <si>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</si>
  <si>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</si>
  <si>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</si>
  <si>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</si>
  <si>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</si>
  <si>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</si>
  <si>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</si>
  <si>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</si>
  <si>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</si>
  <si>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</si>
  <si>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</si>
  <si>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</si>
  <si>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</si>
  <si>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</si>
  <si>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</si>
  <si>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</si>
  <si>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</si>
  <si>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</si>
  <si>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</si>
  <si>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</si>
  <si>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</si>
  <si>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</si>
  <si>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</si>
  <si>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</si>
  <si>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</si>
  <si>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</si>
  <si>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</si>
  <si>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</si>
  <si>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</si>
  <si>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</si>
  <si>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</si>
  <si>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</si>
  <si>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</si>
  <si>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</si>
  <si>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</si>
  <si>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</si>
  <si>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</si>
  <si>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</si>
  <si>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</si>
  <si>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</si>
  <si>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</si>
  <si>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</si>
  <si>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</si>
  <si>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</si>
  <si>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</si>
  <si>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</si>
  <si>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</si>
  <si>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</si>
  <si>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</si>
  <si>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</si>
  <si>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</si>
  <si>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</si>
  <si>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</si>
  <si>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</si>
  <si>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</si>
  <si>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</si>
  <si>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</si>
  <si>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</si>
  <si>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</si>
  <si>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</si>
  <si>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</si>
  <si>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</si>
  <si>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</si>
  <si>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</si>
  <si>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</si>
  <si>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</si>
  <si>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</si>
  <si>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</si>
  <si>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</si>
  <si>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</si>
  <si>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</si>
  <si>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</si>
  <si>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</si>
  <si>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</si>
  <si>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</si>
  <si>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</si>
  <si>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</si>
  <si>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</si>
  <si>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</si>
  <si>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</si>
  <si>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</si>
  <si>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</si>
  <si>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</si>
  <si>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</si>
  <si>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</si>
  <si>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</si>
  <si>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</si>
  <si>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</si>
  <si>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</si>
  <si>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</si>
  <si>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</si>
  <si>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</si>
  <si>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</si>
  <si>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</si>
  <si>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</si>
  <si>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</si>
  <si>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</si>
  <si>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</si>
  <si>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</si>
  <si>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</si>
  <si>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</si>
  <si>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</si>
  <si>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</si>
  <si>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</si>
  <si>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Axis Sanpada</t>
  </si>
  <si>
    <t xml:space="preserve">P51800024049
</t>
  </si>
  <si>
    <t>Hariyali</t>
  </si>
  <si>
    <t>Kurla</t>
  </si>
  <si>
    <t>Mumbai</t>
  </si>
  <si>
    <t>Proposed redevelopment of existing building no.13, known as Tagore Nagar Pushpanjali Co-op HSG. Soc. Bearing CTS no.352 (pt) at village-Hariyali, Tagore Nagar, Mumbai - 400083.</t>
  </si>
  <si>
    <t>CTS No</t>
  </si>
  <si>
    <t>Dattaram Hari Rane Road</t>
  </si>
  <si>
    <t>Neel Kamal Apartments</t>
  </si>
  <si>
    <t>Rohini Niwas CHSL</t>
  </si>
  <si>
    <t>Building No.12</t>
  </si>
  <si>
    <t>Shop</t>
  </si>
  <si>
    <t>1BHK</t>
  </si>
  <si>
    <t>2BHK</t>
  </si>
  <si>
    <t>3BHK</t>
  </si>
  <si>
    <t>Fitness Center</t>
  </si>
  <si>
    <t>14th Floor (Part Refuge Area)</t>
  </si>
  <si>
    <t>Refuge Area</t>
  </si>
  <si>
    <t>7th Floor (Part Refuge Area)</t>
  </si>
  <si>
    <t>2nd to 6th, 8th &amp; 9th Floor</t>
  </si>
  <si>
    <t>Shops</t>
  </si>
  <si>
    <t>Flats</t>
  </si>
  <si>
    <t>Approved Plans, CC, Sale Plans, Cost Sheet</t>
  </si>
  <si>
    <t>Vikroli East</t>
  </si>
  <si>
    <t>352(pt), Existing Building Name.Building no.13, known as Tagore Nagar Pushpanjali Co-op HSG. Soc.</t>
  </si>
  <si>
    <t>Pushpanjali Residency</t>
  </si>
  <si>
    <t>Mr. Rahul - 9892955555</t>
  </si>
  <si>
    <t>M/s. Shree Dham Developers</t>
  </si>
  <si>
    <t>We considered Gross carpet area = Net carpet.</t>
  </si>
  <si>
    <t xml:space="preserve"> </t>
  </si>
  <si>
    <t>6,00,000/-</t>
  </si>
  <si>
    <t>Site Meet Person Details ( Name &amp; Contact No.)</t>
  </si>
  <si>
    <t>Location Link</t>
  </si>
  <si>
    <t>Latitude, Longitude</t>
  </si>
  <si>
    <t>Vitrified tiles flooring, Kitchen Platform, Decorative Entrance, etc.</t>
  </si>
  <si>
    <t>Building No.13</t>
  </si>
  <si>
    <t>Building No.13 = G + 1st to 22nd Floor</t>
  </si>
  <si>
    <t>Valid Upto Dated</t>
  </si>
  <si>
    <t>Commencement Certificate No.
Valid Upto</t>
  </si>
  <si>
    <t>Grand Total</t>
  </si>
  <si>
    <t>MH/EE/(BP)/GM/MHADA-8/0309/
2024/FCC/3/Amend</t>
  </si>
  <si>
    <t>This C.C. is further extended upto top of 19th floor i.e. building comprising of Ground (pt.) for Shops + 1st to 19th
upper floors along with parking tower as per approved amended plan dtd. 06.02.2024.</t>
  </si>
  <si>
    <t>We have updated revised CC from Mhada site(on 18/05/2024).</t>
  </si>
  <si>
    <t>Mhada-8/309/2024</t>
  </si>
  <si>
    <t>Ground Floor for Commercial, Meter Room, Society Office, Entrance Lobby  &amp; Parking Tower</t>
  </si>
  <si>
    <t>1st Floor for Residential &amp; Fitness Centre</t>
  </si>
  <si>
    <t>18th &amp; 19th Floor</t>
  </si>
  <si>
    <t>20th Floor</t>
  </si>
  <si>
    <t>21st Floor (Part Refuge Area)</t>
  </si>
  <si>
    <t>10th to 13th, 15th, 16th &amp; 17th Floor</t>
  </si>
  <si>
    <t>22nd Floor (Part Terrace Area)</t>
  </si>
  <si>
    <t>Terrace Area</t>
  </si>
  <si>
    <t>We have updated revised approved plans from Mhada site(on 27/05/2024).</t>
  </si>
  <si>
    <t>Flats - 120, Shops -10</t>
  </si>
  <si>
    <t>Other Plot</t>
  </si>
  <si>
    <t>Layout :</t>
  </si>
  <si>
    <t>19.113675,72.932521</t>
  </si>
  <si>
    <t>https://maps.app.goo.gl/gFR8UreK7NtfzZUL6</t>
  </si>
  <si>
    <t>900M from Vikroli  Railway Station</t>
  </si>
  <si>
    <t>As the project is redevelopement project but rehab statement or rehab flats is not mentioned approved layout plan &amp; floor plan.</t>
  </si>
  <si>
    <t>Construction work is in process at the time of Visit. Internal photographs was not allowed.</t>
  </si>
  <si>
    <t>Office No. 1031, Wing J, Akshar Business Park, Plot No. 03 Sector 25, Near APMC Market,
Vashi, Navi Mumbai, Maharashtra 400703 TEL: 022-46090378/79/8
E mail : vsjcapf@gmail.com. Web site : www.vsjadon.com</t>
  </si>
  <si>
    <t>Mr Abhijeet kedare : 9606738137</t>
  </si>
  <si>
    <t>As per RERA - 31/12/2025</t>
  </si>
  <si>
    <t>Validity of CC is expired on 22/12/2024.</t>
  </si>
  <si>
    <t>Please provide revised approved CC, As the construction work  goes beyond the CC permission.</t>
  </si>
  <si>
    <t>Kunal Kadam</t>
  </si>
  <si>
    <t>Akash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</si>
</sst>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Protection="1">
      <protection hidden="1"/>
    </xf>
    <xf numFmtId="0" fontId="7" fillId="0" borderId="8" xfId="1" applyFont="1" applyBorder="1" applyProtection="1">
      <protection hidden="1"/>
    </xf>
    <xf numFmtId="0" fontId="7" fillId="0" borderId="8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1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Protection="1">
      <protection hidden="1"/>
    </xf>
    <xf numFmtId="0" fontId="22" fillId="0" borderId="0" xfId="1" applyFont="1"/>
    <xf numFmtId="0" fontId="7" fillId="0" borderId="1" xfId="1" applyFont="1" applyBorder="1" applyAlignment="1" applyProtection="1">
      <alignment horizontal="center" vertical="top"/>
      <protection locked="0"/>
    </xf>
    <xf numFmtId="0" fontId="16" fillId="0" borderId="0" xfId="0" applyFont="1" applyProtection="1">
      <protection hidden="1"/>
    </xf>
    <xf numFmtId="0" fontId="7" fillId="0" borderId="1" xfId="1" applyFont="1" applyBorder="1" applyAlignment="1" applyProtection="1">
      <alignment horizontal="center" wrapText="1"/>
      <protection locked="0"/>
    </xf>
    <xf numFmtId="0" fontId="16" fillId="0" borderId="8" xfId="0" applyFont="1" applyBorder="1" applyProtection="1">
      <protection hidden="1"/>
    </xf>
    <xf numFmtId="1" fontId="7" fillId="0" borderId="1" xfId="1" applyNumberFormat="1" applyFont="1" applyBorder="1" applyAlignment="1" applyProtection="1">
      <alignment horizontal="center" wrapText="1"/>
      <protection locked="0"/>
    </xf>
    <xf numFmtId="1" fontId="23" fillId="0" borderId="8" xfId="0" applyNumberFormat="1" applyFont="1" applyBorder="1"/>
    <xf numFmtId="1" fontId="23" fillId="0" borderId="8" xfId="0" applyNumberFormat="1" applyFont="1" applyBorder="1" applyAlignment="1">
      <alignment horizontal="right"/>
    </xf>
    <xf numFmtId="0" fontId="16" fillId="0" borderId="9" xfId="0" applyFont="1" applyBorder="1" applyProtection="1">
      <protection hidden="1"/>
    </xf>
    <xf numFmtId="1" fontId="23" fillId="0" borderId="10" xfId="0" applyNumberFormat="1" applyFont="1" applyBorder="1"/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6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6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4" xfId="1" applyFont="1" applyFill="1" applyBorder="1" applyAlignment="1" applyProtection="1">
      <alignment horizontal="left" vertical="top" wrapText="1"/>
      <protection locked="0"/>
    </xf>
    <xf numFmtId="0" fontId="12" fillId="2" borderId="16" xfId="1" applyFont="1" applyFill="1" applyBorder="1" applyAlignment="1" applyProtection="1">
      <alignment horizontal="left" vertical="top" wrapText="1"/>
      <protection locked="0"/>
    </xf>
    <xf numFmtId="14" fontId="12" fillId="2" borderId="4" xfId="1" applyNumberFormat="1" applyFont="1" applyFill="1" applyBorder="1" applyAlignment="1" applyProtection="1">
      <alignment horizontal="left" vertical="top" wrapText="1"/>
      <protection locked="0"/>
    </xf>
    <xf numFmtId="0" fontId="12" fillId="2" borderId="5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10" fillId="0" borderId="21" xfId="0" applyNumberFormat="1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248</xdr:row>
      <xdr:rowOff>28576</xdr:rowOff>
    </xdr:from>
    <xdr:to>
      <xdr:col>7</xdr:col>
      <xdr:colOff>285750</xdr:colOff>
      <xdr:row>281</xdr:row>
      <xdr:rowOff>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85750" y="51996976"/>
          <a:ext cx="5882640" cy="6509385"/>
          <a:chOff x="361951" y="274864"/>
          <a:chExt cx="5892800" cy="7571015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1436007" y="3027136"/>
            <a:ext cx="3744687" cy="58928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 rot="16200000">
            <a:off x="1486807" y="-385534"/>
            <a:ext cx="3643086" cy="4963882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523875</xdr:colOff>
      <xdr:row>286</xdr:row>
      <xdr:rowOff>19051</xdr:rowOff>
    </xdr:from>
    <xdr:to>
      <xdr:col>7</xdr:col>
      <xdr:colOff>0</xdr:colOff>
      <xdr:row>320</xdr:row>
      <xdr:rowOff>190501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523875" y="59516011"/>
          <a:ext cx="5358765" cy="6907530"/>
          <a:chOff x="514350" y="171451"/>
          <a:chExt cx="5400000" cy="7742233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874350" y="171451"/>
            <a:ext cx="4680000" cy="36889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514350" y="4038601"/>
            <a:ext cx="5400000" cy="3875083"/>
            <a:chOff x="514350" y="4038601"/>
            <a:chExt cx="5400000" cy="3875083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514350" y="4038601"/>
              <a:ext cx="5400000" cy="387508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2667000" y="5086350"/>
              <a:ext cx="1143000" cy="1257300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>
    <xdr:from>
      <xdr:col>8</xdr:col>
      <xdr:colOff>772160</xdr:colOff>
      <xdr:row>202</xdr:row>
      <xdr:rowOff>107950</xdr:rowOff>
    </xdr:from>
    <xdr:to>
      <xdr:col>20</xdr:col>
      <xdr:colOff>25597</xdr:colOff>
      <xdr:row>234</xdr:row>
      <xdr:rowOff>49560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233920" y="42970450"/>
          <a:ext cx="6019997" cy="6273830"/>
          <a:chOff x="215900" y="42754550"/>
          <a:chExt cx="6112707" cy="6234460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3607" y="46829010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4626" y="46829010"/>
            <a:ext cx="1215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49325" y="42754550"/>
            <a:ext cx="2979282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900" y="42754550"/>
            <a:ext cx="2979282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5582" y="4682901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6538" y="4682901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457200</xdr:colOff>
      <xdr:row>204</xdr:row>
      <xdr:rowOff>152400</xdr:rowOff>
    </xdr:from>
    <xdr:to>
      <xdr:col>7</xdr:col>
      <xdr:colOff>106680</xdr:colOff>
      <xdr:row>244</xdr:row>
      <xdr:rowOff>160020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AE9ECF4-47DD-0F48-1DFF-0D8993582030}"/>
            </a:ext>
          </a:extLst>
        </xdr:cNvPr>
        <xdr:cNvGrpSpPr/>
      </xdr:nvGrpSpPr>
      <xdr:grpSpPr>
        <a:xfrm>
          <a:off x="457200" y="43411140"/>
          <a:ext cx="5532120" cy="7924800"/>
          <a:chOff x="424587" y="135384"/>
          <a:chExt cx="5934960" cy="846121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A1CA9A2-3C41-125C-01B8-CDE72540F5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9547" y="135384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DC541D6-D257-E2B9-3C39-0958FAC8A5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9547" y="4125989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AB7E790-E106-F1E1-B9D4-F18A635DA8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4587" y="6796594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A194E87-C295-88A2-7D91-1B81451A6B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14587" y="4125989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AEEE27F-ABC0-BD29-E75B-F7D3130233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9547" y="6796594"/>
            <a:ext cx="2400001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21226A80-D79D-D70D-732F-A0847FAA36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4587" y="135384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gFR8UreK7NtfzZUL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85"/>
  <sheetViews>
    <sheetView tabSelected="1" showWhiteSpace="0" view="pageBreakPreview" zoomScaleNormal="100" zoomScaleSheetLayoutView="100" zoomScalePageLayoutView="85" workbookViewId="0">
      <selection activeCell="J7" sqref="J7"/>
    </sheetView>
  </sheetViews>
  <sheetFormatPr defaultColWidth="9.21875" defaultRowHeight="15.6" x14ac:dyDescent="0.3"/>
  <cols>
    <col min="1" max="1" width="11.44140625" style="11" customWidth="1"/>
    <col min="2" max="2" width="12" style="11" customWidth="1"/>
    <col min="3" max="3" width="12.77734375" style="11" customWidth="1"/>
    <col min="4" max="4" width="14.21875" style="11" customWidth="1"/>
    <col min="5" max="7" width="11.77734375" style="11" customWidth="1"/>
    <col min="8" max="8" width="8.44140625" style="11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1.77734375" style="3" customWidth="1"/>
    <col min="14" max="14" width="12.5546875" style="3" hidden="1" customWidth="1"/>
    <col min="15" max="15" width="9.77734375" style="3" hidden="1" customWidth="1"/>
    <col min="16" max="16" width="11.77734375" style="3" hidden="1" customWidth="1"/>
    <col min="17" max="247" width="9.21875" style="3"/>
    <col min="248" max="248" width="8.77734375" style="3" customWidth="1"/>
    <col min="249" max="249" width="9.77734375" style="3" customWidth="1"/>
    <col min="250" max="250" width="14.44140625" style="3" customWidth="1"/>
    <col min="251" max="251" width="7.21875" style="3" customWidth="1"/>
    <col min="252" max="252" width="5.5546875" style="3" customWidth="1"/>
    <col min="253" max="253" width="9" style="3" customWidth="1"/>
    <col min="254" max="255" width="9.77734375" style="3" customWidth="1"/>
    <col min="256" max="256" width="11.21875" style="3" customWidth="1"/>
    <col min="257" max="257" width="2.77734375" style="3" customWidth="1"/>
    <col min="258" max="258" width="3.5546875" style="3" customWidth="1"/>
    <col min="259" max="503" width="9.21875" style="3"/>
    <col min="504" max="504" width="8.77734375" style="3" customWidth="1"/>
    <col min="505" max="505" width="9.77734375" style="3" customWidth="1"/>
    <col min="506" max="506" width="14.44140625" style="3" customWidth="1"/>
    <col min="507" max="507" width="7.21875" style="3" customWidth="1"/>
    <col min="508" max="508" width="5.5546875" style="3" customWidth="1"/>
    <col min="509" max="509" width="9" style="3" customWidth="1"/>
    <col min="510" max="511" width="9.77734375" style="3" customWidth="1"/>
    <col min="512" max="512" width="11.21875" style="3" customWidth="1"/>
    <col min="513" max="513" width="2.77734375" style="3" customWidth="1"/>
    <col min="514" max="514" width="3.5546875" style="3" customWidth="1"/>
    <col min="515" max="759" width="9.21875" style="3"/>
    <col min="760" max="760" width="8.77734375" style="3" customWidth="1"/>
    <col min="761" max="761" width="9.77734375" style="3" customWidth="1"/>
    <col min="762" max="762" width="14.44140625" style="3" customWidth="1"/>
    <col min="763" max="763" width="7.21875" style="3" customWidth="1"/>
    <col min="764" max="764" width="5.5546875" style="3" customWidth="1"/>
    <col min="765" max="765" width="9" style="3" customWidth="1"/>
    <col min="766" max="767" width="9.77734375" style="3" customWidth="1"/>
    <col min="768" max="768" width="11.21875" style="3" customWidth="1"/>
    <col min="769" max="769" width="2.77734375" style="3" customWidth="1"/>
    <col min="770" max="770" width="3.5546875" style="3" customWidth="1"/>
    <col min="771" max="1015" width="9.21875" style="3"/>
    <col min="1016" max="1016" width="8.77734375" style="3" customWidth="1"/>
    <col min="1017" max="1017" width="9.77734375" style="3" customWidth="1"/>
    <col min="1018" max="1018" width="14.44140625" style="3" customWidth="1"/>
    <col min="1019" max="1019" width="7.21875" style="3" customWidth="1"/>
    <col min="1020" max="1020" width="5.5546875" style="3" customWidth="1"/>
    <col min="1021" max="1021" width="9" style="3" customWidth="1"/>
    <col min="1022" max="1023" width="9.77734375" style="3" customWidth="1"/>
    <col min="1024" max="1024" width="11.21875" style="3" customWidth="1"/>
    <col min="1025" max="1025" width="2.77734375" style="3" customWidth="1"/>
    <col min="1026" max="1026" width="3.5546875" style="3" customWidth="1"/>
    <col min="1027" max="1271" width="9.21875" style="3"/>
    <col min="1272" max="1272" width="8.77734375" style="3" customWidth="1"/>
    <col min="1273" max="1273" width="9.77734375" style="3" customWidth="1"/>
    <col min="1274" max="1274" width="14.44140625" style="3" customWidth="1"/>
    <col min="1275" max="1275" width="7.21875" style="3" customWidth="1"/>
    <col min="1276" max="1276" width="5.5546875" style="3" customWidth="1"/>
    <col min="1277" max="1277" width="9" style="3" customWidth="1"/>
    <col min="1278" max="1279" width="9.77734375" style="3" customWidth="1"/>
    <col min="1280" max="1280" width="11.21875" style="3" customWidth="1"/>
    <col min="1281" max="1281" width="2.77734375" style="3" customWidth="1"/>
    <col min="1282" max="1282" width="3.5546875" style="3" customWidth="1"/>
    <col min="1283" max="1527" width="9.21875" style="3"/>
    <col min="1528" max="1528" width="8.77734375" style="3" customWidth="1"/>
    <col min="1529" max="1529" width="9.77734375" style="3" customWidth="1"/>
    <col min="1530" max="1530" width="14.44140625" style="3" customWidth="1"/>
    <col min="1531" max="1531" width="7.21875" style="3" customWidth="1"/>
    <col min="1532" max="1532" width="5.5546875" style="3" customWidth="1"/>
    <col min="1533" max="1533" width="9" style="3" customWidth="1"/>
    <col min="1534" max="1535" width="9.77734375" style="3" customWidth="1"/>
    <col min="1536" max="1536" width="11.21875" style="3" customWidth="1"/>
    <col min="1537" max="1537" width="2.77734375" style="3" customWidth="1"/>
    <col min="1538" max="1538" width="3.5546875" style="3" customWidth="1"/>
    <col min="1539" max="1783" width="9.21875" style="3"/>
    <col min="1784" max="1784" width="8.77734375" style="3" customWidth="1"/>
    <col min="1785" max="1785" width="9.77734375" style="3" customWidth="1"/>
    <col min="1786" max="1786" width="14.44140625" style="3" customWidth="1"/>
    <col min="1787" max="1787" width="7.21875" style="3" customWidth="1"/>
    <col min="1788" max="1788" width="5.5546875" style="3" customWidth="1"/>
    <col min="1789" max="1789" width="9" style="3" customWidth="1"/>
    <col min="1790" max="1791" width="9.77734375" style="3" customWidth="1"/>
    <col min="1792" max="1792" width="11.21875" style="3" customWidth="1"/>
    <col min="1793" max="1793" width="2.77734375" style="3" customWidth="1"/>
    <col min="1794" max="1794" width="3.5546875" style="3" customWidth="1"/>
    <col min="1795" max="2039" width="9.21875" style="3"/>
    <col min="2040" max="2040" width="8.77734375" style="3" customWidth="1"/>
    <col min="2041" max="2041" width="9.77734375" style="3" customWidth="1"/>
    <col min="2042" max="2042" width="14.44140625" style="3" customWidth="1"/>
    <col min="2043" max="2043" width="7.21875" style="3" customWidth="1"/>
    <col min="2044" max="2044" width="5.5546875" style="3" customWidth="1"/>
    <col min="2045" max="2045" width="9" style="3" customWidth="1"/>
    <col min="2046" max="2047" width="9.77734375" style="3" customWidth="1"/>
    <col min="2048" max="2048" width="11.21875" style="3" customWidth="1"/>
    <col min="2049" max="2049" width="2.77734375" style="3" customWidth="1"/>
    <col min="2050" max="2050" width="3.5546875" style="3" customWidth="1"/>
    <col min="2051" max="2295" width="9.21875" style="3"/>
    <col min="2296" max="2296" width="8.77734375" style="3" customWidth="1"/>
    <col min="2297" max="2297" width="9.77734375" style="3" customWidth="1"/>
    <col min="2298" max="2298" width="14.44140625" style="3" customWidth="1"/>
    <col min="2299" max="2299" width="7.21875" style="3" customWidth="1"/>
    <col min="2300" max="2300" width="5.5546875" style="3" customWidth="1"/>
    <col min="2301" max="2301" width="9" style="3" customWidth="1"/>
    <col min="2302" max="2303" width="9.77734375" style="3" customWidth="1"/>
    <col min="2304" max="2304" width="11.21875" style="3" customWidth="1"/>
    <col min="2305" max="2305" width="2.77734375" style="3" customWidth="1"/>
    <col min="2306" max="2306" width="3.5546875" style="3" customWidth="1"/>
    <col min="2307" max="2551" width="9.21875" style="3"/>
    <col min="2552" max="2552" width="8.77734375" style="3" customWidth="1"/>
    <col min="2553" max="2553" width="9.77734375" style="3" customWidth="1"/>
    <col min="2554" max="2554" width="14.44140625" style="3" customWidth="1"/>
    <col min="2555" max="2555" width="7.21875" style="3" customWidth="1"/>
    <col min="2556" max="2556" width="5.5546875" style="3" customWidth="1"/>
    <col min="2557" max="2557" width="9" style="3" customWidth="1"/>
    <col min="2558" max="2559" width="9.77734375" style="3" customWidth="1"/>
    <col min="2560" max="2560" width="11.21875" style="3" customWidth="1"/>
    <col min="2561" max="2561" width="2.77734375" style="3" customWidth="1"/>
    <col min="2562" max="2562" width="3.5546875" style="3" customWidth="1"/>
    <col min="2563" max="2807" width="9.21875" style="3"/>
    <col min="2808" max="2808" width="8.77734375" style="3" customWidth="1"/>
    <col min="2809" max="2809" width="9.77734375" style="3" customWidth="1"/>
    <col min="2810" max="2810" width="14.44140625" style="3" customWidth="1"/>
    <col min="2811" max="2811" width="7.21875" style="3" customWidth="1"/>
    <col min="2812" max="2812" width="5.5546875" style="3" customWidth="1"/>
    <col min="2813" max="2813" width="9" style="3" customWidth="1"/>
    <col min="2814" max="2815" width="9.77734375" style="3" customWidth="1"/>
    <col min="2816" max="2816" width="11.21875" style="3" customWidth="1"/>
    <col min="2817" max="2817" width="2.77734375" style="3" customWidth="1"/>
    <col min="2818" max="2818" width="3.5546875" style="3" customWidth="1"/>
    <col min="2819" max="3063" width="9.21875" style="3"/>
    <col min="3064" max="3064" width="8.77734375" style="3" customWidth="1"/>
    <col min="3065" max="3065" width="9.77734375" style="3" customWidth="1"/>
    <col min="3066" max="3066" width="14.44140625" style="3" customWidth="1"/>
    <col min="3067" max="3067" width="7.21875" style="3" customWidth="1"/>
    <col min="3068" max="3068" width="5.5546875" style="3" customWidth="1"/>
    <col min="3069" max="3069" width="9" style="3" customWidth="1"/>
    <col min="3070" max="3071" width="9.77734375" style="3" customWidth="1"/>
    <col min="3072" max="3072" width="11.21875" style="3" customWidth="1"/>
    <col min="3073" max="3073" width="2.77734375" style="3" customWidth="1"/>
    <col min="3074" max="3074" width="3.5546875" style="3" customWidth="1"/>
    <col min="3075" max="3319" width="9.21875" style="3"/>
    <col min="3320" max="3320" width="8.77734375" style="3" customWidth="1"/>
    <col min="3321" max="3321" width="9.77734375" style="3" customWidth="1"/>
    <col min="3322" max="3322" width="14.44140625" style="3" customWidth="1"/>
    <col min="3323" max="3323" width="7.21875" style="3" customWidth="1"/>
    <col min="3324" max="3324" width="5.5546875" style="3" customWidth="1"/>
    <col min="3325" max="3325" width="9" style="3" customWidth="1"/>
    <col min="3326" max="3327" width="9.77734375" style="3" customWidth="1"/>
    <col min="3328" max="3328" width="11.21875" style="3" customWidth="1"/>
    <col min="3329" max="3329" width="2.77734375" style="3" customWidth="1"/>
    <col min="3330" max="3330" width="3.5546875" style="3" customWidth="1"/>
    <col min="3331" max="3575" width="9.21875" style="3"/>
    <col min="3576" max="3576" width="8.77734375" style="3" customWidth="1"/>
    <col min="3577" max="3577" width="9.77734375" style="3" customWidth="1"/>
    <col min="3578" max="3578" width="14.44140625" style="3" customWidth="1"/>
    <col min="3579" max="3579" width="7.21875" style="3" customWidth="1"/>
    <col min="3580" max="3580" width="5.5546875" style="3" customWidth="1"/>
    <col min="3581" max="3581" width="9" style="3" customWidth="1"/>
    <col min="3582" max="3583" width="9.77734375" style="3" customWidth="1"/>
    <col min="3584" max="3584" width="11.21875" style="3" customWidth="1"/>
    <col min="3585" max="3585" width="2.77734375" style="3" customWidth="1"/>
    <col min="3586" max="3586" width="3.5546875" style="3" customWidth="1"/>
    <col min="3587" max="3831" width="9.21875" style="3"/>
    <col min="3832" max="3832" width="8.77734375" style="3" customWidth="1"/>
    <col min="3833" max="3833" width="9.77734375" style="3" customWidth="1"/>
    <col min="3834" max="3834" width="14.44140625" style="3" customWidth="1"/>
    <col min="3835" max="3835" width="7.21875" style="3" customWidth="1"/>
    <col min="3836" max="3836" width="5.5546875" style="3" customWidth="1"/>
    <col min="3837" max="3837" width="9" style="3" customWidth="1"/>
    <col min="3838" max="3839" width="9.77734375" style="3" customWidth="1"/>
    <col min="3840" max="3840" width="11.21875" style="3" customWidth="1"/>
    <col min="3841" max="3841" width="2.77734375" style="3" customWidth="1"/>
    <col min="3842" max="3842" width="3.5546875" style="3" customWidth="1"/>
    <col min="3843" max="4087" width="9.21875" style="3"/>
    <col min="4088" max="4088" width="8.77734375" style="3" customWidth="1"/>
    <col min="4089" max="4089" width="9.77734375" style="3" customWidth="1"/>
    <col min="4090" max="4090" width="14.44140625" style="3" customWidth="1"/>
    <col min="4091" max="4091" width="7.21875" style="3" customWidth="1"/>
    <col min="4092" max="4092" width="5.5546875" style="3" customWidth="1"/>
    <col min="4093" max="4093" width="9" style="3" customWidth="1"/>
    <col min="4094" max="4095" width="9.77734375" style="3" customWidth="1"/>
    <col min="4096" max="4096" width="11.21875" style="3" customWidth="1"/>
    <col min="4097" max="4097" width="2.77734375" style="3" customWidth="1"/>
    <col min="4098" max="4098" width="3.5546875" style="3" customWidth="1"/>
    <col min="4099" max="4343" width="9.21875" style="3"/>
    <col min="4344" max="4344" width="8.77734375" style="3" customWidth="1"/>
    <col min="4345" max="4345" width="9.77734375" style="3" customWidth="1"/>
    <col min="4346" max="4346" width="14.44140625" style="3" customWidth="1"/>
    <col min="4347" max="4347" width="7.21875" style="3" customWidth="1"/>
    <col min="4348" max="4348" width="5.5546875" style="3" customWidth="1"/>
    <col min="4349" max="4349" width="9" style="3" customWidth="1"/>
    <col min="4350" max="4351" width="9.77734375" style="3" customWidth="1"/>
    <col min="4352" max="4352" width="11.21875" style="3" customWidth="1"/>
    <col min="4353" max="4353" width="2.77734375" style="3" customWidth="1"/>
    <col min="4354" max="4354" width="3.5546875" style="3" customWidth="1"/>
    <col min="4355" max="4599" width="9.21875" style="3"/>
    <col min="4600" max="4600" width="8.77734375" style="3" customWidth="1"/>
    <col min="4601" max="4601" width="9.77734375" style="3" customWidth="1"/>
    <col min="4602" max="4602" width="14.44140625" style="3" customWidth="1"/>
    <col min="4603" max="4603" width="7.21875" style="3" customWidth="1"/>
    <col min="4604" max="4604" width="5.5546875" style="3" customWidth="1"/>
    <col min="4605" max="4605" width="9" style="3" customWidth="1"/>
    <col min="4606" max="4607" width="9.77734375" style="3" customWidth="1"/>
    <col min="4608" max="4608" width="11.21875" style="3" customWidth="1"/>
    <col min="4609" max="4609" width="2.77734375" style="3" customWidth="1"/>
    <col min="4610" max="4610" width="3.5546875" style="3" customWidth="1"/>
    <col min="4611" max="4855" width="9.21875" style="3"/>
    <col min="4856" max="4856" width="8.77734375" style="3" customWidth="1"/>
    <col min="4857" max="4857" width="9.77734375" style="3" customWidth="1"/>
    <col min="4858" max="4858" width="14.44140625" style="3" customWidth="1"/>
    <col min="4859" max="4859" width="7.21875" style="3" customWidth="1"/>
    <col min="4860" max="4860" width="5.5546875" style="3" customWidth="1"/>
    <col min="4861" max="4861" width="9" style="3" customWidth="1"/>
    <col min="4862" max="4863" width="9.77734375" style="3" customWidth="1"/>
    <col min="4864" max="4864" width="11.21875" style="3" customWidth="1"/>
    <col min="4865" max="4865" width="2.77734375" style="3" customWidth="1"/>
    <col min="4866" max="4866" width="3.5546875" style="3" customWidth="1"/>
    <col min="4867" max="5111" width="9.21875" style="3"/>
    <col min="5112" max="5112" width="8.77734375" style="3" customWidth="1"/>
    <col min="5113" max="5113" width="9.77734375" style="3" customWidth="1"/>
    <col min="5114" max="5114" width="14.44140625" style="3" customWidth="1"/>
    <col min="5115" max="5115" width="7.21875" style="3" customWidth="1"/>
    <col min="5116" max="5116" width="5.5546875" style="3" customWidth="1"/>
    <col min="5117" max="5117" width="9" style="3" customWidth="1"/>
    <col min="5118" max="5119" width="9.77734375" style="3" customWidth="1"/>
    <col min="5120" max="5120" width="11.21875" style="3" customWidth="1"/>
    <col min="5121" max="5121" width="2.77734375" style="3" customWidth="1"/>
    <col min="5122" max="5122" width="3.5546875" style="3" customWidth="1"/>
    <col min="5123" max="5367" width="9.21875" style="3"/>
    <col min="5368" max="5368" width="8.77734375" style="3" customWidth="1"/>
    <col min="5369" max="5369" width="9.77734375" style="3" customWidth="1"/>
    <col min="5370" max="5370" width="14.44140625" style="3" customWidth="1"/>
    <col min="5371" max="5371" width="7.21875" style="3" customWidth="1"/>
    <col min="5372" max="5372" width="5.5546875" style="3" customWidth="1"/>
    <col min="5373" max="5373" width="9" style="3" customWidth="1"/>
    <col min="5374" max="5375" width="9.77734375" style="3" customWidth="1"/>
    <col min="5376" max="5376" width="11.21875" style="3" customWidth="1"/>
    <col min="5377" max="5377" width="2.77734375" style="3" customWidth="1"/>
    <col min="5378" max="5378" width="3.5546875" style="3" customWidth="1"/>
    <col min="5379" max="5623" width="9.21875" style="3"/>
    <col min="5624" max="5624" width="8.77734375" style="3" customWidth="1"/>
    <col min="5625" max="5625" width="9.77734375" style="3" customWidth="1"/>
    <col min="5626" max="5626" width="14.44140625" style="3" customWidth="1"/>
    <col min="5627" max="5627" width="7.21875" style="3" customWidth="1"/>
    <col min="5628" max="5628" width="5.5546875" style="3" customWidth="1"/>
    <col min="5629" max="5629" width="9" style="3" customWidth="1"/>
    <col min="5630" max="5631" width="9.77734375" style="3" customWidth="1"/>
    <col min="5632" max="5632" width="11.21875" style="3" customWidth="1"/>
    <col min="5633" max="5633" width="2.77734375" style="3" customWidth="1"/>
    <col min="5634" max="5634" width="3.5546875" style="3" customWidth="1"/>
    <col min="5635" max="5879" width="9.21875" style="3"/>
    <col min="5880" max="5880" width="8.77734375" style="3" customWidth="1"/>
    <col min="5881" max="5881" width="9.77734375" style="3" customWidth="1"/>
    <col min="5882" max="5882" width="14.44140625" style="3" customWidth="1"/>
    <col min="5883" max="5883" width="7.21875" style="3" customWidth="1"/>
    <col min="5884" max="5884" width="5.5546875" style="3" customWidth="1"/>
    <col min="5885" max="5885" width="9" style="3" customWidth="1"/>
    <col min="5886" max="5887" width="9.77734375" style="3" customWidth="1"/>
    <col min="5888" max="5888" width="11.21875" style="3" customWidth="1"/>
    <col min="5889" max="5889" width="2.77734375" style="3" customWidth="1"/>
    <col min="5890" max="5890" width="3.5546875" style="3" customWidth="1"/>
    <col min="5891" max="6135" width="9.21875" style="3"/>
    <col min="6136" max="6136" width="8.77734375" style="3" customWidth="1"/>
    <col min="6137" max="6137" width="9.77734375" style="3" customWidth="1"/>
    <col min="6138" max="6138" width="14.44140625" style="3" customWidth="1"/>
    <col min="6139" max="6139" width="7.21875" style="3" customWidth="1"/>
    <col min="6140" max="6140" width="5.5546875" style="3" customWidth="1"/>
    <col min="6141" max="6141" width="9" style="3" customWidth="1"/>
    <col min="6142" max="6143" width="9.77734375" style="3" customWidth="1"/>
    <col min="6144" max="6144" width="11.21875" style="3" customWidth="1"/>
    <col min="6145" max="6145" width="2.77734375" style="3" customWidth="1"/>
    <col min="6146" max="6146" width="3.5546875" style="3" customWidth="1"/>
    <col min="6147" max="6391" width="9.21875" style="3"/>
    <col min="6392" max="6392" width="8.77734375" style="3" customWidth="1"/>
    <col min="6393" max="6393" width="9.77734375" style="3" customWidth="1"/>
    <col min="6394" max="6394" width="14.44140625" style="3" customWidth="1"/>
    <col min="6395" max="6395" width="7.21875" style="3" customWidth="1"/>
    <col min="6396" max="6396" width="5.5546875" style="3" customWidth="1"/>
    <col min="6397" max="6397" width="9" style="3" customWidth="1"/>
    <col min="6398" max="6399" width="9.77734375" style="3" customWidth="1"/>
    <col min="6400" max="6400" width="11.21875" style="3" customWidth="1"/>
    <col min="6401" max="6401" width="2.77734375" style="3" customWidth="1"/>
    <col min="6402" max="6402" width="3.5546875" style="3" customWidth="1"/>
    <col min="6403" max="6647" width="9.21875" style="3"/>
    <col min="6648" max="6648" width="8.77734375" style="3" customWidth="1"/>
    <col min="6649" max="6649" width="9.77734375" style="3" customWidth="1"/>
    <col min="6650" max="6650" width="14.44140625" style="3" customWidth="1"/>
    <col min="6651" max="6651" width="7.21875" style="3" customWidth="1"/>
    <col min="6652" max="6652" width="5.5546875" style="3" customWidth="1"/>
    <col min="6653" max="6653" width="9" style="3" customWidth="1"/>
    <col min="6654" max="6655" width="9.77734375" style="3" customWidth="1"/>
    <col min="6656" max="6656" width="11.21875" style="3" customWidth="1"/>
    <col min="6657" max="6657" width="2.77734375" style="3" customWidth="1"/>
    <col min="6658" max="6658" width="3.5546875" style="3" customWidth="1"/>
    <col min="6659" max="6903" width="9.21875" style="3"/>
    <col min="6904" max="6904" width="8.77734375" style="3" customWidth="1"/>
    <col min="6905" max="6905" width="9.77734375" style="3" customWidth="1"/>
    <col min="6906" max="6906" width="14.44140625" style="3" customWidth="1"/>
    <col min="6907" max="6907" width="7.21875" style="3" customWidth="1"/>
    <col min="6908" max="6908" width="5.5546875" style="3" customWidth="1"/>
    <col min="6909" max="6909" width="9" style="3" customWidth="1"/>
    <col min="6910" max="6911" width="9.77734375" style="3" customWidth="1"/>
    <col min="6912" max="6912" width="11.21875" style="3" customWidth="1"/>
    <col min="6913" max="6913" width="2.77734375" style="3" customWidth="1"/>
    <col min="6914" max="6914" width="3.5546875" style="3" customWidth="1"/>
    <col min="6915" max="7159" width="9.21875" style="3"/>
    <col min="7160" max="7160" width="8.77734375" style="3" customWidth="1"/>
    <col min="7161" max="7161" width="9.77734375" style="3" customWidth="1"/>
    <col min="7162" max="7162" width="14.44140625" style="3" customWidth="1"/>
    <col min="7163" max="7163" width="7.21875" style="3" customWidth="1"/>
    <col min="7164" max="7164" width="5.5546875" style="3" customWidth="1"/>
    <col min="7165" max="7165" width="9" style="3" customWidth="1"/>
    <col min="7166" max="7167" width="9.77734375" style="3" customWidth="1"/>
    <col min="7168" max="7168" width="11.21875" style="3" customWidth="1"/>
    <col min="7169" max="7169" width="2.77734375" style="3" customWidth="1"/>
    <col min="7170" max="7170" width="3.5546875" style="3" customWidth="1"/>
    <col min="7171" max="7415" width="9.21875" style="3"/>
    <col min="7416" max="7416" width="8.77734375" style="3" customWidth="1"/>
    <col min="7417" max="7417" width="9.77734375" style="3" customWidth="1"/>
    <col min="7418" max="7418" width="14.44140625" style="3" customWidth="1"/>
    <col min="7419" max="7419" width="7.21875" style="3" customWidth="1"/>
    <col min="7420" max="7420" width="5.5546875" style="3" customWidth="1"/>
    <col min="7421" max="7421" width="9" style="3" customWidth="1"/>
    <col min="7422" max="7423" width="9.77734375" style="3" customWidth="1"/>
    <col min="7424" max="7424" width="11.21875" style="3" customWidth="1"/>
    <col min="7425" max="7425" width="2.77734375" style="3" customWidth="1"/>
    <col min="7426" max="7426" width="3.5546875" style="3" customWidth="1"/>
    <col min="7427" max="7671" width="9.21875" style="3"/>
    <col min="7672" max="7672" width="8.77734375" style="3" customWidth="1"/>
    <col min="7673" max="7673" width="9.77734375" style="3" customWidth="1"/>
    <col min="7674" max="7674" width="14.44140625" style="3" customWidth="1"/>
    <col min="7675" max="7675" width="7.21875" style="3" customWidth="1"/>
    <col min="7676" max="7676" width="5.5546875" style="3" customWidth="1"/>
    <col min="7677" max="7677" width="9" style="3" customWidth="1"/>
    <col min="7678" max="7679" width="9.77734375" style="3" customWidth="1"/>
    <col min="7680" max="7680" width="11.21875" style="3" customWidth="1"/>
    <col min="7681" max="7681" width="2.77734375" style="3" customWidth="1"/>
    <col min="7682" max="7682" width="3.5546875" style="3" customWidth="1"/>
    <col min="7683" max="7927" width="9.21875" style="3"/>
    <col min="7928" max="7928" width="8.77734375" style="3" customWidth="1"/>
    <col min="7929" max="7929" width="9.77734375" style="3" customWidth="1"/>
    <col min="7930" max="7930" width="14.44140625" style="3" customWidth="1"/>
    <col min="7931" max="7931" width="7.21875" style="3" customWidth="1"/>
    <col min="7932" max="7932" width="5.5546875" style="3" customWidth="1"/>
    <col min="7933" max="7933" width="9" style="3" customWidth="1"/>
    <col min="7934" max="7935" width="9.77734375" style="3" customWidth="1"/>
    <col min="7936" max="7936" width="11.21875" style="3" customWidth="1"/>
    <col min="7937" max="7937" width="2.77734375" style="3" customWidth="1"/>
    <col min="7938" max="7938" width="3.5546875" style="3" customWidth="1"/>
    <col min="7939" max="8183" width="9.21875" style="3"/>
    <col min="8184" max="8184" width="8.77734375" style="3" customWidth="1"/>
    <col min="8185" max="8185" width="9.77734375" style="3" customWidth="1"/>
    <col min="8186" max="8186" width="14.44140625" style="3" customWidth="1"/>
    <col min="8187" max="8187" width="7.21875" style="3" customWidth="1"/>
    <col min="8188" max="8188" width="5.5546875" style="3" customWidth="1"/>
    <col min="8189" max="8189" width="9" style="3" customWidth="1"/>
    <col min="8190" max="8191" width="9.77734375" style="3" customWidth="1"/>
    <col min="8192" max="8192" width="11.21875" style="3" customWidth="1"/>
    <col min="8193" max="8193" width="2.77734375" style="3" customWidth="1"/>
    <col min="8194" max="8194" width="3.5546875" style="3" customWidth="1"/>
    <col min="8195" max="8439" width="9.21875" style="3"/>
    <col min="8440" max="8440" width="8.77734375" style="3" customWidth="1"/>
    <col min="8441" max="8441" width="9.77734375" style="3" customWidth="1"/>
    <col min="8442" max="8442" width="14.44140625" style="3" customWidth="1"/>
    <col min="8443" max="8443" width="7.21875" style="3" customWidth="1"/>
    <col min="8444" max="8444" width="5.5546875" style="3" customWidth="1"/>
    <col min="8445" max="8445" width="9" style="3" customWidth="1"/>
    <col min="8446" max="8447" width="9.77734375" style="3" customWidth="1"/>
    <col min="8448" max="8448" width="11.21875" style="3" customWidth="1"/>
    <col min="8449" max="8449" width="2.77734375" style="3" customWidth="1"/>
    <col min="8450" max="8450" width="3.5546875" style="3" customWidth="1"/>
    <col min="8451" max="8695" width="9.21875" style="3"/>
    <col min="8696" max="8696" width="8.77734375" style="3" customWidth="1"/>
    <col min="8697" max="8697" width="9.77734375" style="3" customWidth="1"/>
    <col min="8698" max="8698" width="14.44140625" style="3" customWidth="1"/>
    <col min="8699" max="8699" width="7.21875" style="3" customWidth="1"/>
    <col min="8700" max="8700" width="5.5546875" style="3" customWidth="1"/>
    <col min="8701" max="8701" width="9" style="3" customWidth="1"/>
    <col min="8702" max="8703" width="9.77734375" style="3" customWidth="1"/>
    <col min="8704" max="8704" width="11.21875" style="3" customWidth="1"/>
    <col min="8705" max="8705" width="2.77734375" style="3" customWidth="1"/>
    <col min="8706" max="8706" width="3.5546875" style="3" customWidth="1"/>
    <col min="8707" max="8951" width="9.21875" style="3"/>
    <col min="8952" max="8952" width="8.77734375" style="3" customWidth="1"/>
    <col min="8953" max="8953" width="9.77734375" style="3" customWidth="1"/>
    <col min="8954" max="8954" width="14.44140625" style="3" customWidth="1"/>
    <col min="8955" max="8955" width="7.21875" style="3" customWidth="1"/>
    <col min="8956" max="8956" width="5.5546875" style="3" customWidth="1"/>
    <col min="8957" max="8957" width="9" style="3" customWidth="1"/>
    <col min="8958" max="8959" width="9.77734375" style="3" customWidth="1"/>
    <col min="8960" max="8960" width="11.21875" style="3" customWidth="1"/>
    <col min="8961" max="8961" width="2.77734375" style="3" customWidth="1"/>
    <col min="8962" max="8962" width="3.5546875" style="3" customWidth="1"/>
    <col min="8963" max="9207" width="9.21875" style="3"/>
    <col min="9208" max="9208" width="8.77734375" style="3" customWidth="1"/>
    <col min="9209" max="9209" width="9.77734375" style="3" customWidth="1"/>
    <col min="9210" max="9210" width="14.44140625" style="3" customWidth="1"/>
    <col min="9211" max="9211" width="7.21875" style="3" customWidth="1"/>
    <col min="9212" max="9212" width="5.5546875" style="3" customWidth="1"/>
    <col min="9213" max="9213" width="9" style="3" customWidth="1"/>
    <col min="9214" max="9215" width="9.77734375" style="3" customWidth="1"/>
    <col min="9216" max="9216" width="11.21875" style="3" customWidth="1"/>
    <col min="9217" max="9217" width="2.77734375" style="3" customWidth="1"/>
    <col min="9218" max="9218" width="3.5546875" style="3" customWidth="1"/>
    <col min="9219" max="9463" width="9.21875" style="3"/>
    <col min="9464" max="9464" width="8.77734375" style="3" customWidth="1"/>
    <col min="9465" max="9465" width="9.77734375" style="3" customWidth="1"/>
    <col min="9466" max="9466" width="14.44140625" style="3" customWidth="1"/>
    <col min="9467" max="9467" width="7.21875" style="3" customWidth="1"/>
    <col min="9468" max="9468" width="5.5546875" style="3" customWidth="1"/>
    <col min="9469" max="9469" width="9" style="3" customWidth="1"/>
    <col min="9470" max="9471" width="9.77734375" style="3" customWidth="1"/>
    <col min="9472" max="9472" width="11.21875" style="3" customWidth="1"/>
    <col min="9473" max="9473" width="2.77734375" style="3" customWidth="1"/>
    <col min="9474" max="9474" width="3.5546875" style="3" customWidth="1"/>
    <col min="9475" max="9719" width="9.21875" style="3"/>
    <col min="9720" max="9720" width="8.77734375" style="3" customWidth="1"/>
    <col min="9721" max="9721" width="9.77734375" style="3" customWidth="1"/>
    <col min="9722" max="9722" width="14.44140625" style="3" customWidth="1"/>
    <col min="9723" max="9723" width="7.21875" style="3" customWidth="1"/>
    <col min="9724" max="9724" width="5.5546875" style="3" customWidth="1"/>
    <col min="9725" max="9725" width="9" style="3" customWidth="1"/>
    <col min="9726" max="9727" width="9.77734375" style="3" customWidth="1"/>
    <col min="9728" max="9728" width="11.21875" style="3" customWidth="1"/>
    <col min="9729" max="9729" width="2.77734375" style="3" customWidth="1"/>
    <col min="9730" max="9730" width="3.5546875" style="3" customWidth="1"/>
    <col min="9731" max="9975" width="9.21875" style="3"/>
    <col min="9976" max="9976" width="8.77734375" style="3" customWidth="1"/>
    <col min="9977" max="9977" width="9.77734375" style="3" customWidth="1"/>
    <col min="9978" max="9978" width="14.44140625" style="3" customWidth="1"/>
    <col min="9979" max="9979" width="7.21875" style="3" customWidth="1"/>
    <col min="9980" max="9980" width="5.5546875" style="3" customWidth="1"/>
    <col min="9981" max="9981" width="9" style="3" customWidth="1"/>
    <col min="9982" max="9983" width="9.77734375" style="3" customWidth="1"/>
    <col min="9984" max="9984" width="11.21875" style="3" customWidth="1"/>
    <col min="9985" max="9985" width="2.77734375" style="3" customWidth="1"/>
    <col min="9986" max="9986" width="3.5546875" style="3" customWidth="1"/>
    <col min="9987" max="10231" width="9.21875" style="3"/>
    <col min="10232" max="10232" width="8.77734375" style="3" customWidth="1"/>
    <col min="10233" max="10233" width="9.77734375" style="3" customWidth="1"/>
    <col min="10234" max="10234" width="14.44140625" style="3" customWidth="1"/>
    <col min="10235" max="10235" width="7.21875" style="3" customWidth="1"/>
    <col min="10236" max="10236" width="5.5546875" style="3" customWidth="1"/>
    <col min="10237" max="10237" width="9" style="3" customWidth="1"/>
    <col min="10238" max="10239" width="9.77734375" style="3" customWidth="1"/>
    <col min="10240" max="10240" width="11.21875" style="3" customWidth="1"/>
    <col min="10241" max="10241" width="2.77734375" style="3" customWidth="1"/>
    <col min="10242" max="10242" width="3.5546875" style="3" customWidth="1"/>
    <col min="10243" max="10487" width="9.21875" style="3"/>
    <col min="10488" max="10488" width="8.77734375" style="3" customWidth="1"/>
    <col min="10489" max="10489" width="9.77734375" style="3" customWidth="1"/>
    <col min="10490" max="10490" width="14.44140625" style="3" customWidth="1"/>
    <col min="10491" max="10491" width="7.21875" style="3" customWidth="1"/>
    <col min="10492" max="10492" width="5.5546875" style="3" customWidth="1"/>
    <col min="10493" max="10493" width="9" style="3" customWidth="1"/>
    <col min="10494" max="10495" width="9.77734375" style="3" customWidth="1"/>
    <col min="10496" max="10496" width="11.21875" style="3" customWidth="1"/>
    <col min="10497" max="10497" width="2.77734375" style="3" customWidth="1"/>
    <col min="10498" max="10498" width="3.5546875" style="3" customWidth="1"/>
    <col min="10499" max="10743" width="9.21875" style="3"/>
    <col min="10744" max="10744" width="8.77734375" style="3" customWidth="1"/>
    <col min="10745" max="10745" width="9.77734375" style="3" customWidth="1"/>
    <col min="10746" max="10746" width="14.44140625" style="3" customWidth="1"/>
    <col min="10747" max="10747" width="7.21875" style="3" customWidth="1"/>
    <col min="10748" max="10748" width="5.5546875" style="3" customWidth="1"/>
    <col min="10749" max="10749" width="9" style="3" customWidth="1"/>
    <col min="10750" max="10751" width="9.77734375" style="3" customWidth="1"/>
    <col min="10752" max="10752" width="11.21875" style="3" customWidth="1"/>
    <col min="10753" max="10753" width="2.77734375" style="3" customWidth="1"/>
    <col min="10754" max="10754" width="3.5546875" style="3" customWidth="1"/>
    <col min="10755" max="10999" width="9.21875" style="3"/>
    <col min="11000" max="11000" width="8.77734375" style="3" customWidth="1"/>
    <col min="11001" max="11001" width="9.77734375" style="3" customWidth="1"/>
    <col min="11002" max="11002" width="14.44140625" style="3" customWidth="1"/>
    <col min="11003" max="11003" width="7.21875" style="3" customWidth="1"/>
    <col min="11004" max="11004" width="5.5546875" style="3" customWidth="1"/>
    <col min="11005" max="11005" width="9" style="3" customWidth="1"/>
    <col min="11006" max="11007" width="9.77734375" style="3" customWidth="1"/>
    <col min="11008" max="11008" width="11.21875" style="3" customWidth="1"/>
    <col min="11009" max="11009" width="2.77734375" style="3" customWidth="1"/>
    <col min="11010" max="11010" width="3.5546875" style="3" customWidth="1"/>
    <col min="11011" max="11255" width="9.21875" style="3"/>
    <col min="11256" max="11256" width="8.77734375" style="3" customWidth="1"/>
    <col min="11257" max="11257" width="9.77734375" style="3" customWidth="1"/>
    <col min="11258" max="11258" width="14.44140625" style="3" customWidth="1"/>
    <col min="11259" max="11259" width="7.21875" style="3" customWidth="1"/>
    <col min="11260" max="11260" width="5.5546875" style="3" customWidth="1"/>
    <col min="11261" max="11261" width="9" style="3" customWidth="1"/>
    <col min="11262" max="11263" width="9.77734375" style="3" customWidth="1"/>
    <col min="11264" max="11264" width="11.21875" style="3" customWidth="1"/>
    <col min="11265" max="11265" width="2.77734375" style="3" customWidth="1"/>
    <col min="11266" max="11266" width="3.5546875" style="3" customWidth="1"/>
    <col min="11267" max="11511" width="9.21875" style="3"/>
    <col min="11512" max="11512" width="8.77734375" style="3" customWidth="1"/>
    <col min="11513" max="11513" width="9.77734375" style="3" customWidth="1"/>
    <col min="11514" max="11514" width="14.44140625" style="3" customWidth="1"/>
    <col min="11515" max="11515" width="7.21875" style="3" customWidth="1"/>
    <col min="11516" max="11516" width="5.5546875" style="3" customWidth="1"/>
    <col min="11517" max="11517" width="9" style="3" customWidth="1"/>
    <col min="11518" max="11519" width="9.77734375" style="3" customWidth="1"/>
    <col min="11520" max="11520" width="11.21875" style="3" customWidth="1"/>
    <col min="11521" max="11521" width="2.77734375" style="3" customWidth="1"/>
    <col min="11522" max="11522" width="3.5546875" style="3" customWidth="1"/>
    <col min="11523" max="11767" width="9.21875" style="3"/>
    <col min="11768" max="11768" width="8.77734375" style="3" customWidth="1"/>
    <col min="11769" max="11769" width="9.77734375" style="3" customWidth="1"/>
    <col min="11770" max="11770" width="14.44140625" style="3" customWidth="1"/>
    <col min="11771" max="11771" width="7.21875" style="3" customWidth="1"/>
    <col min="11772" max="11772" width="5.5546875" style="3" customWidth="1"/>
    <col min="11773" max="11773" width="9" style="3" customWidth="1"/>
    <col min="11774" max="11775" width="9.77734375" style="3" customWidth="1"/>
    <col min="11776" max="11776" width="11.21875" style="3" customWidth="1"/>
    <col min="11777" max="11777" width="2.77734375" style="3" customWidth="1"/>
    <col min="11778" max="11778" width="3.5546875" style="3" customWidth="1"/>
    <col min="11779" max="12023" width="9.21875" style="3"/>
    <col min="12024" max="12024" width="8.77734375" style="3" customWidth="1"/>
    <col min="12025" max="12025" width="9.77734375" style="3" customWidth="1"/>
    <col min="12026" max="12026" width="14.44140625" style="3" customWidth="1"/>
    <col min="12027" max="12027" width="7.21875" style="3" customWidth="1"/>
    <col min="12028" max="12028" width="5.5546875" style="3" customWidth="1"/>
    <col min="12029" max="12029" width="9" style="3" customWidth="1"/>
    <col min="12030" max="12031" width="9.77734375" style="3" customWidth="1"/>
    <col min="12032" max="12032" width="11.21875" style="3" customWidth="1"/>
    <col min="12033" max="12033" width="2.77734375" style="3" customWidth="1"/>
    <col min="12034" max="12034" width="3.5546875" style="3" customWidth="1"/>
    <col min="12035" max="12279" width="9.21875" style="3"/>
    <col min="12280" max="12280" width="8.77734375" style="3" customWidth="1"/>
    <col min="12281" max="12281" width="9.77734375" style="3" customWidth="1"/>
    <col min="12282" max="12282" width="14.44140625" style="3" customWidth="1"/>
    <col min="12283" max="12283" width="7.21875" style="3" customWidth="1"/>
    <col min="12284" max="12284" width="5.5546875" style="3" customWidth="1"/>
    <col min="12285" max="12285" width="9" style="3" customWidth="1"/>
    <col min="12286" max="12287" width="9.77734375" style="3" customWidth="1"/>
    <col min="12288" max="12288" width="11.21875" style="3" customWidth="1"/>
    <col min="12289" max="12289" width="2.77734375" style="3" customWidth="1"/>
    <col min="12290" max="12290" width="3.5546875" style="3" customWidth="1"/>
    <col min="12291" max="12535" width="9.21875" style="3"/>
    <col min="12536" max="12536" width="8.77734375" style="3" customWidth="1"/>
    <col min="12537" max="12537" width="9.77734375" style="3" customWidth="1"/>
    <col min="12538" max="12538" width="14.44140625" style="3" customWidth="1"/>
    <col min="12539" max="12539" width="7.21875" style="3" customWidth="1"/>
    <col min="12540" max="12540" width="5.5546875" style="3" customWidth="1"/>
    <col min="12541" max="12541" width="9" style="3" customWidth="1"/>
    <col min="12542" max="12543" width="9.77734375" style="3" customWidth="1"/>
    <col min="12544" max="12544" width="11.21875" style="3" customWidth="1"/>
    <col min="12545" max="12545" width="2.77734375" style="3" customWidth="1"/>
    <col min="12546" max="12546" width="3.5546875" style="3" customWidth="1"/>
    <col min="12547" max="12791" width="9.21875" style="3"/>
    <col min="12792" max="12792" width="8.77734375" style="3" customWidth="1"/>
    <col min="12793" max="12793" width="9.77734375" style="3" customWidth="1"/>
    <col min="12794" max="12794" width="14.44140625" style="3" customWidth="1"/>
    <col min="12795" max="12795" width="7.21875" style="3" customWidth="1"/>
    <col min="12796" max="12796" width="5.5546875" style="3" customWidth="1"/>
    <col min="12797" max="12797" width="9" style="3" customWidth="1"/>
    <col min="12798" max="12799" width="9.77734375" style="3" customWidth="1"/>
    <col min="12800" max="12800" width="11.21875" style="3" customWidth="1"/>
    <col min="12801" max="12801" width="2.77734375" style="3" customWidth="1"/>
    <col min="12802" max="12802" width="3.5546875" style="3" customWidth="1"/>
    <col min="12803" max="13047" width="9.21875" style="3"/>
    <col min="13048" max="13048" width="8.77734375" style="3" customWidth="1"/>
    <col min="13049" max="13049" width="9.77734375" style="3" customWidth="1"/>
    <col min="13050" max="13050" width="14.44140625" style="3" customWidth="1"/>
    <col min="13051" max="13051" width="7.21875" style="3" customWidth="1"/>
    <col min="13052" max="13052" width="5.5546875" style="3" customWidth="1"/>
    <col min="13053" max="13053" width="9" style="3" customWidth="1"/>
    <col min="13054" max="13055" width="9.77734375" style="3" customWidth="1"/>
    <col min="13056" max="13056" width="11.21875" style="3" customWidth="1"/>
    <col min="13057" max="13057" width="2.77734375" style="3" customWidth="1"/>
    <col min="13058" max="13058" width="3.5546875" style="3" customWidth="1"/>
    <col min="13059" max="13303" width="9.21875" style="3"/>
    <col min="13304" max="13304" width="8.77734375" style="3" customWidth="1"/>
    <col min="13305" max="13305" width="9.77734375" style="3" customWidth="1"/>
    <col min="13306" max="13306" width="14.44140625" style="3" customWidth="1"/>
    <col min="13307" max="13307" width="7.21875" style="3" customWidth="1"/>
    <col min="13308" max="13308" width="5.5546875" style="3" customWidth="1"/>
    <col min="13309" max="13309" width="9" style="3" customWidth="1"/>
    <col min="13310" max="13311" width="9.77734375" style="3" customWidth="1"/>
    <col min="13312" max="13312" width="11.21875" style="3" customWidth="1"/>
    <col min="13313" max="13313" width="2.77734375" style="3" customWidth="1"/>
    <col min="13314" max="13314" width="3.5546875" style="3" customWidth="1"/>
    <col min="13315" max="13559" width="9.21875" style="3"/>
    <col min="13560" max="13560" width="8.77734375" style="3" customWidth="1"/>
    <col min="13561" max="13561" width="9.77734375" style="3" customWidth="1"/>
    <col min="13562" max="13562" width="14.44140625" style="3" customWidth="1"/>
    <col min="13563" max="13563" width="7.21875" style="3" customWidth="1"/>
    <col min="13564" max="13564" width="5.5546875" style="3" customWidth="1"/>
    <col min="13565" max="13565" width="9" style="3" customWidth="1"/>
    <col min="13566" max="13567" width="9.77734375" style="3" customWidth="1"/>
    <col min="13568" max="13568" width="11.21875" style="3" customWidth="1"/>
    <col min="13569" max="13569" width="2.77734375" style="3" customWidth="1"/>
    <col min="13570" max="13570" width="3.5546875" style="3" customWidth="1"/>
    <col min="13571" max="13815" width="9.21875" style="3"/>
    <col min="13816" max="13816" width="8.77734375" style="3" customWidth="1"/>
    <col min="13817" max="13817" width="9.77734375" style="3" customWidth="1"/>
    <col min="13818" max="13818" width="14.44140625" style="3" customWidth="1"/>
    <col min="13819" max="13819" width="7.21875" style="3" customWidth="1"/>
    <col min="13820" max="13820" width="5.5546875" style="3" customWidth="1"/>
    <col min="13821" max="13821" width="9" style="3" customWidth="1"/>
    <col min="13822" max="13823" width="9.77734375" style="3" customWidth="1"/>
    <col min="13824" max="13824" width="11.21875" style="3" customWidth="1"/>
    <col min="13825" max="13825" width="2.77734375" style="3" customWidth="1"/>
    <col min="13826" max="13826" width="3.5546875" style="3" customWidth="1"/>
    <col min="13827" max="14071" width="9.21875" style="3"/>
    <col min="14072" max="14072" width="8.77734375" style="3" customWidth="1"/>
    <col min="14073" max="14073" width="9.77734375" style="3" customWidth="1"/>
    <col min="14074" max="14074" width="14.44140625" style="3" customWidth="1"/>
    <col min="14075" max="14075" width="7.21875" style="3" customWidth="1"/>
    <col min="14076" max="14076" width="5.5546875" style="3" customWidth="1"/>
    <col min="14077" max="14077" width="9" style="3" customWidth="1"/>
    <col min="14078" max="14079" width="9.77734375" style="3" customWidth="1"/>
    <col min="14080" max="14080" width="11.21875" style="3" customWidth="1"/>
    <col min="14081" max="14081" width="2.77734375" style="3" customWidth="1"/>
    <col min="14082" max="14082" width="3.5546875" style="3" customWidth="1"/>
    <col min="14083" max="14327" width="9.21875" style="3"/>
    <col min="14328" max="14328" width="8.77734375" style="3" customWidth="1"/>
    <col min="14329" max="14329" width="9.77734375" style="3" customWidth="1"/>
    <col min="14330" max="14330" width="14.44140625" style="3" customWidth="1"/>
    <col min="14331" max="14331" width="7.21875" style="3" customWidth="1"/>
    <col min="14332" max="14332" width="5.5546875" style="3" customWidth="1"/>
    <col min="14333" max="14333" width="9" style="3" customWidth="1"/>
    <col min="14334" max="14335" width="9.77734375" style="3" customWidth="1"/>
    <col min="14336" max="14336" width="11.21875" style="3" customWidth="1"/>
    <col min="14337" max="14337" width="2.77734375" style="3" customWidth="1"/>
    <col min="14338" max="14338" width="3.5546875" style="3" customWidth="1"/>
    <col min="14339" max="14583" width="9.21875" style="3"/>
    <col min="14584" max="14584" width="8.77734375" style="3" customWidth="1"/>
    <col min="14585" max="14585" width="9.77734375" style="3" customWidth="1"/>
    <col min="14586" max="14586" width="14.44140625" style="3" customWidth="1"/>
    <col min="14587" max="14587" width="7.21875" style="3" customWidth="1"/>
    <col min="14588" max="14588" width="5.5546875" style="3" customWidth="1"/>
    <col min="14589" max="14589" width="9" style="3" customWidth="1"/>
    <col min="14590" max="14591" width="9.77734375" style="3" customWidth="1"/>
    <col min="14592" max="14592" width="11.21875" style="3" customWidth="1"/>
    <col min="14593" max="14593" width="2.77734375" style="3" customWidth="1"/>
    <col min="14594" max="14594" width="3.5546875" style="3" customWidth="1"/>
    <col min="14595" max="14839" width="9.21875" style="3"/>
    <col min="14840" max="14840" width="8.77734375" style="3" customWidth="1"/>
    <col min="14841" max="14841" width="9.77734375" style="3" customWidth="1"/>
    <col min="14842" max="14842" width="14.44140625" style="3" customWidth="1"/>
    <col min="14843" max="14843" width="7.21875" style="3" customWidth="1"/>
    <col min="14844" max="14844" width="5.5546875" style="3" customWidth="1"/>
    <col min="14845" max="14845" width="9" style="3" customWidth="1"/>
    <col min="14846" max="14847" width="9.77734375" style="3" customWidth="1"/>
    <col min="14848" max="14848" width="11.21875" style="3" customWidth="1"/>
    <col min="14849" max="14849" width="2.77734375" style="3" customWidth="1"/>
    <col min="14850" max="14850" width="3.5546875" style="3" customWidth="1"/>
    <col min="14851" max="15095" width="9.21875" style="3"/>
    <col min="15096" max="15096" width="8.77734375" style="3" customWidth="1"/>
    <col min="15097" max="15097" width="9.77734375" style="3" customWidth="1"/>
    <col min="15098" max="15098" width="14.44140625" style="3" customWidth="1"/>
    <col min="15099" max="15099" width="7.21875" style="3" customWidth="1"/>
    <col min="15100" max="15100" width="5.5546875" style="3" customWidth="1"/>
    <col min="15101" max="15101" width="9" style="3" customWidth="1"/>
    <col min="15102" max="15103" width="9.77734375" style="3" customWidth="1"/>
    <col min="15104" max="15104" width="11.21875" style="3" customWidth="1"/>
    <col min="15105" max="15105" width="2.77734375" style="3" customWidth="1"/>
    <col min="15106" max="15106" width="3.5546875" style="3" customWidth="1"/>
    <col min="15107" max="15351" width="9.21875" style="3"/>
    <col min="15352" max="15352" width="8.77734375" style="3" customWidth="1"/>
    <col min="15353" max="15353" width="9.77734375" style="3" customWidth="1"/>
    <col min="15354" max="15354" width="14.44140625" style="3" customWidth="1"/>
    <col min="15355" max="15355" width="7.21875" style="3" customWidth="1"/>
    <col min="15356" max="15356" width="5.5546875" style="3" customWidth="1"/>
    <col min="15357" max="15357" width="9" style="3" customWidth="1"/>
    <col min="15358" max="15359" width="9.77734375" style="3" customWidth="1"/>
    <col min="15360" max="15360" width="11.21875" style="3" customWidth="1"/>
    <col min="15361" max="15361" width="2.77734375" style="3" customWidth="1"/>
    <col min="15362" max="15362" width="3.5546875" style="3" customWidth="1"/>
    <col min="15363" max="15607" width="9.21875" style="3"/>
    <col min="15608" max="15608" width="8.77734375" style="3" customWidth="1"/>
    <col min="15609" max="15609" width="9.77734375" style="3" customWidth="1"/>
    <col min="15610" max="15610" width="14.44140625" style="3" customWidth="1"/>
    <col min="15611" max="15611" width="7.21875" style="3" customWidth="1"/>
    <col min="15612" max="15612" width="5.5546875" style="3" customWidth="1"/>
    <col min="15613" max="15613" width="9" style="3" customWidth="1"/>
    <col min="15614" max="15615" width="9.77734375" style="3" customWidth="1"/>
    <col min="15616" max="15616" width="11.21875" style="3" customWidth="1"/>
    <col min="15617" max="15617" width="2.77734375" style="3" customWidth="1"/>
    <col min="15618" max="15618" width="3.5546875" style="3" customWidth="1"/>
    <col min="15619" max="15863" width="9.21875" style="3"/>
    <col min="15864" max="15864" width="8.77734375" style="3" customWidth="1"/>
    <col min="15865" max="15865" width="9.77734375" style="3" customWidth="1"/>
    <col min="15866" max="15866" width="14.44140625" style="3" customWidth="1"/>
    <col min="15867" max="15867" width="7.21875" style="3" customWidth="1"/>
    <col min="15868" max="15868" width="5.5546875" style="3" customWidth="1"/>
    <col min="15869" max="15869" width="9" style="3" customWidth="1"/>
    <col min="15870" max="15871" width="9.77734375" style="3" customWidth="1"/>
    <col min="15872" max="15872" width="11.21875" style="3" customWidth="1"/>
    <col min="15873" max="15873" width="2.77734375" style="3" customWidth="1"/>
    <col min="15874" max="15874" width="3.5546875" style="3" customWidth="1"/>
    <col min="15875" max="16119" width="9.21875" style="3"/>
    <col min="16120" max="16120" width="8.77734375" style="3" customWidth="1"/>
    <col min="16121" max="16121" width="9.77734375" style="3" customWidth="1"/>
    <col min="16122" max="16122" width="14.44140625" style="3" customWidth="1"/>
    <col min="16123" max="16123" width="7.21875" style="3" customWidth="1"/>
    <col min="16124" max="16124" width="5.5546875" style="3" customWidth="1"/>
    <col min="16125" max="16125" width="9" style="3" customWidth="1"/>
    <col min="16126" max="16127" width="9.77734375" style="3" customWidth="1"/>
    <col min="16128" max="16128" width="11.21875" style="3" customWidth="1"/>
    <col min="16129" max="16129" width="2.77734375" style="3" customWidth="1"/>
    <col min="16130" max="16130" width="3.5546875" style="3" customWidth="1"/>
    <col min="16131" max="16384" width="9.21875" style="3"/>
  </cols>
  <sheetData>
    <row r="1" spans="1:8" ht="46.5" customHeight="1" x14ac:dyDescent="0.3">
      <c r="A1" s="133" t="s">
        <v>225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3">
      <c r="A2" s="103" t="s">
        <v>0</v>
      </c>
      <c r="B2" s="103"/>
      <c r="C2" s="103"/>
      <c r="D2" s="103"/>
      <c r="E2" s="103"/>
      <c r="F2" s="103"/>
      <c r="G2" s="103"/>
      <c r="H2" s="103"/>
    </row>
    <row r="3" spans="1:8" x14ac:dyDescent="0.3">
      <c r="A3" s="81" t="s">
        <v>1</v>
      </c>
      <c r="B3" s="81"/>
      <c r="C3" s="81"/>
      <c r="D3" s="81"/>
      <c r="E3" s="134" t="str">
        <f ca="1">TEXT(TODAY(),"DD/MM/YYYY")</f>
        <v>20/08/2025</v>
      </c>
      <c r="F3" s="134"/>
      <c r="G3" s="134"/>
      <c r="H3" s="134"/>
    </row>
    <row r="4" spans="1:8" ht="15" customHeight="1" x14ac:dyDescent="0.3">
      <c r="A4" s="81" t="s">
        <v>2</v>
      </c>
      <c r="B4" s="81"/>
      <c r="C4" s="81"/>
      <c r="D4" s="81"/>
      <c r="E4" s="135" t="s">
        <v>164</v>
      </c>
      <c r="F4" s="135"/>
      <c r="G4" s="135"/>
      <c r="H4" s="135"/>
    </row>
    <row r="5" spans="1:8" x14ac:dyDescent="0.3">
      <c r="A5" s="81" t="s">
        <v>3</v>
      </c>
      <c r="B5" s="81"/>
      <c r="C5" s="81"/>
      <c r="D5" s="81"/>
      <c r="E5" s="134">
        <v>45881</v>
      </c>
      <c r="F5" s="134"/>
      <c r="G5" s="134"/>
      <c r="H5" s="134"/>
    </row>
    <row r="6" spans="1:8" ht="16.5" customHeight="1" x14ac:dyDescent="0.3">
      <c r="A6" s="81" t="s">
        <v>4</v>
      </c>
      <c r="B6" s="81"/>
      <c r="C6" s="81"/>
      <c r="D6" s="81"/>
      <c r="E6" s="86" t="s">
        <v>191</v>
      </c>
      <c r="F6" s="86"/>
      <c r="G6" s="86"/>
      <c r="H6" s="86"/>
    </row>
    <row r="7" spans="1:8" ht="15" customHeight="1" x14ac:dyDescent="0.3">
      <c r="A7" s="81" t="s">
        <v>5</v>
      </c>
      <c r="B7" s="81"/>
      <c r="C7" s="81"/>
      <c r="D7" s="81"/>
      <c r="E7" s="86" t="str">
        <f>E6</f>
        <v>M/s. Shree Dham Developers</v>
      </c>
      <c r="F7" s="86"/>
      <c r="G7" s="86"/>
      <c r="H7" s="86"/>
    </row>
    <row r="8" spans="1:8" x14ac:dyDescent="0.3">
      <c r="A8" s="81" t="s">
        <v>6</v>
      </c>
      <c r="B8" s="81"/>
      <c r="C8" s="81"/>
      <c r="D8" s="81"/>
      <c r="E8" s="119" t="s">
        <v>189</v>
      </c>
      <c r="F8" s="119"/>
      <c r="G8" s="119"/>
      <c r="H8" s="119"/>
    </row>
    <row r="9" spans="1:8" x14ac:dyDescent="0.3">
      <c r="A9" s="81" t="s">
        <v>134</v>
      </c>
      <c r="B9" s="81"/>
      <c r="C9" s="81"/>
      <c r="D9" s="81"/>
      <c r="E9" s="81" t="s">
        <v>190</v>
      </c>
      <c r="F9" s="81"/>
      <c r="G9" s="81"/>
      <c r="H9" s="81"/>
    </row>
    <row r="10" spans="1:8" x14ac:dyDescent="0.3">
      <c r="A10" s="113" t="s">
        <v>195</v>
      </c>
      <c r="B10" s="113"/>
      <c r="C10" s="113"/>
      <c r="D10" s="113"/>
      <c r="E10" s="81" t="s">
        <v>226</v>
      </c>
      <c r="F10" s="81"/>
      <c r="G10" s="81"/>
      <c r="H10" s="81"/>
    </row>
    <row r="11" spans="1:8" x14ac:dyDescent="0.3">
      <c r="A11" s="113" t="s">
        <v>7</v>
      </c>
      <c r="B11" s="113"/>
      <c r="C11" s="113"/>
      <c r="D11" s="113"/>
      <c r="E11" s="113" t="s">
        <v>199</v>
      </c>
      <c r="F11" s="113"/>
      <c r="G11" s="113"/>
      <c r="H11" s="113"/>
    </row>
    <row r="12" spans="1:8" ht="16.5" customHeight="1" x14ac:dyDescent="0.3">
      <c r="A12" s="81" t="s">
        <v>8</v>
      </c>
      <c r="B12" s="81"/>
      <c r="C12" s="81"/>
      <c r="D12" s="81"/>
      <c r="E12" s="112" t="s">
        <v>186</v>
      </c>
      <c r="F12" s="112"/>
      <c r="G12" s="112"/>
      <c r="H12" s="112"/>
    </row>
    <row r="13" spans="1:8" x14ac:dyDescent="0.3">
      <c r="A13" s="81" t="s">
        <v>9</v>
      </c>
      <c r="B13" s="81"/>
      <c r="C13" s="81"/>
      <c r="D13" s="81"/>
      <c r="E13" s="136" t="s">
        <v>165</v>
      </c>
      <c r="F13" s="130"/>
      <c r="G13" s="130"/>
      <c r="H13" s="130"/>
    </row>
    <row r="14" spans="1:8" ht="48.75" customHeight="1" x14ac:dyDescent="0.3">
      <c r="A14" s="86" t="s">
        <v>10</v>
      </c>
      <c r="B14" s="86"/>
      <c r="C14" s="86" t="s">
        <v>169</v>
      </c>
      <c r="D14" s="86"/>
      <c r="E14" s="86"/>
      <c r="F14" s="86"/>
      <c r="G14" s="86"/>
      <c r="H14" s="86"/>
    </row>
    <row r="15" spans="1:8" ht="31.5" customHeight="1" x14ac:dyDescent="0.3">
      <c r="A15" s="136" t="s">
        <v>170</v>
      </c>
      <c r="B15" s="136"/>
      <c r="C15" s="136" t="s">
        <v>188</v>
      </c>
      <c r="D15" s="136"/>
      <c r="E15" s="136"/>
      <c r="F15" s="136"/>
      <c r="G15" s="136"/>
      <c r="H15" s="136"/>
    </row>
    <row r="16" spans="1:8" ht="15.75" customHeight="1" x14ac:dyDescent="0.3">
      <c r="A16" s="86" t="s">
        <v>11</v>
      </c>
      <c r="B16" s="86"/>
      <c r="C16" s="113" t="s">
        <v>171</v>
      </c>
      <c r="D16" s="113"/>
      <c r="E16" s="86" t="s">
        <v>77</v>
      </c>
      <c r="F16" s="86"/>
      <c r="G16" s="112" t="s">
        <v>166</v>
      </c>
      <c r="H16" s="112"/>
    </row>
    <row r="17" spans="1:8" x14ac:dyDescent="0.3">
      <c r="A17" s="81" t="s">
        <v>13</v>
      </c>
      <c r="B17" s="81"/>
      <c r="C17" s="112" t="s">
        <v>187</v>
      </c>
      <c r="D17" s="112"/>
      <c r="E17" s="86" t="s">
        <v>12</v>
      </c>
      <c r="F17" s="86"/>
      <c r="G17" s="137" t="s">
        <v>168</v>
      </c>
      <c r="H17" s="137"/>
    </row>
    <row r="18" spans="1:8" x14ac:dyDescent="0.3">
      <c r="A18" s="81" t="s">
        <v>78</v>
      </c>
      <c r="B18" s="81"/>
      <c r="C18" s="112" t="s">
        <v>167</v>
      </c>
      <c r="D18" s="112"/>
      <c r="E18" s="86" t="s">
        <v>14</v>
      </c>
      <c r="F18" s="86"/>
      <c r="G18" s="112">
        <v>400083</v>
      </c>
      <c r="H18" s="112"/>
    </row>
    <row r="19" spans="1:8" ht="32.25" customHeight="1" x14ac:dyDescent="0.3">
      <c r="A19" s="81" t="s">
        <v>136</v>
      </c>
      <c r="B19" s="81"/>
      <c r="C19" s="138" t="s">
        <v>172</v>
      </c>
      <c r="D19" s="138"/>
      <c r="E19" s="86" t="s">
        <v>15</v>
      </c>
      <c r="F19" s="86"/>
      <c r="G19" s="136" t="s">
        <v>222</v>
      </c>
      <c r="H19" s="136"/>
    </row>
    <row r="20" spans="1:8" ht="15" customHeight="1" x14ac:dyDescent="0.3">
      <c r="A20" s="86" t="s">
        <v>82</v>
      </c>
      <c r="B20" s="86"/>
      <c r="C20" s="86"/>
      <c r="D20" s="86"/>
      <c r="E20" s="113" t="s">
        <v>16</v>
      </c>
      <c r="F20" s="113"/>
      <c r="G20" s="113"/>
      <c r="H20" s="113"/>
    </row>
    <row r="21" spans="1:8" ht="18.75" customHeight="1" x14ac:dyDescent="0.3">
      <c r="A21" s="86"/>
      <c r="B21" s="86"/>
      <c r="C21" s="86"/>
      <c r="D21" s="86"/>
      <c r="E21" s="113"/>
      <c r="F21" s="113"/>
      <c r="G21" s="113"/>
      <c r="H21" s="113"/>
    </row>
    <row r="22" spans="1:8" ht="15" customHeight="1" x14ac:dyDescent="0.3">
      <c r="A22" s="86" t="s">
        <v>17</v>
      </c>
      <c r="B22" s="86"/>
      <c r="C22" s="86"/>
      <c r="D22" s="86"/>
      <c r="E22" s="112" t="s">
        <v>18</v>
      </c>
      <c r="F22" s="112"/>
      <c r="G22" s="112"/>
      <c r="H22" s="112"/>
    </row>
    <row r="23" spans="1:8" ht="15" customHeight="1" x14ac:dyDescent="0.3">
      <c r="A23" s="81" t="s">
        <v>19</v>
      </c>
      <c r="B23" s="81"/>
      <c r="C23" s="81"/>
      <c r="D23" s="81"/>
      <c r="E23" s="112" t="str">
        <f>IF(AND(G17="Mumbai"),"Upper Class","Middle Class")</f>
        <v>Upper Class</v>
      </c>
      <c r="F23" s="112"/>
      <c r="G23" s="112"/>
      <c r="H23" s="112"/>
    </row>
    <row r="24" spans="1:8" x14ac:dyDescent="0.3">
      <c r="A24" s="81" t="s">
        <v>20</v>
      </c>
      <c r="B24" s="81"/>
      <c r="C24" s="81"/>
      <c r="D24" s="81"/>
      <c r="E24" s="112" t="s">
        <v>21</v>
      </c>
      <c r="F24" s="112"/>
      <c r="G24" s="112"/>
      <c r="H24" s="112"/>
    </row>
    <row r="25" spans="1:8" ht="15.75" customHeight="1" x14ac:dyDescent="0.3">
      <c r="A25" s="81" t="s">
        <v>22</v>
      </c>
      <c r="B25" s="81"/>
      <c r="C25" s="81"/>
      <c r="D25" s="81"/>
      <c r="E25" s="112" t="str">
        <f>IF(AND(G17="Mumbai"),"Developed","Developing")</f>
        <v>Developed</v>
      </c>
      <c r="F25" s="112"/>
      <c r="G25" s="112"/>
      <c r="H25" s="112"/>
    </row>
    <row r="26" spans="1:8" x14ac:dyDescent="0.3">
      <c r="A26" s="81" t="s">
        <v>23</v>
      </c>
      <c r="B26" s="81"/>
      <c r="C26" s="81"/>
      <c r="D26" s="81"/>
      <c r="E26" s="112" t="s">
        <v>24</v>
      </c>
      <c r="F26" s="112"/>
      <c r="G26" s="112"/>
      <c r="H26" s="112"/>
    </row>
    <row r="27" spans="1:8" x14ac:dyDescent="0.3">
      <c r="A27" s="81" t="s">
        <v>89</v>
      </c>
      <c r="B27" s="81"/>
      <c r="C27" s="81"/>
      <c r="D27" s="81"/>
      <c r="E27" s="112" t="s">
        <v>90</v>
      </c>
      <c r="F27" s="112"/>
      <c r="G27" s="112"/>
      <c r="H27" s="112"/>
    </row>
    <row r="28" spans="1:8" ht="15" customHeight="1" x14ac:dyDescent="0.3">
      <c r="A28" s="86" t="s">
        <v>33</v>
      </c>
      <c r="B28" s="86"/>
      <c r="C28" s="86"/>
      <c r="D28" s="86"/>
      <c r="E28" s="141" t="str">
        <f>IF(ISNUMBER(SEARCH("Shops",D53)),"Residential + Commercial",IF(SEARCH("Offices",D53),"Residential + Commercial",IF(SEARCH("Flats",D53),"Residential","")))</f>
        <v>Residential + Commercial</v>
      </c>
      <c r="F28" s="141"/>
      <c r="G28" s="141"/>
      <c r="H28" s="141"/>
    </row>
    <row r="29" spans="1:8" x14ac:dyDescent="0.3">
      <c r="A29" s="86" t="s">
        <v>101</v>
      </c>
      <c r="B29" s="86"/>
      <c r="C29" s="86"/>
      <c r="D29" s="86"/>
      <c r="E29" s="86" t="s">
        <v>34</v>
      </c>
      <c r="F29" s="86"/>
      <c r="G29" s="86"/>
      <c r="H29" s="86"/>
    </row>
    <row r="30" spans="1:8" s="6" customFormat="1" x14ac:dyDescent="0.3">
      <c r="A30" s="144" t="s">
        <v>102</v>
      </c>
      <c r="B30" s="144"/>
      <c r="C30" s="143" t="s">
        <v>29</v>
      </c>
      <c r="D30" s="143"/>
      <c r="E30" s="143"/>
      <c r="F30" s="143" t="s">
        <v>31</v>
      </c>
      <c r="G30" s="143"/>
      <c r="H30" s="143"/>
    </row>
    <row r="31" spans="1:8" s="6" customFormat="1" x14ac:dyDescent="0.3">
      <c r="A31" s="139" t="s">
        <v>25</v>
      </c>
      <c r="B31" s="139" t="s">
        <v>30</v>
      </c>
      <c r="C31" s="140" t="s">
        <v>171</v>
      </c>
      <c r="D31" s="140"/>
      <c r="E31" s="140"/>
      <c r="F31" s="140" t="s">
        <v>171</v>
      </c>
      <c r="G31" s="140"/>
      <c r="H31" s="140"/>
    </row>
    <row r="32" spans="1:8" x14ac:dyDescent="0.3">
      <c r="A32" s="139" t="s">
        <v>26</v>
      </c>
      <c r="B32" s="139" t="s">
        <v>30</v>
      </c>
      <c r="C32" s="140" t="s">
        <v>218</v>
      </c>
      <c r="D32" s="140"/>
      <c r="E32" s="140"/>
      <c r="F32" s="140" t="s">
        <v>174</v>
      </c>
      <c r="G32" s="140"/>
      <c r="H32" s="140"/>
    </row>
    <row r="33" spans="1:8" s="6" customFormat="1" x14ac:dyDescent="0.3">
      <c r="A33" s="139" t="s">
        <v>28</v>
      </c>
      <c r="B33" s="139" t="s">
        <v>30</v>
      </c>
      <c r="C33" s="140" t="s">
        <v>218</v>
      </c>
      <c r="D33" s="140"/>
      <c r="E33" s="140"/>
      <c r="F33" s="140" t="s">
        <v>173</v>
      </c>
      <c r="G33" s="140"/>
      <c r="H33" s="140"/>
    </row>
    <row r="34" spans="1:8" x14ac:dyDescent="0.3">
      <c r="A34" s="139" t="s">
        <v>27</v>
      </c>
      <c r="B34" s="139" t="s">
        <v>30</v>
      </c>
      <c r="C34" s="140" t="s">
        <v>218</v>
      </c>
      <c r="D34" s="140"/>
      <c r="E34" s="140"/>
      <c r="F34" s="140" t="s">
        <v>172</v>
      </c>
      <c r="G34" s="140"/>
      <c r="H34" s="140"/>
    </row>
    <row r="35" spans="1:8" x14ac:dyDescent="0.3">
      <c r="A35" s="81" t="s">
        <v>32</v>
      </c>
      <c r="B35" s="81"/>
      <c r="C35" s="81"/>
      <c r="D35" s="81"/>
      <c r="E35" s="81"/>
      <c r="F35" s="81"/>
      <c r="G35" s="81"/>
      <c r="H35" s="81"/>
    </row>
    <row r="36" spans="1:8" ht="15.75" customHeight="1" x14ac:dyDescent="0.3">
      <c r="A36" s="81" t="s">
        <v>197</v>
      </c>
      <c r="B36" s="81"/>
      <c r="C36" s="147" t="s">
        <v>220</v>
      </c>
      <c r="D36" s="146"/>
      <c r="E36" s="146"/>
      <c r="F36" s="146"/>
      <c r="G36" s="146"/>
      <c r="H36" s="146"/>
    </row>
    <row r="37" spans="1:8" ht="15.75" customHeight="1" x14ac:dyDescent="0.3">
      <c r="A37" s="81" t="s">
        <v>196</v>
      </c>
      <c r="B37" s="81"/>
      <c r="C37" s="145" t="s">
        <v>221</v>
      </c>
      <c r="D37" s="146"/>
      <c r="E37" s="146"/>
      <c r="F37" s="146"/>
      <c r="G37" s="146"/>
      <c r="H37" s="146"/>
    </row>
    <row r="38" spans="1:8" x14ac:dyDescent="0.3">
      <c r="A38" s="119" t="s">
        <v>35</v>
      </c>
      <c r="B38" s="119"/>
      <c r="C38" s="119"/>
      <c r="D38" s="119"/>
      <c r="E38" s="119"/>
      <c r="F38" s="119"/>
      <c r="G38" s="119"/>
      <c r="H38" s="119"/>
    </row>
    <row r="39" spans="1:8" x14ac:dyDescent="0.3">
      <c r="A39" s="81" t="s">
        <v>36</v>
      </c>
      <c r="B39" s="81"/>
      <c r="C39" s="81"/>
      <c r="D39" s="81"/>
      <c r="E39" s="142">
        <v>827.64</v>
      </c>
      <c r="F39" s="142"/>
      <c r="G39" s="142"/>
      <c r="H39" s="142"/>
    </row>
    <row r="40" spans="1:8" x14ac:dyDescent="0.3">
      <c r="A40" s="81" t="s">
        <v>37</v>
      </c>
      <c r="B40" s="81"/>
      <c r="C40" s="81"/>
      <c r="D40" s="81"/>
      <c r="E40" s="80">
        <f>1658.34/E39</f>
        <v>2.0036972596781211</v>
      </c>
      <c r="F40" s="80"/>
      <c r="G40" s="80"/>
      <c r="H40" s="80"/>
    </row>
    <row r="41" spans="1:8" x14ac:dyDescent="0.3">
      <c r="A41" s="81" t="s">
        <v>38</v>
      </c>
      <c r="B41" s="81"/>
      <c r="C41" s="81"/>
      <c r="D41" s="81"/>
      <c r="E41" s="80">
        <f>E43/E39-E40</f>
        <v>5.812853414528055</v>
      </c>
      <c r="F41" s="80"/>
      <c r="G41" s="80"/>
      <c r="H41" s="80"/>
    </row>
    <row r="42" spans="1:8" x14ac:dyDescent="0.3">
      <c r="A42" s="81" t="s">
        <v>39</v>
      </c>
      <c r="B42" s="81"/>
      <c r="C42" s="81"/>
      <c r="D42" s="81"/>
      <c r="E42" s="80">
        <f>E40+E41</f>
        <v>7.8165506742061766</v>
      </c>
      <c r="F42" s="80"/>
      <c r="G42" s="80"/>
      <c r="H42" s="80"/>
    </row>
    <row r="43" spans="1:8" x14ac:dyDescent="0.3">
      <c r="A43" s="81" t="s">
        <v>100</v>
      </c>
      <c r="B43" s="81"/>
      <c r="C43" s="81"/>
      <c r="D43" s="81"/>
      <c r="E43" s="129">
        <v>6469.29</v>
      </c>
      <c r="F43" s="129"/>
      <c r="G43" s="129"/>
      <c r="H43" s="129"/>
    </row>
    <row r="44" spans="1:8" x14ac:dyDescent="0.3">
      <c r="A44" s="113" t="s">
        <v>40</v>
      </c>
      <c r="B44" s="113"/>
      <c r="C44" s="113"/>
      <c r="D44" s="113"/>
      <c r="E44" s="130" t="s">
        <v>135</v>
      </c>
      <c r="F44" s="130"/>
      <c r="G44" s="130"/>
      <c r="H44" s="130"/>
    </row>
    <row r="45" spans="1:8" x14ac:dyDescent="0.3">
      <c r="A45" s="119" t="s">
        <v>41</v>
      </c>
      <c r="B45" s="119"/>
      <c r="C45" s="119"/>
      <c r="D45" s="119"/>
      <c r="E45" s="119"/>
      <c r="F45" s="119"/>
      <c r="G45" s="119"/>
      <c r="H45" s="119"/>
    </row>
    <row r="46" spans="1:8" x14ac:dyDescent="0.3">
      <c r="A46" s="86" t="s">
        <v>42</v>
      </c>
      <c r="B46" s="86"/>
      <c r="C46" s="87" t="s">
        <v>207</v>
      </c>
      <c r="D46" s="87"/>
      <c r="E46" s="87"/>
      <c r="F46" s="47" t="s">
        <v>43</v>
      </c>
      <c r="G46" s="88">
        <v>45328</v>
      </c>
      <c r="H46" s="88"/>
    </row>
    <row r="47" spans="1:8" x14ac:dyDescent="0.3">
      <c r="A47" s="81" t="s">
        <v>44</v>
      </c>
      <c r="B47" s="81"/>
      <c r="C47" s="87" t="str">
        <f>C46</f>
        <v>Mhada-8/309/2024</v>
      </c>
      <c r="D47" s="87"/>
      <c r="E47" s="87"/>
      <c r="F47" s="47" t="s">
        <v>43</v>
      </c>
      <c r="G47" s="88">
        <f>G46</f>
        <v>45328</v>
      </c>
      <c r="H47" s="88"/>
    </row>
    <row r="48" spans="1:8" s="5" customFormat="1" ht="35.25" customHeight="1" x14ac:dyDescent="0.3">
      <c r="A48" s="112" t="s">
        <v>202</v>
      </c>
      <c r="B48" s="112"/>
      <c r="C48" s="87" t="s">
        <v>204</v>
      </c>
      <c r="D48" s="101"/>
      <c r="E48" s="101"/>
      <c r="F48" s="8" t="s">
        <v>43</v>
      </c>
      <c r="G48" s="88">
        <v>45411</v>
      </c>
      <c r="H48" s="88"/>
    </row>
    <row r="49" spans="1:14" s="5" customFormat="1" ht="96" customHeight="1" x14ac:dyDescent="0.3">
      <c r="A49" s="112"/>
      <c r="B49" s="112"/>
      <c r="C49" s="82" t="s">
        <v>205</v>
      </c>
      <c r="D49" s="83"/>
      <c r="E49" s="83"/>
      <c r="F49" s="49" t="s">
        <v>201</v>
      </c>
      <c r="G49" s="84">
        <v>45648</v>
      </c>
      <c r="H49" s="85"/>
    </row>
    <row r="50" spans="1:14" x14ac:dyDescent="0.3">
      <c r="A50" s="109" t="s">
        <v>45</v>
      </c>
      <c r="B50" s="109"/>
      <c r="C50" s="110" t="s">
        <v>193</v>
      </c>
      <c r="D50" s="95"/>
      <c r="E50" s="95" t="s">
        <v>46</v>
      </c>
      <c r="F50" s="48" t="s">
        <v>43</v>
      </c>
      <c r="G50" s="114" t="s">
        <v>30</v>
      </c>
      <c r="H50" s="114"/>
    </row>
    <row r="51" spans="1:14" x14ac:dyDescent="0.3">
      <c r="A51" s="111" t="s">
        <v>48</v>
      </c>
      <c r="B51" s="111"/>
      <c r="C51" s="111"/>
      <c r="D51" s="111"/>
      <c r="E51" s="111"/>
      <c r="F51" s="111"/>
      <c r="G51" s="111"/>
      <c r="H51" s="111"/>
    </row>
    <row r="52" spans="1:14" x14ac:dyDescent="0.3">
      <c r="A52" s="86" t="s">
        <v>99</v>
      </c>
      <c r="B52" s="86"/>
      <c r="C52" s="86"/>
      <c r="D52" s="81">
        <f>E43</f>
        <v>6469.29</v>
      </c>
      <c r="E52" s="81"/>
      <c r="F52" s="81"/>
      <c r="G52" s="81"/>
      <c r="H52" s="81"/>
    </row>
    <row r="53" spans="1:14" x14ac:dyDescent="0.3">
      <c r="A53" s="112" t="s">
        <v>49</v>
      </c>
      <c r="B53" s="113"/>
      <c r="C53" s="113"/>
      <c r="D53" s="113" t="s">
        <v>217</v>
      </c>
      <c r="E53" s="113"/>
      <c r="F53" s="113"/>
      <c r="G53" s="113"/>
      <c r="H53" s="113"/>
      <c r="I53" s="34"/>
    </row>
    <row r="54" spans="1:14" x14ac:dyDescent="0.3">
      <c r="A54" s="104" t="s">
        <v>50</v>
      </c>
      <c r="B54" s="105"/>
      <c r="C54" s="132"/>
      <c r="D54" s="131" t="s">
        <v>200</v>
      </c>
      <c r="E54" s="131"/>
      <c r="F54" s="131"/>
      <c r="G54" s="131"/>
      <c r="H54" s="131"/>
    </row>
    <row r="55" spans="1:14" x14ac:dyDescent="0.3">
      <c r="A55" s="104" t="s">
        <v>97</v>
      </c>
      <c r="B55" s="105"/>
      <c r="C55" s="105"/>
      <c r="D55" s="106" t="s">
        <v>200</v>
      </c>
      <c r="E55" s="107"/>
      <c r="F55" s="107"/>
      <c r="G55" s="107"/>
      <c r="H55" s="108"/>
    </row>
    <row r="56" spans="1:14" ht="15.75" customHeight="1" x14ac:dyDescent="0.3">
      <c r="A56" s="81" t="s">
        <v>47</v>
      </c>
      <c r="B56" s="81"/>
      <c r="C56" s="81"/>
      <c r="D56" s="86" t="s">
        <v>227</v>
      </c>
      <c r="E56" s="86"/>
      <c r="F56" s="86"/>
      <c r="G56" s="86"/>
      <c r="H56" s="86"/>
      <c r="J56" s="33"/>
      <c r="K56" s="34"/>
      <c r="N56" s="34"/>
    </row>
    <row r="57" spans="1:14" ht="15.75" customHeight="1" x14ac:dyDescent="0.3">
      <c r="A57" s="81" t="s">
        <v>95</v>
      </c>
      <c r="B57" s="81"/>
      <c r="C57" s="81"/>
      <c r="D57" s="128" t="str">
        <f>(IF(G50="NA","60 Years After Completion",IF(G50&lt;&gt;"NA",""&amp;60-ROUNDDOWN((E3-G50)/360,0)&amp;" Years"," ")))</f>
        <v>60 Years After Completion</v>
      </c>
      <c r="E57" s="128"/>
      <c r="F57" s="128"/>
      <c r="G57" s="128"/>
      <c r="H57" s="128"/>
      <c r="N57" s="34"/>
    </row>
    <row r="58" spans="1:14" ht="15.75" customHeight="1" x14ac:dyDescent="0.3">
      <c r="A58" s="81" t="s">
        <v>96</v>
      </c>
      <c r="B58" s="81"/>
      <c r="C58" s="81"/>
      <c r="D58" s="86" t="s">
        <v>24</v>
      </c>
      <c r="E58" s="86"/>
      <c r="F58" s="86"/>
      <c r="G58" s="86"/>
      <c r="H58" s="86"/>
      <c r="J58" s="13"/>
      <c r="K58" s="13">
        <f>22*0.5</f>
        <v>11</v>
      </c>
    </row>
    <row r="59" spans="1:14" ht="15" customHeight="1" x14ac:dyDescent="0.3">
      <c r="A59" s="81" t="s">
        <v>79</v>
      </c>
      <c r="B59" s="81"/>
      <c r="C59" s="81"/>
      <c r="D59" s="112" t="s">
        <v>198</v>
      </c>
      <c r="E59" s="86"/>
      <c r="F59" s="86"/>
      <c r="G59" s="86"/>
      <c r="H59" s="86"/>
    </row>
    <row r="60" spans="1:14" x14ac:dyDescent="0.3">
      <c r="A60" s="86" t="s">
        <v>162</v>
      </c>
      <c r="B60" s="86"/>
      <c r="C60" s="86"/>
      <c r="D60" s="86" t="s">
        <v>30</v>
      </c>
      <c r="E60" s="86"/>
      <c r="F60" s="86"/>
      <c r="G60" s="86"/>
      <c r="H60" s="86"/>
      <c r="I60" s="37"/>
      <c r="J60" s="37"/>
      <c r="K60" s="37"/>
      <c r="L60" s="37"/>
      <c r="M60" s="37"/>
      <c r="N60" s="37"/>
    </row>
    <row r="61" spans="1:14" ht="15.75" customHeight="1" x14ac:dyDescent="0.3">
      <c r="A61" s="81" t="s">
        <v>94</v>
      </c>
      <c r="B61" s="81"/>
      <c r="C61" s="81"/>
      <c r="D61" s="112" t="str">
        <f ca="1">(IF(G67&gt;95%,"Nothing",IF(G67&gt;0%,"Cement, Aggregate, Steel, etc",IF(G67=0%,"Work not yet Started"))))</f>
        <v>Cement, Aggregate, Steel, etc</v>
      </c>
      <c r="E61" s="112"/>
      <c r="F61" s="112"/>
      <c r="G61" s="112"/>
      <c r="H61" s="112"/>
      <c r="J61" s="13"/>
    </row>
    <row r="62" spans="1:14" ht="33.75" customHeight="1" thickBot="1" x14ac:dyDescent="0.35">
      <c r="A62" s="86" t="s">
        <v>129</v>
      </c>
      <c r="B62" s="86"/>
      <c r="C62" s="86"/>
      <c r="D62" s="112" t="str">
        <f ca="1">(IF(D61="Nothing","Yes",IF(D61="Cement, Aggregate, Steel, etc","Under Construction",IF(D61="Work not yet Started","Work not yet Started"))))</f>
        <v>Under Construction</v>
      </c>
      <c r="E62" s="112"/>
      <c r="F62" s="112" t="str">
        <f ca="1">(IF(D61="Nothing","Yes",IF(D61="Cement, Aggregate, Steel, etc","Under Construction",IF(D61="Work not yet Started","Work not yet Started"))))</f>
        <v>Under Construction</v>
      </c>
      <c r="G62" s="112"/>
      <c r="H62" s="112"/>
    </row>
    <row r="63" spans="1:14" ht="15.75" customHeight="1" x14ac:dyDescent="0.3">
      <c r="A63" s="126" t="s">
        <v>154</v>
      </c>
      <c r="B63" s="126"/>
      <c r="C63" s="126" t="str">
        <f>D55</f>
        <v>Building No.13 = G + 1st to 22nd Floor</v>
      </c>
      <c r="D63" s="126"/>
      <c r="E63" s="126"/>
      <c r="F63" s="126"/>
      <c r="G63" s="126"/>
      <c r="H63" s="126"/>
      <c r="I63" s="36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Slab",IF(C69&gt;0,", RCC upto "&amp;C69&amp;" Slab",""))&amp;(IF(C70=H64,", Brickwork",IF(C70&gt;0,", Brickwork upto "&amp;C70&amp;" Floor",""))&amp;(IF(C71=H64,", Internal Plaster",IF(C71&gt;0,", Internal Plaster upto "&amp;C71&amp;" Floor",""))&amp;(IF(C72=H64,", External Plaster",IF(C72&gt;0,", External Plaster upto "&amp;C72&amp;" Floor",""))&amp;(IF(C73=H64,", Flooring",IF(C73&gt;0,", Flooring upto "&amp;C73&amp;" Floor",""))&amp;(IF(C74=H64,", Painting",IF(C74&gt;0,", Painting upto "&amp;C74&amp;" Floor",""))&amp;(IF(C75&gt;0,", Finishing upto "&amp;C75&amp;" Floor","")&amp;(IF(C69&gt;0.5," Completed",""))))))))))))))</f>
        <v>Excavation work Completed. Plinth work completed, RCC Slab, Brickwork, Internal Plaster upto 19 Floor, External Plaster upto 18 Floor, Flooring upto 12 Floor, Painting upto 2 Floor Completed</v>
      </c>
      <c r="J63" s="15"/>
    </row>
    <row r="64" spans="1:14" x14ac:dyDescent="0.3">
      <c r="A64" s="38" t="s">
        <v>156</v>
      </c>
      <c r="B64" s="38">
        <v>0</v>
      </c>
      <c r="C64" s="38" t="s">
        <v>76</v>
      </c>
      <c r="D64" s="38">
        <v>1</v>
      </c>
      <c r="E64" s="38" t="s">
        <v>75</v>
      </c>
      <c r="F64" s="38">
        <v>0</v>
      </c>
      <c r="G64" s="38" t="s">
        <v>88</v>
      </c>
      <c r="H64" s="38">
        <f ca="1">--TRIM(RIGHT(SUBSTITUTE(LEFT(C63,_xlfn.AGGREGATE(16,6,FIND({0,1,2,3,4,5,6,7,8,9},C63,ROW(INDIRECT("1:"&amp;LEN(C63)))),1))," ",REPT(" ",LEN(C63))),LEN(C63)))</f>
        <v>22</v>
      </c>
      <c r="I64" s="13"/>
      <c r="J64" s="16"/>
    </row>
    <row r="65" spans="1:10" ht="50.25" customHeight="1" x14ac:dyDescent="0.3">
      <c r="A65" s="125" t="s">
        <v>98</v>
      </c>
      <c r="B65" s="125"/>
      <c r="C65" s="109" t="str">
        <f ca="1">I63</f>
        <v>Excavation work Completed. Plinth work completed, RCC Slab, Brickwork, Internal Plaster upto 19 Floor, External Plaster upto 18 Floor, Flooring upto 12 Floor, Painting upto 2 Floor Completed</v>
      </c>
      <c r="D65" s="109"/>
      <c r="E65" s="109"/>
      <c r="F65" s="109"/>
      <c r="G65" s="109"/>
      <c r="H65" s="109"/>
      <c r="I65" s="13" t="s">
        <v>116</v>
      </c>
      <c r="J65" s="16"/>
    </row>
    <row r="66" spans="1:10" ht="15.75" customHeight="1" x14ac:dyDescent="0.3">
      <c r="A66" s="94" t="s">
        <v>51</v>
      </c>
      <c r="B66" s="94"/>
      <c r="C66" s="53" t="s">
        <v>153</v>
      </c>
      <c r="D66" s="53" t="s">
        <v>91</v>
      </c>
      <c r="E66" s="94" t="s">
        <v>93</v>
      </c>
      <c r="F66" s="94"/>
      <c r="G66" s="94" t="s">
        <v>92</v>
      </c>
      <c r="H66" s="94"/>
      <c r="I66" s="39" t="s">
        <v>155</v>
      </c>
      <c r="J66" s="17">
        <f ca="1">H64*25%</f>
        <v>5.5</v>
      </c>
    </row>
    <row r="67" spans="1:10" x14ac:dyDescent="0.3">
      <c r="A67" s="94" t="s">
        <v>142</v>
      </c>
      <c r="B67" s="94"/>
      <c r="C67" s="40">
        <f ca="1">J68</f>
        <v>22</v>
      </c>
      <c r="D67" s="54">
        <f ca="1">((100/H64)*C67)/100</f>
        <v>1.0000000000000002</v>
      </c>
      <c r="E67" s="127">
        <f ca="1">(((C68/H64*10)+(40/(D64+F64+H64)*C69)+(7.5/(H64)*C70)+(7.5/(H64)*C71)+(10/H64*C72)+(10/H64*C73)+(5/H64*C74)+(5/H64*C75)+(5/H64*C76))/100)</f>
        <v>0.78068181818181814</v>
      </c>
      <c r="F67" s="127"/>
      <c r="G67" s="127">
        <f ca="1">((((C67/H64)*20)+((C68/H64)*25)+(30/(H64+F64+D64)*C69)+(5/H64*C70)+(5/H64*C71)+(5/H64*C72)+(5/H64*C73)+(0/H64*C74)+(0/H64*C75)+(5/H64*C76))/100)</f>
        <v>0.91136363636363638</v>
      </c>
      <c r="H67" s="127"/>
      <c r="I67" s="39" t="s">
        <v>111</v>
      </c>
      <c r="J67" s="41">
        <f ca="1">H64*50%</f>
        <v>11</v>
      </c>
    </row>
    <row r="68" spans="1:10" x14ac:dyDescent="0.3">
      <c r="A68" s="94" t="s">
        <v>52</v>
      </c>
      <c r="B68" s="94"/>
      <c r="C68" s="42">
        <f ca="1">J76</f>
        <v>22</v>
      </c>
      <c r="D68" s="54">
        <f ca="1">((100/H64)*C68)/100</f>
        <v>1.0000000000000002</v>
      </c>
      <c r="E68" s="127"/>
      <c r="F68" s="127"/>
      <c r="G68" s="127"/>
      <c r="H68" s="127"/>
      <c r="I68" s="39" t="s">
        <v>112</v>
      </c>
      <c r="J68" s="41">
        <f ca="1">H64</f>
        <v>22</v>
      </c>
    </row>
    <row r="69" spans="1:10" ht="15.75" customHeight="1" x14ac:dyDescent="0.3">
      <c r="A69" s="94" t="s">
        <v>143</v>
      </c>
      <c r="B69" s="94"/>
      <c r="C69" s="42">
        <v>23</v>
      </c>
      <c r="D69" s="54">
        <f ca="1">((100/(D64+F64+H64))*C69)/100</f>
        <v>1</v>
      </c>
      <c r="E69" s="127"/>
      <c r="F69" s="127"/>
      <c r="G69" s="127"/>
      <c r="H69" s="127"/>
      <c r="I69" s="39" t="s">
        <v>113</v>
      </c>
      <c r="J69" s="43">
        <f ca="1">(IF(B64&gt;1,(H64/(B64+2)),H64/4))</f>
        <v>5.5</v>
      </c>
    </row>
    <row r="70" spans="1:10" ht="15.75" customHeight="1" x14ac:dyDescent="0.3">
      <c r="A70" s="94" t="s">
        <v>150</v>
      </c>
      <c r="B70" s="94" t="s">
        <v>144</v>
      </c>
      <c r="C70" s="40">
        <v>22</v>
      </c>
      <c r="D70" s="54">
        <f ca="1">((100/H64)*C70)/100</f>
        <v>1.0000000000000002</v>
      </c>
      <c r="E70" s="127"/>
      <c r="F70" s="127"/>
      <c r="G70" s="127"/>
      <c r="H70" s="127"/>
      <c r="I70" s="39" t="s">
        <v>114</v>
      </c>
      <c r="J70" s="43">
        <f ca="1">(IF(B64&gt;1,(H64/(B64+2)+J69),H64/4+J69))</f>
        <v>11</v>
      </c>
    </row>
    <row r="71" spans="1:10" ht="15.75" customHeight="1" x14ac:dyDescent="0.3">
      <c r="A71" s="94" t="s">
        <v>151</v>
      </c>
      <c r="B71" s="94" t="s">
        <v>144</v>
      </c>
      <c r="C71" s="40">
        <v>19</v>
      </c>
      <c r="D71" s="54">
        <f ca="1">((100/H64)*C71)/100</f>
        <v>0.86363636363636376</v>
      </c>
      <c r="E71" s="127"/>
      <c r="F71" s="127"/>
      <c r="G71" s="127"/>
      <c r="H71" s="127"/>
      <c r="I71" s="39" t="s">
        <v>160</v>
      </c>
      <c r="J71" s="43">
        <f>(IF(B64&gt;1,(H64/(B64+2)+J70),0))</f>
        <v>0</v>
      </c>
    </row>
    <row r="72" spans="1:10" ht="15" customHeight="1" x14ac:dyDescent="0.3">
      <c r="A72" s="94" t="s">
        <v>149</v>
      </c>
      <c r="B72" s="94" t="s">
        <v>146</v>
      </c>
      <c r="C72" s="40">
        <v>18</v>
      </c>
      <c r="D72" s="54">
        <f ca="1">((100/(H64))*C72)/100</f>
        <v>0.81818181818181823</v>
      </c>
      <c r="E72" s="127"/>
      <c r="F72" s="127"/>
      <c r="G72" s="127"/>
      <c r="H72" s="127"/>
      <c r="I72" s="39" t="s">
        <v>157</v>
      </c>
      <c r="J72" s="43">
        <f>(IF(B64&gt;2,(H64/(B64+2)+J71),0))</f>
        <v>0</v>
      </c>
    </row>
    <row r="73" spans="1:10" ht="15.75" customHeight="1" x14ac:dyDescent="0.3">
      <c r="A73" s="94" t="s">
        <v>145</v>
      </c>
      <c r="B73" s="94" t="s">
        <v>145</v>
      </c>
      <c r="C73" s="40">
        <v>12</v>
      </c>
      <c r="D73" s="54">
        <f ca="1">((100/H64)*C73)/100</f>
        <v>0.54545454545454541</v>
      </c>
      <c r="E73" s="127"/>
      <c r="F73" s="127"/>
      <c r="G73" s="127"/>
      <c r="H73" s="127"/>
      <c r="I73" s="39" t="s">
        <v>158</v>
      </c>
      <c r="J73" s="44">
        <f>(IF(B64&gt;3,(H64/(B64+2)+J72),0))</f>
        <v>0</v>
      </c>
    </row>
    <row r="74" spans="1:10" ht="15.75" customHeight="1" x14ac:dyDescent="0.3">
      <c r="A74" s="94" t="s">
        <v>152</v>
      </c>
      <c r="B74" s="94"/>
      <c r="C74" s="40">
        <v>2</v>
      </c>
      <c r="D74" s="54">
        <f ca="1">((100/H64)*C74)/100</f>
        <v>9.0909090909090912E-2</v>
      </c>
      <c r="E74" s="127"/>
      <c r="F74" s="127"/>
      <c r="G74" s="127"/>
      <c r="H74" s="127"/>
      <c r="I74" s="39" t="s">
        <v>159</v>
      </c>
      <c r="J74" s="43">
        <f>(IF(B64&gt;4,(H64/(B64+2)+J73),0))</f>
        <v>0</v>
      </c>
    </row>
    <row r="75" spans="1:10" ht="15.75" customHeight="1" x14ac:dyDescent="0.3">
      <c r="A75" s="94" t="s">
        <v>147</v>
      </c>
      <c r="B75" s="94" t="s">
        <v>147</v>
      </c>
      <c r="C75" s="40">
        <v>0</v>
      </c>
      <c r="D75" s="54">
        <f ca="1">((100/(H64))*C75)/100</f>
        <v>0</v>
      </c>
      <c r="E75" s="127"/>
      <c r="F75" s="127"/>
      <c r="G75" s="127"/>
      <c r="H75" s="127"/>
      <c r="I75" s="39" t="s">
        <v>161</v>
      </c>
      <c r="J75" s="43">
        <f ca="1">(IF(B64=1,(H64/(B64+3)+J70),IF(B64=0,(H64/4+J70),IF(B64&gt;1,0))))</f>
        <v>16.5</v>
      </c>
    </row>
    <row r="76" spans="1:10" ht="16.2" thickBot="1" x14ac:dyDescent="0.35">
      <c r="A76" s="94" t="s">
        <v>148</v>
      </c>
      <c r="B76" s="94"/>
      <c r="C76" s="40">
        <v>0</v>
      </c>
      <c r="D76" s="54">
        <f ca="1">((100/(H64))*C76)/100</f>
        <v>0</v>
      </c>
      <c r="E76" s="127"/>
      <c r="F76" s="127"/>
      <c r="G76" s="127"/>
      <c r="H76" s="127"/>
      <c r="I76" s="45" t="s">
        <v>115</v>
      </c>
      <c r="J76" s="46">
        <f ca="1">(IF(B64&gt;1.5,(H64/(B64+2)+J70+MAX(0,J71-J70)+MAX(0,J72-J71)+MAX(0,J73-J72)+MAX(0,J74-J73)+MAX(0,J75-J74)),IF(B64=1,(H64/(B64+3)+J75),IF(B64=0,H64/4+J75))))</f>
        <v>22</v>
      </c>
    </row>
    <row r="77" spans="1:10" x14ac:dyDescent="0.3">
      <c r="A77" s="96" t="s">
        <v>53</v>
      </c>
      <c r="B77" s="96"/>
      <c r="C77" s="96"/>
      <c r="D77" s="96"/>
      <c r="E77" s="96"/>
      <c r="F77" s="96"/>
      <c r="G77" s="96"/>
      <c r="H77" s="96"/>
    </row>
    <row r="78" spans="1:10" x14ac:dyDescent="0.3">
      <c r="A78" s="81" t="s">
        <v>80</v>
      </c>
      <c r="B78" s="81"/>
      <c r="C78" s="81"/>
      <c r="D78" s="81"/>
      <c r="E78" s="81"/>
      <c r="F78" s="95">
        <v>12800</v>
      </c>
      <c r="G78" s="95"/>
      <c r="H78" s="95"/>
    </row>
    <row r="79" spans="1:10" x14ac:dyDescent="0.3">
      <c r="A79" s="81" t="s">
        <v>86</v>
      </c>
      <c r="B79" s="81"/>
      <c r="C79" s="81"/>
      <c r="D79" s="81"/>
      <c r="E79" s="81"/>
      <c r="F79" s="101">
        <v>22000</v>
      </c>
      <c r="G79" s="101"/>
      <c r="H79" s="101"/>
    </row>
    <row r="80" spans="1:10" hidden="1" x14ac:dyDescent="0.3">
      <c r="A80" s="81" t="s">
        <v>87</v>
      </c>
      <c r="B80" s="81"/>
      <c r="C80" s="81"/>
      <c r="D80" s="81"/>
      <c r="E80" s="81"/>
      <c r="F80" s="101"/>
      <c r="G80" s="101"/>
      <c r="H80" s="101"/>
    </row>
    <row r="81" spans="1:8" s="7" customFormat="1" hidden="1" x14ac:dyDescent="0.25">
      <c r="A81" s="81" t="s">
        <v>103</v>
      </c>
      <c r="B81" s="81"/>
      <c r="C81" s="81"/>
      <c r="D81" s="81"/>
      <c r="E81" s="81"/>
      <c r="F81" s="101" t="s">
        <v>30</v>
      </c>
      <c r="G81" s="101"/>
      <c r="H81" s="101"/>
    </row>
    <row r="82" spans="1:8" s="7" customFormat="1" hidden="1" x14ac:dyDescent="0.25">
      <c r="A82" s="81" t="s">
        <v>104</v>
      </c>
      <c r="B82" s="81"/>
      <c r="C82" s="81"/>
      <c r="D82" s="81"/>
      <c r="E82" s="81"/>
      <c r="F82" s="101" t="s">
        <v>30</v>
      </c>
      <c r="G82" s="101"/>
      <c r="H82" s="101"/>
    </row>
    <row r="83" spans="1:8" s="7" customFormat="1" hidden="1" x14ac:dyDescent="0.25">
      <c r="A83" s="81" t="s">
        <v>105</v>
      </c>
      <c r="B83" s="81"/>
      <c r="C83" s="81"/>
      <c r="D83" s="81"/>
      <c r="E83" s="81"/>
      <c r="F83" s="101" t="s">
        <v>30</v>
      </c>
      <c r="G83" s="101"/>
      <c r="H83" s="101"/>
    </row>
    <row r="84" spans="1:8" s="7" customFormat="1" hidden="1" x14ac:dyDescent="0.25">
      <c r="A84" s="81" t="s">
        <v>106</v>
      </c>
      <c r="B84" s="81"/>
      <c r="C84" s="81"/>
      <c r="D84" s="81"/>
      <c r="E84" s="81"/>
      <c r="F84" s="101" t="s">
        <v>30</v>
      </c>
      <c r="G84" s="101"/>
      <c r="H84" s="101"/>
    </row>
    <row r="85" spans="1:8" s="7" customFormat="1" hidden="1" x14ac:dyDescent="0.25">
      <c r="A85" s="81" t="s">
        <v>107</v>
      </c>
      <c r="B85" s="81"/>
      <c r="C85" s="81"/>
      <c r="D85" s="81"/>
      <c r="E85" s="81"/>
      <c r="F85" s="101" t="s">
        <v>30</v>
      </c>
      <c r="G85" s="101"/>
      <c r="H85" s="101"/>
    </row>
    <row r="86" spans="1:8" s="7" customFormat="1" hidden="1" x14ac:dyDescent="0.25">
      <c r="A86" s="81" t="s">
        <v>108</v>
      </c>
      <c r="B86" s="81"/>
      <c r="C86" s="81"/>
      <c r="D86" s="81"/>
      <c r="E86" s="81"/>
      <c r="F86" s="101" t="s">
        <v>30</v>
      </c>
      <c r="G86" s="101"/>
      <c r="H86" s="101"/>
    </row>
    <row r="87" spans="1:8" s="7" customFormat="1" hidden="1" x14ac:dyDescent="0.25">
      <c r="A87" s="81" t="s">
        <v>109</v>
      </c>
      <c r="B87" s="81"/>
      <c r="C87" s="81"/>
      <c r="D87" s="81"/>
      <c r="E87" s="81"/>
      <c r="F87" s="101" t="s">
        <v>30</v>
      </c>
      <c r="G87" s="101"/>
      <c r="H87" s="101"/>
    </row>
    <row r="88" spans="1:8" s="7" customFormat="1" hidden="1" x14ac:dyDescent="0.25">
      <c r="A88" s="81" t="s">
        <v>110</v>
      </c>
      <c r="B88" s="81"/>
      <c r="C88" s="81"/>
      <c r="D88" s="81"/>
      <c r="E88" s="81"/>
      <c r="F88" s="101" t="s">
        <v>30</v>
      </c>
      <c r="G88" s="101"/>
      <c r="H88" s="101"/>
    </row>
    <row r="89" spans="1:8" x14ac:dyDescent="0.3">
      <c r="A89" s="81" t="s">
        <v>54</v>
      </c>
      <c r="B89" s="81"/>
      <c r="C89" s="81"/>
      <c r="D89" s="81"/>
      <c r="E89" s="81"/>
      <c r="F89" s="87" t="s">
        <v>194</v>
      </c>
      <c r="G89" s="87"/>
      <c r="H89" s="87"/>
    </row>
    <row r="90" spans="1:8" s="4" customFormat="1" x14ac:dyDescent="0.3">
      <c r="A90" s="119" t="s">
        <v>55</v>
      </c>
      <c r="B90" s="119"/>
      <c r="C90" s="119"/>
      <c r="D90" s="119"/>
      <c r="E90" s="119"/>
      <c r="F90" s="101">
        <f>F78*0.8</f>
        <v>10240</v>
      </c>
      <c r="G90" s="101"/>
      <c r="H90" s="101"/>
    </row>
    <row r="91" spans="1:8" s="1" customFormat="1" ht="15.75" customHeight="1" x14ac:dyDescent="0.3">
      <c r="A91" s="118" t="s">
        <v>81</v>
      </c>
      <c r="B91" s="118"/>
      <c r="C91" s="118"/>
      <c r="D91" s="118"/>
      <c r="E91" s="118"/>
      <c r="F91" s="118"/>
      <c r="G91" s="118"/>
      <c r="H91" s="118"/>
    </row>
    <row r="92" spans="1:8" s="1" customFormat="1" ht="15.75" customHeight="1" x14ac:dyDescent="0.3">
      <c r="A92" s="91" t="s">
        <v>56</v>
      </c>
      <c r="B92" s="91"/>
      <c r="C92" s="102" t="s">
        <v>84</v>
      </c>
      <c r="D92" s="102"/>
      <c r="E92" s="99" t="s">
        <v>57</v>
      </c>
      <c r="F92" s="99"/>
      <c r="G92" s="91" t="s">
        <v>58</v>
      </c>
      <c r="H92" s="91"/>
    </row>
    <row r="93" spans="1:8" s="1" customFormat="1" x14ac:dyDescent="0.3">
      <c r="A93" s="121" t="s">
        <v>184</v>
      </c>
      <c r="B93" s="121"/>
      <c r="C93" s="156">
        <f>COUNT(D103:D112)</f>
        <v>10</v>
      </c>
      <c r="D93" s="157"/>
      <c r="E93" s="97">
        <f>SUM(D103:D112)</f>
        <v>1673.5088241612002</v>
      </c>
      <c r="F93" s="98"/>
      <c r="G93" s="97">
        <f>SUM(F103:F112)</f>
        <v>2677.6141186579198</v>
      </c>
      <c r="H93" s="98"/>
    </row>
    <row r="94" spans="1:8" s="1" customFormat="1" x14ac:dyDescent="0.3">
      <c r="A94" s="118" t="s">
        <v>74</v>
      </c>
      <c r="B94" s="118"/>
      <c r="C94" s="118"/>
      <c r="D94" s="118"/>
      <c r="E94" s="118"/>
      <c r="F94" s="118"/>
      <c r="G94" s="118"/>
      <c r="H94" s="118"/>
    </row>
    <row r="95" spans="1:8" s="1" customFormat="1" ht="15.75" customHeight="1" x14ac:dyDescent="0.3">
      <c r="A95" s="91" t="s">
        <v>56</v>
      </c>
      <c r="B95" s="91"/>
      <c r="C95" s="102" t="s">
        <v>84</v>
      </c>
      <c r="D95" s="102"/>
      <c r="E95" s="99" t="s">
        <v>57</v>
      </c>
      <c r="F95" s="99"/>
      <c r="G95" s="91" t="s">
        <v>58</v>
      </c>
      <c r="H95" s="91"/>
    </row>
    <row r="96" spans="1:8" s="1" customFormat="1" ht="16.2" thickBot="1" x14ac:dyDescent="0.35">
      <c r="A96" s="120" t="s">
        <v>185</v>
      </c>
      <c r="B96" s="120"/>
      <c r="C96" s="148">
        <f>COUNT(D117:D118,D122)+COUNT(D124:D129)*7+COUNT(D131:D133,D136)+COUNT(D138:D143)*7+COUNT(D145:D147,D150)+COUNT(D152:D157)*2+COUNT(D159:D164)+COUNT(D166:D168,D170:D171)+COUNT(D176,D178)</f>
        <v>120</v>
      </c>
      <c r="D96" s="148"/>
      <c r="E96" s="149">
        <f>SUM(D117:D118,D122)+SUM(D124:D129)*7+SUM(D131:D133,D136)+SUM(D138:D143)*7+SUM(D145:D147,D150)+SUM(D152:D157)*2+SUM(D159:D164)+SUM(D166:D168,D170:D171)+SUM(D176,D178)</f>
        <v>61933.257359999996</v>
      </c>
      <c r="F96" s="149"/>
      <c r="G96" s="149">
        <f>SUM(F117:F118,F122)+SUM(F124:F129)*7+SUM(F131:F133,F136)+SUM(F138:F143)*7+SUM(F145:F147,F150)+SUM(F152:F157)*2+SUM(F159:F164)+SUM(F166:F168,F170:F171)+SUM(F176,F178)</f>
        <v>95996.548907999997</v>
      </c>
      <c r="H96" s="149"/>
    </row>
    <row r="97" spans="1:18" s="1" customFormat="1" ht="16.2" thickBot="1" x14ac:dyDescent="0.35">
      <c r="A97" s="158" t="s">
        <v>203</v>
      </c>
      <c r="B97" s="159"/>
      <c r="C97" s="160">
        <f>C93+C96</f>
        <v>130</v>
      </c>
      <c r="D97" s="161"/>
      <c r="E97" s="160">
        <f>E93+E96</f>
        <v>63606.766184161199</v>
      </c>
      <c r="F97" s="161"/>
      <c r="G97" s="160">
        <f>G93+G96</f>
        <v>98674.163026657916</v>
      </c>
      <c r="H97" s="161"/>
    </row>
    <row r="98" spans="1:18" s="4" customFormat="1" x14ac:dyDescent="0.3">
      <c r="A98" s="100" t="s">
        <v>59</v>
      </c>
      <c r="B98" s="100"/>
      <c r="C98" s="100"/>
      <c r="D98" s="100"/>
      <c r="E98" s="100"/>
      <c r="F98" s="100"/>
      <c r="G98" s="100"/>
      <c r="H98" s="100"/>
    </row>
    <row r="99" spans="1:18" x14ac:dyDescent="0.3">
      <c r="A99" s="103" t="s">
        <v>60</v>
      </c>
      <c r="B99" s="103"/>
      <c r="C99" s="103"/>
      <c r="D99" s="103"/>
      <c r="E99" s="103"/>
      <c r="F99" s="103"/>
      <c r="G99" s="103"/>
      <c r="H99" s="103"/>
    </row>
    <row r="100" spans="1:18" ht="47.25" customHeight="1" x14ac:dyDescent="0.3">
      <c r="A100" s="123" t="s">
        <v>131</v>
      </c>
      <c r="B100" s="123" t="s">
        <v>130</v>
      </c>
      <c r="C100" s="123" t="s">
        <v>61</v>
      </c>
      <c r="D100" s="123" t="s">
        <v>62</v>
      </c>
      <c r="E100" s="150" t="s">
        <v>63</v>
      </c>
      <c r="F100" s="30" t="s">
        <v>163</v>
      </c>
      <c r="G100" s="152" t="s">
        <v>64</v>
      </c>
      <c r="H100" s="153"/>
    </row>
    <row r="101" spans="1:18" s="2" customFormat="1" x14ac:dyDescent="0.3">
      <c r="A101" s="124"/>
      <c r="B101" s="124"/>
      <c r="C101" s="124"/>
      <c r="D101" s="124"/>
      <c r="E101" s="151"/>
      <c r="F101" s="31">
        <v>0.6</v>
      </c>
      <c r="G101" s="154"/>
      <c r="H101" s="155"/>
    </row>
    <row r="102" spans="1:18" s="2" customFormat="1" x14ac:dyDescent="0.3">
      <c r="A102" s="115" t="s">
        <v>208</v>
      </c>
      <c r="B102" s="115"/>
      <c r="C102" s="115"/>
      <c r="D102" s="115"/>
      <c r="E102" s="115"/>
      <c r="F102" s="115"/>
      <c r="G102" s="115"/>
      <c r="H102" s="115"/>
      <c r="J102" s="32"/>
    </row>
    <row r="103" spans="1:18" s="2" customFormat="1" ht="15.75" customHeight="1" x14ac:dyDescent="0.3">
      <c r="A103" s="57">
        <v>1</v>
      </c>
      <c r="B103" s="57"/>
      <c r="C103" s="14" t="s">
        <v>175</v>
      </c>
      <c r="D103" s="14">
        <f>(3.2*8.27+0.9*2.81)*10.764</f>
        <v>312.08065199999999</v>
      </c>
      <c r="E103" s="14">
        <v>0</v>
      </c>
      <c r="F103" s="14">
        <f>D103*(($F$101)+1)+(IF(E103&lt;101,E103,IF(E103&lt;201,E103/2,IF(E103&lt;=301,E103/3,E103/4))))</f>
        <v>499.3290432</v>
      </c>
      <c r="G103" s="57" t="str">
        <f>A102</f>
        <v>Ground Floor for Commercial, Meter Room, Society Office, Entrance Lobby  &amp; Parking Tower</v>
      </c>
      <c r="H103" s="57"/>
      <c r="I103" s="32"/>
      <c r="L103" s="89"/>
      <c r="M103" s="89"/>
      <c r="N103" s="32"/>
      <c r="R103" s="14">
        <v>10.763999999999999</v>
      </c>
    </row>
    <row r="104" spans="1:18" s="2" customFormat="1" ht="15.75" customHeight="1" x14ac:dyDescent="0.3">
      <c r="A104" s="57">
        <f t="shared" ref="A104:A112" si="0">A103+1</f>
        <v>2</v>
      </c>
      <c r="B104" s="57"/>
      <c r="C104" s="14" t="s">
        <v>175</v>
      </c>
      <c r="D104" s="14">
        <f>(2.35*5.36)*10.764</f>
        <v>135.58334400000001</v>
      </c>
      <c r="E104" s="14">
        <v>0</v>
      </c>
      <c r="F104" s="14">
        <f t="shared" ref="F104:F110" si="1">D104*(($F$101)+1)+(IF(E104&lt;101,E104,IF(E104&lt;201,E104/2,IF(E104&lt;=301,E104/3,E104/4))))</f>
        <v>216.93335040000002</v>
      </c>
      <c r="G104" s="57"/>
      <c r="H104" s="57"/>
      <c r="I104" s="32"/>
      <c r="L104" s="89"/>
      <c r="M104" s="89"/>
      <c r="N104" s="32"/>
    </row>
    <row r="105" spans="1:18" s="2" customFormat="1" ht="15.75" customHeight="1" x14ac:dyDescent="0.3">
      <c r="A105" s="57">
        <f t="shared" si="0"/>
        <v>3</v>
      </c>
      <c r="B105" s="57"/>
      <c r="C105" s="14" t="s">
        <v>175</v>
      </c>
      <c r="D105" s="14">
        <f>(2.39*5.41)*10.764</f>
        <v>139.1774436</v>
      </c>
      <c r="E105" s="14">
        <v>0</v>
      </c>
      <c r="F105" s="14">
        <f t="shared" si="1"/>
        <v>222.68390976000001</v>
      </c>
      <c r="G105" s="57"/>
      <c r="H105" s="57"/>
      <c r="I105" s="32"/>
      <c r="L105" s="89"/>
      <c r="M105" s="89"/>
      <c r="N105" s="32"/>
    </row>
    <row r="106" spans="1:18" s="2" customFormat="1" ht="15.75" customHeight="1" x14ac:dyDescent="0.3">
      <c r="A106" s="57">
        <f t="shared" si="0"/>
        <v>4</v>
      </c>
      <c r="B106" s="57"/>
      <c r="C106" s="14" t="s">
        <v>175</v>
      </c>
      <c r="D106" s="14">
        <f>(2.39*5.41)*10.764</f>
        <v>139.1774436</v>
      </c>
      <c r="E106" s="14">
        <v>0</v>
      </c>
      <c r="F106" s="14">
        <f t="shared" si="1"/>
        <v>222.68390976000001</v>
      </c>
      <c r="G106" s="57"/>
      <c r="H106" s="57"/>
      <c r="I106" s="32"/>
      <c r="L106" s="89"/>
      <c r="M106" s="89"/>
      <c r="N106" s="32"/>
    </row>
    <row r="107" spans="1:18" s="2" customFormat="1" ht="15.75" customHeight="1" x14ac:dyDescent="0.3">
      <c r="A107" s="57">
        <f t="shared" si="0"/>
        <v>5</v>
      </c>
      <c r="B107" s="57"/>
      <c r="C107" s="14" t="s">
        <v>175</v>
      </c>
      <c r="D107" s="14">
        <f>(2.39*5.41)*10.764</f>
        <v>139.1774436</v>
      </c>
      <c r="E107" s="14">
        <v>0</v>
      </c>
      <c r="F107" s="14">
        <f t="shared" si="1"/>
        <v>222.68390976000001</v>
      </c>
      <c r="G107" s="57"/>
      <c r="H107" s="57"/>
      <c r="I107" s="32"/>
      <c r="L107" s="89"/>
      <c r="M107" s="89"/>
      <c r="N107" s="32"/>
    </row>
    <row r="108" spans="1:18" s="2" customFormat="1" ht="15.75" customHeight="1" x14ac:dyDescent="0.3">
      <c r="A108" s="57">
        <f t="shared" si="0"/>
        <v>6</v>
      </c>
      <c r="B108" s="57"/>
      <c r="C108" s="14" t="s">
        <v>175</v>
      </c>
      <c r="D108" s="14">
        <f>(2.44*5.41)*10.764</f>
        <v>142.08910559999998</v>
      </c>
      <c r="E108" s="14">
        <v>0</v>
      </c>
      <c r="F108" s="14">
        <f t="shared" ref="F108" si="2">D108*(($F$101)+1)+(IF(E108&lt;101,E108,IF(E108&lt;201,E108/2,IF(E108&lt;=301,E108/3,E108/4))))</f>
        <v>227.34256895999999</v>
      </c>
      <c r="G108" s="57"/>
      <c r="H108" s="57"/>
      <c r="I108" s="32"/>
      <c r="L108" s="89"/>
      <c r="M108" s="89"/>
      <c r="N108" s="32"/>
    </row>
    <row r="109" spans="1:18" s="2" customFormat="1" ht="15.75" customHeight="1" x14ac:dyDescent="0.3">
      <c r="A109" s="57">
        <f t="shared" si="0"/>
        <v>7</v>
      </c>
      <c r="B109" s="57"/>
      <c r="C109" s="14" t="s">
        <v>175</v>
      </c>
      <c r="D109" s="14">
        <f>(2.44*5.41)*10.764</f>
        <v>142.08910559999998</v>
      </c>
      <c r="E109" s="14">
        <v>0</v>
      </c>
      <c r="F109" s="14">
        <f t="shared" si="1"/>
        <v>227.34256895999999</v>
      </c>
      <c r="G109" s="57"/>
      <c r="H109" s="57"/>
      <c r="I109" s="32"/>
      <c r="L109" s="89"/>
      <c r="M109" s="89"/>
      <c r="N109" s="32"/>
    </row>
    <row r="110" spans="1:18" s="2" customFormat="1" ht="15.75" customHeight="1" x14ac:dyDescent="0.3">
      <c r="A110" s="57">
        <f t="shared" si="0"/>
        <v>8</v>
      </c>
      <c r="B110" s="57"/>
      <c r="C110" s="14" t="s">
        <v>175</v>
      </c>
      <c r="D110" s="14">
        <f>(2.37*5.41)*10.764</f>
        <v>138.01277880000001</v>
      </c>
      <c r="E110" s="14">
        <v>0</v>
      </c>
      <c r="F110" s="14">
        <f t="shared" si="1"/>
        <v>220.82044608000001</v>
      </c>
      <c r="G110" s="57"/>
      <c r="H110" s="57"/>
      <c r="I110" s="32"/>
      <c r="L110" s="89"/>
      <c r="M110" s="89"/>
      <c r="N110" s="32"/>
    </row>
    <row r="111" spans="1:18" s="2" customFormat="1" ht="15.75" customHeight="1" x14ac:dyDescent="0.3">
      <c r="A111" s="57">
        <f t="shared" si="0"/>
        <v>9</v>
      </c>
      <c r="B111" s="57"/>
      <c r="C111" s="14" t="s">
        <v>175</v>
      </c>
      <c r="D111" s="14">
        <f>(2.29*5.41)*10.764</f>
        <v>133.35411960000002</v>
      </c>
      <c r="E111" s="14">
        <v>0</v>
      </c>
      <c r="F111" s="14">
        <f t="shared" ref="F111:F112" si="3">D111*(($F$101)+1)+(IF(E111&lt;101,E111,IF(E111&lt;201,E111/2,IF(E111&lt;=301,E111/3,E111/4))))</f>
        <v>213.36659136000003</v>
      </c>
      <c r="G111" s="57"/>
      <c r="H111" s="57"/>
      <c r="I111" s="32"/>
      <c r="L111" s="89"/>
      <c r="M111" s="89"/>
      <c r="N111" s="32"/>
    </row>
    <row r="112" spans="1:18" s="2" customFormat="1" ht="15.75" customHeight="1" x14ac:dyDescent="0.3">
      <c r="A112" s="57">
        <f t="shared" si="0"/>
        <v>10</v>
      </c>
      <c r="B112" s="57"/>
      <c r="C112" s="14" t="s">
        <v>175</v>
      </c>
      <c r="D112" s="14">
        <f>(2.4*5.36+1.85*3.92+1.85*1.01*2.86*0.63)*10.764</f>
        <v>252.76738776119998</v>
      </c>
      <c r="E112" s="14">
        <v>0</v>
      </c>
      <c r="F112" s="14">
        <f t="shared" si="3"/>
        <v>404.42782041791997</v>
      </c>
      <c r="G112" s="57"/>
      <c r="H112" s="57"/>
      <c r="I112" s="32"/>
      <c r="L112" s="89"/>
      <c r="M112" s="89"/>
      <c r="N112" s="32"/>
    </row>
    <row r="113" spans="1:16" s="2" customFormat="1" x14ac:dyDescent="0.3">
      <c r="A113" s="57"/>
      <c r="B113" s="57"/>
      <c r="C113" s="57"/>
      <c r="D113" s="57"/>
      <c r="E113" s="57"/>
      <c r="F113" s="57"/>
      <c r="G113" s="57"/>
      <c r="H113" s="57"/>
      <c r="I113" s="32"/>
      <c r="N113" s="32"/>
    </row>
    <row r="114" spans="1:16" ht="47.25" customHeight="1" x14ac:dyDescent="0.3">
      <c r="A114" s="92" t="s">
        <v>132</v>
      </c>
      <c r="B114" s="92" t="s">
        <v>133</v>
      </c>
      <c r="C114" s="92" t="s">
        <v>61</v>
      </c>
      <c r="D114" s="92" t="s">
        <v>62</v>
      </c>
      <c r="E114" s="93" t="s">
        <v>63</v>
      </c>
      <c r="F114" s="55" t="s">
        <v>163</v>
      </c>
      <c r="G114" s="92" t="s">
        <v>64</v>
      </c>
      <c r="H114" s="92"/>
      <c r="I114" s="32"/>
    </row>
    <row r="115" spans="1:16" s="2" customFormat="1" x14ac:dyDescent="0.3">
      <c r="A115" s="92"/>
      <c r="B115" s="92"/>
      <c r="C115" s="92"/>
      <c r="D115" s="92"/>
      <c r="E115" s="93"/>
      <c r="F115" s="56">
        <v>0.55000000000000004</v>
      </c>
      <c r="G115" s="92"/>
      <c r="H115" s="92"/>
      <c r="I115" s="32"/>
    </row>
    <row r="116" spans="1:16" s="2" customFormat="1" x14ac:dyDescent="0.3">
      <c r="A116" s="115" t="s">
        <v>209</v>
      </c>
      <c r="B116" s="115"/>
      <c r="C116" s="115"/>
      <c r="D116" s="115"/>
      <c r="E116" s="115"/>
      <c r="F116" s="115"/>
      <c r="G116" s="115"/>
      <c r="H116" s="115"/>
      <c r="I116" s="51">
        <v>1</v>
      </c>
      <c r="L116" s="89"/>
      <c r="M116" s="89"/>
    </row>
    <row r="117" spans="1:16" s="2" customFormat="1" ht="15.75" customHeight="1" x14ac:dyDescent="0.3">
      <c r="A117" s="57">
        <v>1</v>
      </c>
      <c r="B117" s="57"/>
      <c r="C117" s="14" t="s">
        <v>176</v>
      </c>
      <c r="D117" s="52">
        <f>(35.14)*(10.764)</f>
        <v>378.24696</v>
      </c>
      <c r="E117" s="14">
        <v>0</v>
      </c>
      <c r="F117" s="14">
        <f>D117*(($F$115)+1)+(IF(E117&lt;101,E117,IF(E117&lt;201,E117/2,IF(E117&lt;=301,E117/3,E117/4))))</f>
        <v>586.28278799999998</v>
      </c>
      <c r="G117" s="61" t="str">
        <f>A116</f>
        <v>1st Floor for Residential &amp; Fitness Centre</v>
      </c>
      <c r="H117" s="63"/>
      <c r="I117" s="32"/>
      <c r="J117" s="2">
        <f>2.76*3.65+1.8*2.26+2.75*3.65+2.15*1.2+2.17*1.2+1.3*1.31+1.17*1.85</f>
        <v>33.230999999999995</v>
      </c>
      <c r="K117" s="52">
        <f>10.764</f>
        <v>10.763999999999999</v>
      </c>
      <c r="N117" s="32"/>
    </row>
    <row r="118" spans="1:16" s="2" customFormat="1" ht="15.75" customHeight="1" x14ac:dyDescent="0.3">
      <c r="A118" s="57">
        <v>2</v>
      </c>
      <c r="B118" s="57"/>
      <c r="C118" s="14" t="s">
        <v>178</v>
      </c>
      <c r="D118" s="52">
        <f>(59.94)*(10.764)</f>
        <v>645.1941599999999</v>
      </c>
      <c r="E118" s="14">
        <v>0</v>
      </c>
      <c r="F118" s="14">
        <f t="shared" ref="F118:F122" si="4">D118*(($F$115)+1)+(IF(E118&lt;101,E118,IF(E118&lt;201,E118/2,IF(E118&lt;=301,E118/3,E118/4))))</f>
        <v>1000.0509479999998</v>
      </c>
      <c r="G118" s="64"/>
      <c r="H118" s="66"/>
      <c r="I118" s="32"/>
      <c r="N118" s="32"/>
    </row>
    <row r="119" spans="1:16" s="2" customFormat="1" ht="15.75" customHeight="1" x14ac:dyDescent="0.3">
      <c r="A119" s="57">
        <v>3</v>
      </c>
      <c r="B119" s="57"/>
      <c r="C119" s="61" t="s">
        <v>179</v>
      </c>
      <c r="D119" s="62"/>
      <c r="E119" s="62"/>
      <c r="F119" s="63"/>
      <c r="G119" s="64"/>
      <c r="H119" s="66"/>
      <c r="I119" s="32"/>
      <c r="N119" s="32"/>
    </row>
    <row r="120" spans="1:16" s="2" customFormat="1" ht="15.75" customHeight="1" x14ac:dyDescent="0.3">
      <c r="A120" s="57">
        <v>4</v>
      </c>
      <c r="B120" s="57"/>
      <c r="C120" s="64"/>
      <c r="D120" s="65"/>
      <c r="E120" s="65"/>
      <c r="F120" s="66"/>
      <c r="G120" s="64"/>
      <c r="H120" s="66"/>
      <c r="I120" s="32"/>
      <c r="N120" s="32"/>
    </row>
    <row r="121" spans="1:16" s="2" customFormat="1" ht="15.75" customHeight="1" x14ac:dyDescent="0.3">
      <c r="A121" s="57">
        <v>5</v>
      </c>
      <c r="B121" s="57"/>
      <c r="C121" s="67"/>
      <c r="D121" s="68"/>
      <c r="E121" s="68"/>
      <c r="F121" s="69"/>
      <c r="G121" s="64"/>
      <c r="H121" s="66"/>
      <c r="I121" s="32"/>
      <c r="N121" s="32"/>
    </row>
    <row r="122" spans="1:16" s="2" customFormat="1" ht="15.75" customHeight="1" x14ac:dyDescent="0.3">
      <c r="A122" s="57">
        <v>6</v>
      </c>
      <c r="B122" s="57"/>
      <c r="C122" s="14" t="s">
        <v>177</v>
      </c>
      <c r="D122" s="52">
        <f>(48.58)*(10.764)</f>
        <v>522.91512</v>
      </c>
      <c r="E122" s="14">
        <v>0</v>
      </c>
      <c r="F122" s="14">
        <f t="shared" si="4"/>
        <v>810.51843600000007</v>
      </c>
      <c r="G122" s="67"/>
      <c r="H122" s="69"/>
      <c r="I122" s="32"/>
      <c r="N122" s="32"/>
    </row>
    <row r="123" spans="1:16" s="2" customFormat="1" x14ac:dyDescent="0.3">
      <c r="A123" s="71" t="s">
        <v>183</v>
      </c>
      <c r="B123" s="72"/>
      <c r="C123" s="72"/>
      <c r="D123" s="72"/>
      <c r="E123" s="72"/>
      <c r="F123" s="72"/>
      <c r="G123" s="72"/>
      <c r="H123" s="73"/>
      <c r="I123" s="32">
        <f>5+2</f>
        <v>7</v>
      </c>
    </row>
    <row r="124" spans="1:16" s="2" customFormat="1" ht="15.75" customHeight="1" x14ac:dyDescent="0.3">
      <c r="A124" s="58">
        <v>1</v>
      </c>
      <c r="B124" s="60"/>
      <c r="C124" s="14" t="s">
        <v>176</v>
      </c>
      <c r="D124" s="52">
        <f>(35.14)*(10.764)</f>
        <v>378.24696</v>
      </c>
      <c r="E124" s="14">
        <v>0</v>
      </c>
      <c r="F124" s="14">
        <f>D124*(($F$115)+1)+(IF(E124&lt;101,E124,IF(E124&lt;201,E124/2,IF(E124&lt;=301,E124/3,E124/4))))</f>
        <v>586.28278799999998</v>
      </c>
      <c r="G124" s="61" t="str">
        <f>A123</f>
        <v>2nd to 6th, 8th &amp; 9th Floor</v>
      </c>
      <c r="H124" s="63"/>
      <c r="I124" s="32"/>
      <c r="N124" s="2" t="str">
        <f t="shared" ref="N124:N129" ca="1" si="5">O124&amp;""&amp;" to "&amp;""&amp;P124</f>
        <v>201 to 901</v>
      </c>
      <c r="O124" s="2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10^ROW(INDIRECT("1:"&amp;LEN((LEFT(A123,SUM(LEN(A123)-LEN(SUBSTITUTE(A123,{"0","1","2"},""))))))))/10))*100+1</f>
        <v>201</v>
      </c>
      <c r="P124" s="2">
        <f ca="1">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",LEN(A123))),LEN(A123)))))))/10))*100+1</f>
        <v>901</v>
      </c>
    </row>
    <row r="125" spans="1:16" s="2" customFormat="1" ht="15.75" customHeight="1" x14ac:dyDescent="0.3">
      <c r="A125" s="58">
        <v>2</v>
      </c>
      <c r="B125" s="60"/>
      <c r="C125" s="14" t="s">
        <v>177</v>
      </c>
      <c r="D125" s="52">
        <f>(61.29)*(10.764)</f>
        <v>659.72555999999997</v>
      </c>
      <c r="E125" s="14">
        <v>0</v>
      </c>
      <c r="F125" s="14">
        <f t="shared" ref="F125:F129" si="6">D125*(($F$115)+1)+(IF(E125&lt;101,E125,IF(E125&lt;201,E125/2,IF(E125&lt;=301,E125/3,E125/4))))</f>
        <v>1022.574618</v>
      </c>
      <c r="G125" s="64"/>
      <c r="H125" s="66"/>
      <c r="J125" s="32">
        <f>3*3.36+1.8*3.13+2.75*4.82+2.73*2.87+3.65*3+1.62*1.11+0.77*0.55+2.1*1.2+1.1*1.1+1.3*2.31+2.73*1.2</f>
        <v>59.984800000000007</v>
      </c>
      <c r="N125" s="2" t="str">
        <f t="shared" ca="1" si="5"/>
        <v>202 to 902</v>
      </c>
      <c r="O125" s="2">
        <f t="shared" ref="O125:P128" ca="1" si="7">O124+1</f>
        <v>202</v>
      </c>
      <c r="P125" s="2">
        <f t="shared" ca="1" si="7"/>
        <v>902</v>
      </c>
    </row>
    <row r="126" spans="1:16" s="2" customFormat="1" ht="15.75" customHeight="1" x14ac:dyDescent="0.3">
      <c r="A126" s="58">
        <v>3</v>
      </c>
      <c r="B126" s="60"/>
      <c r="C126" s="14" t="s">
        <v>177</v>
      </c>
      <c r="D126" s="52">
        <f>(48.58)*(10.764)</f>
        <v>522.91512</v>
      </c>
      <c r="E126" s="14">
        <v>0</v>
      </c>
      <c r="F126" s="14">
        <f t="shared" si="6"/>
        <v>810.51843600000007</v>
      </c>
      <c r="G126" s="64"/>
      <c r="H126" s="66"/>
      <c r="J126" s="32">
        <f>2.84*4.83+1.8*2.38+3.44*2.75+2.97*2.75+0.35*1.2+2.15*1.2+1.69*1.38+1.6*1.12+1*1.22</f>
        <v>43.972899999999996</v>
      </c>
      <c r="N126" s="2" t="str">
        <f t="shared" ca="1" si="5"/>
        <v>203 to 903</v>
      </c>
      <c r="O126" s="2">
        <f t="shared" ca="1" si="7"/>
        <v>203</v>
      </c>
      <c r="P126" s="2">
        <f t="shared" ca="1" si="7"/>
        <v>903</v>
      </c>
    </row>
    <row r="127" spans="1:16" s="2" customFormat="1" ht="15.75" customHeight="1" x14ac:dyDescent="0.3">
      <c r="A127" s="58">
        <v>4</v>
      </c>
      <c r="B127" s="60"/>
      <c r="C127" s="14" t="s">
        <v>176</v>
      </c>
      <c r="D127" s="52">
        <f>(39.21)*(10.764)</f>
        <v>422.05644000000001</v>
      </c>
      <c r="E127" s="14">
        <v>0</v>
      </c>
      <c r="F127" s="14">
        <f t="shared" si="6"/>
        <v>654.18748200000005</v>
      </c>
      <c r="G127" s="64"/>
      <c r="H127" s="66"/>
      <c r="I127" s="32"/>
      <c r="J127" s="2">
        <f>6800000/F127</f>
        <v>10394.57370723581</v>
      </c>
      <c r="N127" s="2" t="str">
        <f t="shared" ca="1" si="5"/>
        <v>204 to 904</v>
      </c>
      <c r="O127" s="2">
        <f t="shared" ca="1" si="7"/>
        <v>204</v>
      </c>
      <c r="P127" s="2">
        <f t="shared" ca="1" si="7"/>
        <v>904</v>
      </c>
    </row>
    <row r="128" spans="1:16" s="2" customFormat="1" ht="15.75" customHeight="1" x14ac:dyDescent="0.3">
      <c r="A128" s="58">
        <v>5</v>
      </c>
      <c r="B128" s="60"/>
      <c r="C128" s="14" t="s">
        <v>176</v>
      </c>
      <c r="D128" s="52">
        <f>(40.8)*(10.764)</f>
        <v>439.17119999999994</v>
      </c>
      <c r="E128" s="14">
        <v>0</v>
      </c>
      <c r="F128" s="14">
        <f t="shared" si="6"/>
        <v>680.71535999999992</v>
      </c>
      <c r="G128" s="64"/>
      <c r="H128" s="66"/>
      <c r="I128" s="32"/>
      <c r="N128" s="2" t="str">
        <f t="shared" ca="1" si="5"/>
        <v>205 to 905</v>
      </c>
      <c r="O128" s="2">
        <f t="shared" ca="1" si="7"/>
        <v>205</v>
      </c>
      <c r="P128" s="2">
        <f t="shared" ca="1" si="7"/>
        <v>905</v>
      </c>
    </row>
    <row r="129" spans="1:16" s="2" customFormat="1" ht="15.75" customHeight="1" x14ac:dyDescent="0.3">
      <c r="A129" s="58">
        <v>6</v>
      </c>
      <c r="B129" s="60"/>
      <c r="C129" s="14" t="s">
        <v>177</v>
      </c>
      <c r="D129" s="52">
        <f>(48.58)*(10.764)</f>
        <v>522.91512</v>
      </c>
      <c r="E129" s="14">
        <v>0</v>
      </c>
      <c r="F129" s="14">
        <f t="shared" si="6"/>
        <v>810.51843600000007</v>
      </c>
      <c r="G129" s="67"/>
      <c r="H129" s="69"/>
      <c r="I129" s="32"/>
      <c r="N129" s="2" t="str">
        <f t="shared" ca="1" si="5"/>
        <v>206 to 906</v>
      </c>
      <c r="O129" s="2">
        <f ca="1">O128+1</f>
        <v>206</v>
      </c>
      <c r="P129" s="2">
        <f ca="1">P128+1</f>
        <v>906</v>
      </c>
    </row>
    <row r="130" spans="1:16" s="2" customFormat="1" x14ac:dyDescent="0.3">
      <c r="A130" s="71" t="s">
        <v>182</v>
      </c>
      <c r="B130" s="72"/>
      <c r="C130" s="72"/>
      <c r="D130" s="72"/>
      <c r="E130" s="72"/>
      <c r="F130" s="72"/>
      <c r="G130" s="72"/>
      <c r="H130" s="73"/>
      <c r="I130" s="32">
        <v>1</v>
      </c>
    </row>
    <row r="131" spans="1:16" s="2" customFormat="1" ht="15.75" customHeight="1" x14ac:dyDescent="0.3">
      <c r="A131" s="58">
        <v>1</v>
      </c>
      <c r="B131" s="60"/>
      <c r="C131" s="14" t="s">
        <v>176</v>
      </c>
      <c r="D131" s="52">
        <f>(35.14)*(10.764)</f>
        <v>378.24696</v>
      </c>
      <c r="E131" s="14">
        <v>0</v>
      </c>
      <c r="F131" s="14">
        <f>D131*(($F$115)+1)+(IF(E131&lt;101,E131,IF(E131&lt;201,E131/2,IF(E131&lt;=301,E131/3,E131/4))))</f>
        <v>586.28278799999998</v>
      </c>
      <c r="G131" s="61" t="str">
        <f>A130</f>
        <v>7th Floor (Part Refuge Area)</v>
      </c>
      <c r="H131" s="63"/>
      <c r="I131" s="32"/>
      <c r="N131" s="2" t="e">
        <f t="shared" ref="N131:N136" ca="1" si="8">O131&amp;""&amp;" to "&amp;""&amp;P131</f>
        <v>#REF!</v>
      </c>
      <c r="O131" s="2" t="e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10^ROW(INDIRECT("1:"&amp;LEN((LEFT(A130,SUM(LEN(A130)-LEN(SUBSTITUTE(A130,{"0","1","2"},""))))))))/10))*100+1</f>
        <v>#REF!</v>
      </c>
      <c r="P131" s="2">
        <f ca="1">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",LEN(A130))),LEN(A130)))))))/10))*100+1</f>
        <v>701</v>
      </c>
    </row>
    <row r="132" spans="1:16" s="2" customFormat="1" ht="15.75" customHeight="1" x14ac:dyDescent="0.3">
      <c r="A132" s="58">
        <v>2</v>
      </c>
      <c r="B132" s="60"/>
      <c r="C132" s="14" t="s">
        <v>177</v>
      </c>
      <c r="D132" s="52">
        <f>(61.29)*(10.764)</f>
        <v>659.72555999999997</v>
      </c>
      <c r="E132" s="14">
        <v>0</v>
      </c>
      <c r="F132" s="14">
        <f t="shared" ref="F132:F133" si="9">D132*(($F$115)+1)+(IF(E132&lt;101,E132,IF(E132&lt;201,E132/2,IF(E132&lt;=301,E132/3,E132/4))))</f>
        <v>1022.574618</v>
      </c>
      <c r="G132" s="64"/>
      <c r="H132" s="66"/>
      <c r="I132" s="32"/>
      <c r="N132" s="2" t="e">
        <f t="shared" ca="1" si="8"/>
        <v>#REF!</v>
      </c>
      <c r="O132" s="2" t="e">
        <f t="shared" ref="O132:P132" ca="1" si="10">O131+1</f>
        <v>#REF!</v>
      </c>
      <c r="P132" s="2">
        <f t="shared" ca="1" si="10"/>
        <v>702</v>
      </c>
    </row>
    <row r="133" spans="1:16" s="2" customFormat="1" ht="15.75" customHeight="1" x14ac:dyDescent="0.3">
      <c r="A133" s="58">
        <v>3</v>
      </c>
      <c r="B133" s="60"/>
      <c r="C133" s="14" t="s">
        <v>178</v>
      </c>
      <c r="D133" s="52">
        <f>(61.05)*(10.764)</f>
        <v>657.14219999999989</v>
      </c>
      <c r="E133" s="14">
        <v>0</v>
      </c>
      <c r="F133" s="14">
        <f t="shared" si="9"/>
        <v>1018.5704099999998</v>
      </c>
      <c r="G133" s="64"/>
      <c r="H133" s="66"/>
      <c r="I133" s="32"/>
      <c r="N133" s="2" t="e">
        <f t="shared" ca="1" si="8"/>
        <v>#REF!</v>
      </c>
      <c r="O133" s="2" t="e">
        <f t="shared" ref="O133:P133" ca="1" si="11">O132+1</f>
        <v>#REF!</v>
      </c>
      <c r="P133" s="2">
        <f t="shared" ca="1" si="11"/>
        <v>703</v>
      </c>
    </row>
    <row r="134" spans="1:16" s="2" customFormat="1" ht="15.75" customHeight="1" x14ac:dyDescent="0.3">
      <c r="A134" s="58">
        <v>4</v>
      </c>
      <c r="B134" s="60"/>
      <c r="C134" s="58" t="s">
        <v>181</v>
      </c>
      <c r="D134" s="59"/>
      <c r="E134" s="59"/>
      <c r="F134" s="60"/>
      <c r="G134" s="64"/>
      <c r="H134" s="66"/>
      <c r="I134" s="32"/>
      <c r="N134" s="2" t="e">
        <f t="shared" ca="1" si="8"/>
        <v>#REF!</v>
      </c>
      <c r="O134" s="2" t="e">
        <f t="shared" ref="O134:P134" ca="1" si="12">O133+1</f>
        <v>#REF!</v>
      </c>
      <c r="P134" s="2">
        <f t="shared" ca="1" si="12"/>
        <v>704</v>
      </c>
    </row>
    <row r="135" spans="1:16" s="2" customFormat="1" ht="15.75" customHeight="1" x14ac:dyDescent="0.3">
      <c r="A135" s="58">
        <v>5</v>
      </c>
      <c r="B135" s="60"/>
      <c r="C135" s="58" t="s">
        <v>181</v>
      </c>
      <c r="D135" s="59"/>
      <c r="E135" s="59"/>
      <c r="F135" s="60"/>
      <c r="G135" s="64"/>
      <c r="H135" s="66"/>
      <c r="I135" s="32"/>
      <c r="N135" s="2" t="e">
        <f t="shared" ca="1" si="8"/>
        <v>#REF!</v>
      </c>
      <c r="O135" s="2" t="e">
        <f t="shared" ref="O135:P135" ca="1" si="13">O134+1</f>
        <v>#REF!</v>
      </c>
      <c r="P135" s="2">
        <f t="shared" ca="1" si="13"/>
        <v>705</v>
      </c>
    </row>
    <row r="136" spans="1:16" s="2" customFormat="1" ht="15.75" customHeight="1" x14ac:dyDescent="0.3">
      <c r="A136" s="58">
        <v>6</v>
      </c>
      <c r="B136" s="60"/>
      <c r="C136" s="14" t="s">
        <v>177</v>
      </c>
      <c r="D136" s="52">
        <f>(48.58)*(10.764)</f>
        <v>522.91512</v>
      </c>
      <c r="E136" s="14">
        <v>0</v>
      </c>
      <c r="F136" s="14">
        <f t="shared" ref="F136" si="14">D136*(($F$115)+1)+(IF(E136&lt;101,E136,IF(E136&lt;201,E136/2,IF(E136&lt;=301,E136/3,E136/4))))</f>
        <v>810.51843600000007</v>
      </c>
      <c r="G136" s="67"/>
      <c r="H136" s="69"/>
      <c r="I136" s="32"/>
      <c r="N136" s="2" t="e">
        <f t="shared" ca="1" si="8"/>
        <v>#REF!</v>
      </c>
      <c r="O136" s="2" t="e">
        <f ca="1">O135+1</f>
        <v>#REF!</v>
      </c>
      <c r="P136" s="2">
        <f ca="1">P135+1</f>
        <v>706</v>
      </c>
    </row>
    <row r="137" spans="1:16" s="2" customFormat="1" x14ac:dyDescent="0.3">
      <c r="A137" s="71" t="s">
        <v>213</v>
      </c>
      <c r="B137" s="72"/>
      <c r="C137" s="72"/>
      <c r="D137" s="72"/>
      <c r="E137" s="72"/>
      <c r="F137" s="72"/>
      <c r="G137" s="72"/>
      <c r="H137" s="73"/>
      <c r="I137" s="32">
        <f>4+3</f>
        <v>7</v>
      </c>
    </row>
    <row r="138" spans="1:16" s="2" customFormat="1" ht="15.75" customHeight="1" x14ac:dyDescent="0.3">
      <c r="A138" s="58">
        <v>1</v>
      </c>
      <c r="B138" s="60"/>
      <c r="C138" s="50" t="s">
        <v>176</v>
      </c>
      <c r="D138" s="52">
        <f>(40.27)*(10.764)</f>
        <v>433.46627999999998</v>
      </c>
      <c r="E138" s="14">
        <v>0</v>
      </c>
      <c r="F138" s="14">
        <f>D138*(($F$115)+1)+(IF(E138&lt;101,E138,IF(E138&lt;201,E138/2,IF(E138&lt;=301,E138/3,E138/4))))</f>
        <v>671.87273400000004</v>
      </c>
      <c r="G138" s="61" t="str">
        <f>A137</f>
        <v>10th to 13th, 15th, 16th &amp; 17th Floor</v>
      </c>
      <c r="H138" s="63"/>
      <c r="I138" s="32"/>
      <c r="N138" s="2" t="str">
        <f t="shared" ref="N138:N143" ca="1" si="15">O138&amp;""&amp;" to "&amp;""&amp;P138</f>
        <v>1001 to 1701</v>
      </c>
      <c r="O138" s="2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10^ROW(INDIRECT("1:"&amp;LEN((LEFT(A137,SUM(LEN(A137)-LEN(SUBSTITUTE(A137,{"0","1","2"},""))))))))/10))*100+1</f>
        <v>1001</v>
      </c>
      <c r="P138" s="2">
        <f ca="1">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",LEN(A137))),LEN(A137)))))))/10))*100+1</f>
        <v>1701</v>
      </c>
    </row>
    <row r="139" spans="1:16" s="2" customFormat="1" ht="15.75" customHeight="1" x14ac:dyDescent="0.3">
      <c r="A139" s="58">
        <v>2</v>
      </c>
      <c r="B139" s="60"/>
      <c r="C139" s="50" t="s">
        <v>177</v>
      </c>
      <c r="D139" s="52">
        <f>(61.29)*(10.764)</f>
        <v>659.72555999999997</v>
      </c>
      <c r="E139" s="14">
        <v>0</v>
      </c>
      <c r="F139" s="14">
        <f t="shared" ref="F139:F143" si="16">D139*(($F$115)+1)+(IF(E139&lt;101,E139,IF(E139&lt;201,E139/2,IF(E139&lt;=301,E139/3,E139/4))))</f>
        <v>1022.574618</v>
      </c>
      <c r="G139" s="64"/>
      <c r="H139" s="66"/>
      <c r="I139" s="32"/>
      <c r="N139" s="2" t="str">
        <f t="shared" ca="1" si="15"/>
        <v>1002 to 1702</v>
      </c>
      <c r="O139" s="2">
        <f t="shared" ref="O139:P139" ca="1" si="17">O138+1</f>
        <v>1002</v>
      </c>
      <c r="P139" s="2">
        <f t="shared" ca="1" si="17"/>
        <v>1702</v>
      </c>
    </row>
    <row r="140" spans="1:16" s="2" customFormat="1" ht="15.75" customHeight="1" x14ac:dyDescent="0.3">
      <c r="A140" s="58">
        <v>3</v>
      </c>
      <c r="B140" s="60"/>
      <c r="C140" s="50" t="s">
        <v>177</v>
      </c>
      <c r="D140" s="52">
        <f>(48.58)*(10.764)</f>
        <v>522.91512</v>
      </c>
      <c r="E140" s="14">
        <v>0</v>
      </c>
      <c r="F140" s="14">
        <f t="shared" si="16"/>
        <v>810.51843600000007</v>
      </c>
      <c r="G140" s="64"/>
      <c r="H140" s="66"/>
      <c r="I140" s="32"/>
      <c r="N140" s="2" t="str">
        <f t="shared" ca="1" si="15"/>
        <v>1003 to 1703</v>
      </c>
      <c r="O140" s="2">
        <f t="shared" ref="O140:P140" ca="1" si="18">O139+1</f>
        <v>1003</v>
      </c>
      <c r="P140" s="2">
        <f t="shared" ca="1" si="18"/>
        <v>1703</v>
      </c>
    </row>
    <row r="141" spans="1:16" s="2" customFormat="1" ht="15.75" customHeight="1" x14ac:dyDescent="0.3">
      <c r="A141" s="58">
        <v>4</v>
      </c>
      <c r="B141" s="60"/>
      <c r="C141" s="50" t="s">
        <v>176</v>
      </c>
      <c r="D141" s="52">
        <f>(42.28)*(10.764)</f>
        <v>455.10192000000001</v>
      </c>
      <c r="E141" s="14">
        <v>0</v>
      </c>
      <c r="F141" s="14">
        <f t="shared" si="16"/>
        <v>705.40797600000008</v>
      </c>
      <c r="G141" s="64"/>
      <c r="H141" s="66"/>
      <c r="I141" s="32"/>
      <c r="N141" s="2" t="str">
        <f t="shared" ca="1" si="15"/>
        <v>1004 to 1704</v>
      </c>
      <c r="O141" s="2">
        <f t="shared" ref="O141:P141" ca="1" si="19">O140+1</f>
        <v>1004</v>
      </c>
      <c r="P141" s="2">
        <f t="shared" ca="1" si="19"/>
        <v>1704</v>
      </c>
    </row>
    <row r="142" spans="1:16" s="2" customFormat="1" ht="15.75" customHeight="1" x14ac:dyDescent="0.3">
      <c r="A142" s="58">
        <v>5</v>
      </c>
      <c r="B142" s="60"/>
      <c r="C142" s="50" t="s">
        <v>176</v>
      </c>
      <c r="D142" s="52">
        <f>(43.99)*(10.764)</f>
        <v>473.50835999999998</v>
      </c>
      <c r="E142" s="14">
        <v>0</v>
      </c>
      <c r="F142" s="14">
        <f t="shared" si="16"/>
        <v>733.93795799999998</v>
      </c>
      <c r="G142" s="64"/>
      <c r="H142" s="66"/>
      <c r="I142" s="32"/>
      <c r="N142" s="2" t="str">
        <f t="shared" ca="1" si="15"/>
        <v>1005 to 1705</v>
      </c>
      <c r="O142" s="2">
        <f t="shared" ref="O142:P142" ca="1" si="20">O141+1</f>
        <v>1005</v>
      </c>
      <c r="P142" s="2">
        <f t="shared" ca="1" si="20"/>
        <v>1705</v>
      </c>
    </row>
    <row r="143" spans="1:16" s="2" customFormat="1" ht="15.75" customHeight="1" x14ac:dyDescent="0.3">
      <c r="A143" s="58">
        <v>6</v>
      </c>
      <c r="B143" s="60"/>
      <c r="C143" s="50" t="s">
        <v>177</v>
      </c>
      <c r="D143" s="52">
        <f>(48.58)*(10.764)</f>
        <v>522.91512</v>
      </c>
      <c r="E143" s="14">
        <v>0</v>
      </c>
      <c r="F143" s="14">
        <f t="shared" si="16"/>
        <v>810.51843600000007</v>
      </c>
      <c r="G143" s="67"/>
      <c r="H143" s="69"/>
      <c r="I143" s="32"/>
      <c r="N143" s="2" t="str">
        <f t="shared" ca="1" si="15"/>
        <v>1006 to 1706</v>
      </c>
      <c r="O143" s="2">
        <f ca="1">O142+1</f>
        <v>1006</v>
      </c>
      <c r="P143" s="2">
        <f ca="1">P142+1</f>
        <v>1706</v>
      </c>
    </row>
    <row r="144" spans="1:16" s="2" customFormat="1" x14ac:dyDescent="0.3">
      <c r="A144" s="71" t="s">
        <v>180</v>
      </c>
      <c r="B144" s="72"/>
      <c r="C144" s="72"/>
      <c r="D144" s="72"/>
      <c r="E144" s="72"/>
      <c r="F144" s="72"/>
      <c r="G144" s="72"/>
      <c r="H144" s="73"/>
      <c r="I144" s="32">
        <v>1</v>
      </c>
    </row>
    <row r="145" spans="1:16" s="2" customFormat="1" ht="15.75" customHeight="1" x14ac:dyDescent="0.3">
      <c r="A145" s="58">
        <v>1</v>
      </c>
      <c r="B145" s="60"/>
      <c r="C145" s="50" t="s">
        <v>176</v>
      </c>
      <c r="D145" s="52">
        <f>(40.27)*(10.764)</f>
        <v>433.46627999999998</v>
      </c>
      <c r="E145" s="14">
        <v>0</v>
      </c>
      <c r="F145" s="14">
        <f>D145*(($F$115)+1)+(IF(E145&lt;101,E145,IF(E145&lt;201,E145/2,IF(E145&lt;=301,E145/3,E145/4))))</f>
        <v>671.87273400000004</v>
      </c>
      <c r="G145" s="61" t="str">
        <f>A144</f>
        <v>14th Floor (Part Refuge Area)</v>
      </c>
      <c r="H145" s="63"/>
      <c r="I145" s="32"/>
      <c r="N145" s="2" t="str">
        <f t="shared" ref="N145:N150" ca="1" si="21">O145&amp;""&amp;" to "&amp;""&amp;P145</f>
        <v>101 to 1401</v>
      </c>
      <c r="O145" s="2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10^ROW(INDIRECT("1:"&amp;LEN((LEFT(A144,SUM(LEN(A144)-LEN(SUBSTITUTE(A144,{"0","1","2"},""))))))))/10))*100+1</f>
        <v>101</v>
      </c>
      <c r="P145" s="2">
        <f ca="1">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",LEN(A144))),LEN(A144)))))))/10))*100+1</f>
        <v>1401</v>
      </c>
    </row>
    <row r="146" spans="1:16" s="2" customFormat="1" ht="15.75" customHeight="1" x14ac:dyDescent="0.3">
      <c r="A146" s="58">
        <v>2</v>
      </c>
      <c r="B146" s="60"/>
      <c r="C146" s="50" t="s">
        <v>177</v>
      </c>
      <c r="D146" s="52">
        <f>(61.29)*(10.764)</f>
        <v>659.72555999999997</v>
      </c>
      <c r="E146" s="14">
        <v>0</v>
      </c>
      <c r="F146" s="14">
        <f t="shared" ref="F146:F150" si="22">D146*(($F$115)+1)+(IF(E146&lt;101,E146,IF(E146&lt;201,E146/2,IF(E146&lt;=301,E146/3,E146/4))))</f>
        <v>1022.574618</v>
      </c>
      <c r="G146" s="64"/>
      <c r="H146" s="66"/>
      <c r="I146" s="32"/>
      <c r="N146" s="2" t="str">
        <f t="shared" ca="1" si="21"/>
        <v>102 to 1402</v>
      </c>
      <c r="O146" s="2">
        <f t="shared" ref="O146:P146" ca="1" si="23">O145+1</f>
        <v>102</v>
      </c>
      <c r="P146" s="2">
        <f t="shared" ca="1" si="23"/>
        <v>1402</v>
      </c>
    </row>
    <row r="147" spans="1:16" s="2" customFormat="1" ht="15.75" customHeight="1" x14ac:dyDescent="0.3">
      <c r="A147" s="58">
        <v>3</v>
      </c>
      <c r="B147" s="60"/>
      <c r="C147" s="14" t="s">
        <v>178</v>
      </c>
      <c r="D147" s="52">
        <f>(62.96)*(10.764)</f>
        <v>677.70143999999993</v>
      </c>
      <c r="E147" s="14">
        <v>0</v>
      </c>
      <c r="F147" s="14">
        <f t="shared" si="22"/>
        <v>1050.437232</v>
      </c>
      <c r="G147" s="64"/>
      <c r="H147" s="66"/>
      <c r="I147" s="32"/>
      <c r="N147" s="2" t="str">
        <f t="shared" ca="1" si="21"/>
        <v>103 to 1403</v>
      </c>
      <c r="O147" s="2">
        <f t="shared" ref="O147:P147" ca="1" si="24">O146+1</f>
        <v>103</v>
      </c>
      <c r="P147" s="2">
        <f t="shared" ca="1" si="24"/>
        <v>1403</v>
      </c>
    </row>
    <row r="148" spans="1:16" s="2" customFormat="1" ht="15.75" customHeight="1" x14ac:dyDescent="0.3">
      <c r="A148" s="58">
        <v>4</v>
      </c>
      <c r="B148" s="60"/>
      <c r="C148" s="58" t="s">
        <v>181</v>
      </c>
      <c r="D148" s="59"/>
      <c r="E148" s="59"/>
      <c r="F148" s="60"/>
      <c r="G148" s="64"/>
      <c r="H148" s="66"/>
      <c r="I148" s="32"/>
      <c r="N148" s="2" t="str">
        <f t="shared" ca="1" si="21"/>
        <v>104 to 1404</v>
      </c>
      <c r="O148" s="2">
        <f t="shared" ref="O148:P148" ca="1" si="25">O147+1</f>
        <v>104</v>
      </c>
      <c r="P148" s="2">
        <f t="shared" ca="1" si="25"/>
        <v>1404</v>
      </c>
    </row>
    <row r="149" spans="1:16" s="2" customFormat="1" ht="15.75" customHeight="1" x14ac:dyDescent="0.3">
      <c r="A149" s="58">
        <v>5</v>
      </c>
      <c r="B149" s="60"/>
      <c r="C149" s="58" t="s">
        <v>181</v>
      </c>
      <c r="D149" s="59"/>
      <c r="E149" s="59"/>
      <c r="F149" s="60"/>
      <c r="G149" s="64"/>
      <c r="H149" s="66"/>
      <c r="I149" s="32"/>
      <c r="N149" s="2" t="str">
        <f t="shared" ca="1" si="21"/>
        <v>105 to 1405</v>
      </c>
      <c r="O149" s="2">
        <f t="shared" ref="O149:P149" ca="1" si="26">O148+1</f>
        <v>105</v>
      </c>
      <c r="P149" s="2">
        <f t="shared" ca="1" si="26"/>
        <v>1405</v>
      </c>
    </row>
    <row r="150" spans="1:16" s="2" customFormat="1" ht="15.75" customHeight="1" x14ac:dyDescent="0.3">
      <c r="A150" s="58">
        <v>6</v>
      </c>
      <c r="B150" s="60"/>
      <c r="C150" s="50" t="s">
        <v>177</v>
      </c>
      <c r="D150" s="52">
        <f>(48.58)*(10.764)</f>
        <v>522.91512</v>
      </c>
      <c r="E150" s="14">
        <v>0</v>
      </c>
      <c r="F150" s="14">
        <f t="shared" si="22"/>
        <v>810.51843600000007</v>
      </c>
      <c r="G150" s="67"/>
      <c r="H150" s="69"/>
      <c r="I150" s="32"/>
      <c r="N150" s="2" t="str">
        <f t="shared" ca="1" si="21"/>
        <v>106 to 1406</v>
      </c>
      <c r="O150" s="2">
        <f ca="1">O149+1</f>
        <v>106</v>
      </c>
      <c r="P150" s="2">
        <f ca="1">P149+1</f>
        <v>1406</v>
      </c>
    </row>
    <row r="151" spans="1:16" s="2" customFormat="1" x14ac:dyDescent="0.3">
      <c r="A151" s="115" t="s">
        <v>210</v>
      </c>
      <c r="B151" s="115"/>
      <c r="C151" s="115"/>
      <c r="D151" s="115"/>
      <c r="E151" s="115"/>
      <c r="F151" s="115"/>
      <c r="G151" s="115"/>
      <c r="H151" s="115"/>
      <c r="I151" s="32">
        <v>2</v>
      </c>
    </row>
    <row r="152" spans="1:16" s="2" customFormat="1" ht="15.75" customHeight="1" x14ac:dyDescent="0.3">
      <c r="A152" s="57">
        <v>1</v>
      </c>
      <c r="B152" s="57"/>
      <c r="C152" s="50" t="s">
        <v>176</v>
      </c>
      <c r="D152" s="52">
        <f>(40.27)*(10.764)</f>
        <v>433.46627999999998</v>
      </c>
      <c r="E152" s="14">
        <v>0</v>
      </c>
      <c r="F152" s="14">
        <f>D152*(($F$115)+1)+(IF(E152&lt;101,E152,IF(E152&lt;201,E152/2,IF(E152&lt;=301,E152/3,E152/4))))</f>
        <v>671.87273400000004</v>
      </c>
      <c r="G152" s="57" t="str">
        <f>A151</f>
        <v>18th &amp; 19th Floor</v>
      </c>
      <c r="H152" s="57"/>
      <c r="I152" s="32"/>
      <c r="L152" s="52">
        <f>10.764</f>
        <v>10.763999999999999</v>
      </c>
      <c r="N152" s="2" t="str">
        <f t="shared" ref="N152:N157" ca="1" si="27">O152&amp;""&amp;" to "&amp;""&amp;P152</f>
        <v>1801 to 1901</v>
      </c>
      <c r="O152" s="2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10^ROW(INDIRECT("1:"&amp;LEN((LEFT(A151,SUM(LEN(A151)-LEN(SUBSTITUTE(A151,{"0","1","2"},""))))))))/10))*100+1</f>
        <v>1801</v>
      </c>
      <c r="P152" s="2">
        <f ca="1">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",LEN(A151))),LEN(A151)))))))/10))*100+1</f>
        <v>1901</v>
      </c>
    </row>
    <row r="153" spans="1:16" s="2" customFormat="1" ht="15.75" customHeight="1" x14ac:dyDescent="0.3">
      <c r="A153" s="57">
        <v>2</v>
      </c>
      <c r="B153" s="57"/>
      <c r="C153" s="50" t="s">
        <v>177</v>
      </c>
      <c r="D153" s="52">
        <f>(61.29)*(10.764)</f>
        <v>659.72555999999997</v>
      </c>
      <c r="E153" s="14">
        <v>0</v>
      </c>
      <c r="F153" s="14">
        <f t="shared" ref="F153:F157" si="28">D153*(($F$115)+1)+(IF(E153&lt;101,E153,IF(E153&lt;201,E153/2,IF(E153&lt;=301,E153/3,E153/4))))</f>
        <v>1022.574618</v>
      </c>
      <c r="G153" s="57"/>
      <c r="H153" s="57"/>
      <c r="I153" s="32"/>
      <c r="N153" s="2" t="str">
        <f t="shared" ca="1" si="27"/>
        <v>1802 to 1902</v>
      </c>
      <c r="O153" s="2">
        <f t="shared" ref="O153:P153" ca="1" si="29">O152+1</f>
        <v>1802</v>
      </c>
      <c r="P153" s="2">
        <f t="shared" ca="1" si="29"/>
        <v>1902</v>
      </c>
    </row>
    <row r="154" spans="1:16" s="2" customFormat="1" ht="15.75" customHeight="1" x14ac:dyDescent="0.3">
      <c r="A154" s="57">
        <v>3</v>
      </c>
      <c r="B154" s="57"/>
      <c r="C154" s="50" t="s">
        <v>177</v>
      </c>
      <c r="D154" s="52">
        <f>(54.51)*(10.764)</f>
        <v>586.74563999999998</v>
      </c>
      <c r="E154" s="14">
        <v>0</v>
      </c>
      <c r="F154" s="14">
        <f t="shared" si="28"/>
        <v>909.45574199999999</v>
      </c>
      <c r="G154" s="57"/>
      <c r="H154" s="57"/>
      <c r="I154" s="32"/>
      <c r="N154" s="2" t="str">
        <f t="shared" ca="1" si="27"/>
        <v>1803 to 1903</v>
      </c>
      <c r="O154" s="2">
        <f t="shared" ref="O154:P154" ca="1" si="30">O153+1</f>
        <v>1803</v>
      </c>
      <c r="P154" s="2">
        <f t="shared" ca="1" si="30"/>
        <v>1903</v>
      </c>
    </row>
    <row r="155" spans="1:16" s="2" customFormat="1" ht="15.75" customHeight="1" x14ac:dyDescent="0.3">
      <c r="A155" s="57">
        <v>4</v>
      </c>
      <c r="B155" s="57"/>
      <c r="C155" s="50" t="s">
        <v>176</v>
      </c>
      <c r="D155" s="52">
        <f>(42.28)*(10.764)</f>
        <v>455.10192000000001</v>
      </c>
      <c r="E155" s="14">
        <v>0</v>
      </c>
      <c r="F155" s="14">
        <f t="shared" si="28"/>
        <v>705.40797600000008</v>
      </c>
      <c r="G155" s="57"/>
      <c r="H155" s="57"/>
      <c r="I155" s="32"/>
      <c r="N155" s="2" t="str">
        <f t="shared" ca="1" si="27"/>
        <v>1804 to 1904</v>
      </c>
      <c r="O155" s="2">
        <f t="shared" ref="O155:P155" ca="1" si="31">O154+1</f>
        <v>1804</v>
      </c>
      <c r="P155" s="2">
        <f t="shared" ca="1" si="31"/>
        <v>1904</v>
      </c>
    </row>
    <row r="156" spans="1:16" s="2" customFormat="1" ht="15.75" customHeight="1" x14ac:dyDescent="0.3">
      <c r="A156" s="57">
        <v>5</v>
      </c>
      <c r="B156" s="57"/>
      <c r="C156" s="50" t="s">
        <v>176</v>
      </c>
      <c r="D156" s="52">
        <f>(43.99)*(10.764)</f>
        <v>473.50835999999998</v>
      </c>
      <c r="E156" s="14">
        <v>0</v>
      </c>
      <c r="F156" s="14">
        <f t="shared" si="28"/>
        <v>733.93795799999998</v>
      </c>
      <c r="G156" s="57"/>
      <c r="H156" s="57"/>
      <c r="I156" s="32"/>
      <c r="N156" s="2" t="str">
        <f t="shared" ca="1" si="27"/>
        <v>1805 to 1905</v>
      </c>
      <c r="O156" s="2">
        <f t="shared" ref="O156:P156" ca="1" si="32">O155+1</f>
        <v>1805</v>
      </c>
      <c r="P156" s="2">
        <f t="shared" ca="1" si="32"/>
        <v>1905</v>
      </c>
    </row>
    <row r="157" spans="1:16" s="2" customFormat="1" ht="15.75" customHeight="1" x14ac:dyDescent="0.3">
      <c r="A157" s="57">
        <v>6</v>
      </c>
      <c r="B157" s="57"/>
      <c r="C157" s="50" t="s">
        <v>177</v>
      </c>
      <c r="D157" s="52">
        <f>(54.51)*(10.764)</f>
        <v>586.74563999999998</v>
      </c>
      <c r="E157" s="14">
        <v>0</v>
      </c>
      <c r="F157" s="14">
        <f t="shared" si="28"/>
        <v>909.45574199999999</v>
      </c>
      <c r="G157" s="57"/>
      <c r="H157" s="57"/>
      <c r="I157" s="32"/>
      <c r="N157" s="2" t="str">
        <f t="shared" ca="1" si="27"/>
        <v>1806 to 1906</v>
      </c>
      <c r="O157" s="2">
        <f ca="1">O156+1</f>
        <v>1806</v>
      </c>
      <c r="P157" s="2">
        <f ca="1">P156+1</f>
        <v>1906</v>
      </c>
    </row>
    <row r="158" spans="1:16" s="2" customFormat="1" x14ac:dyDescent="0.3">
      <c r="A158" s="115" t="s">
        <v>211</v>
      </c>
      <c r="B158" s="115"/>
      <c r="C158" s="115"/>
      <c r="D158" s="115"/>
      <c r="E158" s="115"/>
      <c r="F158" s="115"/>
      <c r="G158" s="115"/>
      <c r="H158" s="115"/>
      <c r="I158" s="32">
        <v>1</v>
      </c>
    </row>
    <row r="159" spans="1:16" s="2" customFormat="1" ht="15.75" customHeight="1" x14ac:dyDescent="0.3">
      <c r="A159" s="57">
        <v>1</v>
      </c>
      <c r="B159" s="57"/>
      <c r="C159" s="50" t="s">
        <v>176</v>
      </c>
      <c r="D159" s="52">
        <f>(40.27)*(10.764)</f>
        <v>433.46627999999998</v>
      </c>
      <c r="E159" s="14">
        <v>0</v>
      </c>
      <c r="F159" s="14">
        <f>D159*(($F$115)+1)+(IF(E159&lt;101,E159,IF(E159&lt;201,E159/2,IF(E159&lt;=301,E159/3,E159/4))))</f>
        <v>671.87273400000004</v>
      </c>
      <c r="G159" s="57" t="str">
        <f>A158</f>
        <v>20th Floor</v>
      </c>
      <c r="H159" s="57"/>
      <c r="I159" s="32"/>
      <c r="N159" s="2" t="str">
        <f t="shared" ref="N159:N164" ca="1" si="33">O159&amp;""&amp;" to "&amp;""&amp;P159</f>
        <v>2001 to 2001</v>
      </c>
      <c r="O159" s="2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10^ROW(INDIRECT("1:"&amp;LEN((LEFT(A158,SUM(LEN(A158)-LEN(SUBSTITUTE(A158,{"0","1","2"},""))))))))/10))*100+1</f>
        <v>2001</v>
      </c>
      <c r="P159" s="2">
        <f ca="1">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",LEN(A158))),LEN(A158)))))))/10))*100+1</f>
        <v>2001</v>
      </c>
    </row>
    <row r="160" spans="1:16" s="2" customFormat="1" ht="15.75" customHeight="1" x14ac:dyDescent="0.3">
      <c r="A160" s="57">
        <v>2</v>
      </c>
      <c r="B160" s="57"/>
      <c r="C160" s="50" t="s">
        <v>177</v>
      </c>
      <c r="D160" s="52">
        <f>(61.29)*(10.764)</f>
        <v>659.72555999999997</v>
      </c>
      <c r="E160" s="14">
        <v>0</v>
      </c>
      <c r="F160" s="14">
        <f t="shared" ref="F160:F164" si="34">D160*(($F$115)+1)+(IF(E160&lt;101,E160,IF(E160&lt;201,E160/2,IF(E160&lt;=301,E160/3,E160/4))))</f>
        <v>1022.574618</v>
      </c>
      <c r="G160" s="57"/>
      <c r="H160" s="57"/>
      <c r="I160" s="32"/>
      <c r="N160" s="2" t="str">
        <f t="shared" ca="1" si="33"/>
        <v>2002 to 2002</v>
      </c>
      <c r="O160" s="2">
        <f t="shared" ref="O160:P160" ca="1" si="35">O159+1</f>
        <v>2002</v>
      </c>
      <c r="P160" s="2">
        <f t="shared" ca="1" si="35"/>
        <v>2002</v>
      </c>
    </row>
    <row r="161" spans="1:16" s="2" customFormat="1" ht="15.75" customHeight="1" x14ac:dyDescent="0.3">
      <c r="A161" s="57">
        <v>3</v>
      </c>
      <c r="B161" s="57"/>
      <c r="C161" s="50" t="s">
        <v>177</v>
      </c>
      <c r="D161" s="52">
        <f>(57.26)*(10.764)</f>
        <v>616.34663999999998</v>
      </c>
      <c r="E161" s="14">
        <v>0</v>
      </c>
      <c r="F161" s="14">
        <f t="shared" si="34"/>
        <v>955.33729200000005</v>
      </c>
      <c r="G161" s="57"/>
      <c r="H161" s="57"/>
      <c r="I161" s="32"/>
      <c r="N161" s="2" t="str">
        <f t="shared" ca="1" si="33"/>
        <v>2003 to 2003</v>
      </c>
      <c r="O161" s="2">
        <f t="shared" ref="O161:P161" ca="1" si="36">O160+1</f>
        <v>2003</v>
      </c>
      <c r="P161" s="2">
        <f t="shared" ca="1" si="36"/>
        <v>2003</v>
      </c>
    </row>
    <row r="162" spans="1:16" s="2" customFormat="1" ht="15.75" customHeight="1" x14ac:dyDescent="0.3">
      <c r="A162" s="57">
        <v>4</v>
      </c>
      <c r="B162" s="57"/>
      <c r="C162" s="50" t="s">
        <v>176</v>
      </c>
      <c r="D162" s="52">
        <f>(42.28)*(10.764)</f>
        <v>455.10192000000001</v>
      </c>
      <c r="E162" s="14">
        <v>0</v>
      </c>
      <c r="F162" s="14">
        <f t="shared" si="34"/>
        <v>705.40797600000008</v>
      </c>
      <c r="G162" s="57"/>
      <c r="H162" s="57"/>
      <c r="I162" s="32"/>
      <c r="N162" s="2" t="str">
        <f t="shared" ca="1" si="33"/>
        <v>2004 to 2004</v>
      </c>
      <c r="O162" s="2">
        <f t="shared" ref="O162:P162" ca="1" si="37">O161+1</f>
        <v>2004</v>
      </c>
      <c r="P162" s="2">
        <f t="shared" ca="1" si="37"/>
        <v>2004</v>
      </c>
    </row>
    <row r="163" spans="1:16" s="2" customFormat="1" ht="15.75" customHeight="1" x14ac:dyDescent="0.3">
      <c r="A163" s="57">
        <v>5</v>
      </c>
      <c r="B163" s="57"/>
      <c r="C163" s="50" t="s">
        <v>176</v>
      </c>
      <c r="D163" s="52">
        <f>(43.99)*(10.764)</f>
        <v>473.50835999999998</v>
      </c>
      <c r="E163" s="14">
        <v>0</v>
      </c>
      <c r="F163" s="14">
        <f t="shared" si="34"/>
        <v>733.93795799999998</v>
      </c>
      <c r="G163" s="57"/>
      <c r="H163" s="57"/>
      <c r="I163" s="32"/>
      <c r="N163" s="2" t="str">
        <f t="shared" ca="1" si="33"/>
        <v>2005 to 2005</v>
      </c>
      <c r="O163" s="2">
        <f t="shared" ref="O163:P163" ca="1" si="38">O162+1</f>
        <v>2005</v>
      </c>
      <c r="P163" s="2">
        <f t="shared" ca="1" si="38"/>
        <v>2005</v>
      </c>
    </row>
    <row r="164" spans="1:16" s="2" customFormat="1" ht="15.75" customHeight="1" x14ac:dyDescent="0.3">
      <c r="A164" s="57">
        <v>6</v>
      </c>
      <c r="B164" s="57"/>
      <c r="C164" s="50" t="s">
        <v>177</v>
      </c>
      <c r="D164" s="52">
        <f>(60.13)*(10.764)</f>
        <v>647.23932000000002</v>
      </c>
      <c r="E164" s="14">
        <v>0</v>
      </c>
      <c r="F164" s="14">
        <f t="shared" si="34"/>
        <v>1003.220946</v>
      </c>
      <c r="G164" s="57"/>
      <c r="H164" s="57"/>
      <c r="I164" s="32"/>
      <c r="N164" s="2" t="str">
        <f t="shared" ca="1" si="33"/>
        <v>2006 to 2006</v>
      </c>
      <c r="O164" s="2">
        <f ca="1">O163+1</f>
        <v>2006</v>
      </c>
      <c r="P164" s="2">
        <f ca="1">P163+1</f>
        <v>2006</v>
      </c>
    </row>
    <row r="165" spans="1:16" s="2" customFormat="1" x14ac:dyDescent="0.3">
      <c r="A165" s="71" t="s">
        <v>212</v>
      </c>
      <c r="B165" s="72"/>
      <c r="C165" s="72"/>
      <c r="D165" s="72"/>
      <c r="E165" s="72"/>
      <c r="F165" s="72"/>
      <c r="G165" s="72"/>
      <c r="H165" s="73"/>
      <c r="I165" s="32">
        <v>1</v>
      </c>
    </row>
    <row r="166" spans="1:16" s="2" customFormat="1" ht="15.75" customHeight="1" x14ac:dyDescent="0.3">
      <c r="A166" s="58">
        <v>1</v>
      </c>
      <c r="B166" s="60"/>
      <c r="C166" s="50" t="s">
        <v>176</v>
      </c>
      <c r="D166" s="52">
        <f>(40.27)*(10.764)</f>
        <v>433.46627999999998</v>
      </c>
      <c r="E166" s="14">
        <v>0</v>
      </c>
      <c r="F166" s="14">
        <f>D166*(($F$115)+1)+(IF(E166&lt;101,E166,IF(E166&lt;201,E166/2,IF(E166&lt;=301,E166/3,E166/4))))</f>
        <v>671.87273400000004</v>
      </c>
      <c r="G166" s="61" t="str">
        <f>A165</f>
        <v>21st Floor (Part Refuge Area)</v>
      </c>
      <c r="H166" s="63"/>
      <c r="I166" s="32"/>
      <c r="N166" s="2" t="str">
        <f t="shared" ref="N166:N171" ca="1" si="39">O166&amp;""&amp;" to "&amp;""&amp;P166</f>
        <v>2101 to 2101</v>
      </c>
      <c r="O166" s="2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10^ROW(INDIRECT("1:"&amp;LEN((LEFT(A165,SUM(LEN(A165)-LEN(SUBSTITUTE(A165,{"0","1","2"},""))))))))/10))*100+1</f>
        <v>2101</v>
      </c>
      <c r="P166" s="2">
        <f ca="1">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",LEN(A165))),LEN(A165)))))))/10))*100+1</f>
        <v>2101</v>
      </c>
    </row>
    <row r="167" spans="1:16" s="2" customFormat="1" ht="15.75" customHeight="1" x14ac:dyDescent="0.3">
      <c r="A167" s="58">
        <v>2</v>
      </c>
      <c r="B167" s="60"/>
      <c r="C167" s="50" t="s">
        <v>177</v>
      </c>
      <c r="D167" s="52">
        <f>(61.29)*(10.764)</f>
        <v>659.72555999999997</v>
      </c>
      <c r="E167" s="14">
        <v>0</v>
      </c>
      <c r="F167" s="14">
        <f t="shared" ref="F167:F168" si="40">D167*(($F$115)+1)+(IF(E167&lt;101,E167,IF(E167&lt;201,E167/2,IF(E167&lt;=301,E167/3,E167/4))))</f>
        <v>1022.574618</v>
      </c>
      <c r="G167" s="64"/>
      <c r="H167" s="66"/>
      <c r="I167" s="32"/>
      <c r="N167" s="2" t="str">
        <f t="shared" ca="1" si="39"/>
        <v>2102 to 2102</v>
      </c>
      <c r="O167" s="2">
        <f t="shared" ref="O167:P167" ca="1" si="41">O166+1</f>
        <v>2102</v>
      </c>
      <c r="P167" s="2">
        <f t="shared" ca="1" si="41"/>
        <v>2102</v>
      </c>
    </row>
    <row r="168" spans="1:16" s="2" customFormat="1" ht="15.75" customHeight="1" x14ac:dyDescent="0.3">
      <c r="A168" s="58">
        <v>3</v>
      </c>
      <c r="B168" s="60"/>
      <c r="C168" s="14" t="s">
        <v>178</v>
      </c>
      <c r="D168" s="52">
        <f>(73.78)*(10.764)</f>
        <v>794.16791999999998</v>
      </c>
      <c r="E168" s="14">
        <v>0</v>
      </c>
      <c r="F168" s="14">
        <f t="shared" si="40"/>
        <v>1230.960276</v>
      </c>
      <c r="G168" s="64"/>
      <c r="H168" s="66"/>
      <c r="I168" s="32"/>
      <c r="N168" s="2" t="str">
        <f t="shared" ca="1" si="39"/>
        <v>2103 to 2103</v>
      </c>
      <c r="O168" s="2">
        <f t="shared" ref="O168:P168" ca="1" si="42">O167+1</f>
        <v>2103</v>
      </c>
      <c r="P168" s="2">
        <f t="shared" ca="1" si="42"/>
        <v>2103</v>
      </c>
    </row>
    <row r="169" spans="1:16" s="2" customFormat="1" ht="15.75" customHeight="1" x14ac:dyDescent="0.3">
      <c r="A169" s="58">
        <v>4</v>
      </c>
      <c r="B169" s="60"/>
      <c r="C169" s="58" t="s">
        <v>181</v>
      </c>
      <c r="D169" s="59"/>
      <c r="E169" s="59"/>
      <c r="F169" s="60"/>
      <c r="G169" s="64"/>
      <c r="H169" s="66"/>
      <c r="I169" s="32"/>
      <c r="N169" s="2" t="str">
        <f t="shared" ca="1" si="39"/>
        <v>2104 to 2104</v>
      </c>
      <c r="O169" s="2">
        <f t="shared" ref="O169:P169" ca="1" si="43">O168+1</f>
        <v>2104</v>
      </c>
      <c r="P169" s="2">
        <f t="shared" ca="1" si="43"/>
        <v>2104</v>
      </c>
    </row>
    <row r="170" spans="1:16" s="2" customFormat="1" ht="15.75" customHeight="1" x14ac:dyDescent="0.3">
      <c r="A170" s="58">
        <v>5</v>
      </c>
      <c r="B170" s="60"/>
      <c r="C170" s="50" t="s">
        <v>176</v>
      </c>
      <c r="D170" s="52">
        <f>(43.99)*(10.764)</f>
        <v>473.50835999999998</v>
      </c>
      <c r="E170" s="14">
        <v>0</v>
      </c>
      <c r="F170" s="14">
        <f t="shared" ref="F170" si="44">D170*(($F$115)+1)+(IF(E170&lt;101,E170,IF(E170&lt;201,E170/2,IF(E170&lt;=301,E170/3,E170/4))))</f>
        <v>733.93795799999998</v>
      </c>
      <c r="G170" s="64"/>
      <c r="H170" s="66"/>
      <c r="I170" s="32"/>
      <c r="N170" s="2" t="str">
        <f t="shared" ca="1" si="39"/>
        <v>2105 to 2105</v>
      </c>
      <c r="O170" s="2">
        <f t="shared" ref="O170:P170" ca="1" si="45">O169+1</f>
        <v>2105</v>
      </c>
      <c r="P170" s="2">
        <f t="shared" ca="1" si="45"/>
        <v>2105</v>
      </c>
    </row>
    <row r="171" spans="1:16" s="2" customFormat="1" ht="15.75" customHeight="1" x14ac:dyDescent="0.3">
      <c r="A171" s="58">
        <v>6</v>
      </c>
      <c r="B171" s="60"/>
      <c r="C171" s="50" t="s">
        <v>177</v>
      </c>
      <c r="D171" s="52">
        <f>(60.13)*(10.764)</f>
        <v>647.23932000000002</v>
      </c>
      <c r="E171" s="14">
        <v>0</v>
      </c>
      <c r="F171" s="14">
        <f t="shared" ref="F171" si="46">D171*(($F$115)+1)+(IF(E171&lt;101,E171,IF(E171&lt;201,E171/2,IF(E171&lt;=301,E171/3,E171/4))))</f>
        <v>1003.220946</v>
      </c>
      <c r="G171" s="67"/>
      <c r="H171" s="69"/>
      <c r="I171" s="32"/>
      <c r="N171" s="2" t="str">
        <f t="shared" ca="1" si="39"/>
        <v>2106 to 2106</v>
      </c>
      <c r="O171" s="2">
        <f ca="1">O170+1</f>
        <v>2106</v>
      </c>
      <c r="P171" s="2">
        <f ca="1">P170+1</f>
        <v>2106</v>
      </c>
    </row>
    <row r="172" spans="1:16" s="2" customFormat="1" x14ac:dyDescent="0.3">
      <c r="A172" s="71" t="s">
        <v>214</v>
      </c>
      <c r="B172" s="72"/>
      <c r="C172" s="72"/>
      <c r="D172" s="72"/>
      <c r="E172" s="72"/>
      <c r="F172" s="72"/>
      <c r="G172" s="72"/>
      <c r="H172" s="73"/>
      <c r="I172" s="32">
        <v>1</v>
      </c>
    </row>
    <row r="173" spans="1:16" s="2" customFormat="1" ht="15.75" customHeight="1" x14ac:dyDescent="0.3">
      <c r="A173" s="58">
        <v>1</v>
      </c>
      <c r="B173" s="60"/>
      <c r="C173" s="61" t="s">
        <v>215</v>
      </c>
      <c r="D173" s="62"/>
      <c r="E173" s="62"/>
      <c r="F173" s="63"/>
      <c r="G173" s="61" t="str">
        <f>A172</f>
        <v>22nd Floor (Part Terrace Area)</v>
      </c>
      <c r="H173" s="63"/>
      <c r="I173" s="32"/>
      <c r="N173" s="2" t="str">
        <f t="shared" ref="N173:N178" ca="1" si="47">O173&amp;""&amp;" to "&amp;""&amp;P173</f>
        <v>2201 to 2201</v>
      </c>
      <c r="O173" s="2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</f>
        <v>2201</v>
      </c>
      <c r="P173" s="2">
        <f ca="1">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2201</v>
      </c>
    </row>
    <row r="174" spans="1:16" s="2" customFormat="1" ht="15.75" customHeight="1" x14ac:dyDescent="0.3">
      <c r="A174" s="58">
        <v>2</v>
      </c>
      <c r="B174" s="60"/>
      <c r="C174" s="64"/>
      <c r="D174" s="65"/>
      <c r="E174" s="65"/>
      <c r="F174" s="66"/>
      <c r="G174" s="64"/>
      <c r="H174" s="66"/>
      <c r="I174" s="32"/>
      <c r="N174" s="2" t="str">
        <f t="shared" ca="1" si="47"/>
        <v>2202 to 2202</v>
      </c>
      <c r="O174" s="2">
        <f t="shared" ref="O174:P174" ca="1" si="48">O173+1</f>
        <v>2202</v>
      </c>
      <c r="P174" s="2">
        <f t="shared" ca="1" si="48"/>
        <v>2202</v>
      </c>
    </row>
    <row r="175" spans="1:16" s="2" customFormat="1" ht="15.75" customHeight="1" x14ac:dyDescent="0.3">
      <c r="A175" s="58">
        <v>3</v>
      </c>
      <c r="B175" s="60"/>
      <c r="C175" s="67"/>
      <c r="D175" s="68"/>
      <c r="E175" s="68"/>
      <c r="F175" s="69"/>
      <c r="G175" s="64"/>
      <c r="H175" s="66"/>
      <c r="I175" s="32"/>
      <c r="N175" s="2" t="str">
        <f t="shared" ca="1" si="47"/>
        <v>2203 to 2203</v>
      </c>
      <c r="O175" s="2">
        <f t="shared" ref="O175:P175" ca="1" si="49">O174+1</f>
        <v>2203</v>
      </c>
      <c r="P175" s="2">
        <f t="shared" ca="1" si="49"/>
        <v>2203</v>
      </c>
    </row>
    <row r="176" spans="1:16" s="2" customFormat="1" ht="15.75" customHeight="1" x14ac:dyDescent="0.3">
      <c r="A176" s="58">
        <v>4</v>
      </c>
      <c r="B176" s="60"/>
      <c r="C176" s="50" t="s">
        <v>176</v>
      </c>
      <c r="D176" s="52">
        <f>(42.28)*(10.764)</f>
        <v>455.10192000000001</v>
      </c>
      <c r="E176" s="14">
        <v>0</v>
      </c>
      <c r="F176" s="14">
        <f t="shared" ref="F176" si="50">D176*(($F$115)+1)+(IF(E176&lt;101,E176,IF(E176&lt;201,E176/2,IF(E176&lt;=301,E176/3,E176/4))))</f>
        <v>705.40797600000008</v>
      </c>
      <c r="G176" s="64"/>
      <c r="H176" s="66"/>
      <c r="I176" s="32"/>
      <c r="N176" s="2" t="str">
        <f t="shared" ca="1" si="47"/>
        <v>2204 to 2204</v>
      </c>
      <c r="O176" s="2">
        <f t="shared" ref="O176:P176" ca="1" si="51">O175+1</f>
        <v>2204</v>
      </c>
      <c r="P176" s="2">
        <f t="shared" ca="1" si="51"/>
        <v>2204</v>
      </c>
    </row>
    <row r="177" spans="1:16" s="2" customFormat="1" ht="15.75" customHeight="1" x14ac:dyDescent="0.3">
      <c r="A177" s="58">
        <v>5</v>
      </c>
      <c r="B177" s="60"/>
      <c r="C177" s="58" t="s">
        <v>215</v>
      </c>
      <c r="D177" s="59"/>
      <c r="E177" s="59"/>
      <c r="F177" s="60"/>
      <c r="G177" s="64"/>
      <c r="H177" s="66"/>
      <c r="I177" s="32"/>
      <c r="N177" s="2" t="str">
        <f t="shared" ca="1" si="47"/>
        <v>2205 to 2205</v>
      </c>
      <c r="O177" s="2">
        <f t="shared" ref="O177:P177" ca="1" si="52">O176+1</f>
        <v>2205</v>
      </c>
      <c r="P177" s="2">
        <f t="shared" ca="1" si="52"/>
        <v>2205</v>
      </c>
    </row>
    <row r="178" spans="1:16" s="2" customFormat="1" ht="15.75" customHeight="1" x14ac:dyDescent="0.3">
      <c r="A178" s="58">
        <v>6</v>
      </c>
      <c r="B178" s="60"/>
      <c r="C178" s="50" t="s">
        <v>177</v>
      </c>
      <c r="D178" s="52">
        <f>(60.13)*(10.764)</f>
        <v>647.23932000000002</v>
      </c>
      <c r="E178" s="14">
        <v>0</v>
      </c>
      <c r="F178" s="14">
        <f t="shared" ref="F178" si="53">D178*(($F$115)+1)+(IF(E178&lt;101,E178,IF(E178&lt;201,E178/2,IF(E178&lt;=301,E178/3,E178/4))))</f>
        <v>1003.220946</v>
      </c>
      <c r="G178" s="67"/>
      <c r="H178" s="69"/>
      <c r="I178" s="32"/>
      <c r="N178" s="2" t="str">
        <f t="shared" ca="1" si="47"/>
        <v>2206 to 2206</v>
      </c>
      <c r="O178" s="2">
        <f ca="1">O177+1</f>
        <v>2206</v>
      </c>
      <c r="P178" s="2">
        <f ca="1">P177+1</f>
        <v>2206</v>
      </c>
    </row>
    <row r="179" spans="1:16" s="1" customFormat="1" x14ac:dyDescent="0.3">
      <c r="A179" s="122" t="s">
        <v>72</v>
      </c>
      <c r="B179" s="122"/>
      <c r="C179" s="122"/>
      <c r="D179" s="122"/>
      <c r="E179" s="122"/>
      <c r="F179" s="122"/>
      <c r="G179" s="122"/>
      <c r="H179" s="122"/>
    </row>
    <row r="180" spans="1:16" s="1" customFormat="1" ht="31.5" customHeight="1" x14ac:dyDescent="0.3">
      <c r="A180" s="35">
        <v>1</v>
      </c>
      <c r="B180" s="77" t="s">
        <v>224</v>
      </c>
      <c r="C180" s="78"/>
      <c r="D180" s="78"/>
      <c r="E180" s="78"/>
      <c r="F180" s="78"/>
      <c r="G180" s="78"/>
      <c r="H180" s="79"/>
    </row>
    <row r="181" spans="1:16" s="1" customFormat="1" x14ac:dyDescent="0.3">
      <c r="A181" s="35">
        <f t="shared" ref="A181:A191" si="54">A180+1</f>
        <v>2</v>
      </c>
      <c r="B181" s="77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81" s="78"/>
      <c r="D181" s="78"/>
      <c r="E181" s="78"/>
      <c r="F181" s="78"/>
      <c r="G181" s="78"/>
      <c r="H181" s="79"/>
    </row>
    <row r="182" spans="1:16" s="1" customFormat="1" x14ac:dyDescent="0.3">
      <c r="A182" s="35">
        <f t="shared" si="54"/>
        <v>3</v>
      </c>
      <c r="B182" s="77" t="str">
        <f>(IF(F100="Saleable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2" s="78"/>
      <c r="D182" s="78"/>
      <c r="E182" s="78"/>
      <c r="F182" s="78"/>
      <c r="G182" s="78"/>
      <c r="H182" s="79"/>
    </row>
    <row r="183" spans="1:16" s="1" customFormat="1" x14ac:dyDescent="0.3">
      <c r="A183" s="35">
        <f>A182+1</f>
        <v>4</v>
      </c>
      <c r="B183" s="74" t="s">
        <v>137</v>
      </c>
      <c r="C183" s="75"/>
      <c r="D183" s="75"/>
      <c r="E183" s="75"/>
      <c r="F183" s="75"/>
      <c r="G183" s="75"/>
      <c r="H183" s="76"/>
    </row>
    <row r="184" spans="1:16" s="1" customFormat="1" x14ac:dyDescent="0.3">
      <c r="A184" s="35">
        <f t="shared" si="54"/>
        <v>5</v>
      </c>
      <c r="B184" s="74" t="s">
        <v>192</v>
      </c>
      <c r="C184" s="75"/>
      <c r="D184" s="75"/>
      <c r="E184" s="75"/>
      <c r="F184" s="75"/>
      <c r="G184" s="75"/>
      <c r="H184" s="76"/>
    </row>
    <row r="185" spans="1:16" s="1" customFormat="1" x14ac:dyDescent="0.3">
      <c r="A185" s="35">
        <f t="shared" si="54"/>
        <v>6</v>
      </c>
      <c r="B185" s="74" t="s">
        <v>138</v>
      </c>
      <c r="C185" s="75"/>
      <c r="D185" s="75"/>
      <c r="E185" s="75"/>
      <c r="F185" s="75"/>
      <c r="G185" s="75"/>
      <c r="H185" s="76"/>
    </row>
    <row r="186" spans="1:16" s="1" customFormat="1" x14ac:dyDescent="0.3">
      <c r="A186" s="35">
        <f t="shared" si="54"/>
        <v>7</v>
      </c>
      <c r="B186" s="74" t="s">
        <v>139</v>
      </c>
      <c r="C186" s="75"/>
      <c r="D186" s="75"/>
      <c r="E186" s="75"/>
      <c r="F186" s="75"/>
      <c r="G186" s="75"/>
      <c r="H186" s="76"/>
    </row>
    <row r="187" spans="1:16" s="1" customFormat="1" x14ac:dyDescent="0.3">
      <c r="A187" s="35">
        <f t="shared" si="54"/>
        <v>8</v>
      </c>
      <c r="B187" s="74" t="s">
        <v>206</v>
      </c>
      <c r="C187" s="75"/>
      <c r="D187" s="75"/>
      <c r="E187" s="75"/>
      <c r="F187" s="75"/>
      <c r="G187" s="75"/>
      <c r="H187" s="76"/>
    </row>
    <row r="188" spans="1:16" s="1" customFormat="1" ht="35.25" customHeight="1" x14ac:dyDescent="0.3">
      <c r="A188" s="35">
        <f t="shared" si="54"/>
        <v>9</v>
      </c>
      <c r="B188" s="70" t="s">
        <v>223</v>
      </c>
      <c r="C188" s="70"/>
      <c r="D188" s="70"/>
      <c r="E188" s="70"/>
      <c r="F188" s="70"/>
      <c r="G188" s="70"/>
      <c r="H188" s="70"/>
    </row>
    <row r="189" spans="1:16" s="1" customFormat="1" x14ac:dyDescent="0.3">
      <c r="A189" s="35">
        <f t="shared" si="54"/>
        <v>10</v>
      </c>
      <c r="B189" s="70" t="s">
        <v>216</v>
      </c>
      <c r="C189" s="70"/>
      <c r="D189" s="70"/>
      <c r="E189" s="70"/>
      <c r="F189" s="70"/>
      <c r="G189" s="70"/>
      <c r="H189" s="70"/>
    </row>
    <row r="190" spans="1:16" s="1" customFormat="1" x14ac:dyDescent="0.3">
      <c r="A190" s="35">
        <f t="shared" si="54"/>
        <v>11</v>
      </c>
      <c r="B190" s="70" t="s">
        <v>228</v>
      </c>
      <c r="C190" s="70"/>
      <c r="D190" s="70"/>
      <c r="E190" s="70"/>
      <c r="F190" s="70"/>
      <c r="G190" s="70"/>
      <c r="H190" s="70"/>
    </row>
    <row r="191" spans="1:16" s="1" customFormat="1" ht="33.6" customHeight="1" x14ac:dyDescent="0.3">
      <c r="A191" s="35">
        <f t="shared" si="54"/>
        <v>12</v>
      </c>
      <c r="B191" s="70" t="s">
        <v>229</v>
      </c>
      <c r="C191" s="70"/>
      <c r="D191" s="70"/>
      <c r="E191" s="70"/>
      <c r="F191" s="70"/>
      <c r="G191" s="70"/>
      <c r="H191" s="70"/>
    </row>
    <row r="192" spans="1:16" x14ac:dyDescent="0.3">
      <c r="A192" s="111" t="s">
        <v>65</v>
      </c>
      <c r="B192" s="111"/>
      <c r="C192" s="111"/>
      <c r="D192" s="111"/>
      <c r="E192" s="111"/>
      <c r="F192" s="111"/>
      <c r="G192" s="111"/>
      <c r="H192" s="111"/>
    </row>
    <row r="193" spans="1:8" x14ac:dyDescent="0.3">
      <c r="A193" s="81" t="s">
        <v>66</v>
      </c>
      <c r="B193" s="81"/>
      <c r="C193" s="81"/>
      <c r="D193" s="81"/>
      <c r="E193" s="81"/>
      <c r="F193" s="81"/>
      <c r="G193" s="81"/>
      <c r="H193" s="81"/>
    </row>
    <row r="194" spans="1:8" ht="15.75" customHeight="1" x14ac:dyDescent="0.3">
      <c r="A194" s="90" t="s">
        <v>67</v>
      </c>
      <c r="B194" s="90"/>
      <c r="C194" s="90"/>
      <c r="D194" s="90"/>
      <c r="E194" s="90"/>
      <c r="F194" s="90"/>
      <c r="G194" s="90"/>
      <c r="H194" s="90"/>
    </row>
    <row r="195" spans="1:8" x14ac:dyDescent="0.3">
      <c r="A195" s="81" t="s">
        <v>68</v>
      </c>
      <c r="B195" s="81"/>
      <c r="C195" s="81"/>
      <c r="D195" s="81"/>
      <c r="E195" s="81"/>
      <c r="F195" s="81"/>
      <c r="G195" s="81"/>
      <c r="H195" s="81"/>
    </row>
    <row r="196" spans="1:8" x14ac:dyDescent="0.3">
      <c r="A196" s="81" t="s">
        <v>69</v>
      </c>
      <c r="B196" s="81"/>
      <c r="C196" s="81"/>
      <c r="D196" s="81"/>
      <c r="E196" s="81"/>
      <c r="F196" s="81"/>
      <c r="G196" s="81"/>
      <c r="H196" s="81"/>
    </row>
    <row r="197" spans="1:8" x14ac:dyDescent="0.3">
      <c r="A197" s="81" t="s">
        <v>140</v>
      </c>
      <c r="B197" s="81"/>
      <c r="C197" s="81"/>
      <c r="D197" s="81"/>
      <c r="E197" s="81"/>
      <c r="F197" s="81"/>
      <c r="G197" s="81"/>
      <c r="H197" s="81"/>
    </row>
    <row r="198" spans="1:8" x14ac:dyDescent="0.3">
      <c r="A198" s="86" t="s">
        <v>141</v>
      </c>
      <c r="B198" s="86"/>
      <c r="C198" s="86"/>
      <c r="D198" s="86"/>
      <c r="E198" s="86"/>
      <c r="F198" s="86"/>
      <c r="G198" s="86"/>
      <c r="H198" s="86"/>
    </row>
    <row r="199" spans="1:8" x14ac:dyDescent="0.3">
      <c r="A199" s="117" t="s">
        <v>83</v>
      </c>
      <c r="B199" s="117"/>
      <c r="C199" s="117" t="s">
        <v>231</v>
      </c>
      <c r="D199" s="117"/>
      <c r="E199" s="117" t="s">
        <v>117</v>
      </c>
      <c r="F199" s="117"/>
      <c r="G199" s="117" t="s">
        <v>230</v>
      </c>
      <c r="H199" s="117"/>
    </row>
    <row r="200" spans="1:8" x14ac:dyDescent="0.3">
      <c r="A200" s="116" t="s">
        <v>85</v>
      </c>
      <c r="B200" s="116"/>
      <c r="C200" s="116"/>
      <c r="D200" s="116"/>
      <c r="E200" s="116"/>
      <c r="F200" s="116"/>
      <c r="G200" s="116"/>
      <c r="H200" s="116"/>
    </row>
    <row r="201" spans="1:8" x14ac:dyDescent="0.3">
      <c r="A201" s="116"/>
      <c r="B201" s="116"/>
      <c r="C201" s="116"/>
      <c r="D201" s="116"/>
      <c r="E201" s="116"/>
      <c r="F201" s="116"/>
      <c r="G201" s="116"/>
      <c r="H201" s="116"/>
    </row>
    <row r="202" spans="1:8" x14ac:dyDescent="0.3">
      <c r="A202" s="116"/>
      <c r="B202" s="116"/>
      <c r="C202" s="116"/>
      <c r="D202" s="116"/>
      <c r="E202" s="116"/>
      <c r="F202" s="116"/>
      <c r="G202" s="116"/>
      <c r="H202" s="116"/>
    </row>
    <row r="203" spans="1:8" x14ac:dyDescent="0.3">
      <c r="A203" s="116"/>
      <c r="B203" s="116"/>
      <c r="C203" s="116"/>
      <c r="D203" s="116"/>
      <c r="E203" s="116"/>
      <c r="F203" s="116"/>
      <c r="G203" s="116"/>
      <c r="H203" s="116"/>
    </row>
    <row r="204" spans="1:8" x14ac:dyDescent="0.3">
      <c r="A204" s="9" t="s">
        <v>70</v>
      </c>
      <c r="B204" s="10"/>
      <c r="C204" s="10"/>
      <c r="D204" s="9" t="str">
        <f>E8</f>
        <v>Pushpanjali Residency</v>
      </c>
      <c r="F204" s="10"/>
      <c r="G204" s="10"/>
      <c r="H204" s="10"/>
    </row>
    <row r="205" spans="1:8" x14ac:dyDescent="0.3">
      <c r="A205" s="10"/>
      <c r="B205" s="10"/>
      <c r="C205" s="10"/>
      <c r="D205" s="10"/>
      <c r="E205" s="10"/>
      <c r="F205" s="10"/>
      <c r="G205" s="10"/>
      <c r="H205" s="10"/>
    </row>
    <row r="206" spans="1:8" x14ac:dyDescent="0.3">
      <c r="A206" s="10"/>
      <c r="B206" s="10"/>
      <c r="C206" s="10"/>
      <c r="D206" s="10"/>
      <c r="E206" s="10"/>
      <c r="F206" s="10"/>
      <c r="G206" s="10"/>
      <c r="H206" s="10"/>
    </row>
    <row r="207" spans="1:8" ht="15" customHeight="1" x14ac:dyDescent="0.3"/>
    <row r="247" spans="1:1" x14ac:dyDescent="0.3">
      <c r="A247" s="12" t="s">
        <v>219</v>
      </c>
    </row>
    <row r="285" spans="1:1" x14ac:dyDescent="0.3">
      <c r="A285" s="12" t="s">
        <v>71</v>
      </c>
    </row>
  </sheetData>
  <mergeCells count="344">
    <mergeCell ref="B191:H191"/>
    <mergeCell ref="C114:C115"/>
    <mergeCell ref="B186:H186"/>
    <mergeCell ref="A129:B129"/>
    <mergeCell ref="A140:B140"/>
    <mergeCell ref="A136:B136"/>
    <mergeCell ref="A85:E85"/>
    <mergeCell ref="C95:D95"/>
    <mergeCell ref="G95:H95"/>
    <mergeCell ref="A109:B109"/>
    <mergeCell ref="A110:B110"/>
    <mergeCell ref="A103:B103"/>
    <mergeCell ref="A104:B104"/>
    <mergeCell ref="A105:B105"/>
    <mergeCell ref="A106:B106"/>
    <mergeCell ref="A87:E87"/>
    <mergeCell ref="C93:D93"/>
    <mergeCell ref="E93:F93"/>
    <mergeCell ref="B100:B101"/>
    <mergeCell ref="A100:A101"/>
    <mergeCell ref="A97:B97"/>
    <mergeCell ref="C97:D97"/>
    <mergeCell ref="E97:F97"/>
    <mergeCell ref="G97:H97"/>
    <mergeCell ref="A137:H137"/>
    <mergeCell ref="L110:M110"/>
    <mergeCell ref="L109:M109"/>
    <mergeCell ref="L107:M107"/>
    <mergeCell ref="L106:M106"/>
    <mergeCell ref="L105:M105"/>
    <mergeCell ref="L104:M104"/>
    <mergeCell ref="L103:M103"/>
    <mergeCell ref="G103:H112"/>
    <mergeCell ref="A107:B107"/>
    <mergeCell ref="L111:M111"/>
    <mergeCell ref="L112:M112"/>
    <mergeCell ref="A111:B111"/>
    <mergeCell ref="A108:B108"/>
    <mergeCell ref="L108:M108"/>
    <mergeCell ref="A112:B112"/>
    <mergeCell ref="A74:B74"/>
    <mergeCell ref="C96:D96"/>
    <mergeCell ref="E96:F96"/>
    <mergeCell ref="G96:H96"/>
    <mergeCell ref="F84:H84"/>
    <mergeCell ref="A78:E78"/>
    <mergeCell ref="A102:H102"/>
    <mergeCell ref="E100:E101"/>
    <mergeCell ref="G100:H101"/>
    <mergeCell ref="F80:H80"/>
    <mergeCell ref="A80:E80"/>
    <mergeCell ref="F79:H79"/>
    <mergeCell ref="A79:E79"/>
    <mergeCell ref="A81:E81"/>
    <mergeCell ref="D100:D101"/>
    <mergeCell ref="A82:E82"/>
    <mergeCell ref="F82:H82"/>
    <mergeCell ref="F81:H81"/>
    <mergeCell ref="F87:H87"/>
    <mergeCell ref="A88:E88"/>
    <mergeCell ref="A83:E83"/>
    <mergeCell ref="F83:H83"/>
    <mergeCell ref="A84:E84"/>
    <mergeCell ref="A86:E86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6:C56"/>
    <mergeCell ref="A57:C57"/>
    <mergeCell ref="D56:H56"/>
    <mergeCell ref="E67:F76"/>
    <mergeCell ref="G67:H76"/>
    <mergeCell ref="A75:B75"/>
    <mergeCell ref="A76:B76"/>
    <mergeCell ref="D57:H5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73:B73"/>
    <mergeCell ref="A66:B66"/>
    <mergeCell ref="A69:B69"/>
    <mergeCell ref="A61:C61"/>
    <mergeCell ref="D61:H61"/>
    <mergeCell ref="A67:B67"/>
    <mergeCell ref="G66:H66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200:H203"/>
    <mergeCell ref="A199:B199"/>
    <mergeCell ref="E199:F199"/>
    <mergeCell ref="C199:D199"/>
    <mergeCell ref="G199:H199"/>
    <mergeCell ref="A91:H91"/>
    <mergeCell ref="A89:E89"/>
    <mergeCell ref="F89:H89"/>
    <mergeCell ref="A90:E90"/>
    <mergeCell ref="F90:H90"/>
    <mergeCell ref="A116:H116"/>
    <mergeCell ref="A96:B96"/>
    <mergeCell ref="A93:B93"/>
    <mergeCell ref="A195:H195"/>
    <mergeCell ref="A94:H94"/>
    <mergeCell ref="A198:H198"/>
    <mergeCell ref="A196:H196"/>
    <mergeCell ref="A179:H179"/>
    <mergeCell ref="C100:C101"/>
    <mergeCell ref="B114:B115"/>
    <mergeCell ref="A123:H123"/>
    <mergeCell ref="A113:H113"/>
    <mergeCell ref="A114:A115"/>
    <mergeCell ref="A192:H192"/>
    <mergeCell ref="A138:B138"/>
    <mergeCell ref="A141:B141"/>
    <mergeCell ref="A177:B177"/>
    <mergeCell ref="A178:B178"/>
    <mergeCell ref="A172:H172"/>
    <mergeCell ref="A173:B173"/>
    <mergeCell ref="A174:B174"/>
    <mergeCell ref="A175:B175"/>
    <mergeCell ref="A176:B176"/>
    <mergeCell ref="A151:H151"/>
    <mergeCell ref="A152:B152"/>
    <mergeCell ref="G152:H157"/>
    <mergeCell ref="A153:B153"/>
    <mergeCell ref="A154:B154"/>
    <mergeCell ref="A155:B155"/>
    <mergeCell ref="A156:B156"/>
    <mergeCell ref="A157:B157"/>
    <mergeCell ref="A158:H158"/>
    <mergeCell ref="A159:B159"/>
    <mergeCell ref="G159:H164"/>
    <mergeCell ref="A160:B160"/>
    <mergeCell ref="A161:B161"/>
    <mergeCell ref="A162:B162"/>
    <mergeCell ref="A163:B163"/>
    <mergeCell ref="C48:E48"/>
    <mergeCell ref="A55:C55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A197:H197"/>
    <mergeCell ref="A122:B122"/>
    <mergeCell ref="A194:H194"/>
    <mergeCell ref="A117:B117"/>
    <mergeCell ref="A95:B95"/>
    <mergeCell ref="D114:D115"/>
    <mergeCell ref="E114:E115"/>
    <mergeCell ref="G114:H115"/>
    <mergeCell ref="A72:B72"/>
    <mergeCell ref="F78:H78"/>
    <mergeCell ref="A77:H77"/>
    <mergeCell ref="G93:H93"/>
    <mergeCell ref="A139:B139"/>
    <mergeCell ref="A193:H193"/>
    <mergeCell ref="E95:F95"/>
    <mergeCell ref="E92:F92"/>
    <mergeCell ref="A98:H98"/>
    <mergeCell ref="A92:B92"/>
    <mergeCell ref="F85:H85"/>
    <mergeCell ref="C92:D92"/>
    <mergeCell ref="F88:H88"/>
    <mergeCell ref="F86:H86"/>
    <mergeCell ref="A99:H99"/>
    <mergeCell ref="G92:H92"/>
    <mergeCell ref="L116:M116"/>
    <mergeCell ref="A121:B121"/>
    <mergeCell ref="A118:B118"/>
    <mergeCell ref="A119:B119"/>
    <mergeCell ref="A124:B124"/>
    <mergeCell ref="A125:B125"/>
    <mergeCell ref="A126:B126"/>
    <mergeCell ref="A120:B120"/>
    <mergeCell ref="A135:B135"/>
    <mergeCell ref="C135:F135"/>
    <mergeCell ref="C119:F121"/>
    <mergeCell ref="A127:B127"/>
    <mergeCell ref="A128:B128"/>
    <mergeCell ref="A130:H130"/>
    <mergeCell ref="A131:B131"/>
    <mergeCell ref="A132:B132"/>
    <mergeCell ref="A133:B133"/>
    <mergeCell ref="A134:B134"/>
    <mergeCell ref="C134:F134"/>
    <mergeCell ref="G117:H122"/>
    <mergeCell ref="G124:H129"/>
    <mergeCell ref="G131:H136"/>
    <mergeCell ref="E40:H40"/>
    <mergeCell ref="A40:D40"/>
    <mergeCell ref="C49:E49"/>
    <mergeCell ref="G49:H49"/>
    <mergeCell ref="B187:H187"/>
    <mergeCell ref="G173:H178"/>
    <mergeCell ref="A142:B142"/>
    <mergeCell ref="A143:B143"/>
    <mergeCell ref="A144:H144"/>
    <mergeCell ref="A145:B145"/>
    <mergeCell ref="G138:H143"/>
    <mergeCell ref="G145:H150"/>
    <mergeCell ref="A146:B146"/>
    <mergeCell ref="A147:B147"/>
    <mergeCell ref="A148:B148"/>
    <mergeCell ref="A149:B149"/>
    <mergeCell ref="A150:B150"/>
    <mergeCell ref="C148:F148"/>
    <mergeCell ref="C149:F149"/>
    <mergeCell ref="A46:B46"/>
    <mergeCell ref="C46:E46"/>
    <mergeCell ref="G46:H46"/>
    <mergeCell ref="G48:H48"/>
    <mergeCell ref="D52:H52"/>
    <mergeCell ref="A164:B164"/>
    <mergeCell ref="C177:F177"/>
    <mergeCell ref="C173:F175"/>
    <mergeCell ref="B190:H190"/>
    <mergeCell ref="B188:H188"/>
    <mergeCell ref="A165:H165"/>
    <mergeCell ref="A166:B166"/>
    <mergeCell ref="G166:H171"/>
    <mergeCell ref="A167:B167"/>
    <mergeCell ref="A168:B168"/>
    <mergeCell ref="A169:B169"/>
    <mergeCell ref="C169:F169"/>
    <mergeCell ref="A170:B170"/>
    <mergeCell ref="A171:B171"/>
    <mergeCell ref="B185:H185"/>
    <mergeCell ref="B182:H182"/>
    <mergeCell ref="B180:H180"/>
    <mergeCell ref="B181:H181"/>
    <mergeCell ref="B183:H183"/>
    <mergeCell ref="B184:H184"/>
    <mergeCell ref="B189:H189"/>
  </mergeCells>
  <hyperlinks>
    <hyperlink ref="C37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2" max="16383" man="1"/>
    <brk id="203" max="16383" man="1"/>
    <brk id="246" max="16383" man="1"/>
    <brk id="284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3"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8"/>
    <col min="2" max="2" width="22.21875" style="18" customWidth="1"/>
    <col min="3" max="3" width="37" style="18" customWidth="1"/>
    <col min="4" max="5" width="11.44140625" style="18" customWidth="1"/>
    <col min="6" max="6" width="14" style="18" customWidth="1"/>
    <col min="7" max="7" width="20" style="18" customWidth="1"/>
    <col min="8" max="8" width="16.44140625" style="18" customWidth="1"/>
    <col min="9" max="16384" width="8.77734375" style="18"/>
  </cols>
  <sheetData>
    <row r="1" spans="1:9" ht="15" customHeight="1" x14ac:dyDescent="0.3"/>
    <row r="2" spans="1:9" ht="15" customHeight="1" x14ac:dyDescent="0.3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">
      <c r="A3" s="19"/>
      <c r="B3" s="162" t="s">
        <v>118</v>
      </c>
      <c r="C3" s="162"/>
      <c r="D3" s="162"/>
      <c r="E3" s="162"/>
      <c r="F3" s="162"/>
      <c r="G3" s="162"/>
      <c r="H3" s="162"/>
    </row>
    <row r="4" spans="1:9" x14ac:dyDescent="0.3">
      <c r="A4" s="19"/>
      <c r="B4" s="20" t="s">
        <v>119</v>
      </c>
      <c r="C4" s="20" t="s">
        <v>120</v>
      </c>
      <c r="D4" s="20" t="s">
        <v>73</v>
      </c>
      <c r="E4" s="20" t="s">
        <v>121</v>
      </c>
      <c r="F4" s="20" t="s">
        <v>127</v>
      </c>
      <c r="G4" s="20" t="s">
        <v>128</v>
      </c>
      <c r="H4" s="20" t="s">
        <v>122</v>
      </c>
    </row>
    <row r="5" spans="1:9" ht="15" customHeight="1" x14ac:dyDescent="0.3">
      <c r="A5" s="19"/>
      <c r="B5" s="22" t="s">
        <v>123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">
      <c r="A6" s="19"/>
      <c r="B6" s="22" t="s">
        <v>123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">
      <c r="A7" s="19"/>
      <c r="B7" s="22" t="s">
        <v>123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">
      <c r="A8" s="19"/>
      <c r="B8" s="22" t="s">
        <v>123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">
      <c r="A9" s="19"/>
      <c r="B9" s="22" t="s">
        <v>123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">
      <c r="A10" s="19"/>
      <c r="B10" s="22" t="s">
        <v>124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">
      <c r="A11" s="19"/>
      <c r="B11" s="22" t="s">
        <v>124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">
      <c r="A12" s="19"/>
      <c r="B12" s="27" t="s">
        <v>125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">
      <c r="B13" s="27" t="s">
        <v>126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2025-08-20T09:37:42Z</cp:lastPrinted>
  <dcterms:created xsi:type="dcterms:W3CDTF">2019-07-16T09:29:46Z</dcterms:created>
  <dcterms:modified xsi:type="dcterms:W3CDTF">2025-08-20T09:41:48Z</dcterms:modified>
</cp:coreProperties>
</file>