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K:\VSJ Work\Aug 25\Axis Dump\"/>
    </mc:Choice>
  </mc:AlternateContent>
  <xr:revisionPtr revIDLastSave="0" documentId="13_ncr:1_{FCC8688E-C01F-4063-A92D-7B962D0C030F}" xr6:coauthVersionLast="47" xr6:coauthVersionMax="47" xr10:uidLastSave="{00000000-0000-0000-0000-000000000000}"/>
  <bookViews>
    <workbookView xWindow="-108" yWindow="-108" windowWidth="23256" windowHeight="12456" tabRatio="724" xr2:uid="{00000000-000D-0000-FFFF-FFFF00000000}"/>
  </bookViews>
  <sheets>
    <sheet name="Sheet1" sheetId="1" r:id="rId1"/>
    <sheet name="VALUATION" sheetId="26" r:id="rId2"/>
    <sheet name="NOTE" sheetId="27" r:id="rId3"/>
    <sheet name="Construction % (2)" sheetId="18" state="hidden" r:id="rId4"/>
    <sheet name="Construction % (3)" sheetId="19" state="hidden" r:id="rId5"/>
  </sheets>
  <definedNames>
    <definedName name="_xlnm.Print_Area" localSheetId="0">Sheet1!$A$1:$J$441</definedName>
  </definedNames>
  <calcPr calcId="191029"/>
</workbook>
</file>

<file path=xl/calcChain.xml><?xml version="1.0" encoding="utf-8"?>
<calcChain xmlns="http://schemas.openxmlformats.org/spreadsheetml/2006/main">
  <c r="F3" i="1" l="1"/>
  <c r="D165" i="1" l="1"/>
  <c r="D164" i="1"/>
  <c r="L163" i="1"/>
  <c r="D163" i="1"/>
  <c r="L162" i="1"/>
  <c r="D162" i="1"/>
  <c r="L161" i="1"/>
  <c r="D161" i="1"/>
  <c r="L160" i="1"/>
  <c r="D160" i="1"/>
  <c r="D159" i="1"/>
  <c r="L158" i="1"/>
  <c r="L159" i="1" s="1"/>
  <c r="L164" i="1" s="1"/>
  <c r="D158" i="1"/>
  <c r="L157" i="1"/>
  <c r="L156" i="1"/>
  <c r="D156" i="1"/>
  <c r="L155" i="1"/>
  <c r="D151" i="1"/>
  <c r="D150" i="1"/>
  <c r="L149" i="1"/>
  <c r="D149" i="1"/>
  <c r="L148" i="1"/>
  <c r="D148" i="1"/>
  <c r="L147" i="1"/>
  <c r="D147" i="1"/>
  <c r="L146" i="1"/>
  <c r="D146" i="1"/>
  <c r="D145" i="1"/>
  <c r="L144" i="1"/>
  <c r="L145" i="1" s="1"/>
  <c r="L150" i="1" s="1"/>
  <c r="L151" i="1" s="1"/>
  <c r="D144" i="1"/>
  <c r="L143" i="1"/>
  <c r="L142" i="1"/>
  <c r="D142" i="1"/>
  <c r="L141" i="1"/>
  <c r="D137" i="1"/>
  <c r="D136" i="1"/>
  <c r="L135" i="1"/>
  <c r="D135" i="1"/>
  <c r="L134" i="1"/>
  <c r="D134" i="1"/>
  <c r="L133" i="1"/>
  <c r="D133" i="1"/>
  <c r="L132" i="1"/>
  <c r="D132" i="1"/>
  <c r="D131" i="1"/>
  <c r="L130" i="1"/>
  <c r="L131" i="1" s="1"/>
  <c r="D130" i="1"/>
  <c r="L129" i="1"/>
  <c r="L128" i="1"/>
  <c r="D128" i="1"/>
  <c r="L127" i="1"/>
  <c r="D123" i="1"/>
  <c r="D122" i="1"/>
  <c r="L121" i="1"/>
  <c r="D121" i="1"/>
  <c r="L120" i="1"/>
  <c r="D120" i="1"/>
  <c r="L119" i="1"/>
  <c r="D119" i="1"/>
  <c r="L118" i="1"/>
  <c r="D118" i="1"/>
  <c r="D117" i="1"/>
  <c r="L116" i="1"/>
  <c r="L117" i="1" s="1"/>
  <c r="D116" i="1"/>
  <c r="L115" i="1"/>
  <c r="L114" i="1"/>
  <c r="D114" i="1"/>
  <c r="L113" i="1"/>
  <c r="D109" i="1"/>
  <c r="D108" i="1"/>
  <c r="L107" i="1"/>
  <c r="D107" i="1"/>
  <c r="L106" i="1"/>
  <c r="D106" i="1"/>
  <c r="L105" i="1"/>
  <c r="D105" i="1"/>
  <c r="L104" i="1"/>
  <c r="D104" i="1"/>
  <c r="D103" i="1"/>
  <c r="L102" i="1"/>
  <c r="L103" i="1" s="1"/>
  <c r="D102" i="1"/>
  <c r="L101" i="1"/>
  <c r="D101" i="1"/>
  <c r="L100" i="1"/>
  <c r="H100" i="1"/>
  <c r="F100" i="1"/>
  <c r="D100" i="1"/>
  <c r="L99" i="1"/>
  <c r="D95" i="1"/>
  <c r="D94" i="1"/>
  <c r="L93" i="1"/>
  <c r="D93" i="1"/>
  <c r="L92" i="1"/>
  <c r="D92" i="1"/>
  <c r="L91" i="1"/>
  <c r="D91" i="1"/>
  <c r="L90" i="1"/>
  <c r="D90" i="1"/>
  <c r="D89" i="1"/>
  <c r="L88" i="1"/>
  <c r="L89" i="1" s="1"/>
  <c r="L94" i="1" s="1"/>
  <c r="D88" i="1"/>
  <c r="L87" i="1"/>
  <c r="L86" i="1"/>
  <c r="D86" i="1"/>
  <c r="L85" i="1"/>
  <c r="L79" i="1"/>
  <c r="L78" i="1"/>
  <c r="L77" i="1"/>
  <c r="L76" i="1"/>
  <c r="L65" i="1"/>
  <c r="L64" i="1"/>
  <c r="L63" i="1"/>
  <c r="L62" i="1"/>
  <c r="I55" i="1"/>
  <c r="L136" i="1" l="1"/>
  <c r="L137" i="1" s="1"/>
  <c r="C129" i="1"/>
  <c r="L165" i="1"/>
  <c r="L122" i="1"/>
  <c r="L108" i="1"/>
  <c r="L109" i="1" s="1"/>
  <c r="L95" i="1"/>
  <c r="L74" i="1"/>
  <c r="L75" i="1" s="1"/>
  <c r="L72" i="1"/>
  <c r="L71" i="1"/>
  <c r="D80" i="1"/>
  <c r="D78" i="1"/>
  <c r="D76" i="1"/>
  <c r="D74" i="1"/>
  <c r="L73" i="1"/>
  <c r="D81" i="1"/>
  <c r="D79" i="1"/>
  <c r="D77" i="1"/>
  <c r="D75" i="1"/>
  <c r="D72" i="1"/>
  <c r="L58" i="1"/>
  <c r="D67" i="1"/>
  <c r="D65" i="1"/>
  <c r="D63" i="1"/>
  <c r="D61" i="1"/>
  <c r="L59" i="1"/>
  <c r="C58" i="1" s="1"/>
  <c r="L57" i="1"/>
  <c r="L60" i="1"/>
  <c r="L61" i="1" s="1"/>
  <c r="D66" i="1"/>
  <c r="D64" i="1"/>
  <c r="D62" i="1"/>
  <c r="D60" i="1"/>
  <c r="F13" i="26"/>
  <c r="F12" i="26"/>
  <c r="G12" i="26" s="1"/>
  <c r="F11" i="26"/>
  <c r="G11" i="26" s="1"/>
  <c r="F10" i="26"/>
  <c r="G10" i="26" s="1"/>
  <c r="F9" i="26"/>
  <c r="G9" i="26" s="1"/>
  <c r="G8" i="26"/>
  <c r="G7" i="26"/>
  <c r="G6" i="26"/>
  <c r="G5" i="26"/>
  <c r="E4" i="19"/>
  <c r="B6" i="19"/>
  <c r="K6" i="19" s="1"/>
  <c r="K14" i="19" s="1"/>
  <c r="J6" i="19"/>
  <c r="J7" i="19" s="1"/>
  <c r="L13" i="19" s="1"/>
  <c r="B8" i="19"/>
  <c r="L7" i="19" s="1"/>
  <c r="L15" i="19" s="1"/>
  <c r="B10" i="19"/>
  <c r="E10" i="19" s="1"/>
  <c r="B12" i="19"/>
  <c r="E12" i="19" s="1"/>
  <c r="B14" i="19"/>
  <c r="O7" i="19" s="1"/>
  <c r="L18" i="19" s="1"/>
  <c r="B16" i="19"/>
  <c r="P7" i="19" s="1"/>
  <c r="L19" i="19" s="1"/>
  <c r="E4" i="18"/>
  <c r="B6" i="18"/>
  <c r="E6" i="18" s="1"/>
  <c r="J6" i="18"/>
  <c r="J7" i="18" s="1"/>
  <c r="L13" i="18" s="1"/>
  <c r="B8" i="18"/>
  <c r="L7" i="18" s="1"/>
  <c r="L15" i="18" s="1"/>
  <c r="B10" i="18"/>
  <c r="M6" i="18" s="1"/>
  <c r="K16" i="18" s="1"/>
  <c r="E10" i="18"/>
  <c r="B12" i="18"/>
  <c r="E12" i="18" s="1"/>
  <c r="B14" i="18"/>
  <c r="O7" i="18" s="1"/>
  <c r="L18" i="18" s="1"/>
  <c r="B16" i="18"/>
  <c r="P7" i="18" s="1"/>
  <c r="L19" i="18" s="1"/>
  <c r="F40" i="1"/>
  <c r="C45" i="1"/>
  <c r="H45" i="1"/>
  <c r="D48" i="1"/>
  <c r="D50" i="1"/>
  <c r="G179" i="1"/>
  <c r="D186" i="1"/>
  <c r="G186" i="1" s="1"/>
  <c r="D187" i="1"/>
  <c r="G187" i="1" s="1"/>
  <c r="D188" i="1"/>
  <c r="G188" i="1" s="1"/>
  <c r="D189" i="1"/>
  <c r="G189" i="1" s="1"/>
  <c r="D190" i="1"/>
  <c r="D191" i="1" s="1"/>
  <c r="G191" i="1" s="1"/>
  <c r="G197" i="1"/>
  <c r="G198" i="1"/>
  <c r="G199" i="1"/>
  <c r="G201" i="1"/>
  <c r="G202" i="1"/>
  <c r="G203" i="1"/>
  <c r="G204" i="1"/>
  <c r="G205" i="1"/>
  <c r="G206" i="1"/>
  <c r="G207" i="1"/>
  <c r="G208" i="1"/>
  <c r="D211" i="1"/>
  <c r="G211" i="1" s="1"/>
  <c r="D212" i="1"/>
  <c r="G212" i="1" s="1"/>
  <c r="G214" i="1"/>
  <c r="G215" i="1"/>
  <c r="G216" i="1"/>
  <c r="G218" i="1"/>
  <c r="G219" i="1"/>
  <c r="G220" i="1"/>
  <c r="G221" i="1"/>
  <c r="G222" i="1"/>
  <c r="G223" i="1"/>
  <c r="D226" i="1"/>
  <c r="G226" i="1" s="1"/>
  <c r="D227" i="1"/>
  <c r="G227" i="1" s="1"/>
  <c r="D228" i="1"/>
  <c r="G228" i="1" s="1"/>
  <c r="D229" i="1"/>
  <c r="G229" i="1" s="1"/>
  <c r="D230" i="1"/>
  <c r="G230" i="1" s="1"/>
  <c r="D231" i="1"/>
  <c r="G231" i="1" s="1"/>
  <c r="D232" i="1"/>
  <c r="G232" i="1" s="1"/>
  <c r="D233" i="1"/>
  <c r="G233" i="1" s="1"/>
  <c r="D234" i="1"/>
  <c r="G234" i="1" s="1"/>
  <c r="D235" i="1"/>
  <c r="G235" i="1" s="1"/>
  <c r="D236" i="1"/>
  <c r="G236" i="1" s="1"/>
  <c r="D237" i="1"/>
  <c r="G237" i="1" s="1"/>
  <c r="D238" i="1"/>
  <c r="G238" i="1" s="1"/>
  <c r="G239" i="1"/>
  <c r="G240" i="1"/>
  <c r="G241" i="1"/>
  <c r="G243" i="1"/>
  <c r="G244" i="1"/>
  <c r="G245" i="1"/>
  <c r="G246" i="1"/>
  <c r="G247" i="1"/>
  <c r="G248" i="1"/>
  <c r="G249" i="1"/>
  <c r="G250" i="1"/>
  <c r="G253" i="1"/>
  <c r="G254" i="1"/>
  <c r="G255" i="1"/>
  <c r="G256" i="1"/>
  <c r="G257" i="1"/>
  <c r="G258" i="1"/>
  <c r="G259" i="1"/>
  <c r="G262" i="1"/>
  <c r="G263" i="1"/>
  <c r="G264" i="1"/>
  <c r="G265" i="1"/>
  <c r="G266" i="1"/>
  <c r="G267" i="1"/>
  <c r="G268" i="1"/>
  <c r="G269" i="1"/>
  <c r="G272" i="1"/>
  <c r="G273" i="1"/>
  <c r="G275" i="1"/>
  <c r="G276" i="1"/>
  <c r="G277" i="1"/>
  <c r="G278" i="1"/>
  <c r="G279" i="1"/>
  <c r="G281" i="1"/>
  <c r="G282" i="1"/>
  <c r="G283" i="1"/>
  <c r="G284" i="1"/>
  <c r="G285" i="1"/>
  <c r="G286" i="1"/>
  <c r="G287" i="1"/>
  <c r="G288" i="1"/>
  <c r="G291" i="1"/>
  <c r="G292" i="1"/>
  <c r="G294" i="1"/>
  <c r="G295" i="1"/>
  <c r="G296" i="1"/>
  <c r="G297" i="1"/>
  <c r="G298" i="1"/>
  <c r="G300" i="1"/>
  <c r="G301" i="1"/>
  <c r="G302" i="1"/>
  <c r="G303" i="1"/>
  <c r="G304" i="1"/>
  <c r="G305" i="1"/>
  <c r="G306" i="1"/>
  <c r="G307" i="1"/>
  <c r="G310" i="1"/>
  <c r="G311" i="1"/>
  <c r="G313" i="1"/>
  <c r="G314" i="1"/>
  <c r="G315" i="1"/>
  <c r="G316" i="1"/>
  <c r="G317" i="1"/>
  <c r="G319" i="1"/>
  <c r="G320" i="1"/>
  <c r="G321" i="1"/>
  <c r="G322" i="1"/>
  <c r="G323" i="1"/>
  <c r="G324" i="1"/>
  <c r="G325" i="1"/>
  <c r="G326" i="1"/>
  <c r="G330" i="1"/>
  <c r="G331" i="1"/>
  <c r="G332" i="1"/>
  <c r="G333" i="1"/>
  <c r="G334" i="1"/>
  <c r="G335" i="1"/>
  <c r="G336" i="1"/>
  <c r="G338" i="1"/>
  <c r="G339" i="1"/>
  <c r="G340" i="1"/>
  <c r="G341" i="1"/>
  <c r="G342" i="1"/>
  <c r="G343" i="1"/>
  <c r="G344" i="1"/>
  <c r="G345" i="1"/>
  <c r="F360" i="1"/>
  <c r="D194" i="1"/>
  <c r="G194" i="1" s="1"/>
  <c r="M7" i="19"/>
  <c r="L16" i="19" s="1"/>
  <c r="M6" i="19"/>
  <c r="K16" i="19"/>
  <c r="E6" i="19"/>
  <c r="E14" i="18"/>
  <c r="K6" i="18"/>
  <c r="K14" i="18" s="1"/>
  <c r="G13" i="26" l="1"/>
  <c r="N7" i="19"/>
  <c r="L17" i="19" s="1"/>
  <c r="M7" i="18"/>
  <c r="L16" i="18" s="1"/>
  <c r="O6" i="18"/>
  <c r="K18" i="18" s="1"/>
  <c r="E16" i="19"/>
  <c r="N6" i="18"/>
  <c r="K17" i="18" s="1"/>
  <c r="K13" i="18"/>
  <c r="D192" i="1"/>
  <c r="G192" i="1" s="1"/>
  <c r="E8" i="18"/>
  <c r="E16" i="18"/>
  <c r="N6" i="19"/>
  <c r="K17" i="19" s="1"/>
  <c r="L6" i="18"/>
  <c r="K15" i="18" s="1"/>
  <c r="K13" i="19"/>
  <c r="K7" i="19"/>
  <c r="L14" i="19" s="1"/>
  <c r="L20" i="19" s="1"/>
  <c r="K96" i="1"/>
  <c r="C98" i="1" s="1"/>
  <c r="K7" i="18"/>
  <c r="L14" i="18" s="1"/>
  <c r="N7" i="18"/>
  <c r="L17" i="18" s="1"/>
  <c r="O6" i="19"/>
  <c r="K18" i="19" s="1"/>
  <c r="E8" i="19"/>
  <c r="D195" i="1"/>
  <c r="G195" i="1" s="1"/>
  <c r="P6" i="19"/>
  <c r="K19" i="19" s="1"/>
  <c r="L6" i="19"/>
  <c r="K15" i="19" s="1"/>
  <c r="G190" i="1"/>
  <c r="P6" i="18"/>
  <c r="K19" i="18" s="1"/>
  <c r="E14" i="19"/>
  <c r="D58" i="1"/>
  <c r="L66" i="1"/>
  <c r="H156" i="1"/>
  <c r="D157" i="1"/>
  <c r="F156" i="1"/>
  <c r="K152" i="1" s="1"/>
  <c r="C154" i="1" s="1"/>
  <c r="H142" i="1"/>
  <c r="D143" i="1"/>
  <c r="F142" i="1"/>
  <c r="K138" i="1" s="1"/>
  <c r="C140" i="1" s="1"/>
  <c r="H128" i="1"/>
  <c r="D129" i="1"/>
  <c r="F128" i="1"/>
  <c r="K124" i="1" s="1"/>
  <c r="C126" i="1" s="1"/>
  <c r="D193" i="1"/>
  <c r="G193" i="1" s="1"/>
  <c r="L123" i="1"/>
  <c r="C115" i="1"/>
  <c r="L80" i="1"/>
  <c r="C73" i="1" s="1"/>
  <c r="H86" i="1"/>
  <c r="D87" i="1"/>
  <c r="F86" i="1"/>
  <c r="K82" i="1" s="1"/>
  <c r="C84" i="1" s="1"/>
  <c r="K20" i="19" l="1"/>
  <c r="K20" i="18"/>
  <c r="L20" i="18"/>
  <c r="L67" i="1"/>
  <c r="H114" i="1"/>
  <c r="D115" i="1"/>
  <c r="F114" i="1"/>
  <c r="K110" i="1" s="1"/>
  <c r="C112" i="1" s="1"/>
  <c r="D73" i="1"/>
  <c r="F72" i="1"/>
  <c r="K68" i="1" s="1"/>
  <c r="C70" i="1" s="1"/>
  <c r="H72" i="1"/>
  <c r="L81" i="1"/>
  <c r="F58" i="1" l="1"/>
  <c r="K54" i="1" s="1"/>
  <c r="C56" i="1" s="1"/>
  <c r="H58" i="1"/>
  <c r="D59" i="1"/>
</calcChain>
</file>

<file path=xl/sharedStrings.xml><?xml version="1.0" encoding="utf-8"?>
<sst xmlns="http://schemas.openxmlformats.org/spreadsheetml/2006/main" count="1015" uniqueCount="241">
  <si>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</si>
  <si>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</si>
  <si>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</si>
  <si>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</si>
  <si>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</si>
  <si>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</si>
  <si>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</si>
  <si>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</si>
  <si>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</si>
  <si>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</si>
  <si>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</si>
  <si>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</si>
  <si>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</si>
  <si>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</si>
  <si>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</si>
  <si>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</si>
  <si>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</si>
  <si>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</si>
  <si>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</si>
  <si>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</si>
  <si>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</si>
  <si>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</si>
  <si>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</si>
  <si>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</si>
  <si>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</si>
  <si>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</si>
  <si>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</si>
  <si>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</si>
  <si>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</si>
  <si>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</si>
  <si>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</si>
  <si>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</si>
  <si>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</si>
  <si>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</si>
  <si>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</si>
  <si>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</si>
  <si>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</si>
  <si>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</si>
  <si>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</si>
  <si>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</si>
  <si>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</si>
  <si>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</si>
  <si>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</si>
  <si>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</si>
  <si>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</si>
  <si>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</si>
  <si>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</si>
  <si>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</si>
  <si>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 One year from date of issue</t>
  </si>
  <si>
    <t>Violations Observed if any : NA</t>
  </si>
  <si>
    <t>NA</t>
  </si>
  <si>
    <t>South</t>
  </si>
  <si>
    <t xml:space="preserve">Distance from city centre: </t>
  </si>
  <si>
    <t>Plane</t>
  </si>
  <si>
    <t>Projected life of the structure: 60 Years After Completion</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</si>
  <si>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</si>
  <si>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</si>
  <si>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</si>
  <si>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</si>
  <si>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</si>
  <si>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</si>
  <si>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</si>
  <si>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</si>
  <si>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</si>
  <si>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</si>
  <si>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</si>
  <si>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</si>
  <si>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</si>
  <si>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</si>
  <si>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</si>
  <si>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</si>
  <si>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</si>
  <si>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</si>
  <si>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</si>
  <si>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</si>
  <si>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Flat</t>
  </si>
  <si>
    <t>Approved area of the building in Sq.Mt</t>
  </si>
  <si>
    <t xml:space="preserve">O. Certificate No.: </t>
  </si>
  <si>
    <t>Plot No</t>
  </si>
  <si>
    <t>Does property have Electricity / Water / Drainage Connection</t>
  </si>
  <si>
    <t>PLC charges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</si>
  <si>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</si>
  <si>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</si>
  <si>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</si>
  <si>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</si>
  <si>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</si>
  <si>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</si>
  <si>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</si>
  <si>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</si>
  <si>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</si>
  <si>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</si>
  <si>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</si>
  <si>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</si>
  <si>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</si>
  <si>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</si>
  <si>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</si>
  <si>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</si>
  <si>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</si>
  <si>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</si>
  <si>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</si>
  <si>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</si>
  <si>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</si>
  <si>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</si>
  <si>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</si>
  <si>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</si>
  <si>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PHOTOGRAPHS OF PROPERTY OF CUSTOMER: 
</t>
  </si>
  <si>
    <t xml:space="preserve">Name of the builder </t>
  </si>
  <si>
    <t>Middle Class</t>
  </si>
  <si>
    <t>Developing</t>
  </si>
  <si>
    <t>1 BHK</t>
  </si>
  <si>
    <t>Google Map :</t>
  </si>
  <si>
    <t>Type of Structure : RCC Framed Structure</t>
  </si>
  <si>
    <t>S No /G. No</t>
  </si>
  <si>
    <t>Ground</t>
  </si>
  <si>
    <t>Open Plot</t>
  </si>
  <si>
    <t>Axis Sanpada</t>
  </si>
  <si>
    <t>Approved Layout, Approved Building Plan, CC.</t>
  </si>
  <si>
    <t xml:space="preserve">Approved usage of the Property: Residential + Commercial
(Restrictive Covenants in regard to Land Use, if any) : No                                                                                                                                         </t>
  </si>
  <si>
    <t>Saleable area</t>
  </si>
  <si>
    <t>Shop</t>
  </si>
  <si>
    <t>1 RK</t>
  </si>
  <si>
    <t>4)  The Saleable Area is as per our calculation.</t>
  </si>
  <si>
    <t>RERA Number :</t>
  </si>
  <si>
    <t>M/s.Puranik Builders Private Limited</t>
  </si>
  <si>
    <t>Pimploli</t>
  </si>
  <si>
    <t>Neral</t>
  </si>
  <si>
    <t>Karjat</t>
  </si>
  <si>
    <t>Neral-Gdhawan Road</t>
  </si>
  <si>
    <t>About 4.8 KM from Neral Railway Station</t>
  </si>
  <si>
    <t>all available at  1 to 5 km.</t>
  </si>
  <si>
    <t>MSHA/L.N.A.1(B)/P.NO.95/2016.</t>
  </si>
  <si>
    <t>12/02/2018.</t>
  </si>
  <si>
    <t>S.No. 58, 60/78, 64/7, 134/1,2,3,4,5</t>
  </si>
  <si>
    <t>No of the Buildings</t>
  </si>
  <si>
    <t>Puranik Future City</t>
  </si>
  <si>
    <t>Ground Floor</t>
  </si>
  <si>
    <t>2 BHK</t>
  </si>
  <si>
    <t>Gross Carpet area</t>
  </si>
  <si>
    <t>1st to 7th Floors</t>
  </si>
  <si>
    <t>1st to 7th</t>
  </si>
  <si>
    <t>Entrance Lobby &amp; Society Office</t>
  </si>
  <si>
    <t>Building  Type GBC  (G + 7 Floors)</t>
  </si>
  <si>
    <t>Building  Type JAC  (G + 4 Floors)</t>
  </si>
  <si>
    <t>1st to 4th Floors</t>
  </si>
  <si>
    <t>1st to 4th</t>
  </si>
  <si>
    <t>Building Type PB  (G + 7 Floors)</t>
  </si>
  <si>
    <t>SubPlot no. 18 - Sector 3 : P52000017953</t>
  </si>
  <si>
    <t>SubPlot no. 18 - Sector 3
(08 Buildings) =</t>
  </si>
  <si>
    <t>NA Order Cum
Commencement
Certificate</t>
  </si>
  <si>
    <t>08 Buildings</t>
  </si>
  <si>
    <t>Puranik City, SubPlot no. 18 - Sector 3, S.No. 58, 60/78, 64/7, 134/1,2,3,4,5, Neral-Gdhawan Road, Village - Pimploli, Neral, Post- Sugawe, Taluka- Karjat, Raigad.</t>
  </si>
  <si>
    <t>Recommended rate of the Flat Per Sq. Ft. ( on Saleable area)</t>
  </si>
  <si>
    <t>Maintenence charges for 12 months</t>
  </si>
  <si>
    <t>Sub Plot no.18 - Sector 3</t>
  </si>
  <si>
    <t>Building Type LB1  (G + 7 Floors)</t>
  </si>
  <si>
    <t>Building Type LB3  (G + 7 Floors)</t>
  </si>
  <si>
    <t>Building Type LB2  (G + 7 Floors)</t>
  </si>
  <si>
    <t>N</t>
  </si>
  <si>
    <t>Puranik City - Sector 3</t>
  </si>
  <si>
    <t>Building Type HB1  (G + 7 Floors)</t>
  </si>
  <si>
    <t>Building Type JB  (G + 7 Floors)</t>
  </si>
  <si>
    <t>Ground Floor For Residential</t>
  </si>
  <si>
    <t>Accessibility to the Project from the City:
(Proximity to civic amenities like school, hospital, market)</t>
  </si>
  <si>
    <t>Approved no of units</t>
  </si>
  <si>
    <t>Building Type GBC  (G + 7 Floors)
Building Type HB1 (G + 7 Floors)
Building Type JAC (G + 4 Floors)
Building Type JB  (G + 7 Floors)
Building Type LB1  (G + 7 Floors)
Building Type LB2  (G + 7 Floors)
Building Type LB3  (G + 7 Floors)
Building Type PB  (G + 7 Floors)</t>
  </si>
  <si>
    <t>Shops = 23 &amp; Flats = 451</t>
  </si>
  <si>
    <t>Recommended rate of the Shop Per Sq. Ft. ( on Saleable area)</t>
  </si>
  <si>
    <t>MSHA/L.N.A.1(B)/P.NO.95/2016.
Valid Upto : All buildings = G + 7th Floors
Building JAC = G + 4 Floors</t>
  </si>
  <si>
    <t>Quality of construction: Good</t>
  </si>
  <si>
    <t>Material laying at Site: :Brick, cement, sand etc</t>
  </si>
  <si>
    <t>Wheather the construction is as per approved Building plan : Under construction</t>
  </si>
  <si>
    <t>03/11/2020.</t>
  </si>
  <si>
    <t>Excavation in process</t>
  </si>
  <si>
    <t>Excavation Completed</t>
  </si>
  <si>
    <t>Footing in Process</t>
  </si>
  <si>
    <t>Footing Completed</t>
  </si>
  <si>
    <t>Plinth in process</t>
  </si>
  <si>
    <t>Plinth completed</t>
  </si>
  <si>
    <t>Market Research Data</t>
  </si>
  <si>
    <t>Source</t>
  </si>
  <si>
    <t>Distance from proposed property</t>
  </si>
  <si>
    <t>Net Carpet</t>
  </si>
  <si>
    <t>Saleable Area</t>
  </si>
  <si>
    <t>Rate on Saleable</t>
  </si>
  <si>
    <t>Market Value</t>
  </si>
  <si>
    <t>magicbricks</t>
  </si>
  <si>
    <t xml:space="preserve">Puranik City </t>
  </si>
  <si>
    <t>1BHK</t>
  </si>
  <si>
    <t>2BHK</t>
  </si>
  <si>
    <t>housing</t>
  </si>
  <si>
    <t>5BHK</t>
  </si>
  <si>
    <t>Average</t>
  </si>
  <si>
    <t xml:space="preserve">Valuation Adopted </t>
  </si>
  <si>
    <t>Dhanashree</t>
  </si>
  <si>
    <t>OLD APF</t>
  </si>
  <si>
    <t>1. Rate has not Changed.</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</si>
  <si>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</si>
  <si>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</si>
  <si>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</si>
  <si>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</si>
  <si>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</si>
  <si>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</si>
  <si>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</si>
  <si>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</si>
  <si>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</si>
  <si>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</si>
  <si>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</si>
  <si>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</si>
  <si>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Brickwork</t>
  </si>
  <si>
    <t>Internal Plaster</t>
  </si>
  <si>
    <t>Brickwork &amp; 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</si>
  <si>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</si>
  <si>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</si>
  <si>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</si>
  <si>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</si>
  <si>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</si>
  <si>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</si>
  <si>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</si>
  <si>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</si>
  <si>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</si>
  <si>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</si>
  <si>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Bldg Type JAC = G + 1st to 4th Floor
</t>
  </si>
  <si>
    <t xml:space="preserve">Bldg Type HB1 = G + 1st to 7th Floor
</t>
  </si>
  <si>
    <t xml:space="preserve">Bldg Type LB1 = G + 1st to 7th Floor
</t>
  </si>
  <si>
    <t xml:space="preserve">Bldg Type LB2 = G + 1st to 7th Floor
</t>
  </si>
  <si>
    <t xml:space="preserve">Bldg Type LB3 = G + 1st to 7th Floor
</t>
  </si>
  <si>
    <t xml:space="preserve">Bldg Type PB = G + 1st to 7th Floor
</t>
  </si>
  <si>
    <t>P52000017953</t>
  </si>
  <si>
    <t>01/09/2028.</t>
  </si>
  <si>
    <t>18,000/-</t>
  </si>
  <si>
    <t xml:space="preserve">All buildings = G + 1st to 7th Floor
Building JAC = G + 1st to 4 Floor
</t>
  </si>
  <si>
    <t>Location Link</t>
  </si>
  <si>
    <t>https://goo.gl/maps/351hZrBRdkxxXrBi9</t>
  </si>
  <si>
    <t>Office No. 1031, Wing J, Akshar Business Park, Plot No. 03 Sector 25, Near APMC Market, 
Vashi, Navi Mumbai, Maharashtra 400703 TEL: 022-46090378/79/8
E mail : vsjcapf@gmail.com. Web site : www.vsjadon.com</t>
  </si>
  <si>
    <t>Contact Details ( Name &amp; contact No.)</t>
  </si>
  <si>
    <t>Site Person Details ( Name &amp; contact No.)</t>
  </si>
  <si>
    <t>19.029459,73.349686</t>
  </si>
  <si>
    <t>Mr.Sameer Jamghere - 9284439176</t>
  </si>
  <si>
    <r>
      <t xml:space="preserve">Remarks:  
1.  Type JAC, LB3 = Construction work is stopped. Work was same as last visit (12/04/2023).
     Type GBC, PB, JB, LB2 = Construction work was same as last visit (21/09/2022).
     Type LB1 &amp; HB1 = Construction work was same as last visit (20/03/2021).
     (Construction work has stopped for a long time, so we are unable to take photos.)
2. Saleable Area is as per our calculation.
3. We considered carpet area as per approved plan.
4. Shop rate is given as per our valuation.
5.  We considered Flat rate as per Market inquiry.
6. At some places leveling work is started (Cutting &amp; Filling).
7. Recommended rate should be considered as all inclusive rate if other charges are not mentioned. (Excluding GST &amp; other government Taxes).
8. General Chargers as in cost sheet are not same for all flats so it is not mentioned in report.
9. We are not considering ground floor of HB1 because Entance Lobby in Approved plan is placed on place of Flat no.3 &amp; in sale Plan it is placed on place of Flat no.6.
10. In Sector 3, HB2 and MA are proposed &amp; Sale Plan of it are not provided to us so area details are not mentioned in report.
11. </t>
    </r>
    <r>
      <rPr>
        <b/>
        <sz val="11"/>
        <color rgb="FFFF0000"/>
        <rFont val="Times New Roman"/>
        <family val="1"/>
      </rPr>
      <t>The project has received Complete CC on 12/02/2018, But Construction work is still incomplete.</t>
    </r>
    <r>
      <rPr>
        <b/>
        <sz val="11"/>
        <color indexed="8"/>
        <rFont val="Times New Roman"/>
        <family val="1"/>
      </rPr>
      <t xml:space="preserve">
11.On site, we meet Mr. Pankaj Chavan - 8976378372.
</t>
    </r>
  </si>
  <si>
    <t xml:space="preserve">Bldg Type JB = G + 1st to 7th Floor
Bldg Type LB1 = G + 1st to 7th Floor
</t>
  </si>
  <si>
    <t xml:space="preserve">Bldg Type GBC = G + 1st to 7th Floor
Bldg Type HB1 = G + 1st to 7th Floor
Bldg Type LB3 = G + 1st to 7th Floor
Bldg Type PB = G + 1st to 7th Floor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</si>
</sst>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sz val="11"/>
      <color rgb="FFFF0000"/>
      <name val="Calibri"/>
      <family val="2"/>
    </font>
    <font>
      <sz val="11"/>
      <color theme="1"/>
      <name val="Times New Roman"/>
      <family val="1"/>
    </font>
    <font>
      <b/>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8" fillId="0" borderId="0"/>
    <xf numFmtId="0" fontId="8" fillId="0" borderId="0"/>
  </cellStyleXfs>
  <cellXfs count="217">
    <xf numFmtId="0" fontId="0" fillId="0" borderId="0" xfId="0"/>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0"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0"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0" fontId="12" fillId="0" borderId="0" xfId="0" applyFont="1"/>
    <xf numFmtId="1" fontId="0" fillId="0" borderId="0" xfId="0" applyNumberFormat="1"/>
    <xf numFmtId="0" fontId="3" fillId="0" borderId="0" xfId="0" applyFont="1" applyAlignment="1">
      <alignment vertical="top"/>
    </xf>
    <xf numFmtId="1" fontId="4" fillId="0" borderId="2" xfId="0" applyNumberFormat="1" applyFont="1" applyBorder="1" applyAlignment="1">
      <alignment horizontal="center" vertical="top" wrapText="1"/>
    </xf>
    <xf numFmtId="0" fontId="1" fillId="0" borderId="0" xfId="3"/>
    <xf numFmtId="0" fontId="8" fillId="0" borderId="0" xfId="5"/>
    <xf numFmtId="0" fontId="10" fillId="0" borderId="2" xfId="5" applyFont="1" applyBorder="1" applyAlignment="1">
      <alignment horizontal="center" vertical="top" wrapText="1"/>
    </xf>
    <xf numFmtId="0" fontId="7" fillId="0" borderId="2" xfId="4" applyFont="1" applyBorder="1" applyAlignment="1">
      <alignment horizontal="center" vertical="top" wrapText="1"/>
    </xf>
    <xf numFmtId="0" fontId="8" fillId="0" borderId="2" xfId="5" applyBorder="1" applyAlignment="1">
      <alignment horizontal="left" vertical="center"/>
    </xf>
    <xf numFmtId="0" fontId="8" fillId="0" borderId="2" xfId="5" applyBorder="1" applyAlignment="1">
      <alignment horizontal="center" vertical="center"/>
    </xf>
    <xf numFmtId="1" fontId="8" fillId="0" borderId="2" xfId="5" applyNumberFormat="1" applyBorder="1" applyAlignment="1">
      <alignment horizontal="center" vertical="center"/>
    </xf>
    <xf numFmtId="165" fontId="8" fillId="0" borderId="2" xfId="1" applyNumberFormat="1" applyFont="1" applyBorder="1" applyAlignment="1">
      <alignment horizontal="right" vertical="center"/>
    </xf>
    <xf numFmtId="43" fontId="1" fillId="0" borderId="0" xfId="3" applyNumberFormat="1"/>
    <xf numFmtId="0" fontId="10" fillId="0" borderId="2" xfId="5" applyFont="1" applyBorder="1" applyAlignment="1">
      <alignment horizontal="center" vertical="center"/>
    </xf>
    <xf numFmtId="1" fontId="11" fillId="0" borderId="2" xfId="5" applyNumberFormat="1" applyFont="1" applyBorder="1" applyAlignment="1">
      <alignment horizontal="center" vertical="center"/>
    </xf>
    <xf numFmtId="0" fontId="1" fillId="0" borderId="2" xfId="3" applyBorder="1" applyAlignment="1">
      <alignment horizontal="center" vertical="center"/>
    </xf>
    <xf numFmtId="0" fontId="14" fillId="0" borderId="0" xfId="3" applyFont="1"/>
    <xf numFmtId="1" fontId="1" fillId="0" borderId="0" xfId="3" applyNumberFormat="1"/>
    <xf numFmtId="0" fontId="1" fillId="0" borderId="0" xfId="3" applyAlignment="1">
      <alignment wrapText="1"/>
    </xf>
    <xf numFmtId="0" fontId="13" fillId="0" borderId="0" xfId="0" applyFont="1" applyProtection="1">
      <protection hidden="1"/>
    </xf>
    <xf numFmtId="0" fontId="13" fillId="0" borderId="6" xfId="0" applyFont="1" applyBorder="1" applyProtection="1">
      <protection hidden="1"/>
    </xf>
    <xf numFmtId="0" fontId="13" fillId="0" borderId="7" xfId="0" applyFont="1" applyBorder="1" applyProtection="1">
      <protection hidden="1"/>
    </xf>
    <xf numFmtId="0" fontId="6" fillId="0" borderId="1" xfId="0" applyFont="1" applyBorder="1" applyAlignment="1">
      <alignment horizontal="left" vertical="top"/>
    </xf>
    <xf numFmtId="0" fontId="4" fillId="0" borderId="1" xfId="0" applyFont="1" applyBorder="1" applyAlignment="1">
      <alignment vertical="top"/>
    </xf>
    <xf numFmtId="0" fontId="0" fillId="0" borderId="0" xfId="0" applyAlignment="1">
      <alignment vertical="top"/>
    </xf>
    <xf numFmtId="0" fontId="6" fillId="0" borderId="1" xfId="0" applyFont="1" applyBorder="1" applyAlignment="1">
      <alignment vertical="top" wrapText="1"/>
    </xf>
    <xf numFmtId="0" fontId="15" fillId="0" borderId="22" xfId="6" applyFont="1" applyBorder="1" applyProtection="1">
      <protection hidden="1"/>
    </xf>
    <xf numFmtId="0" fontId="15" fillId="0" borderId="23" xfId="6" applyFont="1" applyBorder="1" applyProtection="1">
      <protection hidden="1"/>
    </xf>
    <xf numFmtId="0" fontId="6" fillId="0" borderId="24" xfId="6" applyFont="1" applyBorder="1" applyAlignment="1" applyProtection="1">
      <alignment horizontal="center" vertical="top"/>
      <protection locked="0"/>
    </xf>
    <xf numFmtId="0" fontId="15" fillId="0" borderId="0" xfId="6" applyFont="1" applyProtection="1">
      <protection hidden="1"/>
    </xf>
    <xf numFmtId="0" fontId="15" fillId="0" borderId="6" xfId="6" applyFont="1" applyBorder="1" applyProtection="1">
      <protection hidden="1"/>
    </xf>
    <xf numFmtId="0" fontId="15" fillId="0" borderId="6" xfId="6" applyFont="1" applyBorder="1"/>
    <xf numFmtId="0" fontId="6" fillId="0" borderId="2" xfId="6" applyFont="1" applyBorder="1" applyAlignment="1" applyProtection="1">
      <alignment horizontal="center" wrapText="1"/>
      <protection locked="0"/>
    </xf>
    <xf numFmtId="1" fontId="6" fillId="0" borderId="2" xfId="6" applyNumberFormat="1" applyFont="1" applyBorder="1" applyAlignment="1" applyProtection="1">
      <alignment horizontal="center" wrapText="1"/>
      <protection locked="0"/>
    </xf>
    <xf numFmtId="1" fontId="0" fillId="0" borderId="6" xfId="0" applyNumberFormat="1" applyBorder="1"/>
    <xf numFmtId="1" fontId="0" fillId="0" borderId="6" xfId="0" applyNumberFormat="1" applyBorder="1" applyAlignment="1">
      <alignment horizontal="right"/>
    </xf>
    <xf numFmtId="0" fontId="6" fillId="0" borderId="30" xfId="6" applyFont="1" applyBorder="1" applyAlignment="1" applyProtection="1">
      <alignment horizontal="center" wrapText="1"/>
      <protection locked="0"/>
    </xf>
    <xf numFmtId="1" fontId="0" fillId="0" borderId="8" xfId="0" applyNumberFormat="1" applyBorder="1"/>
    <xf numFmtId="0" fontId="6" fillId="0" borderId="2" xfId="6" applyFont="1" applyBorder="1" applyAlignment="1" applyProtection="1">
      <alignment horizontal="center" vertical="top"/>
      <protection locked="0"/>
    </xf>
    <xf numFmtId="0" fontId="6" fillId="0" borderId="2" xfId="6" applyFont="1" applyBorder="1" applyAlignment="1" applyProtection="1">
      <alignment horizontal="center" vertical="top" wrapText="1"/>
      <protection locked="0"/>
    </xf>
    <xf numFmtId="0" fontId="0" fillId="0" borderId="0" xfId="0" applyAlignment="1">
      <alignment horizontal="left" vertical="center"/>
    </xf>
    <xf numFmtId="0" fontId="1" fillId="0" borderId="0" xfId="2" applyFont="1" applyAlignment="1">
      <alignment vertical="center"/>
    </xf>
    <xf numFmtId="0" fontId="1" fillId="0" borderId="0" xfId="2" applyFont="1"/>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9" xfId="0" applyFont="1" applyBorder="1" applyAlignment="1">
      <alignment horizontal="left" vertical="top"/>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9" xfId="0" applyFont="1" applyBorder="1" applyAlignment="1">
      <alignment horizontal="left" vertical="top"/>
    </xf>
    <xf numFmtId="2" fontId="4" fillId="0" borderId="1" xfId="0" applyNumberFormat="1" applyFont="1" applyBorder="1" applyAlignment="1">
      <alignment horizontal="left" vertical="top"/>
    </xf>
    <xf numFmtId="2" fontId="4" fillId="0" borderId="5" xfId="0" applyNumberFormat="1" applyFont="1" applyBorder="1" applyAlignment="1">
      <alignment horizontal="left" vertical="top"/>
    </xf>
    <xf numFmtId="2" fontId="4" fillId="0" borderId="9" xfId="0" applyNumberFormat="1" applyFont="1" applyBorder="1" applyAlignment="1">
      <alignment horizontal="left" vertical="top"/>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9" xfId="0" applyFont="1" applyFill="1" applyBorder="1" applyAlignment="1">
      <alignment horizontal="left" vertical="top"/>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6" fillId="2" borderId="2" xfId="0" applyFont="1" applyFill="1" applyBorder="1" applyAlignment="1">
      <alignment horizontal="left" vertical="top"/>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3" xfId="0" applyFont="1" applyBorder="1" applyAlignment="1">
      <alignment horizontal="left" vertical="top" wrapText="1"/>
    </xf>
    <xf numFmtId="0" fontId="4" fillId="0" borderId="14" xfId="0" applyFont="1" applyBorder="1" applyAlignment="1">
      <alignment horizontal="left" vertical="top" wrapText="1"/>
    </xf>
    <xf numFmtId="0" fontId="4" fillId="0" borderId="1" xfId="0" applyFont="1" applyBorder="1" applyAlignment="1">
      <alignment horizontal="center" vertical="top" wrapText="1"/>
    </xf>
    <xf numFmtId="0" fontId="4" fillId="0" borderId="9" xfId="0" applyFont="1" applyBorder="1" applyAlignment="1">
      <alignment horizontal="center" vertical="top" wrapText="1"/>
    </xf>
    <xf numFmtId="0" fontId="4" fillId="0" borderId="1" xfId="0" applyFont="1" applyBorder="1" applyAlignment="1">
      <alignment horizontal="center" vertical="top"/>
    </xf>
    <xf numFmtId="0" fontId="4" fillId="0" borderId="9" xfId="0" applyFont="1" applyBorder="1" applyAlignment="1">
      <alignment horizontal="center" vertical="top"/>
    </xf>
    <xf numFmtId="0" fontId="6" fillId="0" borderId="2" xfId="6" applyFont="1" applyBorder="1" applyAlignment="1" applyProtection="1">
      <alignment horizontal="center" vertical="top"/>
      <protection locked="0"/>
    </xf>
    <xf numFmtId="0" fontId="5" fillId="0" borderId="24" xfId="6" applyFont="1" applyBorder="1" applyAlignment="1" applyProtection="1">
      <alignment horizontal="left" vertical="top"/>
      <protection locked="0"/>
    </xf>
    <xf numFmtId="0" fontId="5" fillId="0" borderId="2" xfId="6" applyFont="1" applyBorder="1" applyAlignment="1" applyProtection="1">
      <alignment horizontal="left" vertical="top"/>
      <protection locked="0"/>
    </xf>
    <xf numFmtId="0" fontId="5" fillId="0" borderId="2" xfId="6" applyFont="1" applyBorder="1" applyAlignment="1" applyProtection="1">
      <alignment horizontal="left" vertical="top" wrapText="1"/>
      <protection locked="0"/>
    </xf>
    <xf numFmtId="0" fontId="5" fillId="0" borderId="38" xfId="6" applyFont="1" applyBorder="1" applyAlignment="1" applyProtection="1">
      <alignment horizontal="left" vertical="top" wrapText="1"/>
      <protection locked="0"/>
    </xf>
    <xf numFmtId="0" fontId="6" fillId="0" borderId="24" xfId="6" applyFont="1" applyBorder="1" applyAlignment="1" applyProtection="1">
      <alignment horizontal="center" vertical="top" wrapText="1"/>
      <protection locked="0"/>
    </xf>
    <xf numFmtId="0" fontId="6" fillId="0" borderId="2" xfId="6" applyFont="1" applyBorder="1" applyAlignment="1" applyProtection="1">
      <alignment horizontal="center" vertical="top" wrapText="1"/>
      <protection locked="0"/>
    </xf>
    <xf numFmtId="9" fontId="6" fillId="2" borderId="2" xfId="6" applyNumberFormat="1" applyFont="1" applyFill="1" applyBorder="1" applyAlignment="1" applyProtection="1">
      <alignment horizontal="center" vertical="center" wrapText="1"/>
      <protection hidden="1"/>
    </xf>
    <xf numFmtId="9" fontId="6" fillId="2" borderId="30" xfId="6" applyNumberFormat="1" applyFont="1" applyFill="1" applyBorder="1" applyAlignment="1" applyProtection="1">
      <alignment horizontal="center" vertical="center" wrapText="1"/>
      <protection hidden="1"/>
    </xf>
    <xf numFmtId="9" fontId="6" fillId="2" borderId="38" xfId="6" applyNumberFormat="1" applyFont="1" applyFill="1" applyBorder="1" applyAlignment="1" applyProtection="1">
      <alignment horizontal="center" vertical="center" wrapText="1"/>
      <protection hidden="1"/>
    </xf>
    <xf numFmtId="9" fontId="6" fillId="2" borderId="40" xfId="6" applyNumberFormat="1" applyFont="1" applyFill="1" applyBorder="1" applyAlignment="1" applyProtection="1">
      <alignment horizontal="center" vertical="center" wrapText="1"/>
      <protection hidden="1"/>
    </xf>
    <xf numFmtId="0" fontId="6" fillId="0" borderId="24" xfId="6" applyFont="1" applyBorder="1" applyAlignment="1" applyProtection="1">
      <alignment horizontal="center" vertical="top"/>
      <protection locked="0"/>
    </xf>
    <xf numFmtId="0" fontId="6" fillId="0" borderId="39" xfId="6" applyFont="1" applyBorder="1" applyAlignment="1" applyProtection="1">
      <alignment horizontal="center" vertical="top" wrapText="1"/>
      <protection locked="0"/>
    </xf>
    <xf numFmtId="0" fontId="6" fillId="0" borderId="30" xfId="6" applyFont="1" applyBorder="1" applyAlignment="1" applyProtection="1">
      <alignment horizontal="center" vertical="top" wrapText="1"/>
      <protection locked="0"/>
    </xf>
    <xf numFmtId="0" fontId="6" fillId="0" borderId="38" xfId="6" applyFont="1" applyBorder="1" applyAlignment="1" applyProtection="1">
      <alignment horizontal="center" vertical="top" wrapText="1"/>
      <protection locked="0"/>
    </xf>
    <xf numFmtId="0" fontId="5" fillId="0" borderId="35" xfId="6" applyFont="1" applyBorder="1" applyAlignment="1" applyProtection="1">
      <alignment horizontal="center" vertical="top" wrapText="1"/>
      <protection locked="0"/>
    </xf>
    <xf numFmtId="0" fontId="5" fillId="0" borderId="36" xfId="6" applyFont="1" applyBorder="1" applyAlignment="1" applyProtection="1">
      <alignment horizontal="center" vertical="top" wrapText="1"/>
      <protection locked="0"/>
    </xf>
    <xf numFmtId="0" fontId="5" fillId="0" borderId="36" xfId="6" applyFont="1" applyBorder="1" applyAlignment="1" applyProtection="1">
      <alignment horizontal="left" vertical="top" wrapText="1"/>
      <protection locked="0"/>
    </xf>
    <xf numFmtId="0" fontId="5" fillId="0" borderId="37" xfId="6" applyFont="1" applyBorder="1" applyAlignment="1" applyProtection="1">
      <alignment horizontal="left" vertical="top" wrapText="1"/>
      <protection locked="0"/>
    </xf>
    <xf numFmtId="0" fontId="6" fillId="0" borderId="38" xfId="6" applyFont="1" applyBorder="1" applyAlignment="1" applyProtection="1">
      <alignment horizontal="center" vertical="top"/>
      <protection locked="0"/>
    </xf>
    <xf numFmtId="0" fontId="6" fillId="0" borderId="26" xfId="6" applyFont="1" applyBorder="1" applyAlignment="1" applyProtection="1">
      <alignment horizontal="center" vertical="top" wrapText="1"/>
      <protection locked="0"/>
    </xf>
    <xf numFmtId="0" fontId="6" fillId="0" borderId="9" xfId="6" applyFont="1" applyBorder="1" applyAlignment="1" applyProtection="1">
      <alignment horizontal="center" vertical="top" wrapText="1"/>
      <protection locked="0"/>
    </xf>
    <xf numFmtId="9" fontId="6" fillId="2" borderId="1" xfId="6" applyNumberFormat="1" applyFont="1" applyFill="1" applyBorder="1" applyAlignment="1" applyProtection="1">
      <alignment horizontal="center" vertical="center" wrapText="1"/>
      <protection hidden="1"/>
    </xf>
    <xf numFmtId="9" fontId="6" fillId="2" borderId="9" xfId="6" applyNumberFormat="1" applyFont="1" applyFill="1" applyBorder="1" applyAlignment="1" applyProtection="1">
      <alignment horizontal="center" vertical="center" wrapText="1"/>
      <protection hidden="1"/>
    </xf>
    <xf numFmtId="9" fontId="6" fillId="2" borderId="10" xfId="6" applyNumberFormat="1" applyFont="1" applyFill="1" applyBorder="1" applyAlignment="1" applyProtection="1">
      <alignment horizontal="center" vertical="center" wrapText="1"/>
      <protection hidden="1"/>
    </xf>
    <xf numFmtId="9" fontId="6" fillId="2" borderId="12" xfId="6" applyNumberFormat="1" applyFont="1" applyFill="1" applyBorder="1" applyAlignment="1" applyProtection="1">
      <alignment horizontal="center" vertical="center" wrapText="1"/>
      <protection hidden="1"/>
    </xf>
    <xf numFmtId="9" fontId="6" fillId="2" borderId="15" xfId="6" applyNumberFormat="1" applyFont="1" applyFill="1" applyBorder="1" applyAlignment="1" applyProtection="1">
      <alignment horizontal="center" vertical="center" wrapText="1"/>
      <protection hidden="1"/>
    </xf>
    <xf numFmtId="9" fontId="6" fillId="2" borderId="16" xfId="6" applyNumberFormat="1" applyFont="1" applyFill="1" applyBorder="1" applyAlignment="1" applyProtection="1">
      <alignment horizontal="center" vertical="center" wrapText="1"/>
      <protection hidden="1"/>
    </xf>
    <xf numFmtId="9" fontId="6" fillId="2" borderId="32" xfId="6" applyNumberFormat="1" applyFont="1" applyFill="1" applyBorder="1" applyAlignment="1" applyProtection="1">
      <alignment horizontal="center" vertical="center" wrapText="1"/>
      <protection hidden="1"/>
    </xf>
    <xf numFmtId="9" fontId="6" fillId="2" borderId="33" xfId="6" applyNumberFormat="1" applyFont="1" applyFill="1" applyBorder="1" applyAlignment="1" applyProtection="1">
      <alignment horizontal="center" vertical="center" wrapText="1"/>
      <protection hidden="1"/>
    </xf>
    <xf numFmtId="9" fontId="6" fillId="2" borderId="11" xfId="6" applyNumberFormat="1" applyFont="1" applyFill="1" applyBorder="1" applyAlignment="1" applyProtection="1">
      <alignment horizontal="center" vertical="center" wrapText="1"/>
      <protection hidden="1"/>
    </xf>
    <xf numFmtId="9" fontId="6" fillId="2" borderId="27" xfId="6" applyNumberFormat="1" applyFont="1" applyFill="1" applyBorder="1" applyAlignment="1" applyProtection="1">
      <alignment horizontal="center" vertical="center" wrapText="1"/>
      <protection hidden="1"/>
    </xf>
    <xf numFmtId="9" fontId="6" fillId="2" borderId="0" xfId="6" applyNumberFormat="1" applyFont="1" applyFill="1" applyAlignment="1" applyProtection="1">
      <alignment horizontal="center" vertical="center" wrapText="1"/>
      <protection hidden="1"/>
    </xf>
    <xf numFmtId="9" fontId="6" fillId="2" borderId="6" xfId="6" applyNumberFormat="1" applyFont="1" applyFill="1" applyBorder="1" applyAlignment="1" applyProtection="1">
      <alignment horizontal="center" vertical="center" wrapText="1"/>
      <protection hidden="1"/>
    </xf>
    <xf numFmtId="9" fontId="6" fillId="2" borderId="7" xfId="6" applyNumberFormat="1" applyFont="1" applyFill="1" applyBorder="1" applyAlignment="1" applyProtection="1">
      <alignment horizontal="center" vertical="center" wrapText="1"/>
      <protection hidden="1"/>
    </xf>
    <xf numFmtId="9" fontId="6" fillId="2" borderId="8" xfId="6" applyNumberFormat="1" applyFont="1" applyFill="1" applyBorder="1" applyAlignment="1" applyProtection="1">
      <alignment horizontal="center" vertical="center" wrapText="1"/>
      <protection hidden="1"/>
    </xf>
    <xf numFmtId="0" fontId="6" fillId="0" borderId="26" xfId="6" applyFont="1" applyBorder="1" applyAlignment="1" applyProtection="1">
      <alignment horizontal="center" vertical="top"/>
      <protection locked="0"/>
    </xf>
    <xf numFmtId="0" fontId="6" fillId="0" borderId="9" xfId="6" applyFont="1" applyBorder="1" applyAlignment="1" applyProtection="1">
      <alignment horizontal="center" vertical="top"/>
      <protection locked="0"/>
    </xf>
    <xf numFmtId="0" fontId="6" fillId="0" borderId="28" xfId="6" applyFont="1" applyBorder="1" applyAlignment="1" applyProtection="1">
      <alignment horizontal="center" vertical="top" wrapText="1"/>
      <protection locked="0"/>
    </xf>
    <xf numFmtId="0" fontId="6" fillId="0" borderId="29" xfId="6" applyFont="1" applyBorder="1" applyAlignment="1" applyProtection="1">
      <alignment horizontal="center" vertical="top" wrapText="1"/>
      <protection locked="0"/>
    </xf>
    <xf numFmtId="9" fontId="6" fillId="2" borderId="31" xfId="6" applyNumberFormat="1" applyFont="1" applyFill="1" applyBorder="1" applyAlignment="1" applyProtection="1">
      <alignment horizontal="center" vertical="center" wrapText="1"/>
      <protection hidden="1"/>
    </xf>
    <xf numFmtId="9" fontId="6" fillId="2" borderId="29" xfId="6" applyNumberFormat="1" applyFont="1" applyFill="1" applyBorder="1" applyAlignment="1" applyProtection="1">
      <alignment horizontal="center" vertical="center" wrapText="1"/>
      <protection hidden="1"/>
    </xf>
    <xf numFmtId="0" fontId="5" fillId="0" borderId="17" xfId="6" applyFont="1" applyBorder="1" applyAlignment="1" applyProtection="1">
      <alignment horizontal="center" vertical="top" wrapText="1"/>
      <protection locked="0"/>
    </xf>
    <xf numFmtId="0" fontId="5" fillId="0" borderId="18" xfId="6" applyFont="1" applyBorder="1" applyAlignment="1" applyProtection="1">
      <alignment horizontal="center" vertical="top" wrapText="1"/>
      <protection locked="0"/>
    </xf>
    <xf numFmtId="0" fontId="5" fillId="0" borderId="19" xfId="6" applyFont="1" applyBorder="1" applyAlignment="1" applyProtection="1">
      <alignment horizontal="left" vertical="top" wrapText="1"/>
      <protection locked="0"/>
    </xf>
    <xf numFmtId="0" fontId="5" fillId="0" borderId="20" xfId="6" applyFont="1" applyBorder="1" applyAlignment="1" applyProtection="1">
      <alignment horizontal="left" vertical="top" wrapText="1"/>
      <protection locked="0"/>
    </xf>
    <xf numFmtId="0" fontId="5" fillId="0" borderId="21" xfId="6" applyFont="1" applyBorder="1" applyAlignment="1" applyProtection="1">
      <alignment horizontal="left" vertical="top" wrapText="1"/>
      <protection locked="0"/>
    </xf>
    <xf numFmtId="0" fontId="6" fillId="0" borderId="1" xfId="6" applyFont="1" applyBorder="1" applyAlignment="1" applyProtection="1">
      <alignment horizontal="center" vertical="top"/>
      <protection locked="0"/>
    </xf>
    <xf numFmtId="0" fontId="6" fillId="0" borderId="25" xfId="6" applyFont="1" applyBorder="1" applyAlignment="1" applyProtection="1">
      <alignment horizontal="center" vertical="top"/>
      <protection locked="0"/>
    </xf>
    <xf numFmtId="0" fontId="5" fillId="0" borderId="26" xfId="6" applyFont="1" applyBorder="1" applyAlignment="1" applyProtection="1">
      <alignment horizontal="left" vertical="top"/>
      <protection locked="0"/>
    </xf>
    <xf numFmtId="0" fontId="5" fillId="0" borderId="9" xfId="6" applyFont="1" applyBorder="1" applyAlignment="1" applyProtection="1">
      <alignment horizontal="left" vertical="top"/>
      <protection locked="0"/>
    </xf>
    <xf numFmtId="0" fontId="5" fillId="0" borderId="1" xfId="6" applyFont="1" applyBorder="1" applyAlignment="1" applyProtection="1">
      <alignment horizontal="left" vertical="top" wrapText="1"/>
      <protection locked="0"/>
    </xf>
    <xf numFmtId="0" fontId="5" fillId="0" borderId="5" xfId="6" applyFont="1" applyBorder="1" applyAlignment="1" applyProtection="1">
      <alignment horizontal="left" vertical="top" wrapText="1"/>
      <protection locked="0"/>
    </xf>
    <xf numFmtId="0" fontId="5" fillId="0" borderId="25" xfId="6" applyFont="1" applyBorder="1" applyAlignment="1" applyProtection="1">
      <alignment horizontal="left" vertical="top" wrapText="1"/>
      <protection locked="0"/>
    </xf>
    <xf numFmtId="0" fontId="6" fillId="0" borderId="1" xfId="6" applyFont="1" applyBorder="1" applyAlignment="1" applyProtection="1">
      <alignment horizontal="center" vertical="top" wrapText="1"/>
      <protection locked="0"/>
    </xf>
    <xf numFmtId="0" fontId="6" fillId="0" borderId="5" xfId="6" applyFont="1" applyBorder="1" applyAlignment="1" applyProtection="1">
      <alignment horizontal="center" vertical="top" wrapText="1"/>
      <protection locked="0"/>
    </xf>
    <xf numFmtId="0" fontId="6" fillId="0" borderId="25" xfId="6" applyFont="1" applyBorder="1" applyAlignment="1" applyProtection="1">
      <alignment horizontal="center" vertical="top" wrapText="1"/>
      <protection locked="0"/>
    </xf>
    <xf numFmtId="1" fontId="4" fillId="0" borderId="1" xfId="0" applyNumberFormat="1" applyFont="1" applyBorder="1" applyAlignment="1">
      <alignment horizontal="center" vertical="top" wrapText="1"/>
    </xf>
    <xf numFmtId="1" fontId="4" fillId="0" borderId="9"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9" xfId="0" applyFont="1" applyBorder="1" applyAlignment="1">
      <alignment horizontal="center" vertical="top" wrapText="1"/>
    </xf>
    <xf numFmtId="17" fontId="4" fillId="0" borderId="1" xfId="0" applyNumberFormat="1" applyFont="1" applyBorder="1" applyAlignment="1">
      <alignment horizontal="left" vertical="top"/>
    </xf>
    <xf numFmtId="0" fontId="6" fillId="0" borderId="1" xfId="0" applyFont="1" applyBorder="1" applyAlignment="1">
      <alignment horizontal="center" vertical="top"/>
    </xf>
    <xf numFmtId="0" fontId="6" fillId="0" borderId="9" xfId="0" applyFont="1" applyBorder="1" applyAlignment="1">
      <alignment horizontal="center" vertical="top"/>
    </xf>
    <xf numFmtId="0" fontId="6" fillId="0" borderId="1" xfId="0" applyFont="1" applyBorder="1" applyAlignment="1">
      <alignment horizontal="left" vertical="top"/>
    </xf>
    <xf numFmtId="0" fontId="6" fillId="0" borderId="5" xfId="0" applyFont="1" applyBorder="1" applyAlignment="1">
      <alignment horizontal="left" vertical="top"/>
    </xf>
    <xf numFmtId="0" fontId="6" fillId="0" borderId="9" xfId="0" applyFont="1" applyBorder="1" applyAlignment="1">
      <alignment horizontal="left" vertical="top"/>
    </xf>
    <xf numFmtId="0" fontId="0" fillId="0" borderId="9" xfId="0" applyBorder="1" applyAlignment="1">
      <alignment horizontal="left"/>
    </xf>
    <xf numFmtId="0" fontId="6" fillId="0" borderId="1" xfId="0" applyFont="1" applyBorder="1" applyAlignment="1">
      <alignment horizontal="center" vertical="top" wrapText="1"/>
    </xf>
    <xf numFmtId="0" fontId="6" fillId="0" borderId="9" xfId="0" applyFont="1" applyBorder="1" applyAlignment="1">
      <alignment horizontal="center"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5" xfId="0" applyFont="1" applyBorder="1" applyAlignment="1">
      <alignment horizontal="center" vertical="top" wrapText="1"/>
    </xf>
    <xf numFmtId="0" fontId="3" fillId="0" borderId="0" xfId="0" applyFont="1" applyAlignment="1">
      <alignment horizontal="center" vertical="top" wrapText="1"/>
    </xf>
    <xf numFmtId="0" fontId="3" fillId="0" borderId="16"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vertical="top" wrapText="1"/>
    </xf>
    <xf numFmtId="0" fontId="3" fillId="0" borderId="14" xfId="0" applyFont="1" applyBorder="1" applyAlignment="1">
      <alignment horizontal="center" vertical="top" wrapText="1"/>
    </xf>
    <xf numFmtId="0" fontId="3" fillId="0" borderId="2" xfId="0" applyFont="1" applyBorder="1" applyAlignment="1">
      <alignment horizontal="center" vertical="top"/>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1" fontId="3" fillId="0" borderId="9" xfId="0" applyNumberFormat="1" applyFont="1" applyBorder="1" applyAlignment="1">
      <alignment horizontal="center" vertical="top" wrapText="1"/>
    </xf>
    <xf numFmtId="0" fontId="5" fillId="0" borderId="2" xfId="0" applyFont="1" applyBorder="1" applyAlignment="1">
      <alignment vertical="top" wrapText="1"/>
    </xf>
    <xf numFmtId="0" fontId="4" fillId="0" borderId="34" xfId="0" applyFont="1" applyBorder="1" applyAlignment="1">
      <alignment horizontal="left" vertical="top"/>
    </xf>
    <xf numFmtId="1" fontId="4" fillId="0" borderId="5" xfId="0" applyNumberFormat="1" applyFont="1" applyBorder="1" applyAlignment="1">
      <alignment horizontal="center" vertical="top" wrapText="1"/>
    </xf>
    <xf numFmtId="0" fontId="4" fillId="0" borderId="1" xfId="0" applyFont="1" applyBorder="1" applyAlignment="1">
      <alignment vertical="top"/>
    </xf>
    <xf numFmtId="0" fontId="4" fillId="0" borderId="5" xfId="0" applyFont="1" applyBorder="1" applyAlignment="1">
      <alignment vertical="top"/>
    </xf>
    <xf numFmtId="0" fontId="4" fillId="0" borderId="9" xfId="0" applyFont="1" applyBorder="1" applyAlignment="1">
      <alignment vertical="top"/>
    </xf>
    <xf numFmtId="0" fontId="3" fillId="0" borderId="10" xfId="2" applyFont="1" applyBorder="1" applyAlignment="1">
      <alignment horizontal="left" vertical="top" wrapText="1"/>
    </xf>
    <xf numFmtId="0" fontId="3" fillId="0" borderId="11" xfId="2" applyFont="1" applyBorder="1" applyAlignment="1">
      <alignment horizontal="left" vertical="top" wrapText="1"/>
    </xf>
    <xf numFmtId="0" fontId="3" fillId="0" borderId="12" xfId="2" applyFont="1" applyBorder="1" applyAlignment="1">
      <alignment horizontal="left" vertical="top" wrapText="1"/>
    </xf>
    <xf numFmtId="0" fontId="3" fillId="0" borderId="13" xfId="2" applyFont="1" applyBorder="1" applyAlignment="1">
      <alignment horizontal="left" vertical="top" wrapText="1"/>
    </xf>
    <xf numFmtId="0" fontId="3" fillId="0" borderId="3" xfId="2" applyFont="1" applyBorder="1" applyAlignment="1">
      <alignment horizontal="left" vertical="top" wrapText="1"/>
    </xf>
    <xf numFmtId="0" fontId="3" fillId="0" borderId="14" xfId="2"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9" xfId="0" applyFont="1" applyBorder="1" applyAlignment="1">
      <alignment horizontal="center" vertical="top"/>
    </xf>
    <xf numFmtId="14" fontId="6" fillId="0" borderId="1" xfId="0" applyNumberFormat="1" applyFont="1" applyBorder="1" applyAlignment="1">
      <alignment horizontal="left" vertical="top"/>
    </xf>
    <xf numFmtId="14" fontId="6" fillId="0" borderId="5" xfId="0" applyNumberFormat="1" applyFont="1" applyBorder="1" applyAlignment="1">
      <alignment horizontal="left" vertical="top"/>
    </xf>
    <xf numFmtId="14" fontId="6" fillId="0" borderId="9" xfId="0" applyNumberFormat="1" applyFont="1" applyBorder="1" applyAlignment="1">
      <alignment horizontal="left" vertical="top"/>
    </xf>
    <xf numFmtId="0" fontId="4" fillId="0" borderId="2" xfId="0" applyFont="1" applyBorder="1" applyAlignment="1">
      <alignment horizontal="center"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3" xfId="0" applyFont="1" applyBorder="1" applyAlignment="1">
      <alignment horizontal="left" vertical="top"/>
    </xf>
    <xf numFmtId="0" fontId="4" fillId="0" borderId="14" xfId="0" applyFont="1" applyBorder="1" applyAlignment="1">
      <alignment horizontal="left"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9" xfId="0" applyFont="1" applyBorder="1" applyAlignment="1">
      <alignment horizontal="left" vertical="top"/>
    </xf>
    <xf numFmtId="0" fontId="9" fillId="0" borderId="1" xfId="4" applyFill="1" applyBorder="1" applyAlignment="1">
      <alignment horizontal="left" vertical="top"/>
    </xf>
    <xf numFmtId="0" fontId="4" fillId="0" borderId="5" xfId="0" applyFont="1" applyBorder="1" applyAlignment="1">
      <alignment horizontal="center" vertical="top" wrapText="1"/>
    </xf>
    <xf numFmtId="14" fontId="4" fillId="0" borderId="1" xfId="0" applyNumberFormat="1" applyFont="1" applyBorder="1" applyAlignment="1">
      <alignment horizontal="left" vertical="top"/>
    </xf>
    <xf numFmtId="0" fontId="3" fillId="0" borderId="2" xfId="0" applyFont="1" applyBorder="1" applyAlignment="1">
      <alignment horizontal="left" vertical="center"/>
    </xf>
    <xf numFmtId="1" fontId="4"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4" fillId="2" borderId="2" xfId="0" applyFont="1" applyFill="1" applyBorder="1" applyAlignment="1">
      <alignment horizontal="lef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2" borderId="2" xfId="0" applyFont="1" applyFill="1" applyBorder="1" applyAlignment="1">
      <alignment horizontal="left" vertical="center"/>
    </xf>
    <xf numFmtId="0" fontId="10" fillId="0" borderId="2" xfId="5" applyFont="1" applyBorder="1" applyAlignment="1">
      <alignment horizontal="left"/>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6"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421342</xdr:colOff>
      <xdr:row>407</xdr:row>
      <xdr:rowOff>110938</xdr:rowOff>
    </xdr:from>
    <xdr:to>
      <xdr:col>8</xdr:col>
      <xdr:colOff>261297</xdr:colOff>
      <xdr:row>422</xdr:row>
      <xdr:rowOff>133438</xdr:rowOff>
    </xdr:to>
    <xdr:pic>
      <xdr:nvPicPr>
        <xdr:cNvPr id="4706" name="Picture 1">
          <a:extLst>
            <a:ext uri="{FF2B5EF4-FFF2-40B4-BE49-F238E27FC236}">
              <a16:creationId xmlns:a16="http://schemas.microsoft.com/office/drawing/2014/main" id="{00000000-0008-0000-0000-00006212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02367" y="72310438"/>
          <a:ext cx="4754855"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392207</xdr:colOff>
      <xdr:row>423</xdr:row>
      <xdr:rowOff>160244</xdr:rowOff>
    </xdr:from>
    <xdr:to>
      <xdr:col>8</xdr:col>
      <xdr:colOff>258404</xdr:colOff>
      <xdr:row>438</xdr:row>
      <xdr:rowOff>182744</xdr:rowOff>
    </xdr:to>
    <xdr:pic>
      <xdr:nvPicPr>
        <xdr:cNvPr id="4707" name="Picture 2">
          <a:extLst>
            <a:ext uri="{FF2B5EF4-FFF2-40B4-BE49-F238E27FC236}">
              <a16:creationId xmlns:a16="http://schemas.microsoft.com/office/drawing/2014/main" id="{00000000-0008-0000-0000-00006312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73232" y="75407744"/>
          <a:ext cx="4781097"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162197</xdr:colOff>
      <xdr:row>360</xdr:row>
      <xdr:rowOff>50074</xdr:rowOff>
    </xdr:from>
    <xdr:to>
      <xdr:col>23</xdr:col>
      <xdr:colOff>204934</xdr:colOff>
      <xdr:row>397</xdr:row>
      <xdr:rowOff>92580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0426337" y="61528234"/>
          <a:ext cx="6047297" cy="6809066"/>
          <a:chOff x="489857" y="63613393"/>
          <a:chExt cx="5862240" cy="7091006"/>
        </a:xfrm>
      </xdr:grpSpPr>
      <xdr:pic>
        <xdr:nvPicPr>
          <xdr:cNvPr id="18" name="Picture 17" descr="insp-233841-1525.jpg (959×1280)">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70075" y="6854439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insp-233841-1512.jpg (959×128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840499" y="6854439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insp-233840-843.jpg (959×128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2491201" y="65898896"/>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insp-233840-844.jpg (959×128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36329" y="65898896"/>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insp-233840-849.jpg (959×1280)">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454628" y="65898896"/>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insp-233840-862.jpg (1079×810)">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3474764" y="6361339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insp-233840-860.jpg (1079×810)">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489857" y="6361339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152400</xdr:colOff>
      <xdr:row>361</xdr:row>
      <xdr:rowOff>15240</xdr:rowOff>
    </xdr:from>
    <xdr:to>
      <xdr:col>9</xdr:col>
      <xdr:colOff>705766</xdr:colOff>
      <xdr:row>400</xdr:row>
      <xdr:rowOff>139228</xdr:rowOff>
    </xdr:to>
    <xdr:grpSp>
      <xdr:nvGrpSpPr>
        <xdr:cNvPr id="4" name="Group 3">
          <a:extLst>
            <a:ext uri="{FF2B5EF4-FFF2-40B4-BE49-F238E27FC236}">
              <a16:creationId xmlns:a16="http://schemas.microsoft.com/office/drawing/2014/main" id="{D41F0E50-1C51-B641-784F-5B4BC291CA12}"/>
            </a:ext>
          </a:extLst>
        </xdr:cNvPr>
        <xdr:cNvGrpSpPr/>
      </xdr:nvGrpSpPr>
      <xdr:grpSpPr>
        <a:xfrm>
          <a:off x="152400" y="61676280"/>
          <a:ext cx="6916066" cy="7256308"/>
          <a:chOff x="-29032" y="223301"/>
          <a:chExt cx="6916066" cy="7256308"/>
        </a:xfrm>
      </xdr:grpSpPr>
      <xdr:grpSp>
        <xdr:nvGrpSpPr>
          <xdr:cNvPr id="5" name="Group 4">
            <a:extLst>
              <a:ext uri="{FF2B5EF4-FFF2-40B4-BE49-F238E27FC236}">
                <a16:creationId xmlns:a16="http://schemas.microsoft.com/office/drawing/2014/main" id="{9D0F3E72-6AAF-BF65-46AD-D80D32830A12}"/>
              </a:ext>
            </a:extLst>
          </xdr:cNvPr>
          <xdr:cNvGrpSpPr/>
        </xdr:nvGrpSpPr>
        <xdr:grpSpPr>
          <a:xfrm>
            <a:off x="-29032" y="223301"/>
            <a:ext cx="6916066" cy="5248154"/>
            <a:chOff x="-29032" y="223301"/>
            <a:chExt cx="6916066" cy="5248154"/>
          </a:xfrm>
        </xdr:grpSpPr>
        <xdr:pic>
          <xdr:nvPicPr>
            <xdr:cNvPr id="10" name="Picture 9">
              <a:extLst>
                <a:ext uri="{FF2B5EF4-FFF2-40B4-BE49-F238E27FC236}">
                  <a16:creationId xmlns:a16="http://schemas.microsoft.com/office/drawing/2014/main" id="{67A0FEFE-3F44-DE4D-F116-5EE61D7D0CB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3530145" y="2951455"/>
              <a:ext cx="3356889"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F0A10037-39B5-0EF6-BF2C-4D8FD5D0188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29032" y="2951455"/>
              <a:ext cx="3356889"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6AC4D7F5-456E-633D-3E61-9CC5ED8801E5}"/>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9986" y="223301"/>
              <a:ext cx="3356889"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3FB4513B-05CA-E266-88E3-75CD580ACD6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3501111" y="223301"/>
              <a:ext cx="3356889"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F4C57E51-F109-7D67-D2B5-990DC81E3F13}"/>
              </a:ext>
            </a:extLst>
          </xdr:cNvPr>
          <xdr:cNvGrpSpPr/>
        </xdr:nvGrpSpPr>
        <xdr:grpSpPr>
          <a:xfrm>
            <a:off x="1220595" y="5679609"/>
            <a:ext cx="4416812" cy="1800000"/>
            <a:chOff x="1998309" y="5679609"/>
            <a:chExt cx="4416812" cy="1800000"/>
          </a:xfrm>
        </xdr:grpSpPr>
        <xdr:pic>
          <xdr:nvPicPr>
            <xdr:cNvPr id="7" name="Picture 6">
              <a:extLst>
                <a:ext uri="{FF2B5EF4-FFF2-40B4-BE49-F238E27FC236}">
                  <a16:creationId xmlns:a16="http://schemas.microsoft.com/office/drawing/2014/main" id="{C6886AB0-9F71-E7C5-735B-BCACDDA6E58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532418" y="5679609"/>
              <a:ext cx="1348594" cy="1800000"/>
            </a:xfrm>
            <a:prstGeom prst="rect">
              <a:avLst/>
            </a:prstGeom>
            <a:ln>
              <a:solidFill>
                <a:schemeClr val="tx1"/>
              </a:solidFill>
            </a:ln>
          </xdr:spPr>
        </xdr:pic>
        <xdr:pic>
          <xdr:nvPicPr>
            <xdr:cNvPr id="8" name="Picture 7">
              <a:extLst>
                <a:ext uri="{FF2B5EF4-FFF2-40B4-BE49-F238E27FC236}">
                  <a16:creationId xmlns:a16="http://schemas.microsoft.com/office/drawing/2014/main" id="{6441E7F1-825D-B768-4ED4-2E4DF212037D}"/>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998309" y="5679609"/>
              <a:ext cx="1348594" cy="1800000"/>
            </a:xfrm>
            <a:prstGeom prst="rect">
              <a:avLst/>
            </a:prstGeom>
            <a:ln>
              <a:solidFill>
                <a:schemeClr val="tx1"/>
              </a:solidFill>
            </a:ln>
          </xdr:spPr>
        </xdr:pic>
        <xdr:pic>
          <xdr:nvPicPr>
            <xdr:cNvPr id="9" name="Picture 8">
              <a:extLst>
                <a:ext uri="{FF2B5EF4-FFF2-40B4-BE49-F238E27FC236}">
                  <a16:creationId xmlns:a16="http://schemas.microsoft.com/office/drawing/2014/main" id="{B7E7B63D-7360-1E77-03E6-2E5993B3894D}"/>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5066527" y="5679609"/>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19</xdr:col>
      <xdr:colOff>304800</xdr:colOff>
      <xdr:row>33</xdr:row>
      <xdr:rowOff>171450</xdr:rowOff>
    </xdr:to>
    <xdr:pic>
      <xdr:nvPicPr>
        <xdr:cNvPr id="11433" name="Picture 1">
          <a:extLst>
            <a:ext uri="{FF2B5EF4-FFF2-40B4-BE49-F238E27FC236}">
              <a16:creationId xmlns:a16="http://schemas.microsoft.com/office/drawing/2014/main" id="{00000000-0008-0000-0100-0000A92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81025" y="2867025"/>
          <a:ext cx="156019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34</xdr:row>
      <xdr:rowOff>66675</xdr:rowOff>
    </xdr:from>
    <xdr:to>
      <xdr:col>19</xdr:col>
      <xdr:colOff>314325</xdr:colOff>
      <xdr:row>53</xdr:row>
      <xdr:rowOff>47625</xdr:rowOff>
    </xdr:to>
    <xdr:pic>
      <xdr:nvPicPr>
        <xdr:cNvPr id="11434" name="Picture 2">
          <a:extLst>
            <a:ext uri="{FF2B5EF4-FFF2-40B4-BE49-F238E27FC236}">
              <a16:creationId xmlns:a16="http://schemas.microsoft.com/office/drawing/2014/main" id="{00000000-0008-0000-0100-0000AA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90550" y="6553200"/>
          <a:ext cx="156019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123825</xdr:rowOff>
    </xdr:from>
    <xdr:to>
      <xdr:col>19</xdr:col>
      <xdr:colOff>304800</xdr:colOff>
      <xdr:row>72</xdr:row>
      <xdr:rowOff>104775</xdr:rowOff>
    </xdr:to>
    <xdr:pic>
      <xdr:nvPicPr>
        <xdr:cNvPr id="11435" name="Picture 3">
          <a:extLst>
            <a:ext uri="{FF2B5EF4-FFF2-40B4-BE49-F238E27FC236}">
              <a16:creationId xmlns:a16="http://schemas.microsoft.com/office/drawing/2014/main" id="{00000000-0008-0000-0100-0000AB2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581025" y="10229850"/>
          <a:ext cx="156019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15</xdr:row>
      <xdr:rowOff>0</xdr:rowOff>
    </xdr:from>
    <xdr:to>
      <xdr:col>19</xdr:col>
      <xdr:colOff>342900</xdr:colOff>
      <xdr:row>33</xdr:row>
      <xdr:rowOff>171450</xdr:rowOff>
    </xdr:to>
    <xdr:pic>
      <xdr:nvPicPr>
        <xdr:cNvPr id="11436" name="Picture 4">
          <a:extLst>
            <a:ext uri="{FF2B5EF4-FFF2-40B4-BE49-F238E27FC236}">
              <a16:creationId xmlns:a16="http://schemas.microsoft.com/office/drawing/2014/main" id="{00000000-0008-0000-0100-0000AC2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7467600" y="2867025"/>
          <a:ext cx="875347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34</xdr:row>
      <xdr:rowOff>66675</xdr:rowOff>
    </xdr:from>
    <xdr:to>
      <xdr:col>19</xdr:col>
      <xdr:colOff>342900</xdr:colOff>
      <xdr:row>53</xdr:row>
      <xdr:rowOff>47625</xdr:rowOff>
    </xdr:to>
    <xdr:pic>
      <xdr:nvPicPr>
        <xdr:cNvPr id="11437" name="Picture 5">
          <a:extLst>
            <a:ext uri="{FF2B5EF4-FFF2-40B4-BE49-F238E27FC236}">
              <a16:creationId xmlns:a16="http://schemas.microsoft.com/office/drawing/2014/main" id="{00000000-0008-0000-0100-0000AD2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7467600" y="6553200"/>
          <a:ext cx="875347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53</xdr:row>
      <xdr:rowOff>133350</xdr:rowOff>
    </xdr:from>
    <xdr:to>
      <xdr:col>19</xdr:col>
      <xdr:colOff>371475</xdr:colOff>
      <xdr:row>72</xdr:row>
      <xdr:rowOff>114300</xdr:rowOff>
    </xdr:to>
    <xdr:pic>
      <xdr:nvPicPr>
        <xdr:cNvPr id="11438" name="Picture 6">
          <a:extLst>
            <a:ext uri="{FF2B5EF4-FFF2-40B4-BE49-F238E27FC236}">
              <a16:creationId xmlns:a16="http://schemas.microsoft.com/office/drawing/2014/main" id="{00000000-0008-0000-0100-0000AE2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7496175" y="10239375"/>
          <a:ext cx="875347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351hZrBRdkxxXrBi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7"/>
  <sheetViews>
    <sheetView tabSelected="1" view="pageBreakPreview" zoomScaleNormal="100" zoomScaleSheetLayoutView="100" zoomScalePageLayoutView="85" workbookViewId="0">
      <selection activeCell="K5" sqref="K5"/>
    </sheetView>
  </sheetViews>
  <sheetFormatPr defaultColWidth="9.109375" defaultRowHeight="14.4" x14ac:dyDescent="0.3"/>
  <cols>
    <col min="1" max="1" width="8.6640625" customWidth="1"/>
    <col min="2" max="3" width="13.6640625" customWidth="1"/>
    <col min="4" max="4" width="8.88671875" customWidth="1"/>
    <col min="5" max="5" width="7" customWidth="1"/>
    <col min="6" max="6" width="10.6640625" customWidth="1"/>
    <col min="7" max="8" width="9.88671875" customWidth="1"/>
    <col min="9" max="9" width="10.44140625" customWidth="1"/>
    <col min="10" max="10" width="12.109375" customWidth="1"/>
    <col min="11" max="11" width="17.44140625" customWidth="1"/>
    <col min="17" max="17" width="14.6640625" customWidth="1"/>
  </cols>
  <sheetData>
    <row r="1" spans="1:13" ht="43.95" customHeight="1" x14ac:dyDescent="0.3">
      <c r="A1" s="149" t="s">
        <v>233</v>
      </c>
      <c r="B1" s="150"/>
      <c r="C1" s="150"/>
      <c r="D1" s="150"/>
      <c r="E1" s="150"/>
      <c r="F1" s="150"/>
      <c r="G1" s="150"/>
      <c r="H1" s="150"/>
      <c r="I1" s="150"/>
      <c r="J1" s="151"/>
    </row>
    <row r="2" spans="1:13" x14ac:dyDescent="0.3">
      <c r="A2" s="189" t="s">
        <v>45</v>
      </c>
      <c r="B2" s="190"/>
      <c r="C2" s="190"/>
      <c r="D2" s="190"/>
      <c r="E2" s="190"/>
      <c r="F2" s="190"/>
      <c r="G2" s="190"/>
      <c r="H2" s="190"/>
      <c r="I2" s="190"/>
      <c r="J2" s="191"/>
    </row>
    <row r="3" spans="1:13" x14ac:dyDescent="0.3">
      <c r="A3" s="56" t="s">
        <v>0</v>
      </c>
      <c r="B3" s="57"/>
      <c r="C3" s="57"/>
      <c r="D3" s="57"/>
      <c r="E3" s="58"/>
      <c r="F3" s="192" t="str">
        <f ca="1">TEXT(TODAY(),"DD/MM/YYYY")</f>
        <v>19/08/2025</v>
      </c>
      <c r="G3" s="193"/>
      <c r="H3" s="193"/>
      <c r="I3" s="193"/>
      <c r="J3" s="194"/>
    </row>
    <row r="4" spans="1:13" x14ac:dyDescent="0.3">
      <c r="A4" s="56" t="s">
        <v>1</v>
      </c>
      <c r="B4" s="57"/>
      <c r="C4" s="57"/>
      <c r="D4" s="57"/>
      <c r="E4" s="58"/>
      <c r="F4" s="155" t="s">
        <v>115</v>
      </c>
      <c r="G4" s="156"/>
      <c r="H4" s="156"/>
      <c r="I4" s="156"/>
      <c r="J4" s="157"/>
    </row>
    <row r="5" spans="1:13" x14ac:dyDescent="0.3">
      <c r="A5" s="56" t="s">
        <v>2</v>
      </c>
      <c r="B5" s="57"/>
      <c r="C5" s="57"/>
      <c r="D5" s="57"/>
      <c r="E5" s="58"/>
      <c r="F5" s="192">
        <v>45883</v>
      </c>
      <c r="G5" s="193"/>
      <c r="H5" s="193"/>
      <c r="I5" s="193"/>
      <c r="J5" s="194"/>
    </row>
    <row r="6" spans="1:13" ht="16.5" customHeight="1" x14ac:dyDescent="0.3">
      <c r="A6" s="56" t="s">
        <v>106</v>
      </c>
      <c r="B6" s="57"/>
      <c r="C6" s="57"/>
      <c r="D6" s="57"/>
      <c r="E6" s="58"/>
      <c r="F6" s="62" t="s">
        <v>123</v>
      </c>
      <c r="G6" s="63"/>
      <c r="H6" s="63"/>
      <c r="I6" s="63"/>
      <c r="J6" s="64"/>
    </row>
    <row r="7" spans="1:13" ht="15" customHeight="1" x14ac:dyDescent="0.3">
      <c r="A7" s="56" t="s">
        <v>3</v>
      </c>
      <c r="B7" s="57"/>
      <c r="C7" s="57"/>
      <c r="D7" s="57"/>
      <c r="E7" s="58"/>
      <c r="F7" s="62" t="s">
        <v>123</v>
      </c>
      <c r="G7" s="63"/>
      <c r="H7" s="63"/>
      <c r="I7" s="63"/>
      <c r="J7" s="64"/>
    </row>
    <row r="8" spans="1:13" x14ac:dyDescent="0.3">
      <c r="A8" s="56" t="s">
        <v>4</v>
      </c>
      <c r="B8" s="57"/>
      <c r="C8" s="57"/>
      <c r="D8" s="57"/>
      <c r="E8" s="58"/>
      <c r="F8" s="65" t="s">
        <v>158</v>
      </c>
      <c r="G8" s="66"/>
      <c r="H8" s="66"/>
      <c r="I8" s="66"/>
      <c r="J8" s="67"/>
      <c r="M8" t="s">
        <v>158</v>
      </c>
    </row>
    <row r="9" spans="1:13" x14ac:dyDescent="0.3">
      <c r="A9" s="56" t="s">
        <v>234</v>
      </c>
      <c r="B9" s="57"/>
      <c r="C9" s="57"/>
      <c r="D9" s="57"/>
      <c r="E9" s="58"/>
      <c r="F9" s="56">
        <v>2225988888</v>
      </c>
      <c r="G9" s="57"/>
      <c r="H9" s="57"/>
      <c r="I9" s="57"/>
      <c r="J9" s="58"/>
    </row>
    <row r="10" spans="1:13" x14ac:dyDescent="0.3">
      <c r="A10" s="56" t="s">
        <v>235</v>
      </c>
      <c r="B10" s="57"/>
      <c r="C10" s="57"/>
      <c r="D10" s="57"/>
      <c r="E10" s="58"/>
      <c r="F10" s="56" t="s">
        <v>237</v>
      </c>
      <c r="G10" s="57"/>
      <c r="H10" s="57"/>
      <c r="I10" s="57"/>
      <c r="J10" s="58"/>
    </row>
    <row r="11" spans="1:13" s="37" customFormat="1" ht="15.75" customHeight="1" x14ac:dyDescent="0.3">
      <c r="A11" s="56" t="s">
        <v>5</v>
      </c>
      <c r="B11" s="57"/>
      <c r="C11" s="57"/>
      <c r="D11" s="57"/>
      <c r="E11" s="58"/>
      <c r="F11" s="62" t="s">
        <v>116</v>
      </c>
      <c r="G11" s="63"/>
      <c r="H11" s="63"/>
      <c r="I11" s="63"/>
      <c r="J11" s="64"/>
    </row>
    <row r="12" spans="1:13" s="37" customFormat="1" ht="15.75" customHeight="1" x14ac:dyDescent="0.3">
      <c r="A12" s="56" t="s">
        <v>122</v>
      </c>
      <c r="B12" s="57"/>
      <c r="C12" s="57"/>
      <c r="D12" s="57"/>
      <c r="E12" s="58"/>
      <c r="F12" s="62" t="s">
        <v>227</v>
      </c>
      <c r="G12" s="63"/>
      <c r="H12" s="63"/>
      <c r="I12" s="63"/>
      <c r="J12" s="64"/>
    </row>
    <row r="13" spans="1:13" ht="31.5" customHeight="1" x14ac:dyDescent="0.3">
      <c r="A13" s="78" t="s">
        <v>57</v>
      </c>
      <c r="B13" s="78"/>
      <c r="C13" s="62" t="s">
        <v>150</v>
      </c>
      <c r="D13" s="63"/>
      <c r="E13" s="63"/>
      <c r="F13" s="63"/>
      <c r="G13" s="63"/>
      <c r="H13" s="63"/>
      <c r="I13" s="63"/>
      <c r="J13" s="64"/>
    </row>
    <row r="14" spans="1:13" ht="15" customHeight="1" x14ac:dyDescent="0.3">
      <c r="A14" s="36" t="s">
        <v>78</v>
      </c>
      <c r="B14" s="35">
        <v>18</v>
      </c>
      <c r="C14" s="38" t="s">
        <v>112</v>
      </c>
      <c r="D14" s="59" t="s">
        <v>132</v>
      </c>
      <c r="E14" s="60"/>
      <c r="F14" s="60"/>
      <c r="G14" s="61"/>
      <c r="H14" s="2" t="s">
        <v>58</v>
      </c>
      <c r="I14" s="86" t="s">
        <v>124</v>
      </c>
      <c r="J14" s="87"/>
    </row>
    <row r="15" spans="1:13" x14ac:dyDescent="0.3">
      <c r="A15" s="36" t="s">
        <v>6</v>
      </c>
      <c r="B15" s="155" t="s">
        <v>127</v>
      </c>
      <c r="C15" s="156"/>
      <c r="D15" s="156"/>
      <c r="E15" s="157"/>
      <c r="F15" s="1" t="s">
        <v>59</v>
      </c>
      <c r="G15" s="56" t="s">
        <v>126</v>
      </c>
      <c r="H15" s="57"/>
      <c r="I15" s="57"/>
      <c r="J15" s="58"/>
    </row>
    <row r="16" spans="1:13" x14ac:dyDescent="0.3">
      <c r="A16" s="36" t="s">
        <v>7</v>
      </c>
      <c r="B16" s="56" t="s">
        <v>125</v>
      </c>
      <c r="C16" s="57"/>
      <c r="D16" s="57"/>
      <c r="E16" s="58"/>
      <c r="F16" s="1" t="s">
        <v>60</v>
      </c>
      <c r="G16" s="56">
        <v>410201</v>
      </c>
      <c r="H16" s="57"/>
      <c r="I16" s="57"/>
      <c r="J16" s="58"/>
    </row>
    <row r="17" spans="1:10" x14ac:dyDescent="0.3">
      <c r="A17" s="88" t="s">
        <v>122</v>
      </c>
      <c r="B17" s="89"/>
      <c r="C17" s="62" t="s">
        <v>146</v>
      </c>
      <c r="D17" s="63"/>
      <c r="E17" s="63"/>
      <c r="F17" s="63"/>
      <c r="G17" s="63"/>
      <c r="H17" s="63"/>
      <c r="I17" s="63"/>
      <c r="J17" s="64"/>
    </row>
    <row r="18" spans="1:10" ht="121.5" customHeight="1" x14ac:dyDescent="0.3">
      <c r="A18" s="56" t="s">
        <v>133</v>
      </c>
      <c r="B18" s="58"/>
      <c r="C18" s="59" t="s">
        <v>147</v>
      </c>
      <c r="D18" s="60"/>
      <c r="E18" s="60"/>
      <c r="F18" s="59" t="s">
        <v>164</v>
      </c>
      <c r="G18" s="60"/>
      <c r="H18" s="60"/>
      <c r="I18" s="60"/>
      <c r="J18" s="61"/>
    </row>
    <row r="19" spans="1:10" ht="32.25" customHeight="1" x14ac:dyDescent="0.3">
      <c r="A19" s="78" t="s">
        <v>61</v>
      </c>
      <c r="B19" s="78"/>
      <c r="C19" s="79" t="s">
        <v>134</v>
      </c>
      <c r="D19" s="79"/>
      <c r="E19" s="79"/>
      <c r="F19" s="77" t="s">
        <v>52</v>
      </c>
      <c r="G19" s="77"/>
      <c r="H19" s="60" t="s">
        <v>128</v>
      </c>
      <c r="I19" s="60"/>
      <c r="J19" s="61"/>
    </row>
    <row r="20" spans="1:10" ht="15" customHeight="1" x14ac:dyDescent="0.3">
      <c r="A20" s="80" t="s">
        <v>162</v>
      </c>
      <c r="B20" s="81"/>
      <c r="C20" s="81"/>
      <c r="D20" s="81"/>
      <c r="E20" s="82"/>
      <c r="F20" s="196" t="s">
        <v>129</v>
      </c>
      <c r="G20" s="197"/>
      <c r="H20" s="197"/>
      <c r="I20" s="197"/>
      <c r="J20" s="198"/>
    </row>
    <row r="21" spans="1:10" x14ac:dyDescent="0.3">
      <c r="A21" s="83"/>
      <c r="B21" s="84"/>
      <c r="C21" s="84"/>
      <c r="D21" s="84"/>
      <c r="E21" s="85"/>
      <c r="F21" s="199"/>
      <c r="G21" s="200"/>
      <c r="H21" s="200"/>
      <c r="I21" s="200"/>
      <c r="J21" s="201"/>
    </row>
    <row r="22" spans="1:10" ht="15" customHeight="1" x14ac:dyDescent="0.3">
      <c r="A22" s="80" t="s">
        <v>79</v>
      </c>
      <c r="B22" s="81"/>
      <c r="C22" s="81"/>
      <c r="D22" s="81"/>
      <c r="E22" s="82"/>
      <c r="F22" s="80" t="s">
        <v>47</v>
      </c>
      <c r="G22" s="81"/>
      <c r="H22" s="81"/>
      <c r="I22" s="81"/>
      <c r="J22" s="82"/>
    </row>
    <row r="23" spans="1:10" x14ac:dyDescent="0.3">
      <c r="A23" s="56" t="s">
        <v>8</v>
      </c>
      <c r="B23" s="57"/>
      <c r="C23" s="57"/>
      <c r="D23" s="57"/>
      <c r="E23" s="58"/>
      <c r="F23" s="212" t="s">
        <v>107</v>
      </c>
      <c r="G23" s="213"/>
      <c r="H23" s="213"/>
      <c r="I23" s="213"/>
      <c r="J23" s="214"/>
    </row>
    <row r="24" spans="1:10" x14ac:dyDescent="0.3">
      <c r="A24" s="56" t="s">
        <v>9</v>
      </c>
      <c r="B24" s="57"/>
      <c r="C24" s="57"/>
      <c r="D24" s="57"/>
      <c r="E24" s="58"/>
      <c r="F24" s="180" t="s">
        <v>53</v>
      </c>
      <c r="G24" s="181"/>
      <c r="H24" s="181"/>
      <c r="I24" s="181"/>
      <c r="J24" s="182"/>
    </row>
    <row r="25" spans="1:10" x14ac:dyDescent="0.3">
      <c r="A25" s="56" t="s">
        <v>10</v>
      </c>
      <c r="B25" s="57"/>
      <c r="C25" s="57"/>
      <c r="D25" s="57"/>
      <c r="E25" s="58"/>
      <c r="F25" s="212" t="s">
        <v>108</v>
      </c>
      <c r="G25" s="213"/>
      <c r="H25" s="213"/>
      <c r="I25" s="213"/>
      <c r="J25" s="214"/>
    </row>
    <row r="26" spans="1:10" x14ac:dyDescent="0.3">
      <c r="A26" s="56" t="s">
        <v>28</v>
      </c>
      <c r="B26" s="57"/>
      <c r="C26" s="57"/>
      <c r="D26" s="57"/>
      <c r="E26" s="58"/>
      <c r="F26" s="180" t="s">
        <v>62</v>
      </c>
      <c r="G26" s="181"/>
      <c r="H26" s="181"/>
      <c r="I26" s="181"/>
      <c r="J26" s="182"/>
    </row>
    <row r="27" spans="1:10" x14ac:dyDescent="0.3">
      <c r="A27" s="88" t="s">
        <v>11</v>
      </c>
      <c r="B27" s="89"/>
      <c r="C27" s="88" t="s">
        <v>12</v>
      </c>
      <c r="D27" s="89"/>
      <c r="E27" s="88" t="s">
        <v>13</v>
      </c>
      <c r="F27" s="89"/>
      <c r="G27" s="88" t="s">
        <v>51</v>
      </c>
      <c r="H27" s="89"/>
      <c r="I27" s="88" t="s">
        <v>14</v>
      </c>
      <c r="J27" s="89"/>
    </row>
    <row r="28" spans="1:10" x14ac:dyDescent="0.3">
      <c r="A28" s="88" t="s">
        <v>15</v>
      </c>
      <c r="B28" s="89"/>
      <c r="C28" s="88" t="s">
        <v>50</v>
      </c>
      <c r="D28" s="89"/>
      <c r="E28" s="88" t="s">
        <v>50</v>
      </c>
      <c r="F28" s="89"/>
      <c r="G28" s="88" t="s">
        <v>50</v>
      </c>
      <c r="H28" s="89"/>
      <c r="I28" s="88" t="s">
        <v>50</v>
      </c>
      <c r="J28" s="89"/>
    </row>
    <row r="29" spans="1:10" x14ac:dyDescent="0.3">
      <c r="A29" s="153" t="s">
        <v>16</v>
      </c>
      <c r="B29" s="154"/>
      <c r="C29" s="153" t="s">
        <v>6</v>
      </c>
      <c r="D29" s="154"/>
      <c r="E29" s="153" t="s">
        <v>114</v>
      </c>
      <c r="F29" s="154"/>
      <c r="G29" s="153" t="s">
        <v>6</v>
      </c>
      <c r="H29" s="154"/>
      <c r="I29" s="153" t="s">
        <v>114</v>
      </c>
      <c r="J29" s="154"/>
    </row>
    <row r="30" spans="1:10" x14ac:dyDescent="0.3">
      <c r="A30" s="155" t="s">
        <v>55</v>
      </c>
      <c r="B30" s="156"/>
      <c r="C30" s="156"/>
      <c r="D30" s="156"/>
      <c r="E30" s="156"/>
      <c r="F30" s="156"/>
      <c r="G30" s="156"/>
      <c r="H30" s="156"/>
      <c r="I30" s="156"/>
      <c r="J30" s="157"/>
    </row>
    <row r="31" spans="1:10" x14ac:dyDescent="0.3">
      <c r="A31" s="155" t="s">
        <v>111</v>
      </c>
      <c r="B31" s="156"/>
      <c r="C31" s="156"/>
      <c r="D31" s="156"/>
      <c r="E31" s="156"/>
      <c r="F31" s="156"/>
      <c r="G31" s="156"/>
      <c r="H31" s="156"/>
      <c r="I31" s="156"/>
      <c r="J31" s="157"/>
    </row>
    <row r="32" spans="1:10" x14ac:dyDescent="0.3">
      <c r="A32" s="155" t="s">
        <v>42</v>
      </c>
      <c r="B32" s="157"/>
      <c r="C32" s="202" t="s">
        <v>236</v>
      </c>
      <c r="D32" s="203"/>
      <c r="E32" s="203"/>
      <c r="F32" s="203"/>
      <c r="G32" s="203"/>
      <c r="H32" s="203"/>
      <c r="I32" s="203"/>
      <c r="J32" s="204"/>
    </row>
    <row r="33" spans="1:10" x14ac:dyDescent="0.3">
      <c r="A33" s="155" t="s">
        <v>231</v>
      </c>
      <c r="B33" s="157"/>
      <c r="C33" s="205" t="s">
        <v>232</v>
      </c>
      <c r="D33" s="156"/>
      <c r="E33" s="156"/>
      <c r="F33" s="156"/>
      <c r="G33" s="156"/>
      <c r="H33" s="156"/>
      <c r="I33" s="156"/>
      <c r="J33" s="157"/>
    </row>
    <row r="34" spans="1:10" x14ac:dyDescent="0.3">
      <c r="A34" s="65" t="s">
        <v>17</v>
      </c>
      <c r="B34" s="66"/>
      <c r="C34" s="66"/>
      <c r="D34" s="66"/>
      <c r="E34" s="66"/>
      <c r="F34" s="66"/>
      <c r="G34" s="66"/>
      <c r="H34" s="66"/>
      <c r="I34" s="66"/>
      <c r="J34" s="67"/>
    </row>
    <row r="35" spans="1:10" ht="15" customHeight="1" x14ac:dyDescent="0.3">
      <c r="A35" s="80" t="s">
        <v>117</v>
      </c>
      <c r="B35" s="81"/>
      <c r="C35" s="81"/>
      <c r="D35" s="81"/>
      <c r="E35" s="81"/>
      <c r="F35" s="81"/>
      <c r="G35" s="81"/>
      <c r="H35" s="81"/>
      <c r="I35" s="81"/>
      <c r="J35" s="82"/>
    </row>
    <row r="36" spans="1:10" x14ac:dyDescent="0.3">
      <c r="A36" s="83"/>
      <c r="B36" s="84"/>
      <c r="C36" s="84"/>
      <c r="D36" s="84"/>
      <c r="E36" s="84"/>
      <c r="F36" s="84"/>
      <c r="G36" s="84"/>
      <c r="H36" s="84"/>
      <c r="I36" s="84"/>
      <c r="J36" s="85"/>
    </row>
    <row r="37" spans="1:10" ht="16.5" customHeight="1" x14ac:dyDescent="0.3">
      <c r="A37" s="56" t="s">
        <v>63</v>
      </c>
      <c r="B37" s="57"/>
      <c r="C37" s="57"/>
      <c r="D37" s="57"/>
      <c r="E37" s="58"/>
      <c r="F37" s="62">
        <v>33953.56</v>
      </c>
      <c r="G37" s="63"/>
      <c r="H37" s="63"/>
      <c r="I37" s="63"/>
      <c r="J37" s="64"/>
    </row>
    <row r="38" spans="1:10" x14ac:dyDescent="0.3">
      <c r="A38" s="56" t="s">
        <v>18</v>
      </c>
      <c r="B38" s="57"/>
      <c r="C38" s="57"/>
      <c r="D38" s="57"/>
      <c r="E38" s="58"/>
      <c r="F38" s="56">
        <v>1.1000000000000001</v>
      </c>
      <c r="G38" s="57"/>
      <c r="H38" s="57"/>
      <c r="I38" s="57"/>
      <c r="J38" s="58"/>
    </row>
    <row r="39" spans="1:10" x14ac:dyDescent="0.3">
      <c r="A39" s="56" t="s">
        <v>19</v>
      </c>
      <c r="B39" s="57"/>
      <c r="C39" s="57"/>
      <c r="D39" s="57"/>
      <c r="E39" s="58"/>
      <c r="F39" s="56">
        <v>0.2</v>
      </c>
      <c r="G39" s="57"/>
      <c r="H39" s="57"/>
      <c r="I39" s="57"/>
      <c r="J39" s="58"/>
    </row>
    <row r="40" spans="1:10" x14ac:dyDescent="0.3">
      <c r="A40" s="56" t="s">
        <v>20</v>
      </c>
      <c r="B40" s="57"/>
      <c r="C40" s="57"/>
      <c r="D40" s="57"/>
      <c r="E40" s="58"/>
      <c r="F40" s="56">
        <f>F38+F39</f>
        <v>1.3</v>
      </c>
      <c r="G40" s="57"/>
      <c r="H40" s="57"/>
      <c r="I40" s="57"/>
      <c r="J40" s="58"/>
    </row>
    <row r="41" spans="1:10" x14ac:dyDescent="0.3">
      <c r="A41" s="56" t="s">
        <v>64</v>
      </c>
      <c r="B41" s="57"/>
      <c r="C41" s="57"/>
      <c r="D41" s="57"/>
      <c r="E41" s="58"/>
      <c r="F41" s="68">
        <v>428667.86</v>
      </c>
      <c r="G41" s="69"/>
      <c r="H41" s="69"/>
      <c r="I41" s="69"/>
      <c r="J41" s="70"/>
    </row>
    <row r="42" spans="1:10" x14ac:dyDescent="0.3">
      <c r="A42" s="56" t="s">
        <v>21</v>
      </c>
      <c r="B42" s="57"/>
      <c r="C42" s="57"/>
      <c r="D42" s="57"/>
      <c r="E42" s="58"/>
      <c r="F42" s="56" t="s">
        <v>149</v>
      </c>
      <c r="G42" s="57"/>
      <c r="H42" s="57"/>
      <c r="I42" s="57"/>
      <c r="J42" s="58"/>
    </row>
    <row r="43" spans="1:10" x14ac:dyDescent="0.3">
      <c r="A43" s="65" t="s">
        <v>66</v>
      </c>
      <c r="B43" s="66"/>
      <c r="C43" s="66"/>
      <c r="D43" s="66"/>
      <c r="E43" s="66"/>
      <c r="F43" s="66"/>
      <c r="G43" s="66"/>
      <c r="H43" s="66"/>
      <c r="I43" s="66"/>
      <c r="J43" s="67"/>
    </row>
    <row r="44" spans="1:10" x14ac:dyDescent="0.3">
      <c r="A44" s="62" t="s">
        <v>65</v>
      </c>
      <c r="B44" s="64"/>
      <c r="C44" s="71" t="s">
        <v>130</v>
      </c>
      <c r="D44" s="72"/>
      <c r="E44" s="72"/>
      <c r="F44" s="73"/>
      <c r="G44" s="3" t="s">
        <v>56</v>
      </c>
      <c r="H44" s="74" t="s">
        <v>131</v>
      </c>
      <c r="I44" s="75"/>
      <c r="J44" s="76"/>
    </row>
    <row r="45" spans="1:10" x14ac:dyDescent="0.3">
      <c r="A45" s="62" t="s">
        <v>67</v>
      </c>
      <c r="B45" s="64"/>
      <c r="C45" s="71" t="str">
        <f>C44</f>
        <v>MSHA/L.N.A.1(B)/P.NO.95/2016.</v>
      </c>
      <c r="D45" s="72"/>
      <c r="E45" s="72"/>
      <c r="F45" s="73"/>
      <c r="G45" s="3" t="s">
        <v>56</v>
      </c>
      <c r="H45" s="74" t="str">
        <f>H44</f>
        <v>12/02/2018.</v>
      </c>
      <c r="I45" s="75"/>
      <c r="J45" s="76"/>
    </row>
    <row r="46" spans="1:10" ht="45" customHeight="1" x14ac:dyDescent="0.3">
      <c r="A46" s="62" t="s">
        <v>148</v>
      </c>
      <c r="B46" s="64"/>
      <c r="C46" s="71" t="s">
        <v>167</v>
      </c>
      <c r="D46" s="72"/>
      <c r="E46" s="72"/>
      <c r="F46" s="73"/>
      <c r="G46" s="3" t="s">
        <v>56</v>
      </c>
      <c r="H46" s="74" t="s">
        <v>131</v>
      </c>
      <c r="I46" s="75" t="s">
        <v>48</v>
      </c>
      <c r="J46" s="76"/>
    </row>
    <row r="47" spans="1:10" x14ac:dyDescent="0.3">
      <c r="A47" s="56" t="s">
        <v>77</v>
      </c>
      <c r="B47" s="58"/>
      <c r="C47" s="62" t="s">
        <v>50</v>
      </c>
      <c r="D47" s="63"/>
      <c r="E47" s="63"/>
      <c r="F47" s="64"/>
      <c r="G47" s="36" t="s">
        <v>56</v>
      </c>
      <c r="H47" s="207" t="s">
        <v>50</v>
      </c>
      <c r="I47" s="57"/>
      <c r="J47" s="58"/>
    </row>
    <row r="48" spans="1:10" x14ac:dyDescent="0.3">
      <c r="A48" s="78" t="s">
        <v>73</v>
      </c>
      <c r="B48" s="78"/>
      <c r="C48" s="78"/>
      <c r="D48" s="195" t="str">
        <f>H46</f>
        <v>12/02/2018.</v>
      </c>
      <c r="E48" s="195"/>
      <c r="F48" s="56" t="s">
        <v>68</v>
      </c>
      <c r="G48" s="158"/>
      <c r="H48" s="152" t="s">
        <v>228</v>
      </c>
      <c r="I48" s="57"/>
      <c r="J48" s="58"/>
    </row>
    <row r="49" spans="1:12" x14ac:dyDescent="0.3">
      <c r="A49" s="161" t="s">
        <v>22</v>
      </c>
      <c r="B49" s="162"/>
      <c r="C49" s="162"/>
      <c r="D49" s="162"/>
      <c r="E49" s="162"/>
      <c r="F49" s="162"/>
      <c r="G49" s="162"/>
      <c r="H49" s="162"/>
      <c r="I49" s="162"/>
      <c r="J49" s="163"/>
    </row>
    <row r="50" spans="1:12" x14ac:dyDescent="0.3">
      <c r="A50" s="56" t="s">
        <v>76</v>
      </c>
      <c r="B50" s="57"/>
      <c r="C50" s="58"/>
      <c r="D50" s="88">
        <f>F41</f>
        <v>428667.86</v>
      </c>
      <c r="E50" s="89"/>
      <c r="F50" s="159" t="s">
        <v>163</v>
      </c>
      <c r="G50" s="160"/>
      <c r="H50" s="155" t="s">
        <v>165</v>
      </c>
      <c r="I50" s="156"/>
      <c r="J50" s="157"/>
    </row>
    <row r="51" spans="1:12" ht="33" customHeight="1" x14ac:dyDescent="0.3">
      <c r="A51" s="86" t="s">
        <v>69</v>
      </c>
      <c r="B51" s="206"/>
      <c r="C51" s="59" t="s">
        <v>230</v>
      </c>
      <c r="D51" s="60"/>
      <c r="E51" s="60"/>
      <c r="F51" s="60"/>
      <c r="G51" s="60"/>
      <c r="H51" s="60"/>
      <c r="I51" s="60"/>
      <c r="J51" s="61"/>
    </row>
    <row r="52" spans="1:12" x14ac:dyDescent="0.3">
      <c r="A52" s="56" t="s">
        <v>168</v>
      </c>
      <c r="B52" s="57"/>
      <c r="C52" s="57"/>
      <c r="D52" s="58"/>
      <c r="E52" s="62" t="s">
        <v>54</v>
      </c>
      <c r="F52" s="63"/>
      <c r="G52" s="63"/>
      <c r="H52" s="63"/>
      <c r="I52" s="63"/>
      <c r="J52" s="64"/>
    </row>
    <row r="53" spans="1:12" ht="15" thickBot="1" x14ac:dyDescent="0.35">
      <c r="A53" s="56" t="s">
        <v>169</v>
      </c>
      <c r="B53" s="57"/>
      <c r="C53" s="57"/>
      <c r="D53" s="57"/>
      <c r="E53" s="57"/>
      <c r="F53" s="57"/>
      <c r="G53" s="57"/>
      <c r="H53" s="57"/>
      <c r="I53" s="57"/>
      <c r="J53" s="58"/>
    </row>
    <row r="54" spans="1:12" ht="15" customHeight="1" x14ac:dyDescent="0.3">
      <c r="A54" s="132" t="s">
        <v>196</v>
      </c>
      <c r="B54" s="133"/>
      <c r="C54" s="134" t="s">
        <v>221</v>
      </c>
      <c r="D54" s="135"/>
      <c r="E54" s="135"/>
      <c r="F54" s="135"/>
      <c r="G54" s="135"/>
      <c r="H54" s="135"/>
      <c r="I54" s="135"/>
      <c r="J54" s="136"/>
      <c r="K54" s="39"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Completed. Plinth work completed</v>
      </c>
      <c r="L54" s="40"/>
    </row>
    <row r="55" spans="1:12" ht="15" customHeight="1" x14ac:dyDescent="0.3">
      <c r="A55" s="41" t="s">
        <v>197</v>
      </c>
      <c r="B55" s="51">
        <v>0</v>
      </c>
      <c r="C55" s="51" t="s">
        <v>113</v>
      </c>
      <c r="D55" s="51">
        <v>1</v>
      </c>
      <c r="E55" s="137" t="s">
        <v>198</v>
      </c>
      <c r="F55" s="127"/>
      <c r="G55" s="51">
        <v>0</v>
      </c>
      <c r="H55" s="51" t="s">
        <v>199</v>
      </c>
      <c r="I55" s="137">
        <f ca="1">--TRIM(RIGHT(SUBSTITUTE(LEFT(C54,_xlfn.AGGREGATE(16,6,FIND({0,1,2,3,4,5,6,7,8,9},C54,ROW(INDIRECT("1:"&amp;LEN(C54)))),1))," ",REPT(" ",LEN(C54))),LEN(C54)))</f>
        <v>4</v>
      </c>
      <c r="J55" s="138"/>
      <c r="K55" s="42"/>
      <c r="L55" s="43"/>
    </row>
    <row r="56" spans="1:12" ht="15" customHeight="1" x14ac:dyDescent="0.3">
      <c r="A56" s="139" t="s">
        <v>200</v>
      </c>
      <c r="B56" s="140"/>
      <c r="C56" s="141" t="str">
        <f ca="1">K54</f>
        <v>Excavation work Completed. Plinth work completed</v>
      </c>
      <c r="D56" s="142"/>
      <c r="E56" s="142"/>
      <c r="F56" s="142"/>
      <c r="G56" s="142"/>
      <c r="H56" s="142"/>
      <c r="I56" s="142"/>
      <c r="J56" s="143"/>
      <c r="K56" s="42" t="s">
        <v>201</v>
      </c>
      <c r="L56" s="43"/>
    </row>
    <row r="57" spans="1:12" x14ac:dyDescent="0.3">
      <c r="A57" s="110" t="s">
        <v>34</v>
      </c>
      <c r="B57" s="111"/>
      <c r="C57" s="52" t="s">
        <v>202</v>
      </c>
      <c r="D57" s="144" t="s">
        <v>203</v>
      </c>
      <c r="E57" s="111"/>
      <c r="F57" s="144" t="s">
        <v>204</v>
      </c>
      <c r="G57" s="111"/>
      <c r="H57" s="144" t="s">
        <v>205</v>
      </c>
      <c r="I57" s="145"/>
      <c r="J57" s="146"/>
      <c r="K57" s="32" t="s">
        <v>206</v>
      </c>
      <c r="L57" s="44">
        <f ca="1">I55*25%</f>
        <v>1</v>
      </c>
    </row>
    <row r="58" spans="1:12" x14ac:dyDescent="0.3">
      <c r="A58" s="110" t="s">
        <v>207</v>
      </c>
      <c r="B58" s="111"/>
      <c r="C58" s="46">
        <f ca="1">L59</f>
        <v>4</v>
      </c>
      <c r="D58" s="112">
        <f ca="1">((100/I55)*C58)/100</f>
        <v>1</v>
      </c>
      <c r="E58" s="113"/>
      <c r="F58" s="114">
        <f ca="1">(((C59/I55*10)+(40/(D55+G55+I55)*C60)+(7.5/(I55)*C61)+(7.5/(I55)*C62)+(10/I55*C63)+(10/I55*C64)+(5/I55*C65)+(5/I55*C66)+(5/I55*C67))/100)</f>
        <v>0.1</v>
      </c>
      <c r="G58" s="115"/>
      <c r="H58" s="114">
        <f ca="1">((((C58/I55)*20)+((C59/I55)*25)+(30/(I55+G55+D55)*C60)+(5/I55*C61)+(5/I55*C62)+(5/I55*C63)+(5/I55*C64)+(0/I55*C65)+(0/I55*C66)+(5/I55*C67))/100)</f>
        <v>0.45</v>
      </c>
      <c r="I58" s="120"/>
      <c r="J58" s="121"/>
      <c r="K58" s="32" t="s">
        <v>172</v>
      </c>
      <c r="L58" s="33">
        <f ca="1">I55*50%</f>
        <v>2</v>
      </c>
    </row>
    <row r="59" spans="1:12" x14ac:dyDescent="0.3">
      <c r="A59" s="110" t="s">
        <v>35</v>
      </c>
      <c r="B59" s="111"/>
      <c r="C59" s="46">
        <v>4</v>
      </c>
      <c r="D59" s="112">
        <f ca="1">((100/I55)*C59)/100</f>
        <v>1</v>
      </c>
      <c r="E59" s="113"/>
      <c r="F59" s="116"/>
      <c r="G59" s="117"/>
      <c r="H59" s="116"/>
      <c r="I59" s="122"/>
      <c r="J59" s="123"/>
      <c r="K59" s="32" t="s">
        <v>173</v>
      </c>
      <c r="L59" s="33">
        <f ca="1">I55</f>
        <v>4</v>
      </c>
    </row>
    <row r="60" spans="1:12" x14ac:dyDescent="0.3">
      <c r="A60" s="110" t="s">
        <v>36</v>
      </c>
      <c r="B60" s="111"/>
      <c r="C60" s="46">
        <v>0</v>
      </c>
      <c r="D60" s="112">
        <f ca="1">((100/(D55+G55+I55))*C60)/100</f>
        <v>0</v>
      </c>
      <c r="E60" s="113"/>
      <c r="F60" s="116"/>
      <c r="G60" s="117"/>
      <c r="H60" s="116"/>
      <c r="I60" s="122"/>
      <c r="J60" s="123"/>
      <c r="K60" s="32" t="s">
        <v>174</v>
      </c>
      <c r="L60" s="47">
        <f ca="1">(IF(B55&gt;1,(I55/(B55+2)),I55/4))</f>
        <v>1</v>
      </c>
    </row>
    <row r="61" spans="1:12" x14ac:dyDescent="0.3">
      <c r="A61" s="110" t="s">
        <v>208</v>
      </c>
      <c r="B61" s="111"/>
      <c r="C61" s="45">
        <v>0</v>
      </c>
      <c r="D61" s="112">
        <f ca="1">((100/I55)*C61)/100</f>
        <v>0</v>
      </c>
      <c r="E61" s="113"/>
      <c r="F61" s="116"/>
      <c r="G61" s="117"/>
      <c r="H61" s="116"/>
      <c r="I61" s="122"/>
      <c r="J61" s="123"/>
      <c r="K61" s="32" t="s">
        <v>175</v>
      </c>
      <c r="L61" s="47">
        <f ca="1">(IF(B55&gt;1,(I55/(B55+2)+L60),I55/4+L60))</f>
        <v>2</v>
      </c>
    </row>
    <row r="62" spans="1:12" ht="15" customHeight="1" x14ac:dyDescent="0.3">
      <c r="A62" s="110" t="s">
        <v>209</v>
      </c>
      <c r="B62" s="111" t="s">
        <v>210</v>
      </c>
      <c r="C62" s="45">
        <v>0</v>
      </c>
      <c r="D62" s="112">
        <f ca="1">((100/I55)*C62)/100</f>
        <v>0</v>
      </c>
      <c r="E62" s="113"/>
      <c r="F62" s="116"/>
      <c r="G62" s="117"/>
      <c r="H62" s="116"/>
      <c r="I62" s="122"/>
      <c r="J62" s="123"/>
      <c r="K62" s="32" t="s">
        <v>211</v>
      </c>
      <c r="L62" s="47">
        <f>(IF(B55&gt;1,(I55/(B55+2)+L61),0))</f>
        <v>0</v>
      </c>
    </row>
    <row r="63" spans="1:12" x14ac:dyDescent="0.3">
      <c r="A63" s="126" t="s">
        <v>212</v>
      </c>
      <c r="B63" s="127" t="s">
        <v>213</v>
      </c>
      <c r="C63" s="45">
        <v>0</v>
      </c>
      <c r="D63" s="112">
        <f ca="1">((100/(I55))*C63)/100</f>
        <v>0</v>
      </c>
      <c r="E63" s="113"/>
      <c r="F63" s="116"/>
      <c r="G63" s="117"/>
      <c r="H63" s="116"/>
      <c r="I63" s="122"/>
      <c r="J63" s="123"/>
      <c r="K63" s="32" t="s">
        <v>214</v>
      </c>
      <c r="L63" s="47">
        <f>(IF(B55&gt;2,(I55/(B55+2)+L62),0))</f>
        <v>0</v>
      </c>
    </row>
    <row r="64" spans="1:12" x14ac:dyDescent="0.3">
      <c r="A64" s="110" t="s">
        <v>215</v>
      </c>
      <c r="B64" s="111" t="s">
        <v>215</v>
      </c>
      <c r="C64" s="45">
        <v>0</v>
      </c>
      <c r="D64" s="112">
        <f ca="1">((100/I55)*C64)/100</f>
        <v>0</v>
      </c>
      <c r="E64" s="113"/>
      <c r="F64" s="116"/>
      <c r="G64" s="117"/>
      <c r="H64" s="116"/>
      <c r="I64" s="122"/>
      <c r="J64" s="123"/>
      <c r="K64" s="32" t="s">
        <v>216</v>
      </c>
      <c r="L64" s="48">
        <f>(IF(B55&gt;3,(I55/(B55+2)+L63),0))</f>
        <v>0</v>
      </c>
    </row>
    <row r="65" spans="1:12" ht="15" customHeight="1" x14ac:dyDescent="0.3">
      <c r="A65" s="110" t="s">
        <v>217</v>
      </c>
      <c r="B65" s="111"/>
      <c r="C65" s="45">
        <v>0</v>
      </c>
      <c r="D65" s="112">
        <f ca="1">((100/I55)*C65)/100</f>
        <v>0</v>
      </c>
      <c r="E65" s="113"/>
      <c r="F65" s="116"/>
      <c r="G65" s="117"/>
      <c r="H65" s="116"/>
      <c r="I65" s="122"/>
      <c r="J65" s="123"/>
      <c r="K65" s="32" t="s">
        <v>218</v>
      </c>
      <c r="L65" s="47">
        <f>(IF(B55&gt;4,(I55/(B55+2)+L64),0))</f>
        <v>0</v>
      </c>
    </row>
    <row r="66" spans="1:12" x14ac:dyDescent="0.3">
      <c r="A66" s="110" t="s">
        <v>219</v>
      </c>
      <c r="B66" s="111" t="s">
        <v>219</v>
      </c>
      <c r="C66" s="45">
        <v>0</v>
      </c>
      <c r="D66" s="112">
        <f ca="1">((100/(I55))*C66)/100</f>
        <v>0</v>
      </c>
      <c r="E66" s="113"/>
      <c r="F66" s="116"/>
      <c r="G66" s="117"/>
      <c r="H66" s="116"/>
      <c r="I66" s="122"/>
      <c r="J66" s="123"/>
      <c r="K66" s="32" t="s">
        <v>176</v>
      </c>
      <c r="L66" s="47">
        <f ca="1">(IF(B55=1,(I55/(B55+3)+L61),IF(B55=0,(I55/4+L61),IF(B55&gt;1,0))))</f>
        <v>3</v>
      </c>
    </row>
    <row r="67" spans="1:12" ht="15" thickBot="1" x14ac:dyDescent="0.35">
      <c r="A67" s="128" t="s">
        <v>220</v>
      </c>
      <c r="B67" s="129"/>
      <c r="C67" s="49">
        <v>0</v>
      </c>
      <c r="D67" s="130">
        <f ca="1">((100/(I55))*C67)/100</f>
        <v>0</v>
      </c>
      <c r="E67" s="131"/>
      <c r="F67" s="118"/>
      <c r="G67" s="119"/>
      <c r="H67" s="118"/>
      <c r="I67" s="124"/>
      <c r="J67" s="125"/>
      <c r="K67" s="34" t="s">
        <v>177</v>
      </c>
      <c r="L67" s="50">
        <f ca="1">(IF(B55&gt;1.5,(I55/(B55+2)+L61+MAX(0,L62-L61)+MAX(0,L63-L62)+MAX(0,L64-L63)+MAX(0,L65-L64)+MAX(0,L66-L65)),IF(B55=1,(I55/(B55+3)+L66),IF(B55=0,I55/4+L66))))</f>
        <v>4</v>
      </c>
    </row>
    <row r="68" spans="1:12" ht="30" customHeight="1" x14ac:dyDescent="0.3">
      <c r="A68" s="132" t="s">
        <v>196</v>
      </c>
      <c r="B68" s="133"/>
      <c r="C68" s="134" t="s">
        <v>239</v>
      </c>
      <c r="D68" s="135"/>
      <c r="E68" s="135"/>
      <c r="F68" s="135"/>
      <c r="G68" s="135"/>
      <c r="H68" s="135"/>
      <c r="I68" s="135"/>
      <c r="J68" s="136"/>
      <c r="K68" s="39" t="str">
        <f>(IF(F72&gt;99%,"All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is process</v>
      </c>
      <c r="L68" s="40"/>
    </row>
    <row r="69" spans="1:12" ht="15" customHeight="1" x14ac:dyDescent="0.3">
      <c r="A69" s="41" t="s">
        <v>197</v>
      </c>
      <c r="B69" s="51">
        <v>0</v>
      </c>
      <c r="C69" s="51" t="s">
        <v>113</v>
      </c>
      <c r="D69" s="51">
        <v>1</v>
      </c>
      <c r="E69" s="137" t="s">
        <v>198</v>
      </c>
      <c r="F69" s="127"/>
      <c r="G69" s="51">
        <v>0</v>
      </c>
      <c r="H69" s="51" t="s">
        <v>199</v>
      </c>
      <c r="I69" s="137">
        <v>7</v>
      </c>
      <c r="J69" s="138"/>
      <c r="K69" s="42"/>
      <c r="L69" s="43"/>
    </row>
    <row r="70" spans="1:12" ht="15" customHeight="1" x14ac:dyDescent="0.3">
      <c r="A70" s="139" t="s">
        <v>200</v>
      </c>
      <c r="B70" s="140"/>
      <c r="C70" s="141" t="str">
        <f>K68</f>
        <v>Excavation work Completed. Plinth work is process</v>
      </c>
      <c r="D70" s="142"/>
      <c r="E70" s="142"/>
      <c r="F70" s="142"/>
      <c r="G70" s="142"/>
      <c r="H70" s="142"/>
      <c r="I70" s="142"/>
      <c r="J70" s="143"/>
      <c r="K70" s="42" t="s">
        <v>201</v>
      </c>
      <c r="L70" s="43"/>
    </row>
    <row r="71" spans="1:12" x14ac:dyDescent="0.3">
      <c r="A71" s="110" t="s">
        <v>34</v>
      </c>
      <c r="B71" s="111"/>
      <c r="C71" s="52" t="s">
        <v>202</v>
      </c>
      <c r="D71" s="144" t="s">
        <v>203</v>
      </c>
      <c r="E71" s="111"/>
      <c r="F71" s="144" t="s">
        <v>204</v>
      </c>
      <c r="G71" s="111"/>
      <c r="H71" s="144" t="s">
        <v>205</v>
      </c>
      <c r="I71" s="145"/>
      <c r="J71" s="146"/>
      <c r="K71" s="32" t="s">
        <v>206</v>
      </c>
      <c r="L71" s="44">
        <f>I69*25%</f>
        <v>1.75</v>
      </c>
    </row>
    <row r="72" spans="1:12" x14ac:dyDescent="0.3">
      <c r="A72" s="110" t="s">
        <v>207</v>
      </c>
      <c r="B72" s="111"/>
      <c r="C72" s="45">
        <v>7</v>
      </c>
      <c r="D72" s="112">
        <f>((100/I69)*C72)/100</f>
        <v>1</v>
      </c>
      <c r="E72" s="113"/>
      <c r="F72" s="114">
        <f>(((C73/I69*10)+(40/(D69+G69+I69)*C74)+(7.5/(I69)*C75)+(7.5/(I69)*C76)+(10/I69*C77)+(10/I69*C78)+(5/I69*C79)+(5/I69*C80)+(5/I69*C81))/100)</f>
        <v>7.4999999999999997E-2</v>
      </c>
      <c r="G72" s="115"/>
      <c r="H72" s="114">
        <f>((((C72/I69)*20)+((C73/I69)*25)+(30/(I69+G69+D69)*C74)+(5/I69*C75)+(5/I69*C76)+(5/I69*C77)+(5/I69*C78)+(0/I69*C79)+(0/I69*C80)+(5/I69*C81))/100)</f>
        <v>0.38750000000000001</v>
      </c>
      <c r="I72" s="120"/>
      <c r="J72" s="121"/>
      <c r="K72" s="32" t="s">
        <v>172</v>
      </c>
      <c r="L72" s="33">
        <f>I69*50%</f>
        <v>3.5</v>
      </c>
    </row>
    <row r="73" spans="1:12" x14ac:dyDescent="0.3">
      <c r="A73" s="110" t="s">
        <v>35</v>
      </c>
      <c r="B73" s="111"/>
      <c r="C73" s="46">
        <f>L80</f>
        <v>5.25</v>
      </c>
      <c r="D73" s="112">
        <f>((100/I69)*C73)/100</f>
        <v>0.75</v>
      </c>
      <c r="E73" s="113"/>
      <c r="F73" s="116"/>
      <c r="G73" s="117"/>
      <c r="H73" s="116"/>
      <c r="I73" s="122"/>
      <c r="J73" s="123"/>
      <c r="K73" s="32" t="s">
        <v>173</v>
      </c>
      <c r="L73" s="33">
        <f>I69</f>
        <v>7</v>
      </c>
    </row>
    <row r="74" spans="1:12" x14ac:dyDescent="0.3">
      <c r="A74" s="110" t="s">
        <v>36</v>
      </c>
      <c r="B74" s="111"/>
      <c r="C74" s="46">
        <v>0</v>
      </c>
      <c r="D74" s="112">
        <f>((100/(D69+G69+I69))*C74)/100</f>
        <v>0</v>
      </c>
      <c r="E74" s="113"/>
      <c r="F74" s="116"/>
      <c r="G74" s="117"/>
      <c r="H74" s="116"/>
      <c r="I74" s="122"/>
      <c r="J74" s="123"/>
      <c r="K74" s="32" t="s">
        <v>174</v>
      </c>
      <c r="L74" s="47">
        <f>(IF(B69&gt;1,(I69/(B69+2)),I69/4))</f>
        <v>1.75</v>
      </c>
    </row>
    <row r="75" spans="1:12" x14ac:dyDescent="0.3">
      <c r="A75" s="110" t="s">
        <v>208</v>
      </c>
      <c r="B75" s="111"/>
      <c r="C75" s="45">
        <v>0</v>
      </c>
      <c r="D75" s="112">
        <f>((100/I69)*C75)/100</f>
        <v>0</v>
      </c>
      <c r="E75" s="113"/>
      <c r="F75" s="116"/>
      <c r="G75" s="117"/>
      <c r="H75" s="116"/>
      <c r="I75" s="122"/>
      <c r="J75" s="123"/>
      <c r="K75" s="32" t="s">
        <v>175</v>
      </c>
      <c r="L75" s="47">
        <f>(IF(B69&gt;1,(I69/(B69+2)+L74),I69/4+L74))</f>
        <v>3.5</v>
      </c>
    </row>
    <row r="76" spans="1:12" ht="15" customHeight="1" x14ac:dyDescent="0.3">
      <c r="A76" s="110" t="s">
        <v>209</v>
      </c>
      <c r="B76" s="111" t="s">
        <v>210</v>
      </c>
      <c r="C76" s="45">
        <v>0</v>
      </c>
      <c r="D76" s="112">
        <f>((100/I69)*C76)/100</f>
        <v>0</v>
      </c>
      <c r="E76" s="113"/>
      <c r="F76" s="116"/>
      <c r="G76" s="117"/>
      <c r="H76" s="116"/>
      <c r="I76" s="122"/>
      <c r="J76" s="123"/>
      <c r="K76" s="32" t="s">
        <v>211</v>
      </c>
      <c r="L76" s="47">
        <f>(IF(B69&gt;1,(I69/(B69+2)+L75),0))</f>
        <v>0</v>
      </c>
    </row>
    <row r="77" spans="1:12" x14ac:dyDescent="0.3">
      <c r="A77" s="126" t="s">
        <v>212</v>
      </c>
      <c r="B77" s="127" t="s">
        <v>213</v>
      </c>
      <c r="C77" s="45">
        <v>0</v>
      </c>
      <c r="D77" s="112">
        <f>((100/(I69))*C77)/100</f>
        <v>0</v>
      </c>
      <c r="E77" s="113"/>
      <c r="F77" s="116"/>
      <c r="G77" s="117"/>
      <c r="H77" s="116"/>
      <c r="I77" s="122"/>
      <c r="J77" s="123"/>
      <c r="K77" s="32" t="s">
        <v>214</v>
      </c>
      <c r="L77" s="47">
        <f>(IF(B69&gt;2,(I69/(B69+2)+L76),0))</f>
        <v>0</v>
      </c>
    </row>
    <row r="78" spans="1:12" x14ac:dyDescent="0.3">
      <c r="A78" s="110" t="s">
        <v>215</v>
      </c>
      <c r="B78" s="111" t="s">
        <v>215</v>
      </c>
      <c r="C78" s="45">
        <v>0</v>
      </c>
      <c r="D78" s="112">
        <f>((100/I69)*C78)/100</f>
        <v>0</v>
      </c>
      <c r="E78" s="113"/>
      <c r="F78" s="116"/>
      <c r="G78" s="117"/>
      <c r="H78" s="116"/>
      <c r="I78" s="122"/>
      <c r="J78" s="123"/>
      <c r="K78" s="32" t="s">
        <v>216</v>
      </c>
      <c r="L78" s="48">
        <f>(IF(B69&gt;3,(I69/(B69+2)+L77),0))</f>
        <v>0</v>
      </c>
    </row>
    <row r="79" spans="1:12" ht="15" customHeight="1" x14ac:dyDescent="0.3">
      <c r="A79" s="110" t="s">
        <v>217</v>
      </c>
      <c r="B79" s="111"/>
      <c r="C79" s="45">
        <v>0</v>
      </c>
      <c r="D79" s="112">
        <f>((100/I69)*C79)/100</f>
        <v>0</v>
      </c>
      <c r="E79" s="113"/>
      <c r="F79" s="116"/>
      <c r="G79" s="117"/>
      <c r="H79" s="116"/>
      <c r="I79" s="122"/>
      <c r="J79" s="123"/>
      <c r="K79" s="32" t="s">
        <v>218</v>
      </c>
      <c r="L79" s="47">
        <f>(IF(B69&gt;4,(I69/(B69+2)+L78),0))</f>
        <v>0</v>
      </c>
    </row>
    <row r="80" spans="1:12" x14ac:dyDescent="0.3">
      <c r="A80" s="110" t="s">
        <v>219</v>
      </c>
      <c r="B80" s="111" t="s">
        <v>219</v>
      </c>
      <c r="C80" s="45">
        <v>0</v>
      </c>
      <c r="D80" s="112">
        <f>((100/(I69))*C80)/100</f>
        <v>0</v>
      </c>
      <c r="E80" s="113"/>
      <c r="F80" s="116"/>
      <c r="G80" s="117"/>
      <c r="H80" s="116"/>
      <c r="I80" s="122"/>
      <c r="J80" s="123"/>
      <c r="K80" s="32" t="s">
        <v>176</v>
      </c>
      <c r="L80" s="47">
        <f>(IF(B69=1,(I69/(B69+3)+L75),IF(B69=0,(I69/4+L75),IF(B69&gt;1,0))))</f>
        <v>5.25</v>
      </c>
    </row>
    <row r="81" spans="1:12" ht="15" thickBot="1" x14ac:dyDescent="0.35">
      <c r="A81" s="128" t="s">
        <v>220</v>
      </c>
      <c r="B81" s="129"/>
      <c r="C81" s="49">
        <v>0</v>
      </c>
      <c r="D81" s="130">
        <f>((100/(I69))*C81)/100</f>
        <v>0</v>
      </c>
      <c r="E81" s="131"/>
      <c r="F81" s="118"/>
      <c r="G81" s="119"/>
      <c r="H81" s="118"/>
      <c r="I81" s="124"/>
      <c r="J81" s="125"/>
      <c r="K81" s="34" t="s">
        <v>177</v>
      </c>
      <c r="L81" s="50">
        <f>(IF(B69&gt;1.5,(I69/(B69+2)+L75+MAX(0,L76-L75)+MAX(0,L77-L76)+MAX(0,L78-L77)+MAX(0,L79-L78)+MAX(0,L80-L79)),IF(B69=1,(I69/(B69+3)+L80),IF(B69=0,I69/4+L80))))</f>
        <v>7</v>
      </c>
    </row>
    <row r="82" spans="1:12" ht="62.25" customHeight="1" x14ac:dyDescent="0.3">
      <c r="A82" s="132" t="s">
        <v>196</v>
      </c>
      <c r="B82" s="133"/>
      <c r="C82" s="134" t="s">
        <v>240</v>
      </c>
      <c r="D82" s="135"/>
      <c r="E82" s="135"/>
      <c r="F82" s="135"/>
      <c r="G82" s="135"/>
      <c r="H82" s="135"/>
      <c r="I82" s="135"/>
      <c r="J82" s="136"/>
      <c r="K82" s="39" t="str">
        <f>(IF(F86&gt;99%,"All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completed</v>
      </c>
      <c r="L82" s="40"/>
    </row>
    <row r="83" spans="1:12" ht="15" customHeight="1" x14ac:dyDescent="0.3">
      <c r="A83" s="41" t="s">
        <v>197</v>
      </c>
      <c r="B83" s="51">
        <v>0</v>
      </c>
      <c r="C83" s="51" t="s">
        <v>113</v>
      </c>
      <c r="D83" s="51">
        <v>1</v>
      </c>
      <c r="E83" s="137" t="s">
        <v>198</v>
      </c>
      <c r="F83" s="127"/>
      <c r="G83" s="51">
        <v>0</v>
      </c>
      <c r="H83" s="51" t="s">
        <v>199</v>
      </c>
      <c r="I83" s="137">
        <v>7</v>
      </c>
      <c r="J83" s="138"/>
      <c r="K83" s="42"/>
      <c r="L83" s="43"/>
    </row>
    <row r="84" spans="1:12" ht="15" customHeight="1" x14ac:dyDescent="0.3">
      <c r="A84" s="139" t="s">
        <v>200</v>
      </c>
      <c r="B84" s="140"/>
      <c r="C84" s="141" t="str">
        <f>K82</f>
        <v>Excavation work Completed. Plinth work completed</v>
      </c>
      <c r="D84" s="142"/>
      <c r="E84" s="142"/>
      <c r="F84" s="142"/>
      <c r="G84" s="142"/>
      <c r="H84" s="142"/>
      <c r="I84" s="142"/>
      <c r="J84" s="143"/>
      <c r="K84" s="42" t="s">
        <v>201</v>
      </c>
      <c r="L84" s="43"/>
    </row>
    <row r="85" spans="1:12" x14ac:dyDescent="0.3">
      <c r="A85" s="110" t="s">
        <v>34</v>
      </c>
      <c r="B85" s="111"/>
      <c r="C85" s="52" t="s">
        <v>202</v>
      </c>
      <c r="D85" s="144" t="s">
        <v>203</v>
      </c>
      <c r="E85" s="111"/>
      <c r="F85" s="144" t="s">
        <v>204</v>
      </c>
      <c r="G85" s="111"/>
      <c r="H85" s="144" t="s">
        <v>205</v>
      </c>
      <c r="I85" s="145"/>
      <c r="J85" s="146"/>
      <c r="K85" s="32" t="s">
        <v>206</v>
      </c>
      <c r="L85" s="44">
        <f>I83*25%</f>
        <v>1.75</v>
      </c>
    </row>
    <row r="86" spans="1:12" x14ac:dyDescent="0.3">
      <c r="A86" s="110" t="s">
        <v>207</v>
      </c>
      <c r="B86" s="111"/>
      <c r="C86" s="45">
        <v>7</v>
      </c>
      <c r="D86" s="112">
        <f>((100/I83)*C86)/100</f>
        <v>1</v>
      </c>
      <c r="E86" s="113"/>
      <c r="F86" s="114">
        <f>(((C87/I83*10)+(40/(D83+G83+I83)*C88)+(7.5/(I83)*C89)+(7.5/(I83)*C90)+(10/I83*C91)+(10/I83*C92)+(5/I83*C93)+(5/I83*C94)+(5/I83*C95))/100)</f>
        <v>0.1</v>
      </c>
      <c r="G86" s="115"/>
      <c r="H86" s="114">
        <f>((((C86/I83)*20)+((C87/I83)*25)+(30/(I83+G83+D83)*C88)+(5/I83*C89)+(5/I83*C90)+(5/I83*C91)+(5/I83*C92)+(0/I83*C93)+(0/I83*C94)+(5/I83*C95))/100)</f>
        <v>0.45</v>
      </c>
      <c r="I86" s="120"/>
      <c r="J86" s="121"/>
      <c r="K86" s="32" t="s">
        <v>172</v>
      </c>
      <c r="L86" s="33">
        <f>I83*50%</f>
        <v>3.5</v>
      </c>
    </row>
    <row r="87" spans="1:12" x14ac:dyDescent="0.3">
      <c r="A87" s="110" t="s">
        <v>35</v>
      </c>
      <c r="B87" s="111"/>
      <c r="C87" s="46">
        <v>7</v>
      </c>
      <c r="D87" s="112">
        <f>((100/I83)*C87)/100</f>
        <v>1</v>
      </c>
      <c r="E87" s="113"/>
      <c r="F87" s="116"/>
      <c r="G87" s="117"/>
      <c r="H87" s="116"/>
      <c r="I87" s="122"/>
      <c r="J87" s="123"/>
      <c r="K87" s="32" t="s">
        <v>173</v>
      </c>
      <c r="L87" s="33">
        <f>I83</f>
        <v>7</v>
      </c>
    </row>
    <row r="88" spans="1:12" x14ac:dyDescent="0.3">
      <c r="A88" s="110" t="s">
        <v>36</v>
      </c>
      <c r="B88" s="111"/>
      <c r="C88" s="46">
        <v>0</v>
      </c>
      <c r="D88" s="112">
        <f>((100/(D83+G83+I83))*C88)/100</f>
        <v>0</v>
      </c>
      <c r="E88" s="113"/>
      <c r="F88" s="116"/>
      <c r="G88" s="117"/>
      <c r="H88" s="116"/>
      <c r="I88" s="122"/>
      <c r="J88" s="123"/>
      <c r="K88" s="32" t="s">
        <v>174</v>
      </c>
      <c r="L88" s="47">
        <f>(IF(B83&gt;1,(I83/(B83+2)),I83/4))</f>
        <v>1.75</v>
      </c>
    </row>
    <row r="89" spans="1:12" x14ac:dyDescent="0.3">
      <c r="A89" s="110" t="s">
        <v>208</v>
      </c>
      <c r="B89" s="111"/>
      <c r="C89" s="45">
        <v>0</v>
      </c>
      <c r="D89" s="112">
        <f>((100/I83)*C89)/100</f>
        <v>0</v>
      </c>
      <c r="E89" s="113"/>
      <c r="F89" s="116"/>
      <c r="G89" s="117"/>
      <c r="H89" s="116"/>
      <c r="I89" s="122"/>
      <c r="J89" s="123"/>
      <c r="K89" s="32" t="s">
        <v>175</v>
      </c>
      <c r="L89" s="47">
        <f>(IF(B83&gt;1,(I83/(B83+2)+L88),I83/4+L88))</f>
        <v>3.5</v>
      </c>
    </row>
    <row r="90" spans="1:12" ht="15" customHeight="1" x14ac:dyDescent="0.3">
      <c r="A90" s="110" t="s">
        <v>209</v>
      </c>
      <c r="B90" s="111" t="s">
        <v>210</v>
      </c>
      <c r="C90" s="45">
        <v>0</v>
      </c>
      <c r="D90" s="112">
        <f>((100/I83)*C90)/100</f>
        <v>0</v>
      </c>
      <c r="E90" s="113"/>
      <c r="F90" s="116"/>
      <c r="G90" s="117"/>
      <c r="H90" s="116"/>
      <c r="I90" s="122"/>
      <c r="J90" s="123"/>
      <c r="K90" s="32" t="s">
        <v>211</v>
      </c>
      <c r="L90" s="47">
        <f>(IF(B83&gt;1,(I83/(B83+2)+L89),0))</f>
        <v>0</v>
      </c>
    </row>
    <row r="91" spans="1:12" x14ac:dyDescent="0.3">
      <c r="A91" s="126" t="s">
        <v>212</v>
      </c>
      <c r="B91" s="127" t="s">
        <v>213</v>
      </c>
      <c r="C91" s="45">
        <v>0</v>
      </c>
      <c r="D91" s="112">
        <f>((100/(I83))*C91)/100</f>
        <v>0</v>
      </c>
      <c r="E91" s="113"/>
      <c r="F91" s="116"/>
      <c r="G91" s="117"/>
      <c r="H91" s="116"/>
      <c r="I91" s="122"/>
      <c r="J91" s="123"/>
      <c r="K91" s="32" t="s">
        <v>214</v>
      </c>
      <c r="L91" s="47">
        <f>(IF(B83&gt;2,(I83/(B83+2)+L90),0))</f>
        <v>0</v>
      </c>
    </row>
    <row r="92" spans="1:12" x14ac:dyDescent="0.3">
      <c r="A92" s="110" t="s">
        <v>215</v>
      </c>
      <c r="B92" s="111" t="s">
        <v>215</v>
      </c>
      <c r="C92" s="45">
        <v>0</v>
      </c>
      <c r="D92" s="112">
        <f>((100/I83)*C92)/100</f>
        <v>0</v>
      </c>
      <c r="E92" s="113"/>
      <c r="F92" s="116"/>
      <c r="G92" s="117"/>
      <c r="H92" s="116"/>
      <c r="I92" s="122"/>
      <c r="J92" s="123"/>
      <c r="K92" s="32" t="s">
        <v>216</v>
      </c>
      <c r="L92" s="48">
        <f>(IF(B83&gt;3,(I83/(B83+2)+L91),0))</f>
        <v>0</v>
      </c>
    </row>
    <row r="93" spans="1:12" ht="15" customHeight="1" x14ac:dyDescent="0.3">
      <c r="A93" s="110" t="s">
        <v>217</v>
      </c>
      <c r="B93" s="111"/>
      <c r="C93" s="45">
        <v>0</v>
      </c>
      <c r="D93" s="112">
        <f>((100/I83)*C93)/100</f>
        <v>0</v>
      </c>
      <c r="E93" s="113"/>
      <c r="F93" s="116"/>
      <c r="G93" s="117"/>
      <c r="H93" s="116"/>
      <c r="I93" s="122"/>
      <c r="J93" s="123"/>
      <c r="K93" s="32" t="s">
        <v>218</v>
      </c>
      <c r="L93" s="47">
        <f>(IF(B83&gt;4,(I83/(B83+2)+L92),0))</f>
        <v>0</v>
      </c>
    </row>
    <row r="94" spans="1:12" x14ac:dyDescent="0.3">
      <c r="A94" s="110" t="s">
        <v>219</v>
      </c>
      <c r="B94" s="111" t="s">
        <v>219</v>
      </c>
      <c r="C94" s="45">
        <v>0</v>
      </c>
      <c r="D94" s="112">
        <f>((100/(I83))*C94)/100</f>
        <v>0</v>
      </c>
      <c r="E94" s="113"/>
      <c r="F94" s="116"/>
      <c r="G94" s="117"/>
      <c r="H94" s="116"/>
      <c r="I94" s="122"/>
      <c r="J94" s="123"/>
      <c r="K94" s="32" t="s">
        <v>176</v>
      </c>
      <c r="L94" s="47">
        <f>(IF(B83=1,(I83/(B83+3)+L89),IF(B83=0,(I83/4+L89),IF(B83&gt;1,0))))</f>
        <v>5.25</v>
      </c>
    </row>
    <row r="95" spans="1:12" ht="15" thickBot="1" x14ac:dyDescent="0.35">
      <c r="A95" s="128" t="s">
        <v>220</v>
      </c>
      <c r="B95" s="129"/>
      <c r="C95" s="49">
        <v>0</v>
      </c>
      <c r="D95" s="130">
        <f>((100/(I83))*C95)/100</f>
        <v>0</v>
      </c>
      <c r="E95" s="131"/>
      <c r="F95" s="118"/>
      <c r="G95" s="119"/>
      <c r="H95" s="118"/>
      <c r="I95" s="124"/>
      <c r="J95" s="125"/>
      <c r="K95" s="34" t="s">
        <v>177</v>
      </c>
      <c r="L95" s="50">
        <f>(IF(B83&gt;1.5,(I83/(B83+2)+L89+MAX(0,L90-L89)+MAX(0,L91-L90)+MAX(0,L92-L91)+MAX(0,L93-L92)+MAX(0,L94-L93)),IF(B83=1,(I83/(B83+3)+L94),IF(B83=0,I83/4+L94))))</f>
        <v>7</v>
      </c>
    </row>
    <row r="96" spans="1:12" ht="15" hidden="1" customHeight="1" x14ac:dyDescent="0.3">
      <c r="A96" s="105" t="s">
        <v>196</v>
      </c>
      <c r="B96" s="106"/>
      <c r="C96" s="107" t="s">
        <v>222</v>
      </c>
      <c r="D96" s="107"/>
      <c r="E96" s="107"/>
      <c r="F96" s="107"/>
      <c r="G96" s="107"/>
      <c r="H96" s="107"/>
      <c r="I96" s="107"/>
      <c r="J96" s="108"/>
      <c r="K96" s="39" t="str">
        <f>(IF(F100&gt;99%,"All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Excavation work Completed. Plinth work completed</v>
      </c>
      <c r="L96" s="40"/>
    </row>
    <row r="97" spans="1:12" ht="15" hidden="1" customHeight="1" x14ac:dyDescent="0.3">
      <c r="A97" s="41" t="s">
        <v>197</v>
      </c>
      <c r="B97" s="51">
        <v>0</v>
      </c>
      <c r="C97" s="51" t="s">
        <v>113</v>
      </c>
      <c r="D97" s="51">
        <v>1</v>
      </c>
      <c r="E97" s="90" t="s">
        <v>198</v>
      </c>
      <c r="F97" s="90"/>
      <c r="G97" s="51">
        <v>0</v>
      </c>
      <c r="H97" s="51" t="s">
        <v>199</v>
      </c>
      <c r="I97" s="90">
        <v>7</v>
      </c>
      <c r="J97" s="109"/>
      <c r="K97" s="42"/>
      <c r="L97" s="43"/>
    </row>
    <row r="98" spans="1:12" ht="15" hidden="1" customHeight="1" x14ac:dyDescent="0.3">
      <c r="A98" s="91" t="s">
        <v>200</v>
      </c>
      <c r="B98" s="92"/>
      <c r="C98" s="93" t="str">
        <f>K96</f>
        <v>Excavation work Completed. Plinth work completed</v>
      </c>
      <c r="D98" s="93"/>
      <c r="E98" s="93"/>
      <c r="F98" s="93"/>
      <c r="G98" s="93"/>
      <c r="H98" s="93"/>
      <c r="I98" s="93"/>
      <c r="J98" s="94"/>
      <c r="K98" s="42" t="s">
        <v>201</v>
      </c>
      <c r="L98" s="43"/>
    </row>
    <row r="99" spans="1:12" hidden="1" x14ac:dyDescent="0.3">
      <c r="A99" s="95" t="s">
        <v>34</v>
      </c>
      <c r="B99" s="96"/>
      <c r="C99" s="52" t="s">
        <v>202</v>
      </c>
      <c r="D99" s="96" t="s">
        <v>203</v>
      </c>
      <c r="E99" s="96"/>
      <c r="F99" s="96" t="s">
        <v>204</v>
      </c>
      <c r="G99" s="96"/>
      <c r="H99" s="96" t="s">
        <v>205</v>
      </c>
      <c r="I99" s="96"/>
      <c r="J99" s="104"/>
      <c r="K99" s="32" t="s">
        <v>206</v>
      </c>
      <c r="L99" s="44">
        <f>I97*25%</f>
        <v>1.75</v>
      </c>
    </row>
    <row r="100" spans="1:12" hidden="1" x14ac:dyDescent="0.3">
      <c r="A100" s="95" t="s">
        <v>207</v>
      </c>
      <c r="B100" s="96"/>
      <c r="C100" s="45">
        <v>7</v>
      </c>
      <c r="D100" s="97">
        <f>((100/I97)*C100)/100</f>
        <v>1</v>
      </c>
      <c r="E100" s="97"/>
      <c r="F100" s="97">
        <f>(((C101/I97*10)+(40/(D97+G97+I97)*C102)+(7.5/(I97)*C103)+(7.5/(I97)*C104)+(10/I97*C105)+(10/I97*C106)+(5/I97*C107)+(5/I97*C108)+(5/I97*C109))/100)</f>
        <v>0.1</v>
      </c>
      <c r="G100" s="97"/>
      <c r="H100" s="97">
        <f>((((C100/I97)*20)+((C101/I97)*25)+(30/(I97+G97+D97)*C102)+(5/I97*C103)+(5/I97*C104)+(5/I97*C105)+(5/I97*C106)+(0/I97*C107)+(0/I97*C108)+(5/I97*C109))/100)</f>
        <v>0.45</v>
      </c>
      <c r="I100" s="97"/>
      <c r="J100" s="99"/>
      <c r="K100" s="32" t="s">
        <v>172</v>
      </c>
      <c r="L100" s="33">
        <f>I97*50%</f>
        <v>3.5</v>
      </c>
    </row>
    <row r="101" spans="1:12" hidden="1" x14ac:dyDescent="0.3">
      <c r="A101" s="95" t="s">
        <v>35</v>
      </c>
      <c r="B101" s="96"/>
      <c r="C101" s="46">
        <v>7</v>
      </c>
      <c r="D101" s="97">
        <f>((100/I97)*C101)/100</f>
        <v>1</v>
      </c>
      <c r="E101" s="97"/>
      <c r="F101" s="97"/>
      <c r="G101" s="97"/>
      <c r="H101" s="97"/>
      <c r="I101" s="97"/>
      <c r="J101" s="99"/>
      <c r="K101" s="32" t="s">
        <v>173</v>
      </c>
      <c r="L101" s="33">
        <f>I97</f>
        <v>7</v>
      </c>
    </row>
    <row r="102" spans="1:12" hidden="1" x14ac:dyDescent="0.3">
      <c r="A102" s="95" t="s">
        <v>36</v>
      </c>
      <c r="B102" s="96"/>
      <c r="C102" s="46">
        <v>0</v>
      </c>
      <c r="D102" s="97">
        <f>((100/(D97+G97+I97))*C102)/100</f>
        <v>0</v>
      </c>
      <c r="E102" s="97"/>
      <c r="F102" s="97"/>
      <c r="G102" s="97"/>
      <c r="H102" s="97"/>
      <c r="I102" s="97"/>
      <c r="J102" s="99"/>
      <c r="K102" s="32" t="s">
        <v>174</v>
      </c>
      <c r="L102" s="47">
        <f>(IF(B97&gt;1,(I97/(B97+2)),I97/4))</f>
        <v>1.75</v>
      </c>
    </row>
    <row r="103" spans="1:12" hidden="1" x14ac:dyDescent="0.3">
      <c r="A103" s="95" t="s">
        <v>208</v>
      </c>
      <c r="B103" s="96"/>
      <c r="C103" s="45">
        <v>0</v>
      </c>
      <c r="D103" s="97">
        <f>((100/I97)*C103)/100</f>
        <v>0</v>
      </c>
      <c r="E103" s="97"/>
      <c r="F103" s="97"/>
      <c r="G103" s="97"/>
      <c r="H103" s="97"/>
      <c r="I103" s="97"/>
      <c r="J103" s="99"/>
      <c r="K103" s="32" t="s">
        <v>175</v>
      </c>
      <c r="L103" s="47">
        <f>(IF(B97&gt;1,(I97/(B97+2)+L102),I97/4+L102))</f>
        <v>3.5</v>
      </c>
    </row>
    <row r="104" spans="1:12" ht="15" hidden="1" customHeight="1" x14ac:dyDescent="0.3">
      <c r="A104" s="95" t="s">
        <v>209</v>
      </c>
      <c r="B104" s="96" t="s">
        <v>210</v>
      </c>
      <c r="C104" s="45">
        <v>0</v>
      </c>
      <c r="D104" s="97">
        <f>((100/I97)*C104)/100</f>
        <v>0</v>
      </c>
      <c r="E104" s="97"/>
      <c r="F104" s="97"/>
      <c r="G104" s="97"/>
      <c r="H104" s="97"/>
      <c r="I104" s="97"/>
      <c r="J104" s="99"/>
      <c r="K104" s="32" t="s">
        <v>211</v>
      </c>
      <c r="L104" s="47">
        <f>(IF(B97&gt;1,(I97/(B97+2)+L103),0))</f>
        <v>0</v>
      </c>
    </row>
    <row r="105" spans="1:12" hidden="1" x14ac:dyDescent="0.3">
      <c r="A105" s="101" t="s">
        <v>212</v>
      </c>
      <c r="B105" s="90" t="s">
        <v>213</v>
      </c>
      <c r="C105" s="45">
        <v>0</v>
      </c>
      <c r="D105" s="97">
        <f>((100/(I97))*C105)/100</f>
        <v>0</v>
      </c>
      <c r="E105" s="97"/>
      <c r="F105" s="97"/>
      <c r="G105" s="97"/>
      <c r="H105" s="97"/>
      <c r="I105" s="97"/>
      <c r="J105" s="99"/>
      <c r="K105" s="32" t="s">
        <v>214</v>
      </c>
      <c r="L105" s="47">
        <f>(IF(B97&gt;2,(I97/(B97+2)+L104),0))</f>
        <v>0</v>
      </c>
    </row>
    <row r="106" spans="1:12" hidden="1" x14ac:dyDescent="0.3">
      <c r="A106" s="95" t="s">
        <v>215</v>
      </c>
      <c r="B106" s="96" t="s">
        <v>215</v>
      </c>
      <c r="C106" s="45">
        <v>0</v>
      </c>
      <c r="D106" s="97">
        <f>((100/I97)*C106)/100</f>
        <v>0</v>
      </c>
      <c r="E106" s="97"/>
      <c r="F106" s="97"/>
      <c r="G106" s="97"/>
      <c r="H106" s="97"/>
      <c r="I106" s="97"/>
      <c r="J106" s="99"/>
      <c r="K106" s="32" t="s">
        <v>216</v>
      </c>
      <c r="L106" s="48">
        <f>(IF(B97&gt;3,(I97/(B97+2)+L105),0))</f>
        <v>0</v>
      </c>
    </row>
    <row r="107" spans="1:12" ht="15" hidden="1" customHeight="1" x14ac:dyDescent="0.3">
      <c r="A107" s="95" t="s">
        <v>217</v>
      </c>
      <c r="B107" s="96"/>
      <c r="C107" s="45">
        <v>0</v>
      </c>
      <c r="D107" s="97">
        <f>((100/I97)*C107)/100</f>
        <v>0</v>
      </c>
      <c r="E107" s="97"/>
      <c r="F107" s="97"/>
      <c r="G107" s="97"/>
      <c r="H107" s="97"/>
      <c r="I107" s="97"/>
      <c r="J107" s="99"/>
      <c r="K107" s="32" t="s">
        <v>218</v>
      </c>
      <c r="L107" s="47">
        <f>(IF(B97&gt;4,(I97/(B97+2)+L106),0))</f>
        <v>0</v>
      </c>
    </row>
    <row r="108" spans="1:12" hidden="1" x14ac:dyDescent="0.3">
      <c r="A108" s="95" t="s">
        <v>219</v>
      </c>
      <c r="B108" s="96" t="s">
        <v>219</v>
      </c>
      <c r="C108" s="45">
        <v>0</v>
      </c>
      <c r="D108" s="97">
        <f>((100/(I97))*C108)/100</f>
        <v>0</v>
      </c>
      <c r="E108" s="97"/>
      <c r="F108" s="97"/>
      <c r="G108" s="97"/>
      <c r="H108" s="97"/>
      <c r="I108" s="97"/>
      <c r="J108" s="99"/>
      <c r="K108" s="32" t="s">
        <v>176</v>
      </c>
      <c r="L108" s="47">
        <f>(IF(B97=1,(I97/(B97+3)+L103),IF(B97=0,(I97/4+L103),IF(B97&gt;1,0))))</f>
        <v>5.25</v>
      </c>
    </row>
    <row r="109" spans="1:12" ht="15" hidden="1" thickBot="1" x14ac:dyDescent="0.35">
      <c r="A109" s="102" t="s">
        <v>220</v>
      </c>
      <c r="B109" s="103"/>
      <c r="C109" s="49">
        <v>0</v>
      </c>
      <c r="D109" s="98">
        <f>((100/(I97))*C109)/100</f>
        <v>0</v>
      </c>
      <c r="E109" s="98"/>
      <c r="F109" s="98"/>
      <c r="G109" s="98"/>
      <c r="H109" s="98"/>
      <c r="I109" s="98"/>
      <c r="J109" s="100"/>
      <c r="K109" s="34" t="s">
        <v>177</v>
      </c>
      <c r="L109" s="50">
        <f>(IF(B97&gt;1.5,(I97/(B97+2)+L103+MAX(0,L104-L103)+MAX(0,L105-L104)+MAX(0,L106-L105)+MAX(0,L107-L106)+MAX(0,L108-L107)),IF(B97=1,(I97/(B97+3)+L108),IF(B97=0,I97/4+L108))))</f>
        <v>7</v>
      </c>
    </row>
    <row r="110" spans="1:12" ht="15" hidden="1" customHeight="1" x14ac:dyDescent="0.3">
      <c r="A110" s="105" t="s">
        <v>196</v>
      </c>
      <c r="B110" s="106"/>
      <c r="C110" s="107" t="s">
        <v>223</v>
      </c>
      <c r="D110" s="107"/>
      <c r="E110" s="107"/>
      <c r="F110" s="107"/>
      <c r="G110" s="107"/>
      <c r="H110" s="107"/>
      <c r="I110" s="107"/>
      <c r="J110" s="108"/>
      <c r="K110" s="39" t="str">
        <f>(IF(F114&gt;99%,"All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Excavation work Completed. Plinth work is process</v>
      </c>
      <c r="L110" s="40"/>
    </row>
    <row r="111" spans="1:12" ht="15" hidden="1" customHeight="1" x14ac:dyDescent="0.3">
      <c r="A111" s="41" t="s">
        <v>197</v>
      </c>
      <c r="B111" s="51">
        <v>0</v>
      </c>
      <c r="C111" s="51" t="s">
        <v>113</v>
      </c>
      <c r="D111" s="51">
        <v>1</v>
      </c>
      <c r="E111" s="90" t="s">
        <v>198</v>
      </c>
      <c r="F111" s="90"/>
      <c r="G111" s="51">
        <v>0</v>
      </c>
      <c r="H111" s="51" t="s">
        <v>199</v>
      </c>
      <c r="I111" s="90">
        <v>7</v>
      </c>
      <c r="J111" s="109"/>
      <c r="K111" s="42"/>
      <c r="L111" s="43"/>
    </row>
    <row r="112" spans="1:12" ht="15" hidden="1" customHeight="1" x14ac:dyDescent="0.3">
      <c r="A112" s="91" t="s">
        <v>200</v>
      </c>
      <c r="B112" s="92"/>
      <c r="C112" s="93" t="str">
        <f>K110</f>
        <v>Excavation work Completed. Plinth work is process</v>
      </c>
      <c r="D112" s="93"/>
      <c r="E112" s="93"/>
      <c r="F112" s="93"/>
      <c r="G112" s="93"/>
      <c r="H112" s="93"/>
      <c r="I112" s="93"/>
      <c r="J112" s="94"/>
      <c r="K112" s="42" t="s">
        <v>201</v>
      </c>
      <c r="L112" s="43"/>
    </row>
    <row r="113" spans="1:12" hidden="1" x14ac:dyDescent="0.3">
      <c r="A113" s="95" t="s">
        <v>34</v>
      </c>
      <c r="B113" s="96"/>
      <c r="C113" s="52" t="s">
        <v>202</v>
      </c>
      <c r="D113" s="96" t="s">
        <v>203</v>
      </c>
      <c r="E113" s="96"/>
      <c r="F113" s="96" t="s">
        <v>204</v>
      </c>
      <c r="G113" s="96"/>
      <c r="H113" s="96" t="s">
        <v>205</v>
      </c>
      <c r="I113" s="96"/>
      <c r="J113" s="104"/>
      <c r="K113" s="32" t="s">
        <v>206</v>
      </c>
      <c r="L113" s="44">
        <f>I111*25%</f>
        <v>1.75</v>
      </c>
    </row>
    <row r="114" spans="1:12" hidden="1" x14ac:dyDescent="0.3">
      <c r="A114" s="95" t="s">
        <v>207</v>
      </c>
      <c r="B114" s="96"/>
      <c r="C114" s="45">
        <v>7</v>
      </c>
      <c r="D114" s="97">
        <f>((100/I111)*C114)/100</f>
        <v>1</v>
      </c>
      <c r="E114" s="97"/>
      <c r="F114" s="97">
        <f>(((C115/I111*10)+(40/(D111+G111+I111)*C116)+(7.5/(I111)*C117)+(7.5/(I111)*C118)+(10/I111*C119)+(10/I111*C120)+(5/I111*C121)+(5/I111*C122)+(5/I111*C123))/100)</f>
        <v>7.4999999999999997E-2</v>
      </c>
      <c r="G114" s="97"/>
      <c r="H114" s="97">
        <f>((((C114/I111)*20)+((C115/I111)*25)+(30/(I111+G111+D111)*C116)+(5/I111*C117)+(5/I111*C118)+(5/I111*C119)+(5/I111*C120)+(0/I111*C121)+(0/I111*C122)+(5/I111*C123))/100)</f>
        <v>0.38750000000000001</v>
      </c>
      <c r="I114" s="97"/>
      <c r="J114" s="99"/>
      <c r="K114" s="32" t="s">
        <v>172</v>
      </c>
      <c r="L114" s="33">
        <f>I111*50%</f>
        <v>3.5</v>
      </c>
    </row>
    <row r="115" spans="1:12" hidden="1" x14ac:dyDescent="0.3">
      <c r="A115" s="95" t="s">
        <v>35</v>
      </c>
      <c r="B115" s="96"/>
      <c r="C115" s="46">
        <f>L122</f>
        <v>5.25</v>
      </c>
      <c r="D115" s="97">
        <f>((100/I111)*C115)/100</f>
        <v>0.75</v>
      </c>
      <c r="E115" s="97"/>
      <c r="F115" s="97"/>
      <c r="G115" s="97"/>
      <c r="H115" s="97"/>
      <c r="I115" s="97"/>
      <c r="J115" s="99"/>
      <c r="K115" s="32" t="s">
        <v>173</v>
      </c>
      <c r="L115" s="33">
        <f>I111</f>
        <v>7</v>
      </c>
    </row>
    <row r="116" spans="1:12" hidden="1" x14ac:dyDescent="0.3">
      <c r="A116" s="95" t="s">
        <v>36</v>
      </c>
      <c r="B116" s="96"/>
      <c r="C116" s="46">
        <v>0</v>
      </c>
      <c r="D116" s="97">
        <f>((100/(D111+G111+I111))*C116)/100</f>
        <v>0</v>
      </c>
      <c r="E116" s="97"/>
      <c r="F116" s="97"/>
      <c r="G116" s="97"/>
      <c r="H116" s="97"/>
      <c r="I116" s="97"/>
      <c r="J116" s="99"/>
      <c r="K116" s="32" t="s">
        <v>174</v>
      </c>
      <c r="L116" s="47">
        <f>(IF(B111&gt;1,(I111/(B111+2)),I111/4))</f>
        <v>1.75</v>
      </c>
    </row>
    <row r="117" spans="1:12" hidden="1" x14ac:dyDescent="0.3">
      <c r="A117" s="95" t="s">
        <v>208</v>
      </c>
      <c r="B117" s="96"/>
      <c r="C117" s="45">
        <v>0</v>
      </c>
      <c r="D117" s="97">
        <f>((100/I111)*C117)/100</f>
        <v>0</v>
      </c>
      <c r="E117" s="97"/>
      <c r="F117" s="97"/>
      <c r="G117" s="97"/>
      <c r="H117" s="97"/>
      <c r="I117" s="97"/>
      <c r="J117" s="99"/>
      <c r="K117" s="32" t="s">
        <v>175</v>
      </c>
      <c r="L117" s="47">
        <f>(IF(B111&gt;1,(I111/(B111+2)+L116),I111/4+L116))</f>
        <v>3.5</v>
      </c>
    </row>
    <row r="118" spans="1:12" ht="15" hidden="1" customHeight="1" x14ac:dyDescent="0.3">
      <c r="A118" s="95" t="s">
        <v>209</v>
      </c>
      <c r="B118" s="96" t="s">
        <v>210</v>
      </c>
      <c r="C118" s="45">
        <v>0</v>
      </c>
      <c r="D118" s="97">
        <f>((100/I111)*C118)/100</f>
        <v>0</v>
      </c>
      <c r="E118" s="97"/>
      <c r="F118" s="97"/>
      <c r="G118" s="97"/>
      <c r="H118" s="97"/>
      <c r="I118" s="97"/>
      <c r="J118" s="99"/>
      <c r="K118" s="32" t="s">
        <v>211</v>
      </c>
      <c r="L118" s="47">
        <f>(IF(B111&gt;1,(I111/(B111+2)+L117),0))</f>
        <v>0</v>
      </c>
    </row>
    <row r="119" spans="1:12" hidden="1" x14ac:dyDescent="0.3">
      <c r="A119" s="101" t="s">
        <v>212</v>
      </c>
      <c r="B119" s="90" t="s">
        <v>213</v>
      </c>
      <c r="C119" s="45">
        <v>0</v>
      </c>
      <c r="D119" s="97">
        <f>((100/(I111))*C119)/100</f>
        <v>0</v>
      </c>
      <c r="E119" s="97"/>
      <c r="F119" s="97"/>
      <c r="G119" s="97"/>
      <c r="H119" s="97"/>
      <c r="I119" s="97"/>
      <c r="J119" s="99"/>
      <c r="K119" s="32" t="s">
        <v>214</v>
      </c>
      <c r="L119" s="47">
        <f>(IF(B111&gt;2,(I111/(B111+2)+L118),0))</f>
        <v>0</v>
      </c>
    </row>
    <row r="120" spans="1:12" hidden="1" x14ac:dyDescent="0.3">
      <c r="A120" s="95" t="s">
        <v>215</v>
      </c>
      <c r="B120" s="96" t="s">
        <v>215</v>
      </c>
      <c r="C120" s="45">
        <v>0</v>
      </c>
      <c r="D120" s="97">
        <f>((100/I111)*C120)/100</f>
        <v>0</v>
      </c>
      <c r="E120" s="97"/>
      <c r="F120" s="97"/>
      <c r="G120" s="97"/>
      <c r="H120" s="97"/>
      <c r="I120" s="97"/>
      <c r="J120" s="99"/>
      <c r="K120" s="32" t="s">
        <v>216</v>
      </c>
      <c r="L120" s="48">
        <f>(IF(B111&gt;3,(I111/(B111+2)+L119),0))</f>
        <v>0</v>
      </c>
    </row>
    <row r="121" spans="1:12" ht="15" hidden="1" customHeight="1" x14ac:dyDescent="0.3">
      <c r="A121" s="95" t="s">
        <v>217</v>
      </c>
      <c r="B121" s="96"/>
      <c r="C121" s="45">
        <v>0</v>
      </c>
      <c r="D121" s="97">
        <f>((100/I111)*C121)/100</f>
        <v>0</v>
      </c>
      <c r="E121" s="97"/>
      <c r="F121" s="97"/>
      <c r="G121" s="97"/>
      <c r="H121" s="97"/>
      <c r="I121" s="97"/>
      <c r="J121" s="99"/>
      <c r="K121" s="32" t="s">
        <v>218</v>
      </c>
      <c r="L121" s="47">
        <f>(IF(B111&gt;4,(I111/(B111+2)+L120),0))</f>
        <v>0</v>
      </c>
    </row>
    <row r="122" spans="1:12" hidden="1" x14ac:dyDescent="0.3">
      <c r="A122" s="95" t="s">
        <v>219</v>
      </c>
      <c r="B122" s="96" t="s">
        <v>219</v>
      </c>
      <c r="C122" s="45">
        <v>0</v>
      </c>
      <c r="D122" s="97">
        <f>((100/(I111))*C122)/100</f>
        <v>0</v>
      </c>
      <c r="E122" s="97"/>
      <c r="F122" s="97"/>
      <c r="G122" s="97"/>
      <c r="H122" s="97"/>
      <c r="I122" s="97"/>
      <c r="J122" s="99"/>
      <c r="K122" s="32" t="s">
        <v>176</v>
      </c>
      <c r="L122" s="47">
        <f>(IF(B111=1,(I111/(B111+3)+L117),IF(B111=0,(I111/4+L117),IF(B111&gt;1,0))))</f>
        <v>5.25</v>
      </c>
    </row>
    <row r="123" spans="1:12" ht="15" hidden="1" thickBot="1" x14ac:dyDescent="0.35">
      <c r="A123" s="102" t="s">
        <v>220</v>
      </c>
      <c r="B123" s="103"/>
      <c r="C123" s="49">
        <v>0</v>
      </c>
      <c r="D123" s="98">
        <f>((100/(I111))*C123)/100</f>
        <v>0</v>
      </c>
      <c r="E123" s="98"/>
      <c r="F123" s="98"/>
      <c r="G123" s="98"/>
      <c r="H123" s="98"/>
      <c r="I123" s="98"/>
      <c r="J123" s="100"/>
      <c r="K123" s="34" t="s">
        <v>177</v>
      </c>
      <c r="L123" s="50">
        <f>(IF(B111&gt;1.5,(I111/(B111+2)+L117+MAX(0,L118-L117)+MAX(0,L119-L118)+MAX(0,L120-L119)+MAX(0,L121-L120)+MAX(0,L122-L121)),IF(B111=1,(I111/(B111+3)+L122),IF(B111=0,I111/4+L122))))</f>
        <v>7</v>
      </c>
    </row>
    <row r="124" spans="1:12" ht="15" customHeight="1" x14ac:dyDescent="0.3">
      <c r="A124" s="105" t="s">
        <v>196</v>
      </c>
      <c r="B124" s="106"/>
      <c r="C124" s="107" t="s">
        <v>224</v>
      </c>
      <c r="D124" s="107"/>
      <c r="E124" s="107"/>
      <c r="F124" s="107"/>
      <c r="G124" s="107"/>
      <c r="H124" s="107"/>
      <c r="I124" s="107"/>
      <c r="J124" s="108"/>
      <c r="K124" s="39" t="str">
        <f>(IF(F128&gt;99%,"All work completed. Please provide OC.",IF(F128&gt;89.8%,"Plinth, RCC, Brick, Plaster, Flooring, Painting work Completed. Finishing work is in process.",IF(F128&lt;94%,(IF(C128=0,"Work not yet Started.",IF(D128=25%,"Piling work in process",IF(D128=50%,"Excavation work in process",IF(D128=100%,"Excavation work Completed. ","0")))&amp;(IF(C129=0%,"",IF(C129=L130,"Footing work is process",IF(C129=L131,"Footing work Completed",IF(C129=L132,"1st Basement Completed",IF(C129=L133,"1st &amp; 2nd Basement Completed",IF(C129=L134,"1st to 3rd Basement Completed",IF(C129=L135,"1st to 4th Basement Completed",IF(C129=L136,"Plinth work is process",IF(C129=L137,"Plinth work completed","0")))))))))))&amp;(IF(C130=(D125+G125+I125),", RCC Slab",IF(C130&gt;0,", RCC upto "&amp;C130&amp;" Slab",""))&amp;(IF(C131=I125,", Brickwork",IF(C131&gt;0,", Brickwork upto "&amp;C131&amp;" Floor",""))&amp;(IF(C132=I125,", Internal Plaster",IF(C132&gt;0,", Internal Plaster upto "&amp;C132&amp;" Floor",""))&amp;(IF(C133=I125,", External Plaster",IF(C133&gt;0,", External Plaster upto "&amp;C133&amp;" Floor",""))&amp;(IF(C134=I125,", Flooring",IF(C134&gt;0,", Flooring upto "&amp;C134&amp;" Floor",""))&amp;(IF(C135=I125,", Painting",IF(C135&gt;0,", Painting upto "&amp;C135&amp;" Floor",""))&amp;(IF(C136&gt;0,", Finishing upto "&amp;C136&amp;" Floor","")&amp;(IF(C130&gt;0.5," Completed",""))))))))))))))</f>
        <v>Excavation work Completed. Footing work Completed</v>
      </c>
      <c r="L124" s="40"/>
    </row>
    <row r="125" spans="1:12" ht="15" customHeight="1" x14ac:dyDescent="0.3">
      <c r="A125" s="41" t="s">
        <v>197</v>
      </c>
      <c r="B125" s="51">
        <v>0</v>
      </c>
      <c r="C125" s="51" t="s">
        <v>113</v>
      </c>
      <c r="D125" s="51">
        <v>1</v>
      </c>
      <c r="E125" s="90" t="s">
        <v>198</v>
      </c>
      <c r="F125" s="90"/>
      <c r="G125" s="51">
        <v>0</v>
      </c>
      <c r="H125" s="51" t="s">
        <v>199</v>
      </c>
      <c r="I125" s="90">
        <v>7</v>
      </c>
      <c r="J125" s="109"/>
      <c r="K125" s="42"/>
      <c r="L125" s="43"/>
    </row>
    <row r="126" spans="1:12" ht="15" customHeight="1" x14ac:dyDescent="0.3">
      <c r="A126" s="91" t="s">
        <v>200</v>
      </c>
      <c r="B126" s="92"/>
      <c r="C126" s="93" t="str">
        <f>K124</f>
        <v>Excavation work Completed. Footing work Completed</v>
      </c>
      <c r="D126" s="93"/>
      <c r="E126" s="93"/>
      <c r="F126" s="93"/>
      <c r="G126" s="93"/>
      <c r="H126" s="93"/>
      <c r="I126" s="93"/>
      <c r="J126" s="94"/>
      <c r="K126" s="42" t="s">
        <v>201</v>
      </c>
      <c r="L126" s="43"/>
    </row>
    <row r="127" spans="1:12" x14ac:dyDescent="0.3">
      <c r="A127" s="95" t="s">
        <v>34</v>
      </c>
      <c r="B127" s="96"/>
      <c r="C127" s="52" t="s">
        <v>202</v>
      </c>
      <c r="D127" s="96" t="s">
        <v>203</v>
      </c>
      <c r="E127" s="96"/>
      <c r="F127" s="96" t="s">
        <v>204</v>
      </c>
      <c r="G127" s="96"/>
      <c r="H127" s="96" t="s">
        <v>205</v>
      </c>
      <c r="I127" s="96"/>
      <c r="J127" s="104"/>
      <c r="K127" s="32" t="s">
        <v>206</v>
      </c>
      <c r="L127" s="44">
        <f>I125*25%</f>
        <v>1.75</v>
      </c>
    </row>
    <row r="128" spans="1:12" x14ac:dyDescent="0.3">
      <c r="A128" s="95" t="s">
        <v>207</v>
      </c>
      <c r="B128" s="96"/>
      <c r="C128" s="45">
        <v>7</v>
      </c>
      <c r="D128" s="97">
        <f>((100/I125)*C128)/100</f>
        <v>1</v>
      </c>
      <c r="E128" s="97"/>
      <c r="F128" s="97">
        <f>(((C129/I125*10)+(40/(D125+G125+I125)*C130)+(7.5/(I125)*C131)+(7.5/(I125)*C132)+(10/I125*C133)+(10/I125*C134)+(5/I125*C135)+(5/I125*C136)+(5/I125*C137))/100)</f>
        <v>0.05</v>
      </c>
      <c r="G128" s="97"/>
      <c r="H128" s="97">
        <f>((((C128/I125)*20)+((C129/I125)*25)+(30/(I125+G125+D125)*C130)+(5/I125*C131)+(5/I125*C132)+(5/I125*C133)+(5/I125*C134)+(0/I125*C135)+(0/I125*C136)+(5/I125*C137))/100)</f>
        <v>0.32500000000000001</v>
      </c>
      <c r="I128" s="97"/>
      <c r="J128" s="99"/>
      <c r="K128" s="32" t="s">
        <v>172</v>
      </c>
      <c r="L128" s="33">
        <f>I125*50%</f>
        <v>3.5</v>
      </c>
    </row>
    <row r="129" spans="1:12" x14ac:dyDescent="0.3">
      <c r="A129" s="95" t="s">
        <v>35</v>
      </c>
      <c r="B129" s="96"/>
      <c r="C129" s="46">
        <f>L131</f>
        <v>3.5</v>
      </c>
      <c r="D129" s="97">
        <f>((100/I125)*C129)/100</f>
        <v>0.5</v>
      </c>
      <c r="E129" s="97"/>
      <c r="F129" s="97"/>
      <c r="G129" s="97"/>
      <c r="H129" s="97"/>
      <c r="I129" s="97"/>
      <c r="J129" s="99"/>
      <c r="K129" s="32" t="s">
        <v>173</v>
      </c>
      <c r="L129" s="33">
        <f>I125</f>
        <v>7</v>
      </c>
    </row>
    <row r="130" spans="1:12" x14ac:dyDescent="0.3">
      <c r="A130" s="95" t="s">
        <v>36</v>
      </c>
      <c r="B130" s="96"/>
      <c r="C130" s="46">
        <v>0</v>
      </c>
      <c r="D130" s="97">
        <f>((100/(D125+G125+I125))*C130)/100</f>
        <v>0</v>
      </c>
      <c r="E130" s="97"/>
      <c r="F130" s="97"/>
      <c r="G130" s="97"/>
      <c r="H130" s="97"/>
      <c r="I130" s="97"/>
      <c r="J130" s="99"/>
      <c r="K130" s="32" t="s">
        <v>174</v>
      </c>
      <c r="L130" s="47">
        <f>(IF(B125&gt;1,(I125/(B125+2)),I125/4))</f>
        <v>1.75</v>
      </c>
    </row>
    <row r="131" spans="1:12" x14ac:dyDescent="0.3">
      <c r="A131" s="95" t="s">
        <v>208</v>
      </c>
      <c r="B131" s="96"/>
      <c r="C131" s="45">
        <v>0</v>
      </c>
      <c r="D131" s="97">
        <f>((100/I125)*C131)/100</f>
        <v>0</v>
      </c>
      <c r="E131" s="97"/>
      <c r="F131" s="97"/>
      <c r="G131" s="97"/>
      <c r="H131" s="97"/>
      <c r="I131" s="97"/>
      <c r="J131" s="99"/>
      <c r="K131" s="32" t="s">
        <v>175</v>
      </c>
      <c r="L131" s="47">
        <f>(IF(B125&gt;1,(I125/(B125+2)+L130),I125/4+L130))</f>
        <v>3.5</v>
      </c>
    </row>
    <row r="132" spans="1:12" ht="15" customHeight="1" x14ac:dyDescent="0.3">
      <c r="A132" s="95" t="s">
        <v>209</v>
      </c>
      <c r="B132" s="96" t="s">
        <v>210</v>
      </c>
      <c r="C132" s="45">
        <v>0</v>
      </c>
      <c r="D132" s="97">
        <f>((100/I125)*C132)/100</f>
        <v>0</v>
      </c>
      <c r="E132" s="97"/>
      <c r="F132" s="97"/>
      <c r="G132" s="97"/>
      <c r="H132" s="97"/>
      <c r="I132" s="97"/>
      <c r="J132" s="99"/>
      <c r="K132" s="32" t="s">
        <v>211</v>
      </c>
      <c r="L132" s="47">
        <f>(IF(B125&gt;1,(I125/(B125+2)+L131),0))</f>
        <v>0</v>
      </c>
    </row>
    <row r="133" spans="1:12" x14ac:dyDescent="0.3">
      <c r="A133" s="101" t="s">
        <v>212</v>
      </c>
      <c r="B133" s="90" t="s">
        <v>213</v>
      </c>
      <c r="C133" s="45">
        <v>0</v>
      </c>
      <c r="D133" s="97">
        <f>((100/(I125))*C133)/100</f>
        <v>0</v>
      </c>
      <c r="E133" s="97"/>
      <c r="F133" s="97"/>
      <c r="G133" s="97"/>
      <c r="H133" s="97"/>
      <c r="I133" s="97"/>
      <c r="J133" s="99"/>
      <c r="K133" s="32" t="s">
        <v>214</v>
      </c>
      <c r="L133" s="47">
        <f>(IF(B125&gt;2,(I125/(B125+2)+L132),0))</f>
        <v>0</v>
      </c>
    </row>
    <row r="134" spans="1:12" x14ac:dyDescent="0.3">
      <c r="A134" s="95" t="s">
        <v>215</v>
      </c>
      <c r="B134" s="96" t="s">
        <v>215</v>
      </c>
      <c r="C134" s="45">
        <v>0</v>
      </c>
      <c r="D134" s="97">
        <f>((100/I125)*C134)/100</f>
        <v>0</v>
      </c>
      <c r="E134" s="97"/>
      <c r="F134" s="97"/>
      <c r="G134" s="97"/>
      <c r="H134" s="97"/>
      <c r="I134" s="97"/>
      <c r="J134" s="99"/>
      <c r="K134" s="32" t="s">
        <v>216</v>
      </c>
      <c r="L134" s="48">
        <f>(IF(B125&gt;3,(I125/(B125+2)+L133),0))</f>
        <v>0</v>
      </c>
    </row>
    <row r="135" spans="1:12" ht="15" customHeight="1" x14ac:dyDescent="0.3">
      <c r="A135" s="95" t="s">
        <v>217</v>
      </c>
      <c r="B135" s="96"/>
      <c r="C135" s="45">
        <v>0</v>
      </c>
      <c r="D135" s="97">
        <f>((100/I125)*C135)/100</f>
        <v>0</v>
      </c>
      <c r="E135" s="97"/>
      <c r="F135" s="97"/>
      <c r="G135" s="97"/>
      <c r="H135" s="97"/>
      <c r="I135" s="97"/>
      <c r="J135" s="99"/>
      <c r="K135" s="32" t="s">
        <v>218</v>
      </c>
      <c r="L135" s="47">
        <f>(IF(B125&gt;4,(I125/(B125+2)+L134),0))</f>
        <v>0</v>
      </c>
    </row>
    <row r="136" spans="1:12" x14ac:dyDescent="0.3">
      <c r="A136" s="95" t="s">
        <v>219</v>
      </c>
      <c r="B136" s="96" t="s">
        <v>219</v>
      </c>
      <c r="C136" s="45">
        <v>0</v>
      </c>
      <c r="D136" s="97">
        <f>((100/(I125))*C136)/100</f>
        <v>0</v>
      </c>
      <c r="E136" s="97"/>
      <c r="F136" s="97"/>
      <c r="G136" s="97"/>
      <c r="H136" s="97"/>
      <c r="I136" s="97"/>
      <c r="J136" s="99"/>
      <c r="K136" s="32" t="s">
        <v>176</v>
      </c>
      <c r="L136" s="47">
        <f>(IF(B125=1,(I125/(B125+3)+L131),IF(B125=0,(I125/4+L131),IF(B125&gt;1,0))))</f>
        <v>5.25</v>
      </c>
    </row>
    <row r="137" spans="1:12" ht="15" thickBot="1" x14ac:dyDescent="0.35">
      <c r="A137" s="102" t="s">
        <v>220</v>
      </c>
      <c r="B137" s="103"/>
      <c r="C137" s="49">
        <v>0</v>
      </c>
      <c r="D137" s="98">
        <f>((100/(I125))*C137)/100</f>
        <v>0</v>
      </c>
      <c r="E137" s="98"/>
      <c r="F137" s="98"/>
      <c r="G137" s="98"/>
      <c r="H137" s="98"/>
      <c r="I137" s="98"/>
      <c r="J137" s="100"/>
      <c r="K137" s="34" t="s">
        <v>177</v>
      </c>
      <c r="L137" s="50">
        <f>(IF(B125&gt;1.5,(I125/(B125+2)+L131+MAX(0,L132-L131)+MAX(0,L133-L132)+MAX(0,L134-L133)+MAX(0,L135-L134)+MAX(0,L136-L135)),IF(B125=1,(I125/(B125+3)+L136),IF(B125=0,I125/4+L136))))</f>
        <v>7</v>
      </c>
    </row>
    <row r="138" spans="1:12" ht="15" hidden="1" customHeight="1" x14ac:dyDescent="0.3">
      <c r="A138" s="105" t="s">
        <v>196</v>
      </c>
      <c r="B138" s="106"/>
      <c r="C138" s="107" t="s">
        <v>225</v>
      </c>
      <c r="D138" s="107"/>
      <c r="E138" s="107"/>
      <c r="F138" s="107"/>
      <c r="G138" s="107"/>
      <c r="H138" s="107"/>
      <c r="I138" s="107"/>
      <c r="J138" s="108"/>
      <c r="K138" s="39" t="str">
        <f>(IF(F142&gt;99%,"All work completed. Please provide OC.",IF(F142&gt;89.8%,"Plinth, RCC, Brick, Plaster, Flooring, Painting work Completed. Finishing work is in process.",IF(F142&lt;94%,(IF(C142=0,"Work not yet Started.",IF(D142=25%,"Piling work in process",IF(D142=50%,"Excavation work in process",IF(D142=100%,"Excavation work Completed. ","0")))&amp;(IF(C143=0%,"",IF(C143=L144,"Footing work is process",IF(C143=L145,"Footing work Completed",IF(C143=L146,"1st Basement Completed",IF(C143=L147,"1st &amp; 2nd Basement Completed",IF(C143=L148,"1st to 3rd Basement Completed",IF(C143=L149,"1st to 4th Basement Completed",IF(C143=L150,"Plinth work is process",IF(C143=L151,"Plinth work completed","0")))))))))))&amp;(IF(C144=(D139+G139+I139),", RCC Slab",IF(C144&gt;0,", RCC upto "&amp;C144&amp;" Slab",""))&amp;(IF(C145=I139,", Brickwork",IF(C145&gt;0,", Brickwork upto "&amp;C145&amp;" Floor",""))&amp;(IF(C146=I139,", Internal Plaster",IF(C146&gt;0,", Internal Plaster upto "&amp;C146&amp;" Floor",""))&amp;(IF(C147=I139,", External Plaster",IF(C147&gt;0,", External Plaster upto "&amp;C147&amp;" Floor",""))&amp;(IF(C148=I139,", Flooring",IF(C148&gt;0,", Flooring upto "&amp;C148&amp;" Floor",""))&amp;(IF(C149=I139,", Painting",IF(C149&gt;0,", Painting upto "&amp;C149&amp;" Floor",""))&amp;(IF(C150&gt;0,", Finishing upto "&amp;C150&amp;" Floor","")&amp;(IF(C144&gt;0.5," Completed",""))))))))))))))</f>
        <v>Excavation work Completed. Plinth work completed</v>
      </c>
      <c r="L138" s="40"/>
    </row>
    <row r="139" spans="1:12" ht="15" hidden="1" customHeight="1" x14ac:dyDescent="0.3">
      <c r="A139" s="41" t="s">
        <v>197</v>
      </c>
      <c r="B139" s="51">
        <v>0</v>
      </c>
      <c r="C139" s="51" t="s">
        <v>113</v>
      </c>
      <c r="D139" s="51">
        <v>1</v>
      </c>
      <c r="E139" s="90" t="s">
        <v>198</v>
      </c>
      <c r="F139" s="90"/>
      <c r="G139" s="51">
        <v>0</v>
      </c>
      <c r="H139" s="51" t="s">
        <v>199</v>
      </c>
      <c r="I139" s="90">
        <v>7</v>
      </c>
      <c r="J139" s="109"/>
      <c r="K139" s="42"/>
      <c r="L139" s="43"/>
    </row>
    <row r="140" spans="1:12" ht="15" hidden="1" customHeight="1" x14ac:dyDescent="0.3">
      <c r="A140" s="91" t="s">
        <v>200</v>
      </c>
      <c r="B140" s="92"/>
      <c r="C140" s="93" t="str">
        <f>K138</f>
        <v>Excavation work Completed. Plinth work completed</v>
      </c>
      <c r="D140" s="93"/>
      <c r="E140" s="93"/>
      <c r="F140" s="93"/>
      <c r="G140" s="93"/>
      <c r="H140" s="93"/>
      <c r="I140" s="93"/>
      <c r="J140" s="94"/>
      <c r="K140" s="42" t="s">
        <v>201</v>
      </c>
      <c r="L140" s="43"/>
    </row>
    <row r="141" spans="1:12" hidden="1" x14ac:dyDescent="0.3">
      <c r="A141" s="95" t="s">
        <v>34</v>
      </c>
      <c r="B141" s="96"/>
      <c r="C141" s="52" t="s">
        <v>202</v>
      </c>
      <c r="D141" s="96" t="s">
        <v>203</v>
      </c>
      <c r="E141" s="96"/>
      <c r="F141" s="96" t="s">
        <v>204</v>
      </c>
      <c r="G141" s="96"/>
      <c r="H141" s="96" t="s">
        <v>205</v>
      </c>
      <c r="I141" s="96"/>
      <c r="J141" s="104"/>
      <c r="K141" s="32" t="s">
        <v>206</v>
      </c>
      <c r="L141" s="44">
        <f>I139*25%</f>
        <v>1.75</v>
      </c>
    </row>
    <row r="142" spans="1:12" hidden="1" x14ac:dyDescent="0.3">
      <c r="A142" s="95" t="s">
        <v>207</v>
      </c>
      <c r="B142" s="96"/>
      <c r="C142" s="45">
        <v>7</v>
      </c>
      <c r="D142" s="97">
        <f>((100/I139)*C142)/100</f>
        <v>1</v>
      </c>
      <c r="E142" s="97"/>
      <c r="F142" s="97">
        <f>(((C143/I139*10)+(40/(D139+G139+I139)*C144)+(7.5/(I139)*C145)+(7.5/(I139)*C146)+(10/I139*C147)+(10/I139*C148)+(5/I139*C149)+(5/I139*C150)+(5/I139*C151))/100)</f>
        <v>0.1</v>
      </c>
      <c r="G142" s="97"/>
      <c r="H142" s="97">
        <f>((((C142/I139)*20)+((C143/I139)*25)+(30/(I139+G139+D139)*C144)+(5/I139*C145)+(5/I139*C146)+(5/I139*C147)+(5/I139*C148)+(0/I139*C149)+(0/I139*C150)+(5/I139*C151))/100)</f>
        <v>0.45</v>
      </c>
      <c r="I142" s="97"/>
      <c r="J142" s="99"/>
      <c r="K142" s="32" t="s">
        <v>172</v>
      </c>
      <c r="L142" s="33">
        <f>I139*50%</f>
        <v>3.5</v>
      </c>
    </row>
    <row r="143" spans="1:12" hidden="1" x14ac:dyDescent="0.3">
      <c r="A143" s="95" t="s">
        <v>35</v>
      </c>
      <c r="B143" s="96"/>
      <c r="C143" s="46">
        <v>7</v>
      </c>
      <c r="D143" s="97">
        <f>((100/I139)*C143)/100</f>
        <v>1</v>
      </c>
      <c r="E143" s="97"/>
      <c r="F143" s="97"/>
      <c r="G143" s="97"/>
      <c r="H143" s="97"/>
      <c r="I143" s="97"/>
      <c r="J143" s="99"/>
      <c r="K143" s="32" t="s">
        <v>173</v>
      </c>
      <c r="L143" s="33">
        <f>I139</f>
        <v>7</v>
      </c>
    </row>
    <row r="144" spans="1:12" hidden="1" x14ac:dyDescent="0.3">
      <c r="A144" s="95" t="s">
        <v>36</v>
      </c>
      <c r="B144" s="96"/>
      <c r="C144" s="46">
        <v>0</v>
      </c>
      <c r="D144" s="97">
        <f>((100/(D139+G139+I139))*C144)/100</f>
        <v>0</v>
      </c>
      <c r="E144" s="97"/>
      <c r="F144" s="97"/>
      <c r="G144" s="97"/>
      <c r="H144" s="97"/>
      <c r="I144" s="97"/>
      <c r="J144" s="99"/>
      <c r="K144" s="32" t="s">
        <v>174</v>
      </c>
      <c r="L144" s="47">
        <f>(IF(B139&gt;1,(I139/(B139+2)),I139/4))</f>
        <v>1.75</v>
      </c>
    </row>
    <row r="145" spans="1:12" hidden="1" x14ac:dyDescent="0.3">
      <c r="A145" s="95" t="s">
        <v>208</v>
      </c>
      <c r="B145" s="96"/>
      <c r="C145" s="45">
        <v>0</v>
      </c>
      <c r="D145" s="97">
        <f>((100/I139)*C145)/100</f>
        <v>0</v>
      </c>
      <c r="E145" s="97"/>
      <c r="F145" s="97"/>
      <c r="G145" s="97"/>
      <c r="H145" s="97"/>
      <c r="I145" s="97"/>
      <c r="J145" s="99"/>
      <c r="K145" s="32" t="s">
        <v>175</v>
      </c>
      <c r="L145" s="47">
        <f>(IF(B139&gt;1,(I139/(B139+2)+L144),I139/4+L144))</f>
        <v>3.5</v>
      </c>
    </row>
    <row r="146" spans="1:12" ht="15" hidden="1" customHeight="1" x14ac:dyDescent="0.3">
      <c r="A146" s="95" t="s">
        <v>209</v>
      </c>
      <c r="B146" s="96" t="s">
        <v>210</v>
      </c>
      <c r="C146" s="45">
        <v>0</v>
      </c>
      <c r="D146" s="97">
        <f>((100/I139)*C146)/100</f>
        <v>0</v>
      </c>
      <c r="E146" s="97"/>
      <c r="F146" s="97"/>
      <c r="G146" s="97"/>
      <c r="H146" s="97"/>
      <c r="I146" s="97"/>
      <c r="J146" s="99"/>
      <c r="K146" s="32" t="s">
        <v>211</v>
      </c>
      <c r="L146" s="47">
        <f>(IF(B139&gt;1,(I139/(B139+2)+L145),0))</f>
        <v>0</v>
      </c>
    </row>
    <row r="147" spans="1:12" hidden="1" x14ac:dyDescent="0.3">
      <c r="A147" s="101" t="s">
        <v>212</v>
      </c>
      <c r="B147" s="90" t="s">
        <v>213</v>
      </c>
      <c r="C147" s="45">
        <v>0</v>
      </c>
      <c r="D147" s="97">
        <f>((100/(I139))*C147)/100</f>
        <v>0</v>
      </c>
      <c r="E147" s="97"/>
      <c r="F147" s="97"/>
      <c r="G147" s="97"/>
      <c r="H147" s="97"/>
      <c r="I147" s="97"/>
      <c r="J147" s="99"/>
      <c r="K147" s="32" t="s">
        <v>214</v>
      </c>
      <c r="L147" s="47">
        <f>(IF(B139&gt;2,(I139/(B139+2)+L146),0))</f>
        <v>0</v>
      </c>
    </row>
    <row r="148" spans="1:12" hidden="1" x14ac:dyDescent="0.3">
      <c r="A148" s="95" t="s">
        <v>215</v>
      </c>
      <c r="B148" s="96" t="s">
        <v>215</v>
      </c>
      <c r="C148" s="45">
        <v>0</v>
      </c>
      <c r="D148" s="97">
        <f>((100/I139)*C148)/100</f>
        <v>0</v>
      </c>
      <c r="E148" s="97"/>
      <c r="F148" s="97"/>
      <c r="G148" s="97"/>
      <c r="H148" s="97"/>
      <c r="I148" s="97"/>
      <c r="J148" s="99"/>
      <c r="K148" s="32" t="s">
        <v>216</v>
      </c>
      <c r="L148" s="48">
        <f>(IF(B139&gt;3,(I139/(B139+2)+L147),0))</f>
        <v>0</v>
      </c>
    </row>
    <row r="149" spans="1:12" ht="15" hidden="1" customHeight="1" x14ac:dyDescent="0.3">
      <c r="A149" s="95" t="s">
        <v>217</v>
      </c>
      <c r="B149" s="96"/>
      <c r="C149" s="45">
        <v>0</v>
      </c>
      <c r="D149" s="97">
        <f>((100/I139)*C149)/100</f>
        <v>0</v>
      </c>
      <c r="E149" s="97"/>
      <c r="F149" s="97"/>
      <c r="G149" s="97"/>
      <c r="H149" s="97"/>
      <c r="I149" s="97"/>
      <c r="J149" s="99"/>
      <c r="K149" s="32" t="s">
        <v>218</v>
      </c>
      <c r="L149" s="47">
        <f>(IF(B139&gt;4,(I139/(B139+2)+L148),0))</f>
        <v>0</v>
      </c>
    </row>
    <row r="150" spans="1:12" hidden="1" x14ac:dyDescent="0.3">
      <c r="A150" s="95" t="s">
        <v>219</v>
      </c>
      <c r="B150" s="96" t="s">
        <v>219</v>
      </c>
      <c r="C150" s="45">
        <v>0</v>
      </c>
      <c r="D150" s="97">
        <f>((100/(I139))*C150)/100</f>
        <v>0</v>
      </c>
      <c r="E150" s="97"/>
      <c r="F150" s="97"/>
      <c r="G150" s="97"/>
      <c r="H150" s="97"/>
      <c r="I150" s="97"/>
      <c r="J150" s="99"/>
      <c r="K150" s="32" t="s">
        <v>176</v>
      </c>
      <c r="L150" s="47">
        <f>(IF(B139=1,(I139/(B139+3)+L145),IF(B139=0,(I139/4+L145),IF(B139&gt;1,0))))</f>
        <v>5.25</v>
      </c>
    </row>
    <row r="151" spans="1:12" ht="15" hidden="1" thickBot="1" x14ac:dyDescent="0.35">
      <c r="A151" s="102" t="s">
        <v>220</v>
      </c>
      <c r="B151" s="103"/>
      <c r="C151" s="49">
        <v>0</v>
      </c>
      <c r="D151" s="98">
        <f>((100/(I139))*C151)/100</f>
        <v>0</v>
      </c>
      <c r="E151" s="98"/>
      <c r="F151" s="98"/>
      <c r="G151" s="98"/>
      <c r="H151" s="98"/>
      <c r="I151" s="98"/>
      <c r="J151" s="100"/>
      <c r="K151" s="34" t="s">
        <v>177</v>
      </c>
      <c r="L151" s="50">
        <f>(IF(B139&gt;1.5,(I139/(B139+2)+L145+MAX(0,L146-L145)+MAX(0,L147-L146)+MAX(0,L148-L147)+MAX(0,L149-L148)+MAX(0,L150-L149)),IF(B139=1,(I139/(B139+3)+L150),IF(B139=0,I139/4+L150))))</f>
        <v>7</v>
      </c>
    </row>
    <row r="152" spans="1:12" ht="15" hidden="1" customHeight="1" x14ac:dyDescent="0.3">
      <c r="A152" s="105" t="s">
        <v>196</v>
      </c>
      <c r="B152" s="106"/>
      <c r="C152" s="107" t="s">
        <v>226</v>
      </c>
      <c r="D152" s="107"/>
      <c r="E152" s="107"/>
      <c r="F152" s="107"/>
      <c r="G152" s="107"/>
      <c r="H152" s="107"/>
      <c r="I152" s="107"/>
      <c r="J152" s="108"/>
      <c r="K152" s="39" t="str">
        <f>(IF(F156&gt;99%,"All work completed. Please provide OC.",IF(F156&gt;89.8%,"Plinth, RCC, Brick, Plaster, Flooring, Painting work Completed. Finishing work is in process.",IF(F156&lt;94%,(IF(C156=0,"Work not yet Started.",IF(D156=25%,"Piling work in process",IF(D156=50%,"Excavation work in process",IF(D156=100%,"Excavation work Completed. ","0")))&amp;(IF(C157=0%,"",IF(C157=L158,"Footing work is process",IF(C157=L159,"Footing work Completed",IF(C157=L160,"1st Basement Completed",IF(C157=L161,"1st &amp; 2nd Basement Completed",IF(C157=L162,"1st to 3rd Basement Completed",IF(C157=L163,"1st to 4th Basement Completed",IF(C157=L164,"Plinth work is process",IF(C157=L165,"Plinth work completed","0")))))))))))&amp;(IF(C158=(D153+G153+I153),", RCC Slab",IF(C158&gt;0,", RCC upto "&amp;C158&amp;" Slab",""))&amp;(IF(C159=I153,", Brickwork",IF(C159&gt;0,", Brickwork upto "&amp;C159&amp;" Floor",""))&amp;(IF(C160=I153,", Internal Plaster",IF(C160&gt;0,", Internal Plaster upto "&amp;C160&amp;" Floor",""))&amp;(IF(C161=I153,", External Plaster",IF(C161&gt;0,", External Plaster upto "&amp;C161&amp;" Floor",""))&amp;(IF(C162=I153,", Flooring",IF(C162&gt;0,", Flooring upto "&amp;C162&amp;" Floor",""))&amp;(IF(C163=I153,", Painting",IF(C163&gt;0,", Painting upto "&amp;C163&amp;" Floor",""))&amp;(IF(C164&gt;0,", Finishing upto "&amp;C164&amp;" Floor","")&amp;(IF(C158&gt;0.5," Completed",""))))))))))))))</f>
        <v>Excavation work Completed. Plinth work completed</v>
      </c>
      <c r="L152" s="40"/>
    </row>
    <row r="153" spans="1:12" ht="15" hidden="1" customHeight="1" x14ac:dyDescent="0.3">
      <c r="A153" s="41" t="s">
        <v>197</v>
      </c>
      <c r="B153" s="51">
        <v>0</v>
      </c>
      <c r="C153" s="51" t="s">
        <v>113</v>
      </c>
      <c r="D153" s="51">
        <v>1</v>
      </c>
      <c r="E153" s="90" t="s">
        <v>198</v>
      </c>
      <c r="F153" s="90"/>
      <c r="G153" s="51">
        <v>0</v>
      </c>
      <c r="H153" s="51" t="s">
        <v>199</v>
      </c>
      <c r="I153" s="90">
        <v>7</v>
      </c>
      <c r="J153" s="109"/>
      <c r="K153" s="42"/>
      <c r="L153" s="43"/>
    </row>
    <row r="154" spans="1:12" ht="15" hidden="1" customHeight="1" x14ac:dyDescent="0.3">
      <c r="A154" s="91" t="s">
        <v>200</v>
      </c>
      <c r="B154" s="92"/>
      <c r="C154" s="93" t="str">
        <f>K152</f>
        <v>Excavation work Completed. Plinth work completed</v>
      </c>
      <c r="D154" s="93"/>
      <c r="E154" s="93"/>
      <c r="F154" s="93"/>
      <c r="G154" s="93"/>
      <c r="H154" s="93"/>
      <c r="I154" s="93"/>
      <c r="J154" s="94"/>
      <c r="K154" s="42" t="s">
        <v>201</v>
      </c>
      <c r="L154" s="43"/>
    </row>
    <row r="155" spans="1:12" hidden="1" x14ac:dyDescent="0.3">
      <c r="A155" s="95" t="s">
        <v>34</v>
      </c>
      <c r="B155" s="96"/>
      <c r="C155" s="52" t="s">
        <v>202</v>
      </c>
      <c r="D155" s="96" t="s">
        <v>203</v>
      </c>
      <c r="E155" s="96"/>
      <c r="F155" s="96" t="s">
        <v>204</v>
      </c>
      <c r="G155" s="96"/>
      <c r="H155" s="96" t="s">
        <v>205</v>
      </c>
      <c r="I155" s="96"/>
      <c r="J155" s="104"/>
      <c r="K155" s="32" t="s">
        <v>206</v>
      </c>
      <c r="L155" s="44">
        <f>I153*25%</f>
        <v>1.75</v>
      </c>
    </row>
    <row r="156" spans="1:12" hidden="1" x14ac:dyDescent="0.3">
      <c r="A156" s="95" t="s">
        <v>207</v>
      </c>
      <c r="B156" s="96"/>
      <c r="C156" s="45">
        <v>7</v>
      </c>
      <c r="D156" s="97">
        <f>((100/I153)*C156)/100</f>
        <v>1</v>
      </c>
      <c r="E156" s="97"/>
      <c r="F156" s="97">
        <f>(((C157/I153*10)+(40/(D153+G153+I153)*C158)+(7.5/(I153)*C159)+(7.5/(I153)*C160)+(10/I153*C161)+(10/I153*C162)+(5/I153*C163)+(5/I153*C164)+(5/I153*C165))/100)</f>
        <v>0.1</v>
      </c>
      <c r="G156" s="97"/>
      <c r="H156" s="97">
        <f>((((C156/I153)*20)+((C157/I153)*25)+(30/(I153+G153+D153)*C158)+(5/I153*C159)+(5/I153*C160)+(5/I153*C161)+(5/I153*C162)+(0/I153*C163)+(0/I153*C164)+(5/I153*C165))/100)</f>
        <v>0.45</v>
      </c>
      <c r="I156" s="97"/>
      <c r="J156" s="99"/>
      <c r="K156" s="32" t="s">
        <v>172</v>
      </c>
      <c r="L156" s="33">
        <f>I153*50%</f>
        <v>3.5</v>
      </c>
    </row>
    <row r="157" spans="1:12" hidden="1" x14ac:dyDescent="0.3">
      <c r="A157" s="95" t="s">
        <v>35</v>
      </c>
      <c r="B157" s="96"/>
      <c r="C157" s="46">
        <v>7</v>
      </c>
      <c r="D157" s="97">
        <f>((100/I153)*C157)/100</f>
        <v>1</v>
      </c>
      <c r="E157" s="97"/>
      <c r="F157" s="97"/>
      <c r="G157" s="97"/>
      <c r="H157" s="97"/>
      <c r="I157" s="97"/>
      <c r="J157" s="99"/>
      <c r="K157" s="32" t="s">
        <v>173</v>
      </c>
      <c r="L157" s="33">
        <f>I153</f>
        <v>7</v>
      </c>
    </row>
    <row r="158" spans="1:12" hidden="1" x14ac:dyDescent="0.3">
      <c r="A158" s="95" t="s">
        <v>36</v>
      </c>
      <c r="B158" s="96"/>
      <c r="C158" s="46">
        <v>0</v>
      </c>
      <c r="D158" s="97">
        <f>((100/(D153+G153+I153))*C158)/100</f>
        <v>0</v>
      </c>
      <c r="E158" s="97"/>
      <c r="F158" s="97"/>
      <c r="G158" s="97"/>
      <c r="H158" s="97"/>
      <c r="I158" s="97"/>
      <c r="J158" s="99"/>
      <c r="K158" s="32" t="s">
        <v>174</v>
      </c>
      <c r="L158" s="47">
        <f>(IF(B153&gt;1,(I153/(B153+2)),I153/4))</f>
        <v>1.75</v>
      </c>
    </row>
    <row r="159" spans="1:12" hidden="1" x14ac:dyDescent="0.3">
      <c r="A159" s="95" t="s">
        <v>208</v>
      </c>
      <c r="B159" s="96"/>
      <c r="C159" s="45">
        <v>0</v>
      </c>
      <c r="D159" s="97">
        <f>((100/I153)*C159)/100</f>
        <v>0</v>
      </c>
      <c r="E159" s="97"/>
      <c r="F159" s="97"/>
      <c r="G159" s="97"/>
      <c r="H159" s="97"/>
      <c r="I159" s="97"/>
      <c r="J159" s="99"/>
      <c r="K159" s="32" t="s">
        <v>175</v>
      </c>
      <c r="L159" s="47">
        <f>(IF(B153&gt;1,(I153/(B153+2)+L158),I153/4+L158))</f>
        <v>3.5</v>
      </c>
    </row>
    <row r="160" spans="1:12" ht="15" hidden="1" customHeight="1" x14ac:dyDescent="0.3">
      <c r="A160" s="95" t="s">
        <v>209</v>
      </c>
      <c r="B160" s="96" t="s">
        <v>210</v>
      </c>
      <c r="C160" s="45">
        <v>0</v>
      </c>
      <c r="D160" s="97">
        <f>((100/I153)*C160)/100</f>
        <v>0</v>
      </c>
      <c r="E160" s="97"/>
      <c r="F160" s="97"/>
      <c r="G160" s="97"/>
      <c r="H160" s="97"/>
      <c r="I160" s="97"/>
      <c r="J160" s="99"/>
      <c r="K160" s="32" t="s">
        <v>211</v>
      </c>
      <c r="L160" s="47">
        <f>(IF(B153&gt;1,(I153/(B153+2)+L159),0))</f>
        <v>0</v>
      </c>
    </row>
    <row r="161" spans="1:12" hidden="1" x14ac:dyDescent="0.3">
      <c r="A161" s="101" t="s">
        <v>212</v>
      </c>
      <c r="B161" s="90" t="s">
        <v>213</v>
      </c>
      <c r="C161" s="45">
        <v>0</v>
      </c>
      <c r="D161" s="97">
        <f>((100/(I153))*C161)/100</f>
        <v>0</v>
      </c>
      <c r="E161" s="97"/>
      <c r="F161" s="97"/>
      <c r="G161" s="97"/>
      <c r="H161" s="97"/>
      <c r="I161" s="97"/>
      <c r="J161" s="99"/>
      <c r="K161" s="32" t="s">
        <v>214</v>
      </c>
      <c r="L161" s="47">
        <f>(IF(B153&gt;2,(I153/(B153+2)+L160),0))</f>
        <v>0</v>
      </c>
    </row>
    <row r="162" spans="1:12" hidden="1" x14ac:dyDescent="0.3">
      <c r="A162" s="95" t="s">
        <v>215</v>
      </c>
      <c r="B162" s="96" t="s">
        <v>215</v>
      </c>
      <c r="C162" s="45">
        <v>0</v>
      </c>
      <c r="D162" s="97">
        <f>((100/I153)*C162)/100</f>
        <v>0</v>
      </c>
      <c r="E162" s="97"/>
      <c r="F162" s="97"/>
      <c r="G162" s="97"/>
      <c r="H162" s="97"/>
      <c r="I162" s="97"/>
      <c r="J162" s="99"/>
      <c r="K162" s="32" t="s">
        <v>216</v>
      </c>
      <c r="L162" s="48">
        <f>(IF(B153&gt;3,(I153/(B153+2)+L161),0))</f>
        <v>0</v>
      </c>
    </row>
    <row r="163" spans="1:12" ht="15" hidden="1" customHeight="1" x14ac:dyDescent="0.3">
      <c r="A163" s="95" t="s">
        <v>217</v>
      </c>
      <c r="B163" s="96"/>
      <c r="C163" s="45">
        <v>0</v>
      </c>
      <c r="D163" s="97">
        <f>((100/I153)*C163)/100</f>
        <v>0</v>
      </c>
      <c r="E163" s="97"/>
      <c r="F163" s="97"/>
      <c r="G163" s="97"/>
      <c r="H163" s="97"/>
      <c r="I163" s="97"/>
      <c r="J163" s="99"/>
      <c r="K163" s="32" t="s">
        <v>218</v>
      </c>
      <c r="L163" s="47">
        <f>(IF(B153&gt;4,(I153/(B153+2)+L162),0))</f>
        <v>0</v>
      </c>
    </row>
    <row r="164" spans="1:12" hidden="1" x14ac:dyDescent="0.3">
      <c r="A164" s="95" t="s">
        <v>219</v>
      </c>
      <c r="B164" s="96" t="s">
        <v>219</v>
      </c>
      <c r="C164" s="45">
        <v>0</v>
      </c>
      <c r="D164" s="97">
        <f>((100/(I153))*C164)/100</f>
        <v>0</v>
      </c>
      <c r="E164" s="97"/>
      <c r="F164" s="97"/>
      <c r="G164" s="97"/>
      <c r="H164" s="97"/>
      <c r="I164" s="97"/>
      <c r="J164" s="99"/>
      <c r="K164" s="32" t="s">
        <v>176</v>
      </c>
      <c r="L164" s="47">
        <f>(IF(B153=1,(I153/(B153+3)+L159),IF(B153=0,(I153/4+L159),IF(B153&gt;1,0))))</f>
        <v>5.25</v>
      </c>
    </row>
    <row r="165" spans="1:12" ht="15" hidden="1" thickBot="1" x14ac:dyDescent="0.35">
      <c r="A165" s="102" t="s">
        <v>220</v>
      </c>
      <c r="B165" s="103"/>
      <c r="C165" s="49">
        <v>0</v>
      </c>
      <c r="D165" s="98">
        <f>((100/(I153))*C165)/100</f>
        <v>0</v>
      </c>
      <c r="E165" s="98"/>
      <c r="F165" s="98"/>
      <c r="G165" s="98"/>
      <c r="H165" s="98"/>
      <c r="I165" s="98"/>
      <c r="J165" s="100"/>
      <c r="K165" s="34" t="s">
        <v>177</v>
      </c>
      <c r="L165" s="50">
        <f>(IF(B153&gt;1.5,(I153/(B153+2)+L159+MAX(0,L160-L159)+MAX(0,L161-L160)+MAX(0,L162-L161)+MAX(0,L163-L162)+MAX(0,L164-L163)),IF(B153=1,(I153/(B153+3)+L164),IF(B153=0,I153/4+L164))))</f>
        <v>7</v>
      </c>
    </row>
    <row r="166" spans="1:12" x14ac:dyDescent="0.3">
      <c r="A166" s="178" t="s">
        <v>170</v>
      </c>
      <c r="B166" s="178"/>
      <c r="C166" s="178"/>
      <c r="D166" s="178"/>
      <c r="E166" s="178"/>
      <c r="F166" s="178"/>
      <c r="G166" s="178"/>
      <c r="H166" s="178"/>
      <c r="I166" s="178"/>
      <c r="J166" s="178"/>
    </row>
    <row r="167" spans="1:12" x14ac:dyDescent="0.3">
      <c r="A167" s="78" t="s">
        <v>49</v>
      </c>
      <c r="B167" s="78"/>
      <c r="C167" s="78"/>
      <c r="D167" s="78"/>
      <c r="E167" s="78"/>
      <c r="F167" s="78"/>
      <c r="G167" s="78"/>
      <c r="H167" s="78"/>
      <c r="I167" s="78"/>
      <c r="J167" s="78"/>
    </row>
    <row r="168" spans="1:12" ht="15" customHeight="1" x14ac:dyDescent="0.3">
      <c r="A168" s="177" t="s">
        <v>72</v>
      </c>
      <c r="B168" s="177"/>
      <c r="C168" s="177"/>
      <c r="D168" s="177"/>
      <c r="E168" s="177"/>
      <c r="F168" s="177"/>
      <c r="G168" s="177"/>
      <c r="H168" s="177"/>
      <c r="I168" s="177"/>
      <c r="J168" s="177"/>
    </row>
    <row r="169" spans="1:12" x14ac:dyDescent="0.3">
      <c r="A169" s="177"/>
      <c r="B169" s="177"/>
      <c r="C169" s="177"/>
      <c r="D169" s="177"/>
      <c r="E169" s="177"/>
      <c r="F169" s="177"/>
      <c r="G169" s="177"/>
      <c r="H169" s="177"/>
      <c r="I169" s="177"/>
      <c r="J169" s="177"/>
    </row>
    <row r="170" spans="1:12" s="53" customFormat="1" x14ac:dyDescent="0.3">
      <c r="A170" s="208" t="s">
        <v>23</v>
      </c>
      <c r="B170" s="208"/>
      <c r="C170" s="208"/>
      <c r="D170" s="208"/>
      <c r="E170" s="208"/>
      <c r="F170" s="208"/>
      <c r="G170" s="208"/>
      <c r="H170" s="208"/>
      <c r="I170" s="208"/>
      <c r="J170" s="208"/>
    </row>
    <row r="171" spans="1:12" x14ac:dyDescent="0.3">
      <c r="A171" s="78" t="s">
        <v>151</v>
      </c>
      <c r="B171" s="78"/>
      <c r="C171" s="78"/>
      <c r="D171" s="78"/>
      <c r="E171" s="78"/>
      <c r="F171" s="78"/>
      <c r="G171" s="79">
        <v>4300</v>
      </c>
      <c r="H171" s="79"/>
      <c r="I171" s="79"/>
      <c r="J171" s="79"/>
    </row>
    <row r="172" spans="1:12" x14ac:dyDescent="0.3">
      <c r="A172" s="78" t="s">
        <v>166</v>
      </c>
      <c r="B172" s="78"/>
      <c r="C172" s="78"/>
      <c r="D172" s="78"/>
      <c r="E172" s="78"/>
      <c r="F172" s="78"/>
      <c r="G172" s="79">
        <v>5000</v>
      </c>
      <c r="H172" s="79"/>
      <c r="I172" s="79"/>
      <c r="J172" s="79"/>
    </row>
    <row r="173" spans="1:12" hidden="1" x14ac:dyDescent="0.3">
      <c r="A173" s="78" t="s">
        <v>70</v>
      </c>
      <c r="B173" s="78"/>
      <c r="C173" s="78"/>
      <c r="D173" s="78"/>
      <c r="E173" s="78"/>
      <c r="F173" s="78"/>
      <c r="G173" s="211" t="s">
        <v>50</v>
      </c>
      <c r="H173" s="211"/>
      <c r="I173" s="211"/>
      <c r="J173" s="211"/>
    </row>
    <row r="174" spans="1:12" hidden="1" x14ac:dyDescent="0.3">
      <c r="A174" s="78" t="s">
        <v>80</v>
      </c>
      <c r="B174" s="78"/>
      <c r="C174" s="78"/>
      <c r="D174" s="78"/>
      <c r="E174" s="78"/>
      <c r="F174" s="78"/>
      <c r="G174" s="211" t="s">
        <v>50</v>
      </c>
      <c r="H174" s="211"/>
      <c r="I174" s="211"/>
      <c r="J174" s="211"/>
    </row>
    <row r="175" spans="1:12" ht="15" customHeight="1" x14ac:dyDescent="0.3">
      <c r="A175" s="77" t="s">
        <v>152</v>
      </c>
      <c r="B175" s="77"/>
      <c r="C175" s="77"/>
      <c r="D175" s="77"/>
      <c r="E175" s="77"/>
      <c r="F175" s="77"/>
      <c r="G175" s="211" t="s">
        <v>229</v>
      </c>
      <c r="H175" s="211"/>
      <c r="I175" s="211"/>
      <c r="J175" s="211"/>
    </row>
    <row r="176" spans="1:12" hidden="1" x14ac:dyDescent="0.3">
      <c r="A176" s="78" t="s">
        <v>74</v>
      </c>
      <c r="B176" s="78"/>
      <c r="C176" s="78"/>
      <c r="D176" s="78"/>
      <c r="E176" s="78"/>
      <c r="F176" s="78"/>
      <c r="G176" s="211" t="s">
        <v>50</v>
      </c>
      <c r="H176" s="211"/>
      <c r="I176" s="211"/>
      <c r="J176" s="211"/>
    </row>
    <row r="177" spans="1:10" hidden="1" x14ac:dyDescent="0.3">
      <c r="A177" s="78" t="s">
        <v>71</v>
      </c>
      <c r="B177" s="78"/>
      <c r="C177" s="78"/>
      <c r="D177" s="78"/>
      <c r="E177" s="78"/>
      <c r="F177" s="78"/>
      <c r="G177" s="211" t="s">
        <v>50</v>
      </c>
      <c r="H177" s="211"/>
      <c r="I177" s="211"/>
      <c r="J177" s="211"/>
    </row>
    <row r="178" spans="1:10" hidden="1" x14ac:dyDescent="0.3">
      <c r="A178" s="78" t="s">
        <v>24</v>
      </c>
      <c r="B178" s="78"/>
      <c r="C178" s="78"/>
      <c r="D178" s="78"/>
      <c r="E178" s="78"/>
      <c r="F178" s="78"/>
      <c r="G178" s="211" t="s">
        <v>50</v>
      </c>
      <c r="H178" s="211"/>
      <c r="I178" s="211"/>
      <c r="J178" s="211"/>
    </row>
    <row r="179" spans="1:10" s="54" customFormat="1" x14ac:dyDescent="0.3">
      <c r="A179" s="208" t="s">
        <v>81</v>
      </c>
      <c r="B179" s="208"/>
      <c r="C179" s="208"/>
      <c r="D179" s="208"/>
      <c r="E179" s="208"/>
      <c r="F179" s="208"/>
      <c r="G179" s="215">
        <f>G171*0.8</f>
        <v>3440</v>
      </c>
      <c r="H179" s="215"/>
      <c r="I179" s="215"/>
      <c r="J179" s="215"/>
    </row>
    <row r="180" spans="1:10" s="55" customFormat="1" ht="21" customHeight="1" x14ac:dyDescent="0.3">
      <c r="A180" s="173" t="s">
        <v>82</v>
      </c>
      <c r="B180" s="173"/>
      <c r="C180" s="173"/>
      <c r="D180" s="173"/>
      <c r="E180" s="173"/>
      <c r="F180" s="173"/>
      <c r="G180" s="173"/>
      <c r="H180" s="173"/>
      <c r="I180" s="173"/>
      <c r="J180" s="173"/>
    </row>
    <row r="181" spans="1:10" x14ac:dyDescent="0.3">
      <c r="A181" s="173" t="s">
        <v>46</v>
      </c>
      <c r="B181" s="173"/>
      <c r="C181" s="173"/>
      <c r="D181" s="173"/>
      <c r="E181" s="173"/>
      <c r="F181" s="173"/>
      <c r="G181" s="173"/>
      <c r="H181" s="173"/>
      <c r="I181" s="173"/>
      <c r="J181" s="173"/>
    </row>
    <row r="182" spans="1:10" ht="45.75" customHeight="1" x14ac:dyDescent="0.3">
      <c r="A182" s="210" t="s">
        <v>32</v>
      </c>
      <c r="B182" s="210"/>
      <c r="C182" s="12" t="s">
        <v>29</v>
      </c>
      <c r="D182" s="210" t="s">
        <v>137</v>
      </c>
      <c r="E182" s="210"/>
      <c r="F182" s="12" t="s">
        <v>30</v>
      </c>
      <c r="G182" s="12" t="s">
        <v>118</v>
      </c>
      <c r="H182" s="12" t="s">
        <v>31</v>
      </c>
      <c r="I182" s="210" t="s">
        <v>83</v>
      </c>
      <c r="J182" s="210"/>
    </row>
    <row r="183" spans="1:10" ht="18.75" customHeight="1" x14ac:dyDescent="0.3">
      <c r="A183" s="210" t="s">
        <v>153</v>
      </c>
      <c r="B183" s="210"/>
      <c r="C183" s="210"/>
      <c r="D183" s="210"/>
      <c r="E183" s="210"/>
      <c r="F183" s="210"/>
      <c r="G183" s="210"/>
      <c r="H183" s="210"/>
      <c r="I183" s="210"/>
      <c r="J183" s="210"/>
    </row>
    <row r="184" spans="1:10" ht="15.75" customHeight="1" x14ac:dyDescent="0.3">
      <c r="A184" s="210" t="s">
        <v>141</v>
      </c>
      <c r="B184" s="210"/>
      <c r="C184" s="210"/>
      <c r="D184" s="210"/>
      <c r="E184" s="210"/>
      <c r="F184" s="210"/>
      <c r="G184" s="210"/>
      <c r="H184" s="210"/>
      <c r="I184" s="210"/>
      <c r="J184" s="210"/>
    </row>
    <row r="185" spans="1:10" ht="15.75" customHeight="1" x14ac:dyDescent="0.3">
      <c r="A185" s="210" t="s">
        <v>135</v>
      </c>
      <c r="B185" s="210"/>
      <c r="C185" s="210"/>
      <c r="D185" s="210"/>
      <c r="E185" s="210"/>
      <c r="F185" s="210"/>
      <c r="G185" s="210"/>
      <c r="H185" s="210"/>
      <c r="I185" s="210"/>
      <c r="J185" s="210"/>
    </row>
    <row r="186" spans="1:10" x14ac:dyDescent="0.3">
      <c r="A186" s="209">
        <v>1</v>
      </c>
      <c r="B186" s="209"/>
      <c r="C186" s="16" t="s">
        <v>119</v>
      </c>
      <c r="D186" s="209">
        <f>11.2*10.764</f>
        <v>120.55679999999998</v>
      </c>
      <c r="E186" s="209"/>
      <c r="F186" s="16">
        <v>0</v>
      </c>
      <c r="G186" s="16">
        <f t="shared" ref="G186:G195" si="0">D186*1.5+F186</f>
        <v>180.83519999999999</v>
      </c>
      <c r="H186" s="16" t="s">
        <v>157</v>
      </c>
      <c r="I186" s="209" t="s">
        <v>113</v>
      </c>
      <c r="J186" s="209"/>
    </row>
    <row r="187" spans="1:10" x14ac:dyDescent="0.3">
      <c r="A187" s="209">
        <v>2</v>
      </c>
      <c r="B187" s="209"/>
      <c r="C187" s="16" t="s">
        <v>119</v>
      </c>
      <c r="D187" s="209">
        <f>19.84*10.764</f>
        <v>213.55775999999997</v>
      </c>
      <c r="E187" s="209"/>
      <c r="F187" s="16">
        <v>0</v>
      </c>
      <c r="G187" s="16">
        <f t="shared" si="0"/>
        <v>320.33663999999999</v>
      </c>
      <c r="H187" s="16" t="s">
        <v>157</v>
      </c>
      <c r="I187" s="209" t="s">
        <v>113</v>
      </c>
      <c r="J187" s="209"/>
    </row>
    <row r="188" spans="1:10" x14ac:dyDescent="0.3">
      <c r="A188" s="209">
        <v>3</v>
      </c>
      <c r="B188" s="209"/>
      <c r="C188" s="16" t="s">
        <v>119</v>
      </c>
      <c r="D188" s="209">
        <f>19.18*10.764</f>
        <v>206.45352</v>
      </c>
      <c r="E188" s="209"/>
      <c r="F188" s="16">
        <v>0</v>
      </c>
      <c r="G188" s="16">
        <f t="shared" si="0"/>
        <v>309.68027999999998</v>
      </c>
      <c r="H188" s="16" t="s">
        <v>157</v>
      </c>
      <c r="I188" s="209" t="s">
        <v>113</v>
      </c>
      <c r="J188" s="209"/>
    </row>
    <row r="189" spans="1:10" x14ac:dyDescent="0.3">
      <c r="A189" s="209">
        <v>4</v>
      </c>
      <c r="B189" s="209"/>
      <c r="C189" s="16" t="s">
        <v>119</v>
      </c>
      <c r="D189" s="209">
        <f>28.31*10.764</f>
        <v>304.72883999999999</v>
      </c>
      <c r="E189" s="209"/>
      <c r="F189" s="16">
        <v>0</v>
      </c>
      <c r="G189" s="16">
        <f t="shared" si="0"/>
        <v>457.09325999999999</v>
      </c>
      <c r="H189" s="16" t="s">
        <v>157</v>
      </c>
      <c r="I189" s="209" t="s">
        <v>113</v>
      </c>
      <c r="J189" s="209"/>
    </row>
    <row r="190" spans="1:10" x14ac:dyDescent="0.3">
      <c r="A190" s="209">
        <v>5</v>
      </c>
      <c r="B190" s="209"/>
      <c r="C190" s="16" t="s">
        <v>119</v>
      </c>
      <c r="D190" s="209">
        <f>30.09*10.764</f>
        <v>323.88875999999999</v>
      </c>
      <c r="E190" s="209"/>
      <c r="F190" s="16">
        <v>0</v>
      </c>
      <c r="G190" s="16">
        <f t="shared" si="0"/>
        <v>485.83313999999996</v>
      </c>
      <c r="H190" s="16" t="s">
        <v>157</v>
      </c>
      <c r="I190" s="209" t="s">
        <v>113</v>
      </c>
      <c r="J190" s="209"/>
    </row>
    <row r="191" spans="1:10" x14ac:dyDescent="0.3">
      <c r="A191" s="209">
        <v>6</v>
      </c>
      <c r="B191" s="209"/>
      <c r="C191" s="16" t="s">
        <v>119</v>
      </c>
      <c r="D191" s="209">
        <f>D190</f>
        <v>323.88875999999999</v>
      </c>
      <c r="E191" s="209"/>
      <c r="F191" s="16">
        <v>0</v>
      </c>
      <c r="G191" s="16">
        <f t="shared" si="0"/>
        <v>485.83313999999996</v>
      </c>
      <c r="H191" s="16" t="s">
        <v>157</v>
      </c>
      <c r="I191" s="209" t="s">
        <v>113</v>
      </c>
      <c r="J191" s="209"/>
    </row>
    <row r="192" spans="1:10" x14ac:dyDescent="0.3">
      <c r="A192" s="209">
        <v>7</v>
      </c>
      <c r="B192" s="209"/>
      <c r="C192" s="16" t="s">
        <v>119</v>
      </c>
      <c r="D192" s="209">
        <f>D189</f>
        <v>304.72883999999999</v>
      </c>
      <c r="E192" s="209"/>
      <c r="F192" s="16">
        <v>0</v>
      </c>
      <c r="G192" s="16">
        <f t="shared" si="0"/>
        <v>457.09325999999999</v>
      </c>
      <c r="H192" s="16" t="s">
        <v>157</v>
      </c>
      <c r="I192" s="209" t="s">
        <v>113</v>
      </c>
      <c r="J192" s="209"/>
    </row>
    <row r="193" spans="1:10" x14ac:dyDescent="0.3">
      <c r="A193" s="209">
        <v>8</v>
      </c>
      <c r="B193" s="209"/>
      <c r="C193" s="16" t="s">
        <v>119</v>
      </c>
      <c r="D193" s="209">
        <f>D188</f>
        <v>206.45352</v>
      </c>
      <c r="E193" s="209"/>
      <c r="F193" s="16">
        <v>0</v>
      </c>
      <c r="G193" s="16">
        <f t="shared" si="0"/>
        <v>309.68027999999998</v>
      </c>
      <c r="H193" s="16" t="s">
        <v>157</v>
      </c>
      <c r="I193" s="209" t="s">
        <v>113</v>
      </c>
      <c r="J193" s="209"/>
    </row>
    <row r="194" spans="1:10" x14ac:dyDescent="0.3">
      <c r="A194" s="209">
        <v>9</v>
      </c>
      <c r="B194" s="209"/>
      <c r="C194" s="16" t="s">
        <v>119</v>
      </c>
      <c r="D194" s="209">
        <f>D187</f>
        <v>213.55775999999997</v>
      </c>
      <c r="E194" s="209"/>
      <c r="F194" s="16">
        <v>0</v>
      </c>
      <c r="G194" s="16">
        <f t="shared" si="0"/>
        <v>320.33663999999999</v>
      </c>
      <c r="H194" s="16" t="s">
        <v>157</v>
      </c>
      <c r="I194" s="209" t="s">
        <v>113</v>
      </c>
      <c r="J194" s="209"/>
    </row>
    <row r="195" spans="1:10" x14ac:dyDescent="0.3">
      <c r="A195" s="209">
        <v>10</v>
      </c>
      <c r="B195" s="209"/>
      <c r="C195" s="16" t="s">
        <v>119</v>
      </c>
      <c r="D195" s="209">
        <f>D186</f>
        <v>120.55679999999998</v>
      </c>
      <c r="E195" s="209"/>
      <c r="F195" s="16">
        <v>0</v>
      </c>
      <c r="G195" s="16">
        <f t="shared" si="0"/>
        <v>180.83519999999999</v>
      </c>
      <c r="H195" s="16" t="s">
        <v>157</v>
      </c>
      <c r="I195" s="209" t="s">
        <v>113</v>
      </c>
      <c r="J195" s="209"/>
    </row>
    <row r="196" spans="1:10" ht="15.75" customHeight="1" x14ac:dyDescent="0.3">
      <c r="A196" s="209">
        <v>1</v>
      </c>
      <c r="B196" s="209"/>
      <c r="C196" s="209" t="s">
        <v>140</v>
      </c>
      <c r="D196" s="209"/>
      <c r="E196" s="209"/>
      <c r="F196" s="209"/>
      <c r="G196" s="209"/>
      <c r="H196" s="209"/>
      <c r="I196" s="209" t="s">
        <v>113</v>
      </c>
      <c r="J196" s="209"/>
    </row>
    <row r="197" spans="1:10" x14ac:dyDescent="0.3">
      <c r="A197" s="209">
        <v>2</v>
      </c>
      <c r="B197" s="209"/>
      <c r="C197" s="16" t="s">
        <v>136</v>
      </c>
      <c r="D197" s="209">
        <v>437.35</v>
      </c>
      <c r="E197" s="209"/>
      <c r="F197" s="16">
        <v>0</v>
      </c>
      <c r="G197" s="16">
        <f>D197*1.45+F197</f>
        <v>634.15750000000003</v>
      </c>
      <c r="H197" s="16" t="s">
        <v>157</v>
      </c>
      <c r="I197" s="209" t="s">
        <v>113</v>
      </c>
      <c r="J197" s="209"/>
    </row>
    <row r="198" spans="1:10" x14ac:dyDescent="0.3">
      <c r="A198" s="209">
        <v>7</v>
      </c>
      <c r="B198" s="209"/>
      <c r="C198" s="16" t="s">
        <v>136</v>
      </c>
      <c r="D198" s="209">
        <v>437.35</v>
      </c>
      <c r="E198" s="209"/>
      <c r="F198" s="16">
        <v>0</v>
      </c>
      <c r="G198" s="16">
        <f>D198*1.45+F198</f>
        <v>634.15750000000003</v>
      </c>
      <c r="H198" s="16" t="s">
        <v>157</v>
      </c>
      <c r="I198" s="209" t="s">
        <v>113</v>
      </c>
      <c r="J198" s="209"/>
    </row>
    <row r="199" spans="1:10" ht="15.75" customHeight="1" x14ac:dyDescent="0.3">
      <c r="A199" s="209">
        <v>8</v>
      </c>
      <c r="B199" s="209"/>
      <c r="C199" s="16" t="s">
        <v>136</v>
      </c>
      <c r="D199" s="209">
        <v>491.54</v>
      </c>
      <c r="E199" s="209"/>
      <c r="F199" s="16">
        <v>0</v>
      </c>
      <c r="G199" s="16">
        <f>D199*1.45+F199</f>
        <v>712.73300000000006</v>
      </c>
      <c r="H199" s="16" t="s">
        <v>157</v>
      </c>
      <c r="I199" s="209" t="s">
        <v>113</v>
      </c>
      <c r="J199" s="209"/>
    </row>
    <row r="200" spans="1:10" ht="15.75" customHeight="1" x14ac:dyDescent="0.3">
      <c r="A200" s="210" t="s">
        <v>138</v>
      </c>
      <c r="B200" s="210"/>
      <c r="C200" s="210"/>
      <c r="D200" s="210"/>
      <c r="E200" s="210"/>
      <c r="F200" s="210"/>
      <c r="G200" s="210"/>
      <c r="H200" s="210"/>
      <c r="I200" s="210"/>
      <c r="J200" s="210"/>
    </row>
    <row r="201" spans="1:10" x14ac:dyDescent="0.3">
      <c r="A201" s="209">
        <v>1</v>
      </c>
      <c r="B201" s="209"/>
      <c r="C201" s="16" t="s">
        <v>136</v>
      </c>
      <c r="D201" s="209">
        <v>515.65</v>
      </c>
      <c r="E201" s="209"/>
      <c r="F201" s="16">
        <v>0</v>
      </c>
      <c r="G201" s="16">
        <f t="shared" ref="G201:G208" si="1">D201*1.45+F201</f>
        <v>747.6925</v>
      </c>
      <c r="H201" s="16" t="s">
        <v>157</v>
      </c>
      <c r="I201" s="209" t="s">
        <v>139</v>
      </c>
      <c r="J201" s="209"/>
    </row>
    <row r="202" spans="1:10" x14ac:dyDescent="0.3">
      <c r="A202" s="209">
        <v>2</v>
      </c>
      <c r="B202" s="209"/>
      <c r="C202" s="16" t="s">
        <v>136</v>
      </c>
      <c r="D202" s="209">
        <v>465.61</v>
      </c>
      <c r="E202" s="209"/>
      <c r="F202" s="16">
        <v>0</v>
      </c>
      <c r="G202" s="16">
        <f t="shared" si="1"/>
        <v>675.1345</v>
      </c>
      <c r="H202" s="16" t="s">
        <v>157</v>
      </c>
      <c r="I202" s="209" t="s">
        <v>139</v>
      </c>
      <c r="J202" s="209"/>
    </row>
    <row r="203" spans="1:10" x14ac:dyDescent="0.3">
      <c r="A203" s="209">
        <v>3</v>
      </c>
      <c r="B203" s="209"/>
      <c r="C203" s="16" t="s">
        <v>136</v>
      </c>
      <c r="D203" s="209">
        <v>465.61</v>
      </c>
      <c r="E203" s="209"/>
      <c r="F203" s="16">
        <v>0</v>
      </c>
      <c r="G203" s="16">
        <f t="shared" si="1"/>
        <v>675.1345</v>
      </c>
      <c r="H203" s="16" t="s">
        <v>157</v>
      </c>
      <c r="I203" s="209" t="s">
        <v>139</v>
      </c>
      <c r="J203" s="209"/>
    </row>
    <row r="204" spans="1:10" x14ac:dyDescent="0.3">
      <c r="A204" s="209">
        <v>4</v>
      </c>
      <c r="B204" s="209"/>
      <c r="C204" s="16" t="s">
        <v>136</v>
      </c>
      <c r="D204" s="209">
        <v>515.65</v>
      </c>
      <c r="E204" s="209"/>
      <c r="F204" s="16">
        <v>0</v>
      </c>
      <c r="G204" s="16">
        <f t="shared" si="1"/>
        <v>747.6925</v>
      </c>
      <c r="H204" s="16" t="s">
        <v>157</v>
      </c>
      <c r="I204" s="209" t="s">
        <v>139</v>
      </c>
      <c r="J204" s="209"/>
    </row>
    <row r="205" spans="1:10" x14ac:dyDescent="0.3">
      <c r="A205" s="209">
        <v>5</v>
      </c>
      <c r="B205" s="209"/>
      <c r="C205" s="16" t="s">
        <v>136</v>
      </c>
      <c r="D205" s="209">
        <v>515.65</v>
      </c>
      <c r="E205" s="209"/>
      <c r="F205" s="16">
        <v>0</v>
      </c>
      <c r="G205" s="16">
        <f t="shared" si="1"/>
        <v>747.6925</v>
      </c>
      <c r="H205" s="16" t="s">
        <v>157</v>
      </c>
      <c r="I205" s="209" t="s">
        <v>139</v>
      </c>
      <c r="J205" s="209"/>
    </row>
    <row r="206" spans="1:10" x14ac:dyDescent="0.3">
      <c r="A206" s="209">
        <v>6</v>
      </c>
      <c r="B206" s="209"/>
      <c r="C206" s="16" t="s">
        <v>136</v>
      </c>
      <c r="D206" s="209">
        <v>465.61</v>
      </c>
      <c r="E206" s="209"/>
      <c r="F206" s="16">
        <v>0</v>
      </c>
      <c r="G206" s="16">
        <f t="shared" si="1"/>
        <v>675.1345</v>
      </c>
      <c r="H206" s="16" t="s">
        <v>157</v>
      </c>
      <c r="I206" s="209" t="s">
        <v>139</v>
      </c>
      <c r="J206" s="209"/>
    </row>
    <row r="207" spans="1:10" x14ac:dyDescent="0.3">
      <c r="A207" s="209">
        <v>7</v>
      </c>
      <c r="B207" s="209"/>
      <c r="C207" s="16" t="s">
        <v>136</v>
      </c>
      <c r="D207" s="209">
        <v>465.61</v>
      </c>
      <c r="E207" s="209"/>
      <c r="F207" s="16">
        <v>0</v>
      </c>
      <c r="G207" s="16">
        <f t="shared" si="1"/>
        <v>675.1345</v>
      </c>
      <c r="H207" s="16" t="s">
        <v>157</v>
      </c>
      <c r="I207" s="209" t="s">
        <v>139</v>
      </c>
      <c r="J207" s="209"/>
    </row>
    <row r="208" spans="1:10" x14ac:dyDescent="0.3">
      <c r="A208" s="209">
        <v>8</v>
      </c>
      <c r="B208" s="209"/>
      <c r="C208" s="16" t="s">
        <v>136</v>
      </c>
      <c r="D208" s="209">
        <v>515.65</v>
      </c>
      <c r="E208" s="209"/>
      <c r="F208" s="16">
        <v>0</v>
      </c>
      <c r="G208" s="16">
        <f t="shared" si="1"/>
        <v>747.6925</v>
      </c>
      <c r="H208" s="16" t="s">
        <v>157</v>
      </c>
      <c r="I208" s="209" t="s">
        <v>139</v>
      </c>
      <c r="J208" s="209"/>
    </row>
    <row r="209" spans="1:10" ht="15.75" customHeight="1" x14ac:dyDescent="0.3">
      <c r="A209" s="210" t="s">
        <v>159</v>
      </c>
      <c r="B209" s="210"/>
      <c r="C209" s="210"/>
      <c r="D209" s="210"/>
      <c r="E209" s="210"/>
      <c r="F209" s="210"/>
      <c r="G209" s="210"/>
      <c r="H209" s="210"/>
      <c r="I209" s="210"/>
      <c r="J209" s="210"/>
    </row>
    <row r="210" spans="1:10" ht="15.75" customHeight="1" x14ac:dyDescent="0.3">
      <c r="A210" s="210" t="s">
        <v>161</v>
      </c>
      <c r="B210" s="210"/>
      <c r="C210" s="210"/>
      <c r="D210" s="210"/>
      <c r="E210" s="210"/>
      <c r="F210" s="210"/>
      <c r="G210" s="210"/>
      <c r="H210" s="210"/>
      <c r="I210" s="210"/>
      <c r="J210" s="210"/>
    </row>
    <row r="211" spans="1:10" hidden="1" x14ac:dyDescent="0.3">
      <c r="A211" s="209">
        <v>1</v>
      </c>
      <c r="B211" s="209"/>
      <c r="C211" s="16" t="s">
        <v>136</v>
      </c>
      <c r="D211" s="209">
        <f>491.54</f>
        <v>491.54</v>
      </c>
      <c r="E211" s="209"/>
      <c r="F211" s="16">
        <v>0</v>
      </c>
      <c r="G211" s="16">
        <f>D211*1.45+F211</f>
        <v>712.73300000000006</v>
      </c>
      <c r="H211" s="16" t="s">
        <v>157</v>
      </c>
      <c r="I211" s="209" t="s">
        <v>113</v>
      </c>
      <c r="J211" s="209"/>
    </row>
    <row r="212" spans="1:10" hidden="1" x14ac:dyDescent="0.3">
      <c r="A212" s="209">
        <v>2</v>
      </c>
      <c r="B212" s="209"/>
      <c r="C212" s="16" t="s">
        <v>136</v>
      </c>
      <c r="D212" s="209">
        <f>491.17</f>
        <v>491.17</v>
      </c>
      <c r="E212" s="209"/>
      <c r="F212" s="16">
        <v>0</v>
      </c>
      <c r="G212" s="16">
        <f>D212*1.45+F212</f>
        <v>712.19650000000001</v>
      </c>
      <c r="H212" s="16" t="s">
        <v>157</v>
      </c>
      <c r="I212" s="209" t="s">
        <v>113</v>
      </c>
      <c r="J212" s="209"/>
    </row>
    <row r="213" spans="1:10" ht="15.75" hidden="1" customHeight="1" x14ac:dyDescent="0.3">
      <c r="A213" s="209">
        <v>3</v>
      </c>
      <c r="B213" s="209"/>
      <c r="C213" s="209" t="s">
        <v>140</v>
      </c>
      <c r="D213" s="209"/>
      <c r="E213" s="209"/>
      <c r="F213" s="209"/>
      <c r="G213" s="209"/>
      <c r="H213" s="209"/>
      <c r="I213" s="209" t="s">
        <v>113</v>
      </c>
      <c r="J213" s="209"/>
    </row>
    <row r="214" spans="1:10" hidden="1" x14ac:dyDescent="0.3">
      <c r="A214" s="209">
        <v>4</v>
      </c>
      <c r="B214" s="209"/>
      <c r="C214" s="16" t="s">
        <v>136</v>
      </c>
      <c r="D214" s="209">
        <v>436.99</v>
      </c>
      <c r="E214" s="209"/>
      <c r="F214" s="16">
        <v>0</v>
      </c>
      <c r="G214" s="16">
        <f>D214*1.45+F214</f>
        <v>633.63549999999998</v>
      </c>
      <c r="H214" s="16" t="s">
        <v>157</v>
      </c>
      <c r="I214" s="209" t="s">
        <v>113</v>
      </c>
      <c r="J214" s="209"/>
    </row>
    <row r="215" spans="1:10" hidden="1" x14ac:dyDescent="0.3">
      <c r="A215" s="209">
        <v>5</v>
      </c>
      <c r="B215" s="209"/>
      <c r="C215" s="16" t="s">
        <v>136</v>
      </c>
      <c r="D215" s="209">
        <v>437.35</v>
      </c>
      <c r="E215" s="209"/>
      <c r="F215" s="16">
        <v>0</v>
      </c>
      <c r="G215" s="16">
        <f>D215*1.45+F215</f>
        <v>634.15750000000003</v>
      </c>
      <c r="H215" s="16" t="s">
        <v>157</v>
      </c>
      <c r="I215" s="209" t="s">
        <v>113</v>
      </c>
      <c r="J215" s="209"/>
    </row>
    <row r="216" spans="1:10" hidden="1" x14ac:dyDescent="0.3">
      <c r="A216" s="209">
        <v>6</v>
      </c>
      <c r="B216" s="209"/>
      <c r="C216" s="16" t="s">
        <v>136</v>
      </c>
      <c r="D216" s="209">
        <v>491.17</v>
      </c>
      <c r="E216" s="209"/>
      <c r="F216" s="16">
        <v>0</v>
      </c>
      <c r="G216" s="16">
        <f>D216*1.45+F216</f>
        <v>712.19650000000001</v>
      </c>
      <c r="H216" s="16" t="s">
        <v>157</v>
      </c>
      <c r="I216" s="209" t="s">
        <v>113</v>
      </c>
      <c r="J216" s="209"/>
    </row>
    <row r="217" spans="1:10" ht="15.75" customHeight="1" x14ac:dyDescent="0.3">
      <c r="A217" s="210" t="s">
        <v>138</v>
      </c>
      <c r="B217" s="210"/>
      <c r="C217" s="210"/>
      <c r="D217" s="210"/>
      <c r="E217" s="210"/>
      <c r="F217" s="210"/>
      <c r="G217" s="210"/>
      <c r="H217" s="210"/>
      <c r="I217" s="210"/>
      <c r="J217" s="210"/>
    </row>
    <row r="218" spans="1:10" x14ac:dyDescent="0.3">
      <c r="A218" s="209">
        <v>1</v>
      </c>
      <c r="B218" s="209"/>
      <c r="C218" s="16" t="s">
        <v>136</v>
      </c>
      <c r="D218" s="209">
        <v>515.65</v>
      </c>
      <c r="E218" s="209"/>
      <c r="F218" s="16">
        <v>0</v>
      </c>
      <c r="G218" s="16">
        <f t="shared" ref="G218:G223" si="2">D218*1.45+F218</f>
        <v>747.6925</v>
      </c>
      <c r="H218" s="16" t="s">
        <v>157</v>
      </c>
      <c r="I218" s="209" t="s">
        <v>139</v>
      </c>
      <c r="J218" s="209"/>
    </row>
    <row r="219" spans="1:10" x14ac:dyDescent="0.3">
      <c r="A219" s="209">
        <v>2</v>
      </c>
      <c r="B219" s="209"/>
      <c r="C219" s="16" t="s">
        <v>136</v>
      </c>
      <c r="D219" s="209">
        <v>515.52</v>
      </c>
      <c r="E219" s="209"/>
      <c r="F219" s="16">
        <v>0</v>
      </c>
      <c r="G219" s="16">
        <f t="shared" si="2"/>
        <v>747.50399999999991</v>
      </c>
      <c r="H219" s="16" t="s">
        <v>157</v>
      </c>
      <c r="I219" s="209" t="s">
        <v>139</v>
      </c>
      <c r="J219" s="209"/>
    </row>
    <row r="220" spans="1:10" x14ac:dyDescent="0.3">
      <c r="A220" s="209">
        <v>3</v>
      </c>
      <c r="B220" s="209"/>
      <c r="C220" s="16" t="s">
        <v>136</v>
      </c>
      <c r="D220" s="209">
        <v>514.79999999999995</v>
      </c>
      <c r="E220" s="209"/>
      <c r="F220" s="16">
        <v>0</v>
      </c>
      <c r="G220" s="16">
        <f t="shared" si="2"/>
        <v>746.45999999999992</v>
      </c>
      <c r="H220" s="16" t="s">
        <v>157</v>
      </c>
      <c r="I220" s="209" t="s">
        <v>139</v>
      </c>
      <c r="J220" s="209"/>
    </row>
    <row r="221" spans="1:10" x14ac:dyDescent="0.3">
      <c r="A221" s="209">
        <v>4</v>
      </c>
      <c r="B221" s="209"/>
      <c r="C221" s="16" t="s">
        <v>136</v>
      </c>
      <c r="D221" s="209">
        <v>464.2</v>
      </c>
      <c r="E221" s="209"/>
      <c r="F221" s="16">
        <v>0</v>
      </c>
      <c r="G221" s="16">
        <f t="shared" si="2"/>
        <v>673.08999999999992</v>
      </c>
      <c r="H221" s="16" t="s">
        <v>157</v>
      </c>
      <c r="I221" s="209" t="s">
        <v>139</v>
      </c>
      <c r="J221" s="209"/>
    </row>
    <row r="222" spans="1:10" x14ac:dyDescent="0.3">
      <c r="A222" s="209">
        <v>5</v>
      </c>
      <c r="B222" s="209"/>
      <c r="C222" s="16" t="s">
        <v>136</v>
      </c>
      <c r="D222" s="209">
        <v>465.61</v>
      </c>
      <c r="E222" s="209"/>
      <c r="F222" s="16">
        <v>0</v>
      </c>
      <c r="G222" s="16">
        <f t="shared" si="2"/>
        <v>675.1345</v>
      </c>
      <c r="H222" s="16" t="s">
        <v>157</v>
      </c>
      <c r="I222" s="209" t="s">
        <v>139</v>
      </c>
      <c r="J222" s="209"/>
    </row>
    <row r="223" spans="1:10" x14ac:dyDescent="0.3">
      <c r="A223" s="209">
        <v>6</v>
      </c>
      <c r="B223" s="209"/>
      <c r="C223" s="16" t="s">
        <v>136</v>
      </c>
      <c r="D223" s="209">
        <v>515.52</v>
      </c>
      <c r="E223" s="209"/>
      <c r="F223" s="16">
        <v>0</v>
      </c>
      <c r="G223" s="16">
        <f t="shared" si="2"/>
        <v>747.50399999999991</v>
      </c>
      <c r="H223" s="16" t="s">
        <v>157</v>
      </c>
      <c r="I223" s="209" t="s">
        <v>139</v>
      </c>
      <c r="J223" s="209"/>
    </row>
    <row r="224" spans="1:10" ht="15.75" customHeight="1" x14ac:dyDescent="0.3">
      <c r="A224" s="210" t="s">
        <v>142</v>
      </c>
      <c r="B224" s="210"/>
      <c r="C224" s="210"/>
      <c r="D224" s="210"/>
      <c r="E224" s="210"/>
      <c r="F224" s="210"/>
      <c r="G224" s="210"/>
      <c r="H224" s="210"/>
      <c r="I224" s="210"/>
      <c r="J224" s="210"/>
    </row>
    <row r="225" spans="1:10" ht="15.75" customHeight="1" x14ac:dyDescent="0.3">
      <c r="A225" s="210" t="s">
        <v>135</v>
      </c>
      <c r="B225" s="210"/>
      <c r="C225" s="210"/>
      <c r="D225" s="210"/>
      <c r="E225" s="210"/>
      <c r="F225" s="210"/>
      <c r="G225" s="210"/>
      <c r="H225" s="210"/>
      <c r="I225" s="210"/>
      <c r="J225" s="210"/>
    </row>
    <row r="226" spans="1:10" x14ac:dyDescent="0.3">
      <c r="A226" s="209">
        <v>1</v>
      </c>
      <c r="B226" s="209"/>
      <c r="C226" s="16" t="s">
        <v>119</v>
      </c>
      <c r="D226" s="209">
        <f>8.38*10.764</f>
        <v>90.20232</v>
      </c>
      <c r="E226" s="209"/>
      <c r="F226" s="16">
        <v>0</v>
      </c>
      <c r="G226" s="16">
        <f t="shared" ref="G226:G238" si="3">D226*1.5+F226</f>
        <v>135.30348000000001</v>
      </c>
      <c r="H226" s="16" t="s">
        <v>157</v>
      </c>
      <c r="I226" s="209" t="s">
        <v>113</v>
      </c>
      <c r="J226" s="209"/>
    </row>
    <row r="227" spans="1:10" x14ac:dyDescent="0.3">
      <c r="A227" s="209">
        <v>2</v>
      </c>
      <c r="B227" s="209"/>
      <c r="C227" s="16" t="s">
        <v>119</v>
      </c>
      <c r="D227" s="209">
        <f>17.45*10.764</f>
        <v>187.83179999999999</v>
      </c>
      <c r="E227" s="209"/>
      <c r="F227" s="16">
        <v>0</v>
      </c>
      <c r="G227" s="16">
        <f t="shared" si="3"/>
        <v>281.74770000000001</v>
      </c>
      <c r="H227" s="16" t="s">
        <v>157</v>
      </c>
      <c r="I227" s="209" t="s">
        <v>113</v>
      </c>
      <c r="J227" s="209"/>
    </row>
    <row r="228" spans="1:10" x14ac:dyDescent="0.3">
      <c r="A228" s="209">
        <v>3</v>
      </c>
      <c r="B228" s="209"/>
      <c r="C228" s="16" t="s">
        <v>119</v>
      </c>
      <c r="D228" s="209">
        <f>16.36*10.764</f>
        <v>176.09903999999997</v>
      </c>
      <c r="E228" s="209"/>
      <c r="F228" s="16">
        <v>0</v>
      </c>
      <c r="G228" s="16">
        <f t="shared" si="3"/>
        <v>264.14855999999997</v>
      </c>
      <c r="H228" s="16" t="s">
        <v>157</v>
      </c>
      <c r="I228" s="209" t="s">
        <v>113</v>
      </c>
      <c r="J228" s="209"/>
    </row>
    <row r="229" spans="1:10" x14ac:dyDescent="0.3">
      <c r="A229" s="209">
        <v>4</v>
      </c>
      <c r="B229" s="209"/>
      <c r="C229" s="16" t="s">
        <v>119</v>
      </c>
      <c r="D229" s="209">
        <f>17.25*10.764</f>
        <v>185.679</v>
      </c>
      <c r="E229" s="209"/>
      <c r="F229" s="16">
        <v>0</v>
      </c>
      <c r="G229" s="16">
        <f t="shared" si="3"/>
        <v>278.51850000000002</v>
      </c>
      <c r="H229" s="16" t="s">
        <v>157</v>
      </c>
      <c r="I229" s="209" t="s">
        <v>113</v>
      </c>
      <c r="J229" s="209"/>
    </row>
    <row r="230" spans="1:10" x14ac:dyDescent="0.3">
      <c r="A230" s="209">
        <v>5</v>
      </c>
      <c r="B230" s="209"/>
      <c r="C230" s="16" t="s">
        <v>119</v>
      </c>
      <c r="D230" s="209">
        <f>11.925*10.764</f>
        <v>128.36070000000001</v>
      </c>
      <c r="E230" s="209"/>
      <c r="F230" s="16">
        <v>0</v>
      </c>
      <c r="G230" s="16">
        <f t="shared" si="3"/>
        <v>192.54105000000001</v>
      </c>
      <c r="H230" s="16" t="s">
        <v>157</v>
      </c>
      <c r="I230" s="209" t="s">
        <v>113</v>
      </c>
      <c r="J230" s="209"/>
    </row>
    <row r="231" spans="1:10" x14ac:dyDescent="0.3">
      <c r="A231" s="209">
        <v>6</v>
      </c>
      <c r="B231" s="209"/>
      <c r="C231" s="16" t="s">
        <v>119</v>
      </c>
      <c r="D231" s="209">
        <f>10.58*10.764</f>
        <v>113.88311999999999</v>
      </c>
      <c r="E231" s="209"/>
      <c r="F231" s="16">
        <v>0</v>
      </c>
      <c r="G231" s="16">
        <f t="shared" si="3"/>
        <v>170.82468</v>
      </c>
      <c r="H231" s="16" t="s">
        <v>157</v>
      </c>
      <c r="I231" s="209" t="s">
        <v>113</v>
      </c>
      <c r="J231" s="209"/>
    </row>
    <row r="232" spans="1:10" x14ac:dyDescent="0.3">
      <c r="A232" s="209">
        <v>7</v>
      </c>
      <c r="B232" s="209"/>
      <c r="C232" s="16" t="s">
        <v>119</v>
      </c>
      <c r="D232" s="209">
        <f>11.52*10.764</f>
        <v>124.00127999999999</v>
      </c>
      <c r="E232" s="209"/>
      <c r="F232" s="16">
        <v>0</v>
      </c>
      <c r="G232" s="16">
        <f t="shared" si="3"/>
        <v>186.00191999999998</v>
      </c>
      <c r="H232" s="16" t="s">
        <v>157</v>
      </c>
      <c r="I232" s="209" t="s">
        <v>113</v>
      </c>
      <c r="J232" s="209"/>
    </row>
    <row r="233" spans="1:10" x14ac:dyDescent="0.3">
      <c r="A233" s="209">
        <v>8</v>
      </c>
      <c r="B233" s="209"/>
      <c r="C233" s="16" t="s">
        <v>119</v>
      </c>
      <c r="D233" s="209">
        <f>11.165*10.764</f>
        <v>120.18005999999998</v>
      </c>
      <c r="E233" s="209"/>
      <c r="F233" s="16">
        <v>0</v>
      </c>
      <c r="G233" s="16">
        <f t="shared" si="3"/>
        <v>180.27008999999998</v>
      </c>
      <c r="H233" s="16" t="s">
        <v>157</v>
      </c>
      <c r="I233" s="209" t="s">
        <v>113</v>
      </c>
      <c r="J233" s="209"/>
    </row>
    <row r="234" spans="1:10" x14ac:dyDescent="0.3">
      <c r="A234" s="209">
        <v>9</v>
      </c>
      <c r="B234" s="209"/>
      <c r="C234" s="16" t="s">
        <v>119</v>
      </c>
      <c r="D234" s="209">
        <f>11.928*10.764</f>
        <v>128.39299199999999</v>
      </c>
      <c r="E234" s="209"/>
      <c r="F234" s="16">
        <v>0</v>
      </c>
      <c r="G234" s="16">
        <f t="shared" si="3"/>
        <v>192.58948799999999</v>
      </c>
      <c r="H234" s="16" t="s">
        <v>157</v>
      </c>
      <c r="I234" s="209" t="s">
        <v>113</v>
      </c>
      <c r="J234" s="209"/>
    </row>
    <row r="235" spans="1:10" x14ac:dyDescent="0.3">
      <c r="A235" s="209">
        <v>10</v>
      </c>
      <c r="B235" s="209"/>
      <c r="C235" s="16" t="s">
        <v>119</v>
      </c>
      <c r="D235" s="209">
        <f>17.25*10.764</f>
        <v>185.679</v>
      </c>
      <c r="E235" s="209"/>
      <c r="F235" s="16">
        <v>0</v>
      </c>
      <c r="G235" s="16">
        <f t="shared" si="3"/>
        <v>278.51850000000002</v>
      </c>
      <c r="H235" s="16" t="s">
        <v>157</v>
      </c>
      <c r="I235" s="209" t="s">
        <v>113</v>
      </c>
      <c r="J235" s="209"/>
    </row>
    <row r="236" spans="1:10" x14ac:dyDescent="0.3">
      <c r="A236" s="209">
        <v>11</v>
      </c>
      <c r="B236" s="209"/>
      <c r="C236" s="16" t="s">
        <v>119</v>
      </c>
      <c r="D236" s="209">
        <f>16.36*10.764</f>
        <v>176.09903999999997</v>
      </c>
      <c r="E236" s="209"/>
      <c r="F236" s="16">
        <v>0</v>
      </c>
      <c r="G236" s="16">
        <f t="shared" si="3"/>
        <v>264.14855999999997</v>
      </c>
      <c r="H236" s="16" t="s">
        <v>157</v>
      </c>
      <c r="I236" s="209" t="s">
        <v>113</v>
      </c>
      <c r="J236" s="209"/>
    </row>
    <row r="237" spans="1:10" x14ac:dyDescent="0.3">
      <c r="A237" s="209">
        <v>12</v>
      </c>
      <c r="B237" s="209"/>
      <c r="C237" s="16" t="s">
        <v>119</v>
      </c>
      <c r="D237" s="209">
        <f>17.45*10.764</f>
        <v>187.83179999999999</v>
      </c>
      <c r="E237" s="209"/>
      <c r="F237" s="16">
        <v>0</v>
      </c>
      <c r="G237" s="16">
        <f t="shared" si="3"/>
        <v>281.74770000000001</v>
      </c>
      <c r="H237" s="16" t="s">
        <v>157</v>
      </c>
      <c r="I237" s="209" t="s">
        <v>113</v>
      </c>
      <c r="J237" s="209"/>
    </row>
    <row r="238" spans="1:10" x14ac:dyDescent="0.3">
      <c r="A238" s="209">
        <v>13</v>
      </c>
      <c r="B238" s="209"/>
      <c r="C238" s="16" t="s">
        <v>119</v>
      </c>
      <c r="D238" s="209">
        <f>8.38*10.764</f>
        <v>90.20232</v>
      </c>
      <c r="E238" s="209"/>
      <c r="F238" s="16">
        <v>0</v>
      </c>
      <c r="G238" s="16">
        <f t="shared" si="3"/>
        <v>135.30348000000001</v>
      </c>
      <c r="H238" s="16" t="s">
        <v>157</v>
      </c>
      <c r="I238" s="209" t="s">
        <v>113</v>
      </c>
      <c r="J238" s="209"/>
    </row>
    <row r="239" spans="1:10" x14ac:dyDescent="0.3">
      <c r="A239" s="209">
        <v>1</v>
      </c>
      <c r="B239" s="209"/>
      <c r="C239" s="16" t="s">
        <v>109</v>
      </c>
      <c r="D239" s="209">
        <v>368.43</v>
      </c>
      <c r="E239" s="209"/>
      <c r="F239" s="16">
        <v>0</v>
      </c>
      <c r="G239" s="16">
        <f>D239*1.45+F239</f>
        <v>534.22349999999994</v>
      </c>
      <c r="H239" s="16" t="s">
        <v>157</v>
      </c>
      <c r="I239" s="209" t="s">
        <v>113</v>
      </c>
      <c r="J239" s="209"/>
    </row>
    <row r="240" spans="1:10" x14ac:dyDescent="0.3">
      <c r="A240" s="209">
        <v>2</v>
      </c>
      <c r="B240" s="209"/>
      <c r="C240" s="16" t="s">
        <v>109</v>
      </c>
      <c r="D240" s="209">
        <v>426.79</v>
      </c>
      <c r="E240" s="209"/>
      <c r="F240" s="16">
        <v>0</v>
      </c>
      <c r="G240" s="16">
        <f>D240*1.45+F240</f>
        <v>618.84550000000002</v>
      </c>
      <c r="H240" s="16" t="s">
        <v>157</v>
      </c>
      <c r="I240" s="209" t="s">
        <v>113</v>
      </c>
      <c r="J240" s="209"/>
    </row>
    <row r="241" spans="1:10" x14ac:dyDescent="0.3">
      <c r="A241" s="209">
        <v>7</v>
      </c>
      <c r="B241" s="209"/>
      <c r="C241" s="16" t="s">
        <v>109</v>
      </c>
      <c r="D241" s="209">
        <v>426.79</v>
      </c>
      <c r="E241" s="209"/>
      <c r="F241" s="16">
        <v>0</v>
      </c>
      <c r="G241" s="16">
        <f>D241*1.45+F241</f>
        <v>618.84550000000002</v>
      </c>
      <c r="H241" s="16" t="s">
        <v>157</v>
      </c>
      <c r="I241" s="209" t="s">
        <v>113</v>
      </c>
      <c r="J241" s="209"/>
    </row>
    <row r="242" spans="1:10" ht="15.75" customHeight="1" x14ac:dyDescent="0.3">
      <c r="A242" s="210" t="s">
        <v>143</v>
      </c>
      <c r="B242" s="210"/>
      <c r="C242" s="210"/>
      <c r="D242" s="210"/>
      <c r="E242" s="210"/>
      <c r="F242" s="210"/>
      <c r="G242" s="210"/>
      <c r="H242" s="210"/>
      <c r="I242" s="210"/>
      <c r="J242" s="210"/>
    </row>
    <row r="243" spans="1:10" x14ac:dyDescent="0.3">
      <c r="A243" s="209">
        <v>1</v>
      </c>
      <c r="B243" s="209"/>
      <c r="C243" s="16" t="s">
        <v>109</v>
      </c>
      <c r="D243" s="209">
        <v>398.27</v>
      </c>
      <c r="E243" s="209"/>
      <c r="F243" s="16">
        <v>0</v>
      </c>
      <c r="G243" s="16">
        <f t="shared" ref="G243:G250" si="4">D243*1.45+F243</f>
        <v>577.49149999999997</v>
      </c>
      <c r="H243" s="16" t="s">
        <v>157</v>
      </c>
      <c r="I243" s="209" t="s">
        <v>144</v>
      </c>
      <c r="J243" s="209"/>
    </row>
    <row r="244" spans="1:10" x14ac:dyDescent="0.3">
      <c r="A244" s="209">
        <v>2</v>
      </c>
      <c r="B244" s="209"/>
      <c r="C244" s="16" t="s">
        <v>109</v>
      </c>
      <c r="D244" s="209">
        <v>455.25</v>
      </c>
      <c r="E244" s="209"/>
      <c r="F244" s="16">
        <v>0</v>
      </c>
      <c r="G244" s="16">
        <f t="shared" si="4"/>
        <v>660.11249999999995</v>
      </c>
      <c r="H244" s="16" t="s">
        <v>157</v>
      </c>
      <c r="I244" s="209" t="s">
        <v>144</v>
      </c>
      <c r="J244" s="209"/>
    </row>
    <row r="245" spans="1:10" x14ac:dyDescent="0.3">
      <c r="A245" s="209">
        <v>3</v>
      </c>
      <c r="B245" s="209"/>
      <c r="C245" s="16" t="s">
        <v>109</v>
      </c>
      <c r="D245" s="209">
        <v>455.25</v>
      </c>
      <c r="E245" s="209"/>
      <c r="F245" s="16">
        <v>0</v>
      </c>
      <c r="G245" s="16">
        <f t="shared" si="4"/>
        <v>660.11249999999995</v>
      </c>
      <c r="H245" s="16" t="s">
        <v>157</v>
      </c>
      <c r="I245" s="209" t="s">
        <v>144</v>
      </c>
      <c r="J245" s="209"/>
    </row>
    <row r="246" spans="1:10" x14ac:dyDescent="0.3">
      <c r="A246" s="209">
        <v>4</v>
      </c>
      <c r="B246" s="209"/>
      <c r="C246" s="16" t="s">
        <v>109</v>
      </c>
      <c r="D246" s="209">
        <v>397.39</v>
      </c>
      <c r="E246" s="209"/>
      <c r="F246" s="16">
        <v>0</v>
      </c>
      <c r="G246" s="16">
        <f t="shared" si="4"/>
        <v>576.21549999999991</v>
      </c>
      <c r="H246" s="16" t="s">
        <v>157</v>
      </c>
      <c r="I246" s="209" t="s">
        <v>144</v>
      </c>
      <c r="J246" s="209"/>
    </row>
    <row r="247" spans="1:10" x14ac:dyDescent="0.3">
      <c r="A247" s="209">
        <v>5</v>
      </c>
      <c r="B247" s="209"/>
      <c r="C247" s="16" t="s">
        <v>109</v>
      </c>
      <c r="D247" s="209">
        <v>397.39</v>
      </c>
      <c r="E247" s="209"/>
      <c r="F247" s="16">
        <v>0</v>
      </c>
      <c r="G247" s="16">
        <f t="shared" si="4"/>
        <v>576.21549999999991</v>
      </c>
      <c r="H247" s="16" t="s">
        <v>157</v>
      </c>
      <c r="I247" s="209" t="s">
        <v>144</v>
      </c>
      <c r="J247" s="209"/>
    </row>
    <row r="248" spans="1:10" x14ac:dyDescent="0.3">
      <c r="A248" s="209">
        <v>6</v>
      </c>
      <c r="B248" s="209"/>
      <c r="C248" s="16" t="s">
        <v>109</v>
      </c>
      <c r="D248" s="209">
        <v>455.25</v>
      </c>
      <c r="E248" s="209"/>
      <c r="F248" s="16">
        <v>0</v>
      </c>
      <c r="G248" s="16">
        <f t="shared" si="4"/>
        <v>660.11249999999995</v>
      </c>
      <c r="H248" s="16" t="s">
        <v>157</v>
      </c>
      <c r="I248" s="209" t="s">
        <v>144</v>
      </c>
      <c r="J248" s="209"/>
    </row>
    <row r="249" spans="1:10" x14ac:dyDescent="0.3">
      <c r="A249" s="209">
        <v>7</v>
      </c>
      <c r="B249" s="209"/>
      <c r="C249" s="16" t="s">
        <v>109</v>
      </c>
      <c r="D249" s="209">
        <v>455.25</v>
      </c>
      <c r="E249" s="209"/>
      <c r="F249" s="16">
        <v>0</v>
      </c>
      <c r="G249" s="16">
        <f t="shared" si="4"/>
        <v>660.11249999999995</v>
      </c>
      <c r="H249" s="16" t="s">
        <v>157</v>
      </c>
      <c r="I249" s="209" t="s">
        <v>144</v>
      </c>
      <c r="J249" s="209"/>
    </row>
    <row r="250" spans="1:10" x14ac:dyDescent="0.3">
      <c r="A250" s="209">
        <v>8</v>
      </c>
      <c r="B250" s="209"/>
      <c r="C250" s="16" t="s">
        <v>109</v>
      </c>
      <c r="D250" s="209">
        <v>398.27</v>
      </c>
      <c r="E250" s="209"/>
      <c r="F250" s="16">
        <v>0</v>
      </c>
      <c r="G250" s="16">
        <f t="shared" si="4"/>
        <v>577.49149999999997</v>
      </c>
      <c r="H250" s="16" t="s">
        <v>157</v>
      </c>
      <c r="I250" s="209" t="s">
        <v>144</v>
      </c>
      <c r="J250" s="209"/>
    </row>
    <row r="251" spans="1:10" ht="15.75" customHeight="1" x14ac:dyDescent="0.3">
      <c r="A251" s="210" t="s">
        <v>160</v>
      </c>
      <c r="B251" s="210"/>
      <c r="C251" s="210"/>
      <c r="D251" s="210"/>
      <c r="E251" s="210"/>
      <c r="F251" s="210"/>
      <c r="G251" s="210"/>
      <c r="H251" s="210"/>
      <c r="I251" s="210"/>
      <c r="J251" s="210"/>
    </row>
    <row r="252" spans="1:10" ht="15.75" customHeight="1" x14ac:dyDescent="0.3">
      <c r="A252" s="210" t="s">
        <v>135</v>
      </c>
      <c r="B252" s="210"/>
      <c r="C252" s="210"/>
      <c r="D252" s="210"/>
      <c r="E252" s="210"/>
      <c r="F252" s="210"/>
      <c r="G252" s="210"/>
      <c r="H252" s="210"/>
      <c r="I252" s="210"/>
      <c r="J252" s="210"/>
    </row>
    <row r="253" spans="1:10" x14ac:dyDescent="0.3">
      <c r="A253" s="209">
        <v>1</v>
      </c>
      <c r="B253" s="209"/>
      <c r="C253" s="16" t="s">
        <v>109</v>
      </c>
      <c r="D253" s="209">
        <v>368.43</v>
      </c>
      <c r="E253" s="209"/>
      <c r="F253" s="16">
        <v>0</v>
      </c>
      <c r="G253" s="16">
        <f t="shared" ref="G253:G259" si="5">D253*1.45+F253</f>
        <v>534.22349999999994</v>
      </c>
      <c r="H253" s="16" t="s">
        <v>157</v>
      </c>
      <c r="I253" s="209" t="s">
        <v>113</v>
      </c>
      <c r="J253" s="209"/>
    </row>
    <row r="254" spans="1:10" x14ac:dyDescent="0.3">
      <c r="A254" s="209">
        <v>2</v>
      </c>
      <c r="B254" s="209"/>
      <c r="C254" s="16" t="s">
        <v>109</v>
      </c>
      <c r="D254" s="209">
        <v>426.79</v>
      </c>
      <c r="E254" s="209"/>
      <c r="F254" s="16">
        <v>0</v>
      </c>
      <c r="G254" s="16">
        <f t="shared" si="5"/>
        <v>618.84550000000002</v>
      </c>
      <c r="H254" s="16" t="s">
        <v>157</v>
      </c>
      <c r="I254" s="209" t="s">
        <v>113</v>
      </c>
      <c r="J254" s="209"/>
    </row>
    <row r="255" spans="1:10" x14ac:dyDescent="0.3">
      <c r="A255" s="209">
        <v>3</v>
      </c>
      <c r="B255" s="209"/>
      <c r="C255" s="16" t="s">
        <v>109</v>
      </c>
      <c r="D255" s="209">
        <v>426.79</v>
      </c>
      <c r="E255" s="209"/>
      <c r="F255" s="16">
        <v>0</v>
      </c>
      <c r="G255" s="16">
        <f t="shared" si="5"/>
        <v>618.84550000000002</v>
      </c>
      <c r="H255" s="16" t="s">
        <v>157</v>
      </c>
      <c r="I255" s="209" t="s">
        <v>113</v>
      </c>
      <c r="J255" s="209"/>
    </row>
    <row r="256" spans="1:10" x14ac:dyDescent="0.3">
      <c r="A256" s="209">
        <v>4</v>
      </c>
      <c r="B256" s="209"/>
      <c r="C256" s="16" t="s">
        <v>109</v>
      </c>
      <c r="D256" s="209">
        <v>367.55</v>
      </c>
      <c r="E256" s="209"/>
      <c r="F256" s="16">
        <v>0</v>
      </c>
      <c r="G256" s="16">
        <f t="shared" si="5"/>
        <v>532.94749999999999</v>
      </c>
      <c r="H256" s="16" t="s">
        <v>157</v>
      </c>
      <c r="I256" s="209" t="s">
        <v>113</v>
      </c>
      <c r="J256" s="209"/>
    </row>
    <row r="257" spans="1:10" x14ac:dyDescent="0.3">
      <c r="A257" s="209">
        <v>5</v>
      </c>
      <c r="B257" s="209"/>
      <c r="C257" s="16" t="s">
        <v>109</v>
      </c>
      <c r="D257" s="209">
        <v>367.55</v>
      </c>
      <c r="E257" s="209"/>
      <c r="F257" s="16">
        <v>0</v>
      </c>
      <c r="G257" s="16">
        <f t="shared" si="5"/>
        <v>532.94749999999999</v>
      </c>
      <c r="H257" s="16" t="s">
        <v>157</v>
      </c>
      <c r="I257" s="209" t="s">
        <v>113</v>
      </c>
      <c r="J257" s="209"/>
    </row>
    <row r="258" spans="1:10" x14ac:dyDescent="0.3">
      <c r="A258" s="209">
        <v>6</v>
      </c>
      <c r="B258" s="209"/>
      <c r="C258" s="16" t="s">
        <v>109</v>
      </c>
      <c r="D258" s="209">
        <v>426.79</v>
      </c>
      <c r="E258" s="209"/>
      <c r="F258" s="16">
        <v>0</v>
      </c>
      <c r="G258" s="16">
        <f t="shared" si="5"/>
        <v>618.84550000000002</v>
      </c>
      <c r="H258" s="16" t="s">
        <v>157</v>
      </c>
      <c r="I258" s="209" t="s">
        <v>113</v>
      </c>
      <c r="J258" s="209"/>
    </row>
    <row r="259" spans="1:10" x14ac:dyDescent="0.3">
      <c r="A259" s="209">
        <v>7</v>
      </c>
      <c r="B259" s="209"/>
      <c r="C259" s="16" t="s">
        <v>109</v>
      </c>
      <c r="D259" s="209">
        <v>426.79</v>
      </c>
      <c r="E259" s="209"/>
      <c r="F259" s="16">
        <v>0</v>
      </c>
      <c r="G259" s="16">
        <f t="shared" si="5"/>
        <v>618.84550000000002</v>
      </c>
      <c r="H259" s="16" t="s">
        <v>157</v>
      </c>
      <c r="I259" s="209" t="s">
        <v>113</v>
      </c>
      <c r="J259" s="209"/>
    </row>
    <row r="260" spans="1:10" ht="15.75" customHeight="1" x14ac:dyDescent="0.3">
      <c r="A260" s="209">
        <v>8</v>
      </c>
      <c r="B260" s="209"/>
      <c r="C260" s="209" t="s">
        <v>140</v>
      </c>
      <c r="D260" s="209"/>
      <c r="E260" s="209"/>
      <c r="F260" s="209"/>
      <c r="G260" s="209"/>
      <c r="H260" s="209"/>
      <c r="I260" s="209" t="s">
        <v>113</v>
      </c>
      <c r="J260" s="209"/>
    </row>
    <row r="261" spans="1:10" ht="15.75" customHeight="1" x14ac:dyDescent="0.3">
      <c r="A261" s="210" t="s">
        <v>138</v>
      </c>
      <c r="B261" s="210"/>
      <c r="C261" s="210"/>
      <c r="D261" s="210"/>
      <c r="E261" s="210"/>
      <c r="F261" s="210"/>
      <c r="G261" s="210"/>
      <c r="H261" s="210"/>
      <c r="I261" s="210"/>
      <c r="J261" s="210"/>
    </row>
    <row r="262" spans="1:10" x14ac:dyDescent="0.3">
      <c r="A262" s="209">
        <v>1</v>
      </c>
      <c r="B262" s="209"/>
      <c r="C262" s="16" t="s">
        <v>109</v>
      </c>
      <c r="D262" s="209">
        <v>398.27</v>
      </c>
      <c r="E262" s="209"/>
      <c r="F262" s="16">
        <v>0</v>
      </c>
      <c r="G262" s="16">
        <f t="shared" ref="G262:G269" si="6">D262*1.45+F262</f>
        <v>577.49149999999997</v>
      </c>
      <c r="H262" s="16" t="s">
        <v>157</v>
      </c>
      <c r="I262" s="209" t="s">
        <v>139</v>
      </c>
      <c r="J262" s="209"/>
    </row>
    <row r="263" spans="1:10" x14ac:dyDescent="0.3">
      <c r="A263" s="209">
        <v>2</v>
      </c>
      <c r="B263" s="209"/>
      <c r="C263" s="16" t="s">
        <v>109</v>
      </c>
      <c r="D263" s="209">
        <v>455.25</v>
      </c>
      <c r="E263" s="209"/>
      <c r="F263" s="16">
        <v>0</v>
      </c>
      <c r="G263" s="16">
        <f t="shared" si="6"/>
        <v>660.11249999999995</v>
      </c>
      <c r="H263" s="16" t="s">
        <v>157</v>
      </c>
      <c r="I263" s="209" t="s">
        <v>139</v>
      </c>
      <c r="J263" s="209"/>
    </row>
    <row r="264" spans="1:10" x14ac:dyDescent="0.3">
      <c r="A264" s="209">
        <v>3</v>
      </c>
      <c r="B264" s="209"/>
      <c r="C264" s="16" t="s">
        <v>109</v>
      </c>
      <c r="D264" s="209">
        <v>455.25</v>
      </c>
      <c r="E264" s="209"/>
      <c r="F264" s="16">
        <v>0</v>
      </c>
      <c r="G264" s="16">
        <f t="shared" si="6"/>
        <v>660.11249999999995</v>
      </c>
      <c r="H264" s="16" t="s">
        <v>157</v>
      </c>
      <c r="I264" s="209" t="s">
        <v>139</v>
      </c>
      <c r="J264" s="209"/>
    </row>
    <row r="265" spans="1:10" x14ac:dyDescent="0.3">
      <c r="A265" s="209">
        <v>4</v>
      </c>
      <c r="B265" s="209"/>
      <c r="C265" s="16" t="s">
        <v>109</v>
      </c>
      <c r="D265" s="209">
        <v>397.39</v>
      </c>
      <c r="E265" s="209"/>
      <c r="F265" s="16">
        <v>0</v>
      </c>
      <c r="G265" s="16">
        <f t="shared" si="6"/>
        <v>576.21549999999991</v>
      </c>
      <c r="H265" s="16" t="s">
        <v>157</v>
      </c>
      <c r="I265" s="209" t="s">
        <v>139</v>
      </c>
      <c r="J265" s="209"/>
    </row>
    <row r="266" spans="1:10" x14ac:dyDescent="0.3">
      <c r="A266" s="209">
        <v>5</v>
      </c>
      <c r="B266" s="209"/>
      <c r="C266" s="16" t="s">
        <v>109</v>
      </c>
      <c r="D266" s="209">
        <v>397.39</v>
      </c>
      <c r="E266" s="209"/>
      <c r="F266" s="16">
        <v>0</v>
      </c>
      <c r="G266" s="16">
        <f t="shared" si="6"/>
        <v>576.21549999999991</v>
      </c>
      <c r="H266" s="16" t="s">
        <v>157</v>
      </c>
      <c r="I266" s="209" t="s">
        <v>139</v>
      </c>
      <c r="J266" s="209"/>
    </row>
    <row r="267" spans="1:10" x14ac:dyDescent="0.3">
      <c r="A267" s="209">
        <v>6</v>
      </c>
      <c r="B267" s="209"/>
      <c r="C267" s="16" t="s">
        <v>109</v>
      </c>
      <c r="D267" s="209">
        <v>455.25</v>
      </c>
      <c r="E267" s="209"/>
      <c r="F267" s="16">
        <v>0</v>
      </c>
      <c r="G267" s="16">
        <f t="shared" si="6"/>
        <v>660.11249999999995</v>
      </c>
      <c r="H267" s="16" t="s">
        <v>157</v>
      </c>
      <c r="I267" s="209" t="s">
        <v>139</v>
      </c>
      <c r="J267" s="209"/>
    </row>
    <row r="268" spans="1:10" x14ac:dyDescent="0.3">
      <c r="A268" s="209">
        <v>7</v>
      </c>
      <c r="B268" s="209"/>
      <c r="C268" s="16" t="s">
        <v>109</v>
      </c>
      <c r="D268" s="209">
        <v>455.25</v>
      </c>
      <c r="E268" s="209"/>
      <c r="F268" s="16">
        <v>0</v>
      </c>
      <c r="G268" s="16">
        <f t="shared" si="6"/>
        <v>660.11249999999995</v>
      </c>
      <c r="H268" s="16" t="s">
        <v>157</v>
      </c>
      <c r="I268" s="209" t="s">
        <v>139</v>
      </c>
      <c r="J268" s="209"/>
    </row>
    <row r="269" spans="1:10" x14ac:dyDescent="0.3">
      <c r="A269" s="209">
        <v>8</v>
      </c>
      <c r="B269" s="209"/>
      <c r="C269" s="16" t="s">
        <v>109</v>
      </c>
      <c r="D269" s="209">
        <v>398.27</v>
      </c>
      <c r="E269" s="209"/>
      <c r="F269" s="16">
        <v>0</v>
      </c>
      <c r="G269" s="16">
        <f t="shared" si="6"/>
        <v>577.49149999999997</v>
      </c>
      <c r="H269" s="16" t="s">
        <v>157</v>
      </c>
      <c r="I269" s="209" t="s">
        <v>139</v>
      </c>
      <c r="J269" s="209"/>
    </row>
    <row r="270" spans="1:10" ht="15.75" customHeight="1" x14ac:dyDescent="0.3">
      <c r="A270" s="174" t="s">
        <v>154</v>
      </c>
      <c r="B270" s="175"/>
      <c r="C270" s="175"/>
      <c r="D270" s="175"/>
      <c r="E270" s="175"/>
      <c r="F270" s="175"/>
      <c r="G270" s="175"/>
      <c r="H270" s="175"/>
      <c r="I270" s="175"/>
      <c r="J270" s="176"/>
    </row>
    <row r="271" spans="1:10" ht="15.75" customHeight="1" x14ac:dyDescent="0.3">
      <c r="A271" s="174" t="s">
        <v>135</v>
      </c>
      <c r="B271" s="175"/>
      <c r="C271" s="175"/>
      <c r="D271" s="175"/>
      <c r="E271" s="175"/>
      <c r="F271" s="175"/>
      <c r="G271" s="175"/>
      <c r="H271" s="175"/>
      <c r="I271" s="175"/>
      <c r="J271" s="176"/>
    </row>
    <row r="272" spans="1:10" x14ac:dyDescent="0.3">
      <c r="A272" s="147">
        <v>1</v>
      </c>
      <c r="B272" s="148"/>
      <c r="C272" s="16" t="s">
        <v>109</v>
      </c>
      <c r="D272" s="147">
        <v>323.68</v>
      </c>
      <c r="E272" s="148"/>
      <c r="F272" s="16">
        <v>0</v>
      </c>
      <c r="G272" s="16">
        <f>D272*1.45+F272</f>
        <v>469.33600000000001</v>
      </c>
      <c r="H272" s="16" t="s">
        <v>157</v>
      </c>
      <c r="I272" s="147" t="s">
        <v>113</v>
      </c>
      <c r="J272" s="148"/>
    </row>
    <row r="273" spans="1:10" x14ac:dyDescent="0.3">
      <c r="A273" s="147">
        <v>2</v>
      </c>
      <c r="B273" s="148"/>
      <c r="C273" s="16" t="s">
        <v>109</v>
      </c>
      <c r="D273" s="147">
        <v>323.44</v>
      </c>
      <c r="E273" s="148"/>
      <c r="F273" s="16">
        <v>0</v>
      </c>
      <c r="G273" s="16">
        <f>D273*1.45+F273</f>
        <v>468.988</v>
      </c>
      <c r="H273" s="16" t="s">
        <v>157</v>
      </c>
      <c r="I273" s="147" t="s">
        <v>113</v>
      </c>
      <c r="J273" s="148"/>
    </row>
    <row r="274" spans="1:10" ht="15.75" customHeight="1" x14ac:dyDescent="0.3">
      <c r="A274" s="147">
        <v>3</v>
      </c>
      <c r="B274" s="148"/>
      <c r="C274" s="147" t="s">
        <v>140</v>
      </c>
      <c r="D274" s="179"/>
      <c r="E274" s="179"/>
      <c r="F274" s="179"/>
      <c r="G274" s="179"/>
      <c r="H274" s="179"/>
      <c r="I274" s="147" t="s">
        <v>113</v>
      </c>
      <c r="J274" s="148"/>
    </row>
    <row r="275" spans="1:10" x14ac:dyDescent="0.3">
      <c r="A275" s="147">
        <v>4</v>
      </c>
      <c r="B275" s="148"/>
      <c r="C275" s="16" t="s">
        <v>120</v>
      </c>
      <c r="D275" s="147">
        <v>213.91</v>
      </c>
      <c r="E275" s="148"/>
      <c r="F275" s="16">
        <v>0</v>
      </c>
      <c r="G275" s="16">
        <f>D275*1.45+F275</f>
        <v>310.16949999999997</v>
      </c>
      <c r="H275" s="16" t="s">
        <v>157</v>
      </c>
      <c r="I275" s="147" t="s">
        <v>113</v>
      </c>
      <c r="J275" s="148"/>
    </row>
    <row r="276" spans="1:10" x14ac:dyDescent="0.3">
      <c r="A276" s="147">
        <v>5</v>
      </c>
      <c r="B276" s="148"/>
      <c r="C276" s="16" t="s">
        <v>109</v>
      </c>
      <c r="D276" s="147">
        <v>323.68</v>
      </c>
      <c r="E276" s="148"/>
      <c r="F276" s="16">
        <v>0</v>
      </c>
      <c r="G276" s="16">
        <f>D276*1.45+F276</f>
        <v>469.33600000000001</v>
      </c>
      <c r="H276" s="16" t="s">
        <v>157</v>
      </c>
      <c r="I276" s="147" t="s">
        <v>113</v>
      </c>
      <c r="J276" s="148"/>
    </row>
    <row r="277" spans="1:10" x14ac:dyDescent="0.3">
      <c r="A277" s="147">
        <v>6</v>
      </c>
      <c r="B277" s="148"/>
      <c r="C277" s="16" t="s">
        <v>109</v>
      </c>
      <c r="D277" s="147">
        <v>323.44</v>
      </c>
      <c r="E277" s="148"/>
      <c r="F277" s="16">
        <v>0</v>
      </c>
      <c r="G277" s="16">
        <f>D277*1.45+F277</f>
        <v>468.988</v>
      </c>
      <c r="H277" s="16" t="s">
        <v>157</v>
      </c>
      <c r="I277" s="147" t="s">
        <v>113</v>
      </c>
      <c r="J277" s="148"/>
    </row>
    <row r="278" spans="1:10" x14ac:dyDescent="0.3">
      <c r="A278" s="147">
        <v>7</v>
      </c>
      <c r="B278" s="148"/>
      <c r="C278" s="16" t="s">
        <v>120</v>
      </c>
      <c r="D278" s="147">
        <v>213.97</v>
      </c>
      <c r="E278" s="148"/>
      <c r="F278" s="16">
        <v>0</v>
      </c>
      <c r="G278" s="16">
        <f>D278*1.45+F278</f>
        <v>310.25650000000002</v>
      </c>
      <c r="H278" s="16" t="s">
        <v>157</v>
      </c>
      <c r="I278" s="147" t="s">
        <v>113</v>
      </c>
      <c r="J278" s="148"/>
    </row>
    <row r="279" spans="1:10" x14ac:dyDescent="0.3">
      <c r="A279" s="147">
        <v>8</v>
      </c>
      <c r="B279" s="148"/>
      <c r="C279" s="16" t="s">
        <v>120</v>
      </c>
      <c r="D279" s="147">
        <v>213.48</v>
      </c>
      <c r="E279" s="148"/>
      <c r="F279" s="16">
        <v>0</v>
      </c>
      <c r="G279" s="16">
        <f>D279*1.45+F279</f>
        <v>309.54599999999999</v>
      </c>
      <c r="H279" s="16" t="s">
        <v>157</v>
      </c>
      <c r="I279" s="147" t="s">
        <v>113</v>
      </c>
      <c r="J279" s="148"/>
    </row>
    <row r="280" spans="1:10" ht="15.75" customHeight="1" x14ac:dyDescent="0.3">
      <c r="A280" s="174" t="s">
        <v>138</v>
      </c>
      <c r="B280" s="175"/>
      <c r="C280" s="175"/>
      <c r="D280" s="175"/>
      <c r="E280" s="175"/>
      <c r="F280" s="175"/>
      <c r="G280" s="175"/>
      <c r="H280" s="175"/>
      <c r="I280" s="175"/>
      <c r="J280" s="176"/>
    </row>
    <row r="281" spans="1:10" x14ac:dyDescent="0.3">
      <c r="A281" s="147">
        <v>1</v>
      </c>
      <c r="B281" s="148"/>
      <c r="C281" s="16" t="s">
        <v>109</v>
      </c>
      <c r="D281" s="147">
        <v>352.16</v>
      </c>
      <c r="E281" s="148"/>
      <c r="F281" s="16">
        <v>0</v>
      </c>
      <c r="G281" s="16">
        <f t="shared" ref="G281:G288" si="7">D281*1.45+F281</f>
        <v>510.63200000000001</v>
      </c>
      <c r="H281" s="16" t="s">
        <v>157</v>
      </c>
      <c r="I281" s="147" t="s">
        <v>139</v>
      </c>
      <c r="J281" s="148"/>
    </row>
    <row r="282" spans="1:10" x14ac:dyDescent="0.3">
      <c r="A282" s="147">
        <v>2</v>
      </c>
      <c r="B282" s="148"/>
      <c r="C282" s="16" t="s">
        <v>109</v>
      </c>
      <c r="D282" s="147">
        <v>351.91</v>
      </c>
      <c r="E282" s="148"/>
      <c r="F282" s="16">
        <v>0</v>
      </c>
      <c r="G282" s="16">
        <f t="shared" si="7"/>
        <v>510.26949999999999</v>
      </c>
      <c r="H282" s="16" t="s">
        <v>157</v>
      </c>
      <c r="I282" s="147" t="s">
        <v>139</v>
      </c>
      <c r="J282" s="148"/>
    </row>
    <row r="283" spans="1:10" x14ac:dyDescent="0.3">
      <c r="A283" s="147">
        <v>3</v>
      </c>
      <c r="B283" s="148"/>
      <c r="C283" s="16" t="s">
        <v>120</v>
      </c>
      <c r="D283" s="147">
        <v>213.97</v>
      </c>
      <c r="E283" s="148"/>
      <c r="F283" s="16">
        <v>0</v>
      </c>
      <c r="G283" s="16">
        <f t="shared" si="7"/>
        <v>310.25650000000002</v>
      </c>
      <c r="H283" s="16" t="s">
        <v>157</v>
      </c>
      <c r="I283" s="147" t="s">
        <v>139</v>
      </c>
      <c r="J283" s="148"/>
    </row>
    <row r="284" spans="1:10" x14ac:dyDescent="0.3">
      <c r="A284" s="147">
        <v>4</v>
      </c>
      <c r="B284" s="148"/>
      <c r="C284" s="16" t="s">
        <v>120</v>
      </c>
      <c r="D284" s="147">
        <v>213.91</v>
      </c>
      <c r="E284" s="148"/>
      <c r="F284" s="16">
        <v>0</v>
      </c>
      <c r="G284" s="16">
        <f t="shared" si="7"/>
        <v>310.16949999999997</v>
      </c>
      <c r="H284" s="16" t="s">
        <v>157</v>
      </c>
      <c r="I284" s="147" t="s">
        <v>139</v>
      </c>
      <c r="J284" s="148"/>
    </row>
    <row r="285" spans="1:10" x14ac:dyDescent="0.3">
      <c r="A285" s="147">
        <v>5</v>
      </c>
      <c r="B285" s="148"/>
      <c r="C285" s="16" t="s">
        <v>109</v>
      </c>
      <c r="D285" s="147">
        <v>352.05</v>
      </c>
      <c r="E285" s="148"/>
      <c r="F285" s="16">
        <v>0</v>
      </c>
      <c r="G285" s="16">
        <f t="shared" si="7"/>
        <v>510.47250000000003</v>
      </c>
      <c r="H285" s="16" t="s">
        <v>157</v>
      </c>
      <c r="I285" s="147" t="s">
        <v>139</v>
      </c>
      <c r="J285" s="148"/>
    </row>
    <row r="286" spans="1:10" x14ac:dyDescent="0.3">
      <c r="A286" s="147">
        <v>6</v>
      </c>
      <c r="B286" s="148"/>
      <c r="C286" s="16" t="s">
        <v>109</v>
      </c>
      <c r="D286" s="147">
        <v>351.91</v>
      </c>
      <c r="E286" s="148"/>
      <c r="F286" s="16">
        <v>0</v>
      </c>
      <c r="G286" s="16">
        <f t="shared" si="7"/>
        <v>510.26949999999999</v>
      </c>
      <c r="H286" s="16" t="s">
        <v>157</v>
      </c>
      <c r="I286" s="147" t="s">
        <v>139</v>
      </c>
      <c r="J286" s="148"/>
    </row>
    <row r="287" spans="1:10" x14ac:dyDescent="0.3">
      <c r="A287" s="147">
        <v>7</v>
      </c>
      <c r="B287" s="148"/>
      <c r="C287" s="16" t="s">
        <v>120</v>
      </c>
      <c r="D287" s="147">
        <v>213.97</v>
      </c>
      <c r="E287" s="148"/>
      <c r="F287" s="16">
        <v>0</v>
      </c>
      <c r="G287" s="16">
        <f t="shared" si="7"/>
        <v>310.25650000000002</v>
      </c>
      <c r="H287" s="16" t="s">
        <v>157</v>
      </c>
      <c r="I287" s="147" t="s">
        <v>139</v>
      </c>
      <c r="J287" s="148"/>
    </row>
    <row r="288" spans="1:10" x14ac:dyDescent="0.3">
      <c r="A288" s="147">
        <v>8</v>
      </c>
      <c r="B288" s="148"/>
      <c r="C288" s="16" t="s">
        <v>120</v>
      </c>
      <c r="D288" s="147">
        <v>213.48</v>
      </c>
      <c r="E288" s="148"/>
      <c r="F288" s="16">
        <v>0</v>
      </c>
      <c r="G288" s="16">
        <f t="shared" si="7"/>
        <v>309.54599999999999</v>
      </c>
      <c r="H288" s="16" t="s">
        <v>157</v>
      </c>
      <c r="I288" s="147" t="s">
        <v>139</v>
      </c>
      <c r="J288" s="148"/>
    </row>
    <row r="289" spans="1:10" ht="15.75" customHeight="1" x14ac:dyDescent="0.3">
      <c r="A289" s="174" t="s">
        <v>156</v>
      </c>
      <c r="B289" s="175"/>
      <c r="C289" s="175"/>
      <c r="D289" s="175"/>
      <c r="E289" s="175"/>
      <c r="F289" s="175"/>
      <c r="G289" s="175"/>
      <c r="H289" s="175"/>
      <c r="I289" s="175"/>
      <c r="J289" s="176"/>
    </row>
    <row r="290" spans="1:10" ht="15.75" customHeight="1" x14ac:dyDescent="0.3">
      <c r="A290" s="174" t="s">
        <v>135</v>
      </c>
      <c r="B290" s="175"/>
      <c r="C290" s="175"/>
      <c r="D290" s="175"/>
      <c r="E290" s="175"/>
      <c r="F290" s="175"/>
      <c r="G290" s="175"/>
      <c r="H290" s="175"/>
      <c r="I290" s="175"/>
      <c r="J290" s="176"/>
    </row>
    <row r="291" spans="1:10" x14ac:dyDescent="0.3">
      <c r="A291" s="147">
        <v>1</v>
      </c>
      <c r="B291" s="148"/>
      <c r="C291" s="16" t="s">
        <v>109</v>
      </c>
      <c r="D291" s="147">
        <v>323.68</v>
      </c>
      <c r="E291" s="148"/>
      <c r="F291" s="16">
        <v>0</v>
      </c>
      <c r="G291" s="16">
        <f>D291*1.45+F291</f>
        <v>469.33600000000001</v>
      </c>
      <c r="H291" s="16" t="s">
        <v>157</v>
      </c>
      <c r="I291" s="147" t="s">
        <v>113</v>
      </c>
      <c r="J291" s="148"/>
    </row>
    <row r="292" spans="1:10" x14ac:dyDescent="0.3">
      <c r="A292" s="147">
        <v>2</v>
      </c>
      <c r="B292" s="148"/>
      <c r="C292" s="16" t="s">
        <v>109</v>
      </c>
      <c r="D292" s="147">
        <v>323.44</v>
      </c>
      <c r="E292" s="148"/>
      <c r="F292" s="16">
        <v>0</v>
      </c>
      <c r="G292" s="16">
        <f>D292*1.45+F292</f>
        <v>468.988</v>
      </c>
      <c r="H292" s="16" t="s">
        <v>157</v>
      </c>
      <c r="I292" s="147" t="s">
        <v>113</v>
      </c>
      <c r="J292" s="148"/>
    </row>
    <row r="293" spans="1:10" ht="15.75" customHeight="1" x14ac:dyDescent="0.3">
      <c r="A293" s="147">
        <v>3</v>
      </c>
      <c r="B293" s="148"/>
      <c r="C293" s="147" t="s">
        <v>140</v>
      </c>
      <c r="D293" s="179"/>
      <c r="E293" s="179"/>
      <c r="F293" s="179"/>
      <c r="G293" s="179"/>
      <c r="H293" s="179"/>
      <c r="I293" s="147" t="s">
        <v>113</v>
      </c>
      <c r="J293" s="148"/>
    </row>
    <row r="294" spans="1:10" x14ac:dyDescent="0.3">
      <c r="A294" s="147">
        <v>4</v>
      </c>
      <c r="B294" s="148"/>
      <c r="C294" s="16" t="s">
        <v>120</v>
      </c>
      <c r="D294" s="147">
        <v>213.91</v>
      </c>
      <c r="E294" s="148"/>
      <c r="F294" s="16">
        <v>0</v>
      </c>
      <c r="G294" s="16">
        <f>D294*1.45+F294</f>
        <v>310.16949999999997</v>
      </c>
      <c r="H294" s="16" t="s">
        <v>157</v>
      </c>
      <c r="I294" s="147" t="s">
        <v>113</v>
      </c>
      <c r="J294" s="148"/>
    </row>
    <row r="295" spans="1:10" x14ac:dyDescent="0.3">
      <c r="A295" s="147">
        <v>5</v>
      </c>
      <c r="B295" s="148"/>
      <c r="C295" s="16" t="s">
        <v>109</v>
      </c>
      <c r="D295" s="147">
        <v>323.68</v>
      </c>
      <c r="E295" s="148"/>
      <c r="F295" s="16">
        <v>0</v>
      </c>
      <c r="G295" s="16">
        <f>D295*1.45+F295</f>
        <v>469.33600000000001</v>
      </c>
      <c r="H295" s="16" t="s">
        <v>157</v>
      </c>
      <c r="I295" s="147" t="s">
        <v>113</v>
      </c>
      <c r="J295" s="148"/>
    </row>
    <row r="296" spans="1:10" x14ac:dyDescent="0.3">
      <c r="A296" s="147">
        <v>6</v>
      </c>
      <c r="B296" s="148"/>
      <c r="C296" s="16" t="s">
        <v>109</v>
      </c>
      <c r="D296" s="147">
        <v>323.44</v>
      </c>
      <c r="E296" s="148"/>
      <c r="F296" s="16">
        <v>0</v>
      </c>
      <c r="G296" s="16">
        <f>D296*1.45+F296</f>
        <v>468.988</v>
      </c>
      <c r="H296" s="16" t="s">
        <v>157</v>
      </c>
      <c r="I296" s="147" t="s">
        <v>113</v>
      </c>
      <c r="J296" s="148"/>
    </row>
    <row r="297" spans="1:10" x14ac:dyDescent="0.3">
      <c r="A297" s="147">
        <v>7</v>
      </c>
      <c r="B297" s="148"/>
      <c r="C297" s="16" t="s">
        <v>120</v>
      </c>
      <c r="D297" s="147">
        <v>213.97</v>
      </c>
      <c r="E297" s="148"/>
      <c r="F297" s="16">
        <v>0</v>
      </c>
      <c r="G297" s="16">
        <f>D297*1.45+F297</f>
        <v>310.25650000000002</v>
      </c>
      <c r="H297" s="16" t="s">
        <v>157</v>
      </c>
      <c r="I297" s="147" t="s">
        <v>113</v>
      </c>
      <c r="J297" s="148"/>
    </row>
    <row r="298" spans="1:10" x14ac:dyDescent="0.3">
      <c r="A298" s="147">
        <v>8</v>
      </c>
      <c r="B298" s="148"/>
      <c r="C298" s="16" t="s">
        <v>120</v>
      </c>
      <c r="D298" s="147">
        <v>213.48</v>
      </c>
      <c r="E298" s="148"/>
      <c r="F298" s="16">
        <v>0</v>
      </c>
      <c r="G298" s="16">
        <f>D298*1.45+F298</f>
        <v>309.54599999999999</v>
      </c>
      <c r="H298" s="16" t="s">
        <v>157</v>
      </c>
      <c r="I298" s="147" t="s">
        <v>113</v>
      </c>
      <c r="J298" s="148"/>
    </row>
    <row r="299" spans="1:10" ht="15.75" customHeight="1" x14ac:dyDescent="0.3">
      <c r="A299" s="174" t="s">
        <v>138</v>
      </c>
      <c r="B299" s="175"/>
      <c r="C299" s="175"/>
      <c r="D299" s="175"/>
      <c r="E299" s="175"/>
      <c r="F299" s="175"/>
      <c r="G299" s="175"/>
      <c r="H299" s="175"/>
      <c r="I299" s="175"/>
      <c r="J299" s="176"/>
    </row>
    <row r="300" spans="1:10" x14ac:dyDescent="0.3">
      <c r="A300" s="147">
        <v>1</v>
      </c>
      <c r="B300" s="148"/>
      <c r="C300" s="16" t="s">
        <v>109</v>
      </c>
      <c r="D300" s="147">
        <v>352.16</v>
      </c>
      <c r="E300" s="148"/>
      <c r="F300" s="16">
        <v>0</v>
      </c>
      <c r="G300" s="16">
        <f t="shared" ref="G300:G307" si="8">D300*1.45+F300</f>
        <v>510.63200000000001</v>
      </c>
      <c r="H300" s="16" t="s">
        <v>157</v>
      </c>
      <c r="I300" s="147" t="s">
        <v>139</v>
      </c>
      <c r="J300" s="148"/>
    </row>
    <row r="301" spans="1:10" x14ac:dyDescent="0.3">
      <c r="A301" s="147">
        <v>2</v>
      </c>
      <c r="B301" s="148"/>
      <c r="C301" s="16" t="s">
        <v>109</v>
      </c>
      <c r="D301" s="147">
        <v>351.91</v>
      </c>
      <c r="E301" s="148"/>
      <c r="F301" s="16">
        <v>0</v>
      </c>
      <c r="G301" s="16">
        <f t="shared" si="8"/>
        <v>510.26949999999999</v>
      </c>
      <c r="H301" s="16" t="s">
        <v>157</v>
      </c>
      <c r="I301" s="147" t="s">
        <v>139</v>
      </c>
      <c r="J301" s="148"/>
    </row>
    <row r="302" spans="1:10" x14ac:dyDescent="0.3">
      <c r="A302" s="147">
        <v>3</v>
      </c>
      <c r="B302" s="148"/>
      <c r="C302" s="16" t="s">
        <v>120</v>
      </c>
      <c r="D302" s="147">
        <v>213.97</v>
      </c>
      <c r="E302" s="148"/>
      <c r="F302" s="16">
        <v>0</v>
      </c>
      <c r="G302" s="16">
        <f t="shared" si="8"/>
        <v>310.25650000000002</v>
      </c>
      <c r="H302" s="16" t="s">
        <v>157</v>
      </c>
      <c r="I302" s="147" t="s">
        <v>139</v>
      </c>
      <c r="J302" s="148"/>
    </row>
    <row r="303" spans="1:10" x14ac:dyDescent="0.3">
      <c r="A303" s="147">
        <v>4</v>
      </c>
      <c r="B303" s="148"/>
      <c r="C303" s="16" t="s">
        <v>120</v>
      </c>
      <c r="D303" s="147">
        <v>213.91</v>
      </c>
      <c r="E303" s="148"/>
      <c r="F303" s="16">
        <v>0</v>
      </c>
      <c r="G303" s="16">
        <f t="shared" si="8"/>
        <v>310.16949999999997</v>
      </c>
      <c r="H303" s="16" t="s">
        <v>157</v>
      </c>
      <c r="I303" s="147" t="s">
        <v>139</v>
      </c>
      <c r="J303" s="148"/>
    </row>
    <row r="304" spans="1:10" x14ac:dyDescent="0.3">
      <c r="A304" s="147">
        <v>5</v>
      </c>
      <c r="B304" s="148"/>
      <c r="C304" s="16" t="s">
        <v>109</v>
      </c>
      <c r="D304" s="147">
        <v>352.05</v>
      </c>
      <c r="E304" s="148"/>
      <c r="F304" s="16">
        <v>0</v>
      </c>
      <c r="G304" s="16">
        <f t="shared" si="8"/>
        <v>510.47250000000003</v>
      </c>
      <c r="H304" s="16" t="s">
        <v>157</v>
      </c>
      <c r="I304" s="147" t="s">
        <v>139</v>
      </c>
      <c r="J304" s="148"/>
    </row>
    <row r="305" spans="1:10" x14ac:dyDescent="0.3">
      <c r="A305" s="147">
        <v>6</v>
      </c>
      <c r="B305" s="148"/>
      <c r="C305" s="16" t="s">
        <v>109</v>
      </c>
      <c r="D305" s="147">
        <v>351.91</v>
      </c>
      <c r="E305" s="148"/>
      <c r="F305" s="16">
        <v>0</v>
      </c>
      <c r="G305" s="16">
        <f t="shared" si="8"/>
        <v>510.26949999999999</v>
      </c>
      <c r="H305" s="16" t="s">
        <v>157</v>
      </c>
      <c r="I305" s="147" t="s">
        <v>139</v>
      </c>
      <c r="J305" s="148"/>
    </row>
    <row r="306" spans="1:10" x14ac:dyDescent="0.3">
      <c r="A306" s="147">
        <v>7</v>
      </c>
      <c r="B306" s="148"/>
      <c r="C306" s="16" t="s">
        <v>120</v>
      </c>
      <c r="D306" s="147">
        <v>213.97</v>
      </c>
      <c r="E306" s="148"/>
      <c r="F306" s="16">
        <v>0</v>
      </c>
      <c r="G306" s="16">
        <f t="shared" si="8"/>
        <v>310.25650000000002</v>
      </c>
      <c r="H306" s="16" t="s">
        <v>157</v>
      </c>
      <c r="I306" s="147" t="s">
        <v>139</v>
      </c>
      <c r="J306" s="148"/>
    </row>
    <row r="307" spans="1:10" x14ac:dyDescent="0.3">
      <c r="A307" s="147">
        <v>8</v>
      </c>
      <c r="B307" s="148"/>
      <c r="C307" s="16" t="s">
        <v>120</v>
      </c>
      <c r="D307" s="147">
        <v>213.48</v>
      </c>
      <c r="E307" s="148"/>
      <c r="F307" s="16">
        <v>0</v>
      </c>
      <c r="G307" s="16">
        <f t="shared" si="8"/>
        <v>309.54599999999999</v>
      </c>
      <c r="H307" s="16" t="s">
        <v>157</v>
      </c>
      <c r="I307" s="147" t="s">
        <v>139</v>
      </c>
      <c r="J307" s="148"/>
    </row>
    <row r="308" spans="1:10" ht="15.75" customHeight="1" x14ac:dyDescent="0.3">
      <c r="A308" s="174" t="s">
        <v>155</v>
      </c>
      <c r="B308" s="175"/>
      <c r="C308" s="175"/>
      <c r="D308" s="175"/>
      <c r="E308" s="175"/>
      <c r="F308" s="175"/>
      <c r="G308" s="175"/>
      <c r="H308" s="175"/>
      <c r="I308" s="175"/>
      <c r="J308" s="176"/>
    </row>
    <row r="309" spans="1:10" ht="15.75" customHeight="1" x14ac:dyDescent="0.3">
      <c r="A309" s="174" t="s">
        <v>135</v>
      </c>
      <c r="B309" s="175"/>
      <c r="C309" s="175"/>
      <c r="D309" s="175"/>
      <c r="E309" s="175"/>
      <c r="F309" s="175"/>
      <c r="G309" s="175"/>
      <c r="H309" s="175"/>
      <c r="I309" s="175"/>
      <c r="J309" s="176"/>
    </row>
    <row r="310" spans="1:10" x14ac:dyDescent="0.3">
      <c r="A310" s="147">
        <v>1</v>
      </c>
      <c r="B310" s="148"/>
      <c r="C310" s="16" t="s">
        <v>109</v>
      </c>
      <c r="D310" s="147">
        <v>323.68</v>
      </c>
      <c r="E310" s="148"/>
      <c r="F310" s="16">
        <v>0</v>
      </c>
      <c r="G310" s="16">
        <f>D310*1.45+F310</f>
        <v>469.33600000000001</v>
      </c>
      <c r="H310" s="16" t="s">
        <v>157</v>
      </c>
      <c r="I310" s="147" t="s">
        <v>113</v>
      </c>
      <c r="J310" s="148"/>
    </row>
    <row r="311" spans="1:10" x14ac:dyDescent="0.3">
      <c r="A311" s="147">
        <v>2</v>
      </c>
      <c r="B311" s="148"/>
      <c r="C311" s="16" t="s">
        <v>109</v>
      </c>
      <c r="D311" s="147">
        <v>323.44</v>
      </c>
      <c r="E311" s="148"/>
      <c r="F311" s="16">
        <v>0</v>
      </c>
      <c r="G311" s="16">
        <f>D311*1.45+F311</f>
        <v>468.988</v>
      </c>
      <c r="H311" s="16" t="s">
        <v>157</v>
      </c>
      <c r="I311" s="147" t="s">
        <v>113</v>
      </c>
      <c r="J311" s="148"/>
    </row>
    <row r="312" spans="1:10" ht="15.75" customHeight="1" x14ac:dyDescent="0.3">
      <c r="A312" s="147">
        <v>3</v>
      </c>
      <c r="B312" s="148"/>
      <c r="C312" s="147" t="s">
        <v>140</v>
      </c>
      <c r="D312" s="179"/>
      <c r="E312" s="179"/>
      <c r="F312" s="179"/>
      <c r="G312" s="179"/>
      <c r="H312" s="179"/>
      <c r="I312" s="147" t="s">
        <v>113</v>
      </c>
      <c r="J312" s="148"/>
    </row>
    <row r="313" spans="1:10" x14ac:dyDescent="0.3">
      <c r="A313" s="147">
        <v>4</v>
      </c>
      <c r="B313" s="148"/>
      <c r="C313" s="16" t="s">
        <v>120</v>
      </c>
      <c r="D313" s="147">
        <v>213.91</v>
      </c>
      <c r="E313" s="148"/>
      <c r="F313" s="16">
        <v>0</v>
      </c>
      <c r="G313" s="16">
        <f>D313*1.45+F313</f>
        <v>310.16949999999997</v>
      </c>
      <c r="H313" s="16" t="s">
        <v>157</v>
      </c>
      <c r="I313" s="147" t="s">
        <v>113</v>
      </c>
      <c r="J313" s="148"/>
    </row>
    <row r="314" spans="1:10" x14ac:dyDescent="0.3">
      <c r="A314" s="147">
        <v>5</v>
      </c>
      <c r="B314" s="148"/>
      <c r="C314" s="16" t="s">
        <v>109</v>
      </c>
      <c r="D314" s="147">
        <v>323.68</v>
      </c>
      <c r="E314" s="148"/>
      <c r="F314" s="16">
        <v>0</v>
      </c>
      <c r="G314" s="16">
        <f>D314*1.45+F314</f>
        <v>469.33600000000001</v>
      </c>
      <c r="H314" s="16" t="s">
        <v>157</v>
      </c>
      <c r="I314" s="147" t="s">
        <v>113</v>
      </c>
      <c r="J314" s="148"/>
    </row>
    <row r="315" spans="1:10" x14ac:dyDescent="0.3">
      <c r="A315" s="147">
        <v>6</v>
      </c>
      <c r="B315" s="148"/>
      <c r="C315" s="16" t="s">
        <v>109</v>
      </c>
      <c r="D315" s="147">
        <v>323.44</v>
      </c>
      <c r="E315" s="148"/>
      <c r="F315" s="16">
        <v>0</v>
      </c>
      <c r="G315" s="16">
        <f>D315*1.45+F315</f>
        <v>468.988</v>
      </c>
      <c r="H315" s="16" t="s">
        <v>157</v>
      </c>
      <c r="I315" s="147" t="s">
        <v>113</v>
      </c>
      <c r="J315" s="148"/>
    </row>
    <row r="316" spans="1:10" x14ac:dyDescent="0.3">
      <c r="A316" s="147">
        <v>7</v>
      </c>
      <c r="B316" s="148"/>
      <c r="C316" s="16" t="s">
        <v>120</v>
      </c>
      <c r="D316" s="147">
        <v>213.97</v>
      </c>
      <c r="E316" s="148"/>
      <c r="F316" s="16">
        <v>0</v>
      </c>
      <c r="G316" s="16">
        <f>D316*1.45+F316</f>
        <v>310.25650000000002</v>
      </c>
      <c r="H316" s="16" t="s">
        <v>157</v>
      </c>
      <c r="I316" s="147" t="s">
        <v>113</v>
      </c>
      <c r="J316" s="148"/>
    </row>
    <row r="317" spans="1:10" x14ac:dyDescent="0.3">
      <c r="A317" s="147">
        <v>8</v>
      </c>
      <c r="B317" s="148"/>
      <c r="C317" s="16" t="s">
        <v>120</v>
      </c>
      <c r="D317" s="147">
        <v>213.48</v>
      </c>
      <c r="E317" s="148"/>
      <c r="F317" s="16">
        <v>0</v>
      </c>
      <c r="G317" s="16">
        <f>D317*1.45+F317</f>
        <v>309.54599999999999</v>
      </c>
      <c r="H317" s="16" t="s">
        <v>157</v>
      </c>
      <c r="I317" s="147" t="s">
        <v>113</v>
      </c>
      <c r="J317" s="148"/>
    </row>
    <row r="318" spans="1:10" ht="15.75" customHeight="1" x14ac:dyDescent="0.3">
      <c r="A318" s="174" t="s">
        <v>138</v>
      </c>
      <c r="B318" s="175"/>
      <c r="C318" s="175"/>
      <c r="D318" s="175"/>
      <c r="E318" s="175"/>
      <c r="F318" s="175"/>
      <c r="G318" s="175"/>
      <c r="H318" s="175"/>
      <c r="I318" s="175"/>
      <c r="J318" s="176"/>
    </row>
    <row r="319" spans="1:10" x14ac:dyDescent="0.3">
      <c r="A319" s="147">
        <v>1</v>
      </c>
      <c r="B319" s="148"/>
      <c r="C319" s="16" t="s">
        <v>109</v>
      </c>
      <c r="D319" s="147">
        <v>352.16</v>
      </c>
      <c r="E319" s="148"/>
      <c r="F319" s="16">
        <v>0</v>
      </c>
      <c r="G319" s="16">
        <f t="shared" ref="G319:G326" si="9">D319*1.45+F319</f>
        <v>510.63200000000001</v>
      </c>
      <c r="H319" s="16" t="s">
        <v>157</v>
      </c>
      <c r="I319" s="147" t="s">
        <v>139</v>
      </c>
      <c r="J319" s="148"/>
    </row>
    <row r="320" spans="1:10" x14ac:dyDescent="0.3">
      <c r="A320" s="147">
        <v>2</v>
      </c>
      <c r="B320" s="148"/>
      <c r="C320" s="16" t="s">
        <v>109</v>
      </c>
      <c r="D320" s="147">
        <v>351.91</v>
      </c>
      <c r="E320" s="148"/>
      <c r="F320" s="16">
        <v>0</v>
      </c>
      <c r="G320" s="16">
        <f t="shared" si="9"/>
        <v>510.26949999999999</v>
      </c>
      <c r="H320" s="16" t="s">
        <v>157</v>
      </c>
      <c r="I320" s="147" t="s">
        <v>139</v>
      </c>
      <c r="J320" s="148"/>
    </row>
    <row r="321" spans="1:10" x14ac:dyDescent="0.3">
      <c r="A321" s="147">
        <v>3</v>
      </c>
      <c r="B321" s="148"/>
      <c r="C321" s="16" t="s">
        <v>120</v>
      </c>
      <c r="D321" s="147">
        <v>213.97</v>
      </c>
      <c r="E321" s="148"/>
      <c r="F321" s="16">
        <v>0</v>
      </c>
      <c r="G321" s="16">
        <f t="shared" si="9"/>
        <v>310.25650000000002</v>
      </c>
      <c r="H321" s="16" t="s">
        <v>157</v>
      </c>
      <c r="I321" s="147" t="s">
        <v>139</v>
      </c>
      <c r="J321" s="148"/>
    </row>
    <row r="322" spans="1:10" x14ac:dyDescent="0.3">
      <c r="A322" s="147">
        <v>4</v>
      </c>
      <c r="B322" s="148"/>
      <c r="C322" s="16" t="s">
        <v>120</v>
      </c>
      <c r="D322" s="147">
        <v>213.91</v>
      </c>
      <c r="E322" s="148"/>
      <c r="F322" s="16">
        <v>0</v>
      </c>
      <c r="G322" s="16">
        <f t="shared" si="9"/>
        <v>310.16949999999997</v>
      </c>
      <c r="H322" s="16" t="s">
        <v>157</v>
      </c>
      <c r="I322" s="147" t="s">
        <v>139</v>
      </c>
      <c r="J322" s="148"/>
    </row>
    <row r="323" spans="1:10" x14ac:dyDescent="0.3">
      <c r="A323" s="147">
        <v>5</v>
      </c>
      <c r="B323" s="148"/>
      <c r="C323" s="16" t="s">
        <v>109</v>
      </c>
      <c r="D323" s="147">
        <v>352.05</v>
      </c>
      <c r="E323" s="148"/>
      <c r="F323" s="16">
        <v>0</v>
      </c>
      <c r="G323" s="16">
        <f t="shared" si="9"/>
        <v>510.47250000000003</v>
      </c>
      <c r="H323" s="16" t="s">
        <v>157</v>
      </c>
      <c r="I323" s="147" t="s">
        <v>139</v>
      </c>
      <c r="J323" s="148"/>
    </row>
    <row r="324" spans="1:10" x14ac:dyDescent="0.3">
      <c r="A324" s="147">
        <v>6</v>
      </c>
      <c r="B324" s="148"/>
      <c r="C324" s="16" t="s">
        <v>109</v>
      </c>
      <c r="D324" s="147">
        <v>351.91</v>
      </c>
      <c r="E324" s="148"/>
      <c r="F324" s="16">
        <v>0</v>
      </c>
      <c r="G324" s="16">
        <f t="shared" si="9"/>
        <v>510.26949999999999</v>
      </c>
      <c r="H324" s="16" t="s">
        <v>157</v>
      </c>
      <c r="I324" s="147" t="s">
        <v>139</v>
      </c>
      <c r="J324" s="148"/>
    </row>
    <row r="325" spans="1:10" x14ac:dyDescent="0.3">
      <c r="A325" s="147">
        <v>7</v>
      </c>
      <c r="B325" s="148"/>
      <c r="C325" s="16" t="s">
        <v>120</v>
      </c>
      <c r="D325" s="147">
        <v>213.97</v>
      </c>
      <c r="E325" s="148"/>
      <c r="F325" s="16">
        <v>0</v>
      </c>
      <c r="G325" s="16">
        <f t="shared" si="9"/>
        <v>310.25650000000002</v>
      </c>
      <c r="H325" s="16" t="s">
        <v>157</v>
      </c>
      <c r="I325" s="147" t="s">
        <v>139</v>
      </c>
      <c r="J325" s="148"/>
    </row>
    <row r="326" spans="1:10" x14ac:dyDescent="0.3">
      <c r="A326" s="147">
        <v>8</v>
      </c>
      <c r="B326" s="148"/>
      <c r="C326" s="16" t="s">
        <v>120</v>
      </c>
      <c r="D326" s="147">
        <v>213.48</v>
      </c>
      <c r="E326" s="148"/>
      <c r="F326" s="16">
        <v>0</v>
      </c>
      <c r="G326" s="16">
        <f t="shared" si="9"/>
        <v>309.54599999999999</v>
      </c>
      <c r="H326" s="16" t="s">
        <v>157</v>
      </c>
      <c r="I326" s="147" t="s">
        <v>139</v>
      </c>
      <c r="J326" s="148"/>
    </row>
    <row r="327" spans="1:10" ht="15.75" customHeight="1" x14ac:dyDescent="0.3">
      <c r="A327" s="174" t="s">
        <v>145</v>
      </c>
      <c r="B327" s="175"/>
      <c r="C327" s="175"/>
      <c r="D327" s="175"/>
      <c r="E327" s="175"/>
      <c r="F327" s="175"/>
      <c r="G327" s="175"/>
      <c r="H327" s="175"/>
      <c r="I327" s="175"/>
      <c r="J327" s="176"/>
    </row>
    <row r="328" spans="1:10" ht="15.75" customHeight="1" x14ac:dyDescent="0.3">
      <c r="A328" s="174" t="s">
        <v>135</v>
      </c>
      <c r="B328" s="175"/>
      <c r="C328" s="175"/>
      <c r="D328" s="175"/>
      <c r="E328" s="175"/>
      <c r="F328" s="175"/>
      <c r="G328" s="175"/>
      <c r="H328" s="175"/>
      <c r="I328" s="175"/>
      <c r="J328" s="176"/>
    </row>
    <row r="329" spans="1:10" ht="15.75" customHeight="1" x14ac:dyDescent="0.3">
      <c r="A329" s="147">
        <v>1</v>
      </c>
      <c r="B329" s="148"/>
      <c r="C329" s="147" t="s">
        <v>140</v>
      </c>
      <c r="D329" s="179"/>
      <c r="E329" s="179"/>
      <c r="F329" s="179"/>
      <c r="G329" s="179"/>
      <c r="H329" s="179"/>
      <c r="I329" s="147" t="s">
        <v>113</v>
      </c>
      <c r="J329" s="148"/>
    </row>
    <row r="330" spans="1:10" x14ac:dyDescent="0.3">
      <c r="A330" s="147">
        <v>2</v>
      </c>
      <c r="B330" s="148"/>
      <c r="C330" s="16" t="s">
        <v>109</v>
      </c>
      <c r="D330" s="147">
        <v>368.48</v>
      </c>
      <c r="E330" s="148"/>
      <c r="F330" s="16">
        <v>0</v>
      </c>
      <c r="G330" s="16">
        <f t="shared" ref="G330:G336" si="10">D330*1.45+F330</f>
        <v>534.29600000000005</v>
      </c>
      <c r="H330" s="16" t="s">
        <v>157</v>
      </c>
      <c r="I330" s="147" t="s">
        <v>113</v>
      </c>
      <c r="J330" s="148"/>
    </row>
    <row r="331" spans="1:10" x14ac:dyDescent="0.3">
      <c r="A331" s="147">
        <v>3</v>
      </c>
      <c r="B331" s="148"/>
      <c r="C331" s="16" t="s">
        <v>109</v>
      </c>
      <c r="D331" s="147">
        <v>368.48</v>
      </c>
      <c r="E331" s="148"/>
      <c r="F331" s="16">
        <v>0</v>
      </c>
      <c r="G331" s="16">
        <f t="shared" si="10"/>
        <v>534.29600000000005</v>
      </c>
      <c r="H331" s="16" t="s">
        <v>157</v>
      </c>
      <c r="I331" s="147" t="s">
        <v>113</v>
      </c>
      <c r="J331" s="148"/>
    </row>
    <row r="332" spans="1:10" x14ac:dyDescent="0.3">
      <c r="A332" s="147">
        <v>4</v>
      </c>
      <c r="B332" s="148"/>
      <c r="C332" s="16" t="s">
        <v>109</v>
      </c>
      <c r="D332" s="147">
        <v>329.49</v>
      </c>
      <c r="E332" s="148"/>
      <c r="F332" s="16">
        <v>0</v>
      </c>
      <c r="G332" s="16">
        <f t="shared" si="10"/>
        <v>477.76049999999998</v>
      </c>
      <c r="H332" s="16" t="s">
        <v>157</v>
      </c>
      <c r="I332" s="147" t="s">
        <v>113</v>
      </c>
      <c r="J332" s="148"/>
    </row>
    <row r="333" spans="1:10" x14ac:dyDescent="0.3">
      <c r="A333" s="147">
        <v>5</v>
      </c>
      <c r="B333" s="148"/>
      <c r="C333" s="16" t="s">
        <v>109</v>
      </c>
      <c r="D333" s="147">
        <v>329.49</v>
      </c>
      <c r="E333" s="148"/>
      <c r="F333" s="16">
        <v>0</v>
      </c>
      <c r="G333" s="16">
        <f t="shared" si="10"/>
        <v>477.76049999999998</v>
      </c>
      <c r="H333" s="16" t="s">
        <v>157</v>
      </c>
      <c r="I333" s="147" t="s">
        <v>113</v>
      </c>
      <c r="J333" s="148"/>
    </row>
    <row r="334" spans="1:10" x14ac:dyDescent="0.3">
      <c r="A334" s="147">
        <v>6</v>
      </c>
      <c r="B334" s="148"/>
      <c r="C334" s="16" t="s">
        <v>109</v>
      </c>
      <c r="D334" s="147">
        <v>368.48</v>
      </c>
      <c r="E334" s="148"/>
      <c r="F334" s="16">
        <v>0</v>
      </c>
      <c r="G334" s="16">
        <f t="shared" si="10"/>
        <v>534.29600000000005</v>
      </c>
      <c r="H334" s="16" t="s">
        <v>157</v>
      </c>
      <c r="I334" s="147" t="s">
        <v>113</v>
      </c>
      <c r="J334" s="148"/>
    </row>
    <row r="335" spans="1:10" x14ac:dyDescent="0.3">
      <c r="A335" s="147">
        <v>7</v>
      </c>
      <c r="B335" s="148"/>
      <c r="C335" s="16" t="s">
        <v>109</v>
      </c>
      <c r="D335" s="147">
        <v>368.48</v>
      </c>
      <c r="E335" s="148"/>
      <c r="F335" s="16">
        <v>0</v>
      </c>
      <c r="G335" s="16">
        <f t="shared" si="10"/>
        <v>534.29600000000005</v>
      </c>
      <c r="H335" s="16" t="s">
        <v>157</v>
      </c>
      <c r="I335" s="147" t="s">
        <v>113</v>
      </c>
      <c r="J335" s="148"/>
    </row>
    <row r="336" spans="1:10" ht="15.75" customHeight="1" x14ac:dyDescent="0.3">
      <c r="A336" s="147">
        <v>8</v>
      </c>
      <c r="B336" s="148"/>
      <c r="C336" s="16" t="s">
        <v>109</v>
      </c>
      <c r="D336" s="147">
        <v>329.59</v>
      </c>
      <c r="E336" s="148"/>
      <c r="F336" s="16">
        <v>0</v>
      </c>
      <c r="G336" s="16">
        <f t="shared" si="10"/>
        <v>477.90549999999996</v>
      </c>
      <c r="H336" s="16" t="s">
        <v>157</v>
      </c>
      <c r="I336" s="147" t="s">
        <v>113</v>
      </c>
      <c r="J336" s="148"/>
    </row>
    <row r="337" spans="1:10" ht="15.75" customHeight="1" x14ac:dyDescent="0.3">
      <c r="A337" s="174" t="s">
        <v>138</v>
      </c>
      <c r="B337" s="175"/>
      <c r="C337" s="175"/>
      <c r="D337" s="175"/>
      <c r="E337" s="175"/>
      <c r="F337" s="175"/>
      <c r="G337" s="175"/>
      <c r="H337" s="175"/>
      <c r="I337" s="175"/>
      <c r="J337" s="176"/>
    </row>
    <row r="338" spans="1:10" x14ac:dyDescent="0.3">
      <c r="A338" s="147">
        <v>1</v>
      </c>
      <c r="B338" s="148"/>
      <c r="C338" s="16" t="s">
        <v>109</v>
      </c>
      <c r="D338" s="147">
        <v>357.96</v>
      </c>
      <c r="E338" s="148"/>
      <c r="F338" s="16">
        <v>0</v>
      </c>
      <c r="G338" s="16">
        <f t="shared" ref="G338:G345" si="11">D338*1.45+F338</f>
        <v>519.04199999999992</v>
      </c>
      <c r="H338" s="16" t="s">
        <v>157</v>
      </c>
      <c r="I338" s="147" t="s">
        <v>139</v>
      </c>
      <c r="J338" s="148"/>
    </row>
    <row r="339" spans="1:10" x14ac:dyDescent="0.3">
      <c r="A339" s="147">
        <v>2</v>
      </c>
      <c r="B339" s="148"/>
      <c r="C339" s="16" t="s">
        <v>109</v>
      </c>
      <c r="D339" s="147">
        <v>398.32</v>
      </c>
      <c r="E339" s="148"/>
      <c r="F339" s="16">
        <v>0</v>
      </c>
      <c r="G339" s="16">
        <f t="shared" si="11"/>
        <v>577.56399999999996</v>
      </c>
      <c r="H339" s="16" t="s">
        <v>157</v>
      </c>
      <c r="I339" s="147" t="s">
        <v>139</v>
      </c>
      <c r="J339" s="148"/>
    </row>
    <row r="340" spans="1:10" x14ac:dyDescent="0.3">
      <c r="A340" s="147">
        <v>3</v>
      </c>
      <c r="B340" s="148"/>
      <c r="C340" s="16" t="s">
        <v>109</v>
      </c>
      <c r="D340" s="147">
        <v>398.32</v>
      </c>
      <c r="E340" s="148"/>
      <c r="F340" s="16">
        <v>0</v>
      </c>
      <c r="G340" s="16">
        <f t="shared" si="11"/>
        <v>577.56399999999996</v>
      </c>
      <c r="H340" s="16" t="s">
        <v>157</v>
      </c>
      <c r="I340" s="147" t="s">
        <v>139</v>
      </c>
      <c r="J340" s="148"/>
    </row>
    <row r="341" spans="1:10" x14ac:dyDescent="0.3">
      <c r="A341" s="147">
        <v>4</v>
      </c>
      <c r="B341" s="148"/>
      <c r="C341" s="16" t="s">
        <v>109</v>
      </c>
      <c r="D341" s="147">
        <v>357.85</v>
      </c>
      <c r="E341" s="148"/>
      <c r="F341" s="16">
        <v>0</v>
      </c>
      <c r="G341" s="16">
        <f t="shared" si="11"/>
        <v>518.88250000000005</v>
      </c>
      <c r="H341" s="16" t="s">
        <v>157</v>
      </c>
      <c r="I341" s="147" t="s">
        <v>139</v>
      </c>
      <c r="J341" s="148"/>
    </row>
    <row r="342" spans="1:10" x14ac:dyDescent="0.3">
      <c r="A342" s="147">
        <v>5</v>
      </c>
      <c r="B342" s="148"/>
      <c r="C342" s="16" t="s">
        <v>109</v>
      </c>
      <c r="D342" s="147">
        <v>357.85</v>
      </c>
      <c r="E342" s="148"/>
      <c r="F342" s="16">
        <v>0</v>
      </c>
      <c r="G342" s="16">
        <f t="shared" si="11"/>
        <v>518.88250000000005</v>
      </c>
      <c r="H342" s="16" t="s">
        <v>157</v>
      </c>
      <c r="I342" s="147" t="s">
        <v>139</v>
      </c>
      <c r="J342" s="148"/>
    </row>
    <row r="343" spans="1:10" x14ac:dyDescent="0.3">
      <c r="A343" s="147">
        <v>6</v>
      </c>
      <c r="B343" s="148"/>
      <c r="C343" s="16" t="s">
        <v>109</v>
      </c>
      <c r="D343" s="147">
        <v>398.32</v>
      </c>
      <c r="E343" s="148"/>
      <c r="F343" s="16">
        <v>0</v>
      </c>
      <c r="G343" s="16">
        <f t="shared" si="11"/>
        <v>577.56399999999996</v>
      </c>
      <c r="H343" s="16" t="s">
        <v>157</v>
      </c>
      <c r="I343" s="147" t="s">
        <v>139</v>
      </c>
      <c r="J343" s="148"/>
    </row>
    <row r="344" spans="1:10" x14ac:dyDescent="0.3">
      <c r="A344" s="147">
        <v>7</v>
      </c>
      <c r="B344" s="148"/>
      <c r="C344" s="16" t="s">
        <v>109</v>
      </c>
      <c r="D344" s="147">
        <v>398.32</v>
      </c>
      <c r="E344" s="148"/>
      <c r="F344" s="16">
        <v>0</v>
      </c>
      <c r="G344" s="16">
        <f t="shared" si="11"/>
        <v>577.56399999999996</v>
      </c>
      <c r="H344" s="16" t="s">
        <v>157</v>
      </c>
      <c r="I344" s="147" t="s">
        <v>139</v>
      </c>
      <c r="J344" s="148"/>
    </row>
    <row r="345" spans="1:10" x14ac:dyDescent="0.3">
      <c r="A345" s="147">
        <v>8</v>
      </c>
      <c r="B345" s="148"/>
      <c r="C345" s="16" t="s">
        <v>109</v>
      </c>
      <c r="D345" s="147">
        <v>357.96</v>
      </c>
      <c r="E345" s="148"/>
      <c r="F345" s="16">
        <v>0</v>
      </c>
      <c r="G345" s="16">
        <f t="shared" si="11"/>
        <v>519.04199999999992</v>
      </c>
      <c r="H345" s="16" t="s">
        <v>157</v>
      </c>
      <c r="I345" s="147" t="s">
        <v>139</v>
      </c>
      <c r="J345" s="148"/>
    </row>
    <row r="346" spans="1:10" ht="34.5" customHeight="1" x14ac:dyDescent="0.3">
      <c r="A346" s="183" t="s">
        <v>238</v>
      </c>
      <c r="B346" s="184"/>
      <c r="C346" s="184"/>
      <c r="D346" s="184"/>
      <c r="E346" s="184"/>
      <c r="F346" s="184"/>
      <c r="G346" s="184"/>
      <c r="H346" s="184"/>
      <c r="I346" s="184"/>
      <c r="J346" s="185"/>
    </row>
    <row r="347" spans="1:10" ht="227.25" customHeight="1" x14ac:dyDescent="0.3">
      <c r="A347" s="186"/>
      <c r="B347" s="187"/>
      <c r="C347" s="187"/>
      <c r="D347" s="187"/>
      <c r="E347" s="187"/>
      <c r="F347" s="187"/>
      <c r="G347" s="187"/>
      <c r="H347" s="187"/>
      <c r="I347" s="187"/>
      <c r="J347" s="188"/>
    </row>
    <row r="348" spans="1:10" x14ac:dyDescent="0.3">
      <c r="A348" s="180" t="s">
        <v>25</v>
      </c>
      <c r="B348" s="181"/>
      <c r="C348" s="181"/>
      <c r="D348" s="181"/>
      <c r="E348" s="181"/>
      <c r="F348" s="181"/>
      <c r="G348" s="181"/>
      <c r="H348" s="181"/>
      <c r="I348" s="181"/>
      <c r="J348" s="182"/>
    </row>
    <row r="349" spans="1:10" x14ac:dyDescent="0.3">
      <c r="A349" s="56" t="s">
        <v>33</v>
      </c>
      <c r="B349" s="57"/>
      <c r="C349" s="57"/>
      <c r="D349" s="57"/>
      <c r="E349" s="57"/>
      <c r="F349" s="57"/>
      <c r="G349" s="57"/>
      <c r="H349" s="57"/>
      <c r="I349" s="57"/>
      <c r="J349" s="58"/>
    </row>
    <row r="350" spans="1:10" x14ac:dyDescent="0.3">
      <c r="A350" s="180" t="s">
        <v>27</v>
      </c>
      <c r="B350" s="181"/>
      <c r="C350" s="181"/>
      <c r="D350" s="181"/>
      <c r="E350" s="181"/>
      <c r="F350" s="181"/>
      <c r="G350" s="181"/>
      <c r="H350" s="181"/>
      <c r="I350" s="181"/>
      <c r="J350" s="182"/>
    </row>
    <row r="351" spans="1:10" ht="16.5" customHeight="1" x14ac:dyDescent="0.3">
      <c r="A351" s="56" t="s">
        <v>38</v>
      </c>
      <c r="B351" s="57"/>
      <c r="C351" s="57"/>
      <c r="D351" s="57"/>
      <c r="E351" s="57"/>
      <c r="F351" s="57"/>
      <c r="G351" s="57"/>
      <c r="H351" s="57"/>
      <c r="I351" s="57"/>
      <c r="J351" s="58"/>
    </row>
    <row r="352" spans="1:10" x14ac:dyDescent="0.3">
      <c r="A352" s="59" t="s">
        <v>121</v>
      </c>
      <c r="B352" s="60"/>
      <c r="C352" s="60"/>
      <c r="D352" s="60"/>
      <c r="E352" s="60"/>
      <c r="F352" s="60"/>
      <c r="G352" s="60"/>
      <c r="H352" s="60"/>
      <c r="I352" s="60"/>
      <c r="J352" s="61"/>
    </row>
    <row r="353" spans="1:10" x14ac:dyDescent="0.3">
      <c r="A353" s="56" t="s">
        <v>39</v>
      </c>
      <c r="B353" s="57"/>
      <c r="C353" s="57"/>
      <c r="D353" s="57"/>
      <c r="E353" s="57"/>
      <c r="F353" s="57"/>
      <c r="G353" s="57"/>
      <c r="H353" s="57"/>
      <c r="I353" s="57"/>
      <c r="J353" s="58"/>
    </row>
    <row r="354" spans="1:10" x14ac:dyDescent="0.3">
      <c r="A354" s="56" t="s">
        <v>40</v>
      </c>
      <c r="B354" s="57"/>
      <c r="C354" s="57"/>
      <c r="D354" s="57"/>
      <c r="E354" s="57"/>
      <c r="F354" s="57"/>
      <c r="G354" s="57"/>
      <c r="H354" s="57"/>
      <c r="I354" s="57"/>
      <c r="J354" s="58"/>
    </row>
    <row r="355" spans="1:10" ht="15" customHeight="1" x14ac:dyDescent="0.3">
      <c r="A355" s="62" t="s">
        <v>41</v>
      </c>
      <c r="B355" s="63"/>
      <c r="C355" s="63"/>
      <c r="D355" s="63"/>
      <c r="E355" s="63"/>
      <c r="F355" s="63"/>
      <c r="G355" s="63"/>
      <c r="H355" s="63"/>
      <c r="I355" s="63"/>
      <c r="J355" s="64"/>
    </row>
    <row r="356" spans="1:10" x14ac:dyDescent="0.3">
      <c r="A356" s="164" t="s">
        <v>26</v>
      </c>
      <c r="B356" s="165"/>
      <c r="C356" s="165"/>
      <c r="D356" s="165"/>
      <c r="E356" s="165"/>
      <c r="F356" s="165"/>
      <c r="G356" s="165"/>
      <c r="H356" s="165"/>
      <c r="I356" s="165"/>
      <c r="J356" s="166"/>
    </row>
    <row r="357" spans="1:10" x14ac:dyDescent="0.3">
      <c r="A357" s="167"/>
      <c r="B357" s="168"/>
      <c r="C357" s="168"/>
      <c r="D357" s="168"/>
      <c r="E357" s="168"/>
      <c r="F357" s="168"/>
      <c r="G357" s="168"/>
      <c r="H357" s="168"/>
      <c r="I357" s="168"/>
      <c r="J357" s="169"/>
    </row>
    <row r="358" spans="1:10" x14ac:dyDescent="0.3">
      <c r="A358" s="167"/>
      <c r="B358" s="168"/>
      <c r="C358" s="168"/>
      <c r="D358" s="168"/>
      <c r="E358" s="168"/>
      <c r="F358" s="168"/>
      <c r="G358" s="168"/>
      <c r="H358" s="168"/>
      <c r="I358" s="168"/>
      <c r="J358" s="169"/>
    </row>
    <row r="359" spans="1:10" x14ac:dyDescent="0.3">
      <c r="A359" s="170"/>
      <c r="B359" s="171"/>
      <c r="C359" s="171"/>
      <c r="D359" s="171"/>
      <c r="E359" s="171"/>
      <c r="F359" s="171"/>
      <c r="G359" s="171"/>
      <c r="H359" s="171"/>
      <c r="I359" s="171"/>
      <c r="J359" s="172"/>
    </row>
    <row r="360" spans="1:10" x14ac:dyDescent="0.3">
      <c r="A360" s="15" t="s">
        <v>105</v>
      </c>
      <c r="B360" s="9"/>
      <c r="C360" s="9"/>
      <c r="D360" s="9"/>
      <c r="F360" s="15" t="str">
        <f>F8</f>
        <v>Puranik City - Sector 3</v>
      </c>
      <c r="G360" s="9"/>
      <c r="H360" s="9"/>
      <c r="I360" s="9"/>
      <c r="J360" s="9"/>
    </row>
    <row r="361" spans="1:10" x14ac:dyDescent="0.3">
      <c r="A361" s="9"/>
      <c r="B361" s="9"/>
      <c r="C361" s="9"/>
      <c r="D361" s="9"/>
      <c r="E361" s="9"/>
      <c r="F361" s="9"/>
      <c r="G361" s="9"/>
      <c r="H361" s="9"/>
      <c r="I361" s="9"/>
      <c r="J361" s="9"/>
    </row>
    <row r="362" spans="1:10" x14ac:dyDescent="0.3">
      <c r="A362" s="9"/>
      <c r="B362" s="9"/>
      <c r="C362" s="9"/>
      <c r="D362" s="9"/>
      <c r="E362" s="9"/>
      <c r="F362" s="9"/>
      <c r="G362" s="9"/>
      <c r="H362" s="9"/>
      <c r="I362" s="9"/>
      <c r="J362" s="9"/>
    </row>
    <row r="403" spans="1:10" x14ac:dyDescent="0.3">
      <c r="A403" s="9"/>
      <c r="B403" s="9"/>
      <c r="C403" s="9"/>
      <c r="D403" s="9"/>
      <c r="E403" s="9"/>
      <c r="F403" s="9"/>
      <c r="G403" s="9"/>
      <c r="H403" s="9"/>
      <c r="I403" s="9"/>
      <c r="J403" s="9"/>
    </row>
    <row r="407" spans="1:10" x14ac:dyDescent="0.3">
      <c r="A407" s="13" t="s">
        <v>110</v>
      </c>
    </row>
  </sheetData>
  <mergeCells count="845">
    <mergeCell ref="A187:B187"/>
    <mergeCell ref="D187:E187"/>
    <mergeCell ref="I187:J187"/>
    <mergeCell ref="A188:B188"/>
    <mergeCell ref="D188:E188"/>
    <mergeCell ref="I188:J188"/>
    <mergeCell ref="A179:F179"/>
    <mergeCell ref="G179:J179"/>
    <mergeCell ref="A186:B186"/>
    <mergeCell ref="D186:E186"/>
    <mergeCell ref="A183:J183"/>
    <mergeCell ref="A184:J184"/>
    <mergeCell ref="A185:J185"/>
    <mergeCell ref="I186:J186"/>
    <mergeCell ref="A176:F176"/>
    <mergeCell ref="G176:J176"/>
    <mergeCell ref="A177:F177"/>
    <mergeCell ref="G177:J177"/>
    <mergeCell ref="A217:J217"/>
    <mergeCell ref="A182:B182"/>
    <mergeCell ref="D182:E182"/>
    <mergeCell ref="I182:J182"/>
    <mergeCell ref="A178:F178"/>
    <mergeCell ref="G178:J178"/>
    <mergeCell ref="A189:B189"/>
    <mergeCell ref="D189:E189"/>
    <mergeCell ref="I189:J189"/>
    <mergeCell ref="A190:B190"/>
    <mergeCell ref="D190:E190"/>
    <mergeCell ref="I190:J190"/>
    <mergeCell ref="A191:B191"/>
    <mergeCell ref="D191:E191"/>
    <mergeCell ref="I191:J191"/>
    <mergeCell ref="A192:B192"/>
    <mergeCell ref="D192:E192"/>
    <mergeCell ref="I192:J192"/>
    <mergeCell ref="A193:B193"/>
    <mergeCell ref="D193:E193"/>
    <mergeCell ref="G172:J172"/>
    <mergeCell ref="A173:F173"/>
    <mergeCell ref="G173:J173"/>
    <mergeCell ref="A174:F174"/>
    <mergeCell ref="G174:J174"/>
    <mergeCell ref="A175:F175"/>
    <mergeCell ref="G175:J175"/>
    <mergeCell ref="A18:B18"/>
    <mergeCell ref="H44:J44"/>
    <mergeCell ref="H45:J45"/>
    <mergeCell ref="A46:B46"/>
    <mergeCell ref="C46:F46"/>
    <mergeCell ref="F23:J23"/>
    <mergeCell ref="A25:E25"/>
    <mergeCell ref="A26:E26"/>
    <mergeCell ref="F25:J25"/>
    <mergeCell ref="A27:B27"/>
    <mergeCell ref="C27:D27"/>
    <mergeCell ref="E27:F27"/>
    <mergeCell ref="G27:H27"/>
    <mergeCell ref="C28:D28"/>
    <mergeCell ref="E28:F28"/>
    <mergeCell ref="G28:H28"/>
    <mergeCell ref="C138:J138"/>
    <mergeCell ref="I193:J193"/>
    <mergeCell ref="A194:B194"/>
    <mergeCell ref="D194:E194"/>
    <mergeCell ref="I194:J194"/>
    <mergeCell ref="A195:B195"/>
    <mergeCell ref="D195:E195"/>
    <mergeCell ref="I195:J195"/>
    <mergeCell ref="A196:B196"/>
    <mergeCell ref="I196:J196"/>
    <mergeCell ref="C196:H196"/>
    <mergeCell ref="A197:B197"/>
    <mergeCell ref="D197:E197"/>
    <mergeCell ref="I197:J197"/>
    <mergeCell ref="A198:B198"/>
    <mergeCell ref="D198:E198"/>
    <mergeCell ref="I198:J198"/>
    <mergeCell ref="A199:B199"/>
    <mergeCell ref="D199:E199"/>
    <mergeCell ref="I199:J199"/>
    <mergeCell ref="A201:B201"/>
    <mergeCell ref="D201:E201"/>
    <mergeCell ref="I201:J201"/>
    <mergeCell ref="A200:J200"/>
    <mergeCell ref="A202:B202"/>
    <mergeCell ref="D202:E202"/>
    <mergeCell ref="I202:J202"/>
    <mergeCell ref="A203:B203"/>
    <mergeCell ref="D203:E203"/>
    <mergeCell ref="I203:J203"/>
    <mergeCell ref="A204:B204"/>
    <mergeCell ref="D204:E204"/>
    <mergeCell ref="I204:J204"/>
    <mergeCell ref="A205:B205"/>
    <mergeCell ref="D205:E205"/>
    <mergeCell ref="I205:J205"/>
    <mergeCell ref="A206:B206"/>
    <mergeCell ref="D206:E206"/>
    <mergeCell ref="I206:J206"/>
    <mergeCell ref="A207:B207"/>
    <mergeCell ref="D207:E207"/>
    <mergeCell ref="I207:J207"/>
    <mergeCell ref="A208:B208"/>
    <mergeCell ref="D208:E208"/>
    <mergeCell ref="I208:J208"/>
    <mergeCell ref="A211:B211"/>
    <mergeCell ref="D211:E211"/>
    <mergeCell ref="I211:J211"/>
    <mergeCell ref="A209:J209"/>
    <mergeCell ref="A210:J210"/>
    <mergeCell ref="A212:B212"/>
    <mergeCell ref="D212:E212"/>
    <mergeCell ref="I212:J212"/>
    <mergeCell ref="A213:B213"/>
    <mergeCell ref="I213:J213"/>
    <mergeCell ref="A214:B214"/>
    <mergeCell ref="D214:E214"/>
    <mergeCell ref="I214:J214"/>
    <mergeCell ref="C213:H213"/>
    <mergeCell ref="A215:B215"/>
    <mergeCell ref="D215:E215"/>
    <mergeCell ref="I215:J215"/>
    <mergeCell ref="A216:B216"/>
    <mergeCell ref="D216:E216"/>
    <mergeCell ref="I216:J216"/>
    <mergeCell ref="A218:B218"/>
    <mergeCell ref="D218:E218"/>
    <mergeCell ref="I218:J218"/>
    <mergeCell ref="A219:B219"/>
    <mergeCell ref="D219:E219"/>
    <mergeCell ref="I219:J219"/>
    <mergeCell ref="A220:B220"/>
    <mergeCell ref="D220:E220"/>
    <mergeCell ref="I220:J220"/>
    <mergeCell ref="A221:B221"/>
    <mergeCell ref="D221:E221"/>
    <mergeCell ref="I221:J221"/>
    <mergeCell ref="A222:B222"/>
    <mergeCell ref="D222:E222"/>
    <mergeCell ref="I222:J222"/>
    <mergeCell ref="A223:B223"/>
    <mergeCell ref="D223:E223"/>
    <mergeCell ref="I223:J223"/>
    <mergeCell ref="A224:J224"/>
    <mergeCell ref="A226:B226"/>
    <mergeCell ref="D226:E226"/>
    <mergeCell ref="I226:J226"/>
    <mergeCell ref="A225:J225"/>
    <mergeCell ref="A227:B227"/>
    <mergeCell ref="D227:E227"/>
    <mergeCell ref="I227:J227"/>
    <mergeCell ref="A228:B228"/>
    <mergeCell ref="D228:E228"/>
    <mergeCell ref="I228:J228"/>
    <mergeCell ref="A229:B229"/>
    <mergeCell ref="D229:E229"/>
    <mergeCell ref="I229:J229"/>
    <mergeCell ref="A230:B230"/>
    <mergeCell ref="D230:E230"/>
    <mergeCell ref="I230:J230"/>
    <mergeCell ref="A231:B231"/>
    <mergeCell ref="D231:E231"/>
    <mergeCell ref="I231:J231"/>
    <mergeCell ref="A232:B232"/>
    <mergeCell ref="D232:E232"/>
    <mergeCell ref="I232:J232"/>
    <mergeCell ref="A233:B233"/>
    <mergeCell ref="D233:E233"/>
    <mergeCell ref="I233:J233"/>
    <mergeCell ref="A234:B234"/>
    <mergeCell ref="D234:E234"/>
    <mergeCell ref="I234:J234"/>
    <mergeCell ref="A235:B235"/>
    <mergeCell ref="D235:E235"/>
    <mergeCell ref="I235:J235"/>
    <mergeCell ref="A236:B236"/>
    <mergeCell ref="D236:E236"/>
    <mergeCell ref="I236:J236"/>
    <mergeCell ref="A237:B237"/>
    <mergeCell ref="D237:E237"/>
    <mergeCell ref="I237:J237"/>
    <mergeCell ref="A238:B238"/>
    <mergeCell ref="D238:E238"/>
    <mergeCell ref="I238:J238"/>
    <mergeCell ref="A239:B239"/>
    <mergeCell ref="D239:E239"/>
    <mergeCell ref="I239:J239"/>
    <mergeCell ref="A240:B240"/>
    <mergeCell ref="D240:E240"/>
    <mergeCell ref="I240:J240"/>
    <mergeCell ref="A241:B241"/>
    <mergeCell ref="D241:E241"/>
    <mergeCell ref="I241:J241"/>
    <mergeCell ref="A242:J242"/>
    <mergeCell ref="A243:B243"/>
    <mergeCell ref="D243:E243"/>
    <mergeCell ref="I243:J243"/>
    <mergeCell ref="A244:B244"/>
    <mergeCell ref="D244:E244"/>
    <mergeCell ref="I244:J244"/>
    <mergeCell ref="A245:B245"/>
    <mergeCell ref="D245:E245"/>
    <mergeCell ref="I245:J245"/>
    <mergeCell ref="A246:B246"/>
    <mergeCell ref="D246:E246"/>
    <mergeCell ref="I246:J246"/>
    <mergeCell ref="A247:B247"/>
    <mergeCell ref="D247:E247"/>
    <mergeCell ref="I247:J247"/>
    <mergeCell ref="A248:B248"/>
    <mergeCell ref="D248:E248"/>
    <mergeCell ref="I248:J248"/>
    <mergeCell ref="A249:B249"/>
    <mergeCell ref="D249:E249"/>
    <mergeCell ref="I249:J249"/>
    <mergeCell ref="A250:B250"/>
    <mergeCell ref="D250:E250"/>
    <mergeCell ref="I250:J250"/>
    <mergeCell ref="A251:J251"/>
    <mergeCell ref="A252:J252"/>
    <mergeCell ref="A253:B253"/>
    <mergeCell ref="D253:E253"/>
    <mergeCell ref="I253:J253"/>
    <mergeCell ref="A254:B254"/>
    <mergeCell ref="D254:E254"/>
    <mergeCell ref="I254:J254"/>
    <mergeCell ref="A255:B255"/>
    <mergeCell ref="D255:E255"/>
    <mergeCell ref="I255:J255"/>
    <mergeCell ref="A256:B256"/>
    <mergeCell ref="D256:E256"/>
    <mergeCell ref="I256:J256"/>
    <mergeCell ref="A257:B257"/>
    <mergeCell ref="D257:E257"/>
    <mergeCell ref="I257:J257"/>
    <mergeCell ref="A258:B258"/>
    <mergeCell ref="D258:E258"/>
    <mergeCell ref="I258:J258"/>
    <mergeCell ref="A259:B259"/>
    <mergeCell ref="D259:E259"/>
    <mergeCell ref="I259:J259"/>
    <mergeCell ref="A260:B260"/>
    <mergeCell ref="I260:J260"/>
    <mergeCell ref="C260:H260"/>
    <mergeCell ref="A262:B262"/>
    <mergeCell ref="D262:E262"/>
    <mergeCell ref="I262:J262"/>
    <mergeCell ref="A261:J261"/>
    <mergeCell ref="A263:B263"/>
    <mergeCell ref="D263:E263"/>
    <mergeCell ref="I263:J263"/>
    <mergeCell ref="A264:B264"/>
    <mergeCell ref="D264:E264"/>
    <mergeCell ref="I264:J264"/>
    <mergeCell ref="A265:B265"/>
    <mergeCell ref="D265:E265"/>
    <mergeCell ref="I265:J265"/>
    <mergeCell ref="A266:B266"/>
    <mergeCell ref="D266:E266"/>
    <mergeCell ref="I266:J266"/>
    <mergeCell ref="A267:B267"/>
    <mergeCell ref="D267:E267"/>
    <mergeCell ref="I267:J267"/>
    <mergeCell ref="A268:B268"/>
    <mergeCell ref="D268:E268"/>
    <mergeCell ref="I268:J268"/>
    <mergeCell ref="A269:B269"/>
    <mergeCell ref="D269:E269"/>
    <mergeCell ref="I269:J269"/>
    <mergeCell ref="A270:J270"/>
    <mergeCell ref="A272:B272"/>
    <mergeCell ref="D272:E272"/>
    <mergeCell ref="I272:J272"/>
    <mergeCell ref="A271:J271"/>
    <mergeCell ref="A273:B273"/>
    <mergeCell ref="D273:E273"/>
    <mergeCell ref="I273:J273"/>
    <mergeCell ref="A274:B274"/>
    <mergeCell ref="I274:J274"/>
    <mergeCell ref="C274:H274"/>
    <mergeCell ref="A275:B275"/>
    <mergeCell ref="D275:E275"/>
    <mergeCell ref="I275:J275"/>
    <mergeCell ref="A276:B276"/>
    <mergeCell ref="D276:E276"/>
    <mergeCell ref="I276:J276"/>
    <mergeCell ref="A277:B277"/>
    <mergeCell ref="D277:E277"/>
    <mergeCell ref="I277:J277"/>
    <mergeCell ref="I282:J282"/>
    <mergeCell ref="A283:B283"/>
    <mergeCell ref="D283:E283"/>
    <mergeCell ref="I283:J283"/>
    <mergeCell ref="A284:B284"/>
    <mergeCell ref="D284:E284"/>
    <mergeCell ref="I284:J284"/>
    <mergeCell ref="A278:B278"/>
    <mergeCell ref="D278:E278"/>
    <mergeCell ref="I278:J278"/>
    <mergeCell ref="A279:B279"/>
    <mergeCell ref="D279:E279"/>
    <mergeCell ref="I279:J279"/>
    <mergeCell ref="A280:J280"/>
    <mergeCell ref="A281:B281"/>
    <mergeCell ref="D281:E281"/>
    <mergeCell ref="I281:J281"/>
    <mergeCell ref="A288:B288"/>
    <mergeCell ref="D288:E288"/>
    <mergeCell ref="I288:J288"/>
    <mergeCell ref="A289:J289"/>
    <mergeCell ref="A290:J290"/>
    <mergeCell ref="A51:B51"/>
    <mergeCell ref="A47:B47"/>
    <mergeCell ref="C47:F47"/>
    <mergeCell ref="H47:J47"/>
    <mergeCell ref="A171:F171"/>
    <mergeCell ref="G171:J171"/>
    <mergeCell ref="A172:F172"/>
    <mergeCell ref="A170:J170"/>
    <mergeCell ref="A285:B285"/>
    <mergeCell ref="D285:E285"/>
    <mergeCell ref="I285:J285"/>
    <mergeCell ref="A286:B286"/>
    <mergeCell ref="D286:E286"/>
    <mergeCell ref="I286:J286"/>
    <mergeCell ref="A287:B287"/>
    <mergeCell ref="D287:E287"/>
    <mergeCell ref="I287:J287"/>
    <mergeCell ref="A282:B282"/>
    <mergeCell ref="D282:E282"/>
    <mergeCell ref="A291:B291"/>
    <mergeCell ref="D291:E291"/>
    <mergeCell ref="I291:J291"/>
    <mergeCell ref="A292:B292"/>
    <mergeCell ref="D292:E292"/>
    <mergeCell ref="I292:J292"/>
    <mergeCell ref="A293:B293"/>
    <mergeCell ref="I293:J293"/>
    <mergeCell ref="A294:B294"/>
    <mergeCell ref="D294:E294"/>
    <mergeCell ref="I294:J294"/>
    <mergeCell ref="C293:H293"/>
    <mergeCell ref="A295:B295"/>
    <mergeCell ref="D295:E295"/>
    <mergeCell ref="I295:J295"/>
    <mergeCell ref="A296:B296"/>
    <mergeCell ref="D296:E296"/>
    <mergeCell ref="I296:J296"/>
    <mergeCell ref="A297:B297"/>
    <mergeCell ref="D297:E297"/>
    <mergeCell ref="I297:J297"/>
    <mergeCell ref="A298:B298"/>
    <mergeCell ref="D298:E298"/>
    <mergeCell ref="I298:J298"/>
    <mergeCell ref="A300:B300"/>
    <mergeCell ref="D300:E300"/>
    <mergeCell ref="I300:J300"/>
    <mergeCell ref="A299:J299"/>
    <mergeCell ref="A301:B301"/>
    <mergeCell ref="D301:E301"/>
    <mergeCell ref="I301:J301"/>
    <mergeCell ref="A302:B302"/>
    <mergeCell ref="D302:E302"/>
    <mergeCell ref="I302:J302"/>
    <mergeCell ref="A303:B303"/>
    <mergeCell ref="D303:E303"/>
    <mergeCell ref="I303:J303"/>
    <mergeCell ref="A304:B304"/>
    <mergeCell ref="D304:E304"/>
    <mergeCell ref="I304:J304"/>
    <mergeCell ref="A305:B305"/>
    <mergeCell ref="D305:E305"/>
    <mergeCell ref="I305:J305"/>
    <mergeCell ref="A306:B306"/>
    <mergeCell ref="D306:E306"/>
    <mergeCell ref="I306:J306"/>
    <mergeCell ref="A307:B307"/>
    <mergeCell ref="D307:E307"/>
    <mergeCell ref="I307:J307"/>
    <mergeCell ref="D314:E314"/>
    <mergeCell ref="I314:J314"/>
    <mergeCell ref="A315:B315"/>
    <mergeCell ref="D315:E315"/>
    <mergeCell ref="I315:J315"/>
    <mergeCell ref="A308:J308"/>
    <mergeCell ref="A310:B310"/>
    <mergeCell ref="D310:E310"/>
    <mergeCell ref="I310:J310"/>
    <mergeCell ref="A309:J309"/>
    <mergeCell ref="A311:B311"/>
    <mergeCell ref="D311:E311"/>
    <mergeCell ref="I311:J311"/>
    <mergeCell ref="A312:B312"/>
    <mergeCell ref="I312:J312"/>
    <mergeCell ref="C312:H312"/>
    <mergeCell ref="A42:E42"/>
    <mergeCell ref="A320:B320"/>
    <mergeCell ref="D320:E320"/>
    <mergeCell ref="I320:J320"/>
    <mergeCell ref="A321:B321"/>
    <mergeCell ref="D321:E321"/>
    <mergeCell ref="I321:J321"/>
    <mergeCell ref="A322:B322"/>
    <mergeCell ref="D322:E322"/>
    <mergeCell ref="I322:J322"/>
    <mergeCell ref="A316:B316"/>
    <mergeCell ref="D316:E316"/>
    <mergeCell ref="I316:J316"/>
    <mergeCell ref="A317:B317"/>
    <mergeCell ref="D317:E317"/>
    <mergeCell ref="I317:J317"/>
    <mergeCell ref="A318:J318"/>
    <mergeCell ref="A319:B319"/>
    <mergeCell ref="D319:E319"/>
    <mergeCell ref="I319:J319"/>
    <mergeCell ref="A313:B313"/>
    <mergeCell ref="D313:E313"/>
    <mergeCell ref="I313:J313"/>
    <mergeCell ref="A314:B314"/>
    <mergeCell ref="D14:G14"/>
    <mergeCell ref="A10:E10"/>
    <mergeCell ref="F10:J10"/>
    <mergeCell ref="A11:E11"/>
    <mergeCell ref="E29:F29"/>
    <mergeCell ref="G29:H29"/>
    <mergeCell ref="F11:J11"/>
    <mergeCell ref="B15:E15"/>
    <mergeCell ref="D48:E48"/>
    <mergeCell ref="A40:E40"/>
    <mergeCell ref="A35:J36"/>
    <mergeCell ref="F20:J21"/>
    <mergeCell ref="A45:B45"/>
    <mergeCell ref="A37:E37"/>
    <mergeCell ref="I28:J28"/>
    <mergeCell ref="A23:E23"/>
    <mergeCell ref="A24:E24"/>
    <mergeCell ref="F24:J24"/>
    <mergeCell ref="A22:E22"/>
    <mergeCell ref="F22:J22"/>
    <mergeCell ref="A32:B32"/>
    <mergeCell ref="C32:J32"/>
    <mergeCell ref="A33:B33"/>
    <mergeCell ref="C33:J33"/>
    <mergeCell ref="A2:J2"/>
    <mergeCell ref="A3:E3"/>
    <mergeCell ref="F3:J3"/>
    <mergeCell ref="A4:E4"/>
    <mergeCell ref="F4:J4"/>
    <mergeCell ref="A6:E6"/>
    <mergeCell ref="F6:J6"/>
    <mergeCell ref="A5:E5"/>
    <mergeCell ref="F9:J9"/>
    <mergeCell ref="F5:J5"/>
    <mergeCell ref="A7:E7"/>
    <mergeCell ref="F7:J7"/>
    <mergeCell ref="A9:E9"/>
    <mergeCell ref="F8:J8"/>
    <mergeCell ref="A8:E8"/>
    <mergeCell ref="A355:J355"/>
    <mergeCell ref="A349:J349"/>
    <mergeCell ref="A350:J350"/>
    <mergeCell ref="A346:J347"/>
    <mergeCell ref="A351:J351"/>
    <mergeCell ref="I335:J335"/>
    <mergeCell ref="I333:J333"/>
    <mergeCell ref="A339:B339"/>
    <mergeCell ref="D339:E339"/>
    <mergeCell ref="I339:J339"/>
    <mergeCell ref="A340:B340"/>
    <mergeCell ref="D340:E340"/>
    <mergeCell ref="I340:J340"/>
    <mergeCell ref="A336:B336"/>
    <mergeCell ref="D336:E336"/>
    <mergeCell ref="I336:J336"/>
    <mergeCell ref="A341:B341"/>
    <mergeCell ref="D341:E341"/>
    <mergeCell ref="I341:J341"/>
    <mergeCell ref="A348:J348"/>
    <mergeCell ref="D334:E334"/>
    <mergeCell ref="I334:J334"/>
    <mergeCell ref="A335:B335"/>
    <mergeCell ref="A354:J354"/>
    <mergeCell ref="I331:J331"/>
    <mergeCell ref="A331:B331"/>
    <mergeCell ref="A329:B329"/>
    <mergeCell ref="C329:H329"/>
    <mergeCell ref="I329:J329"/>
    <mergeCell ref="A53:J53"/>
    <mergeCell ref="C18:E18"/>
    <mergeCell ref="E52:J52"/>
    <mergeCell ref="H50:J50"/>
    <mergeCell ref="D133:E133"/>
    <mergeCell ref="F141:G141"/>
    <mergeCell ref="D143:E143"/>
    <mergeCell ref="F26:J26"/>
    <mergeCell ref="A60:B60"/>
    <mergeCell ref="D60:E60"/>
    <mergeCell ref="A61:B61"/>
    <mergeCell ref="D61:E61"/>
    <mergeCell ref="D64:E64"/>
    <mergeCell ref="A62:B62"/>
    <mergeCell ref="A138:B138"/>
    <mergeCell ref="A324:B324"/>
    <mergeCell ref="E139:F139"/>
    <mergeCell ref="I139:J139"/>
    <mergeCell ref="A140:B140"/>
    <mergeCell ref="D345:E345"/>
    <mergeCell ref="I345:J345"/>
    <mergeCell ref="A343:B343"/>
    <mergeCell ref="D343:E343"/>
    <mergeCell ref="I343:J343"/>
    <mergeCell ref="A344:B344"/>
    <mergeCell ref="D344:E344"/>
    <mergeCell ref="I344:J344"/>
    <mergeCell ref="I153:J153"/>
    <mergeCell ref="F155:G155"/>
    <mergeCell ref="A345:B345"/>
    <mergeCell ref="A328:J328"/>
    <mergeCell ref="A168:J169"/>
    <mergeCell ref="A166:J166"/>
    <mergeCell ref="A167:J167"/>
    <mergeCell ref="A325:B325"/>
    <mergeCell ref="D325:E325"/>
    <mergeCell ref="I325:J325"/>
    <mergeCell ref="A326:B326"/>
    <mergeCell ref="D326:E326"/>
    <mergeCell ref="I326:J326"/>
    <mergeCell ref="A323:B323"/>
    <mergeCell ref="D323:E323"/>
    <mergeCell ref="I323:J323"/>
    <mergeCell ref="A356:J359"/>
    <mergeCell ref="A180:J180"/>
    <mergeCell ref="A181:J181"/>
    <mergeCell ref="A352:J352"/>
    <mergeCell ref="A353:J353"/>
    <mergeCell ref="A332:B332"/>
    <mergeCell ref="D332:E332"/>
    <mergeCell ref="A330:B330"/>
    <mergeCell ref="D330:E330"/>
    <mergeCell ref="D333:E333"/>
    <mergeCell ref="D331:E331"/>
    <mergeCell ref="I332:J332"/>
    <mergeCell ref="A333:B333"/>
    <mergeCell ref="I330:J330"/>
    <mergeCell ref="A327:J327"/>
    <mergeCell ref="A338:B338"/>
    <mergeCell ref="D338:E338"/>
    <mergeCell ref="I338:J338"/>
    <mergeCell ref="A337:J337"/>
    <mergeCell ref="A334:B334"/>
    <mergeCell ref="A342:B342"/>
    <mergeCell ref="D342:E342"/>
    <mergeCell ref="I342:J342"/>
    <mergeCell ref="D335:E335"/>
    <mergeCell ref="A1:J1"/>
    <mergeCell ref="H48:J48"/>
    <mergeCell ref="A13:B13"/>
    <mergeCell ref="C13:J13"/>
    <mergeCell ref="F42:J42"/>
    <mergeCell ref="A29:B29"/>
    <mergeCell ref="C29:D29"/>
    <mergeCell ref="A50:C50"/>
    <mergeCell ref="I29:J29"/>
    <mergeCell ref="A30:J30"/>
    <mergeCell ref="A31:J31"/>
    <mergeCell ref="A38:E38"/>
    <mergeCell ref="F40:J40"/>
    <mergeCell ref="A41:E41"/>
    <mergeCell ref="F39:J39"/>
    <mergeCell ref="D50:E50"/>
    <mergeCell ref="C45:F45"/>
    <mergeCell ref="A48:C48"/>
    <mergeCell ref="F48:G48"/>
    <mergeCell ref="F50:G50"/>
    <mergeCell ref="A28:B28"/>
    <mergeCell ref="I27:J27"/>
    <mergeCell ref="A49:J49"/>
    <mergeCell ref="A12:E12"/>
    <mergeCell ref="C140:J140"/>
    <mergeCell ref="A141:B141"/>
    <mergeCell ref="D141:E141"/>
    <mergeCell ref="D324:E324"/>
    <mergeCell ref="I324:J324"/>
    <mergeCell ref="H141:J141"/>
    <mergeCell ref="A142:B142"/>
    <mergeCell ref="D142:E142"/>
    <mergeCell ref="D63:E63"/>
    <mergeCell ref="A64:B64"/>
    <mergeCell ref="A65:B65"/>
    <mergeCell ref="D65:E65"/>
    <mergeCell ref="A66:B66"/>
    <mergeCell ref="D66:E66"/>
    <mergeCell ref="A67:B67"/>
    <mergeCell ref="D67:E67"/>
    <mergeCell ref="A70:B70"/>
    <mergeCell ref="C70:J70"/>
    <mergeCell ref="A71:B71"/>
    <mergeCell ref="D71:E71"/>
    <mergeCell ref="F71:G71"/>
    <mergeCell ref="H71:J71"/>
    <mergeCell ref="A72:B72"/>
    <mergeCell ref="D72:E72"/>
    <mergeCell ref="A58:B58"/>
    <mergeCell ref="D58:E58"/>
    <mergeCell ref="F58:G67"/>
    <mergeCell ref="H58:J67"/>
    <mergeCell ref="A59:B59"/>
    <mergeCell ref="D59:E59"/>
    <mergeCell ref="A68:B68"/>
    <mergeCell ref="C68:J68"/>
    <mergeCell ref="E69:F69"/>
    <mergeCell ref="I69:J69"/>
    <mergeCell ref="D62:E62"/>
    <mergeCell ref="A63:B63"/>
    <mergeCell ref="A54:B54"/>
    <mergeCell ref="C54:J54"/>
    <mergeCell ref="E55:F55"/>
    <mergeCell ref="I55:J55"/>
    <mergeCell ref="A56:B56"/>
    <mergeCell ref="C56:J56"/>
    <mergeCell ref="A57:B57"/>
    <mergeCell ref="D57:E57"/>
    <mergeCell ref="H57:J57"/>
    <mergeCell ref="F57:G57"/>
    <mergeCell ref="D74:E74"/>
    <mergeCell ref="A75:B75"/>
    <mergeCell ref="D75:E75"/>
    <mergeCell ref="A76:B76"/>
    <mergeCell ref="D76:E76"/>
    <mergeCell ref="A77:B77"/>
    <mergeCell ref="D77:E77"/>
    <mergeCell ref="F72:G81"/>
    <mergeCell ref="H72:J81"/>
    <mergeCell ref="A73:B73"/>
    <mergeCell ref="D73:E73"/>
    <mergeCell ref="A74:B74"/>
    <mergeCell ref="A78:B78"/>
    <mergeCell ref="D78:E78"/>
    <mergeCell ref="A79:B79"/>
    <mergeCell ref="D79:E79"/>
    <mergeCell ref="A80:B80"/>
    <mergeCell ref="D80:E80"/>
    <mergeCell ref="A81:B81"/>
    <mergeCell ref="D81:E81"/>
    <mergeCell ref="A82:B82"/>
    <mergeCell ref="C82:J82"/>
    <mergeCell ref="E83:F83"/>
    <mergeCell ref="I83:J83"/>
    <mergeCell ref="A84:B84"/>
    <mergeCell ref="C84:J84"/>
    <mergeCell ref="A85:B85"/>
    <mergeCell ref="D85:E85"/>
    <mergeCell ref="F85:G85"/>
    <mergeCell ref="H85:J85"/>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C96:J96"/>
    <mergeCell ref="E97:F97"/>
    <mergeCell ref="I97:J97"/>
    <mergeCell ref="A98:B98"/>
    <mergeCell ref="C98:J98"/>
    <mergeCell ref="A99:B99"/>
    <mergeCell ref="D99:E99"/>
    <mergeCell ref="F99:G99"/>
    <mergeCell ref="H99:J99"/>
    <mergeCell ref="A100:B100"/>
    <mergeCell ref="D100:E100"/>
    <mergeCell ref="F100:G109"/>
    <mergeCell ref="H100:J109"/>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C110:J110"/>
    <mergeCell ref="E111:F111"/>
    <mergeCell ref="I111:J111"/>
    <mergeCell ref="A112:B112"/>
    <mergeCell ref="C112:J112"/>
    <mergeCell ref="A113:B113"/>
    <mergeCell ref="D113:E113"/>
    <mergeCell ref="F113:G113"/>
    <mergeCell ref="H113:J113"/>
    <mergeCell ref="A114:B114"/>
    <mergeCell ref="D114:E114"/>
    <mergeCell ref="F114:G123"/>
    <mergeCell ref="H114:J123"/>
    <mergeCell ref="A115:B115"/>
    <mergeCell ref="D115:E115"/>
    <mergeCell ref="A116:B116"/>
    <mergeCell ref="D116:E116"/>
    <mergeCell ref="A117:B117"/>
    <mergeCell ref="D117:E117"/>
    <mergeCell ref="A118:B118"/>
    <mergeCell ref="D118:E118"/>
    <mergeCell ref="A119:B119"/>
    <mergeCell ref="D119:E119"/>
    <mergeCell ref="A120:B120"/>
    <mergeCell ref="D120:E120"/>
    <mergeCell ref="A121:B121"/>
    <mergeCell ref="D121:E121"/>
    <mergeCell ref="A122:B122"/>
    <mergeCell ref="D122:E122"/>
    <mergeCell ref="A123:B123"/>
    <mergeCell ref="D123:E123"/>
    <mergeCell ref="A124:B124"/>
    <mergeCell ref="C124:J124"/>
    <mergeCell ref="E125:F125"/>
    <mergeCell ref="I125:J125"/>
    <mergeCell ref="A126:B126"/>
    <mergeCell ref="C126:J126"/>
    <mergeCell ref="A127:B127"/>
    <mergeCell ref="D127:E127"/>
    <mergeCell ref="H127:J127"/>
    <mergeCell ref="F127:G127"/>
    <mergeCell ref="A156:B156"/>
    <mergeCell ref="D156:E156"/>
    <mergeCell ref="F156:G165"/>
    <mergeCell ref="H156:J165"/>
    <mergeCell ref="A157:B157"/>
    <mergeCell ref="D157:E157"/>
    <mergeCell ref="A158:B158"/>
    <mergeCell ref="D158:E158"/>
    <mergeCell ref="A159:B159"/>
    <mergeCell ref="D159:E159"/>
    <mergeCell ref="A160:B160"/>
    <mergeCell ref="D160:E160"/>
    <mergeCell ref="A161:B161"/>
    <mergeCell ref="D161:E161"/>
    <mergeCell ref="A162:B162"/>
    <mergeCell ref="D162:E162"/>
    <mergeCell ref="A165:B165"/>
    <mergeCell ref="D165:E165"/>
    <mergeCell ref="D163:E163"/>
    <mergeCell ref="A163:B163"/>
    <mergeCell ref="A164:B164"/>
    <mergeCell ref="D164:E164"/>
    <mergeCell ref="A155:B155"/>
    <mergeCell ref="D155:E155"/>
    <mergeCell ref="H155:J155"/>
    <mergeCell ref="F142:G151"/>
    <mergeCell ref="H142:J151"/>
    <mergeCell ref="A143:B143"/>
    <mergeCell ref="A144:B144"/>
    <mergeCell ref="D144:E144"/>
    <mergeCell ref="A145:B145"/>
    <mergeCell ref="D145:E145"/>
    <mergeCell ref="A146:B146"/>
    <mergeCell ref="D146:E146"/>
    <mergeCell ref="A147:B147"/>
    <mergeCell ref="D147:E147"/>
    <mergeCell ref="A148:B148"/>
    <mergeCell ref="D148:E148"/>
    <mergeCell ref="A149:B149"/>
    <mergeCell ref="D149:E149"/>
    <mergeCell ref="A150:B150"/>
    <mergeCell ref="D150:E150"/>
    <mergeCell ref="A151:B151"/>
    <mergeCell ref="D151:E151"/>
    <mergeCell ref="A152:B152"/>
    <mergeCell ref="C152:J152"/>
    <mergeCell ref="E153:F153"/>
    <mergeCell ref="A154:B154"/>
    <mergeCell ref="C154:J154"/>
    <mergeCell ref="A128:B128"/>
    <mergeCell ref="D128:E128"/>
    <mergeCell ref="F128:G137"/>
    <mergeCell ref="H128:J137"/>
    <mergeCell ref="A129:B129"/>
    <mergeCell ref="D129:E129"/>
    <mergeCell ref="A130:B130"/>
    <mergeCell ref="D130:E130"/>
    <mergeCell ref="A131:B131"/>
    <mergeCell ref="D131:E131"/>
    <mergeCell ref="A132:B132"/>
    <mergeCell ref="D132:E132"/>
    <mergeCell ref="A133:B133"/>
    <mergeCell ref="A134:B134"/>
    <mergeCell ref="D134:E134"/>
    <mergeCell ref="A135:B135"/>
    <mergeCell ref="D135:E135"/>
    <mergeCell ref="A136:B136"/>
    <mergeCell ref="D136:E136"/>
    <mergeCell ref="A137:B137"/>
    <mergeCell ref="D137:E137"/>
    <mergeCell ref="A52:D52"/>
    <mergeCell ref="C51:J51"/>
    <mergeCell ref="F12:J12"/>
    <mergeCell ref="A34:J34"/>
    <mergeCell ref="A39:E39"/>
    <mergeCell ref="F41:J41"/>
    <mergeCell ref="C44:F44"/>
    <mergeCell ref="A43:J43"/>
    <mergeCell ref="F38:J38"/>
    <mergeCell ref="F37:J37"/>
    <mergeCell ref="A44:B44"/>
    <mergeCell ref="H46:J46"/>
    <mergeCell ref="G16:J16"/>
    <mergeCell ref="H19:J19"/>
    <mergeCell ref="F19:G19"/>
    <mergeCell ref="B16:E16"/>
    <mergeCell ref="A19:B19"/>
    <mergeCell ref="C19:E19"/>
    <mergeCell ref="A20:E21"/>
    <mergeCell ref="I14:J14"/>
    <mergeCell ref="F18:J18"/>
    <mergeCell ref="A17:B17"/>
    <mergeCell ref="C17:J17"/>
    <mergeCell ref="G15:J15"/>
  </mergeCells>
  <phoneticPr fontId="0" type="noConversion"/>
  <hyperlinks>
    <hyperlink ref="C33" r:id="rId1" xr:uid="{00000000-0004-0000-0000-000000000000}"/>
  </hyperlinks>
  <pageMargins left="0.39370078740157483" right="0.39370078740157483" top="0.78740157480314965" bottom="0.78740157480314965" header="0.31496062992125984" footer="0.31496062992125984"/>
  <pageSetup paperSize="2" scale="93" fitToHeight="0" orientation="portrait" r:id="rId2"/>
  <headerFooter>
    <oddHeader>&amp;C&amp;G</oddHeader>
    <oddFooter>&amp;L&amp;"Times New Roman,Bold"Ref No: &amp;F&amp;C&amp;G&amp;R&amp;P</oddFooter>
  </headerFooter>
  <rowBreaks count="3" manualBreakCount="3">
    <brk id="336" max="16383" man="1"/>
    <brk id="359" max="16383" man="1"/>
    <brk id="40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workbookViewId="0">
      <selection activeCell="C13" sqref="C13"/>
    </sheetView>
  </sheetViews>
  <sheetFormatPr defaultColWidth="8.6640625" defaultRowHeight="14.4" x14ac:dyDescent="0.3"/>
  <cols>
    <col min="1" max="1" width="8.6640625" style="17"/>
    <col min="2" max="2" width="22.109375" style="17" customWidth="1"/>
    <col min="3" max="3" width="37" style="17" customWidth="1"/>
    <col min="4" max="5" width="11.44140625" style="17" customWidth="1"/>
    <col min="6" max="6" width="14" style="17" customWidth="1"/>
    <col min="7" max="7" width="20" style="17" customWidth="1"/>
    <col min="8" max="8" width="16.44140625" style="17" customWidth="1"/>
    <col min="9" max="9" width="8.6640625" style="17"/>
    <col min="10" max="10" width="9.88671875" style="17" bestFit="1" customWidth="1"/>
    <col min="11" max="16384" width="8.6640625" style="17"/>
  </cols>
  <sheetData>
    <row r="1" spans="1:10" ht="15" customHeight="1" x14ac:dyDescent="0.3"/>
    <row r="2" spans="1:10" ht="15" customHeight="1" x14ac:dyDescent="0.3">
      <c r="A2" s="18"/>
      <c r="B2" s="18"/>
      <c r="C2" s="18"/>
      <c r="D2" s="18"/>
      <c r="E2" s="18"/>
      <c r="F2" s="18"/>
      <c r="G2" s="18"/>
      <c r="H2" s="18"/>
    </row>
    <row r="3" spans="1:10" ht="15.75" customHeight="1" x14ac:dyDescent="0.3">
      <c r="A3" s="18"/>
      <c r="B3" s="216" t="s">
        <v>178</v>
      </c>
      <c r="C3" s="216"/>
      <c r="D3" s="216"/>
      <c r="E3" s="216"/>
      <c r="F3" s="216"/>
      <c r="G3" s="216"/>
      <c r="H3" s="216"/>
    </row>
    <row r="4" spans="1:10" x14ac:dyDescent="0.3">
      <c r="A4" s="18"/>
      <c r="B4" s="19" t="s">
        <v>179</v>
      </c>
      <c r="C4" s="19" t="s">
        <v>180</v>
      </c>
      <c r="D4" s="19" t="s">
        <v>75</v>
      </c>
      <c r="E4" s="19" t="s">
        <v>181</v>
      </c>
      <c r="F4" s="19" t="s">
        <v>182</v>
      </c>
      <c r="G4" s="19" t="s">
        <v>183</v>
      </c>
      <c r="H4" s="19" t="s">
        <v>184</v>
      </c>
    </row>
    <row r="5" spans="1:10" ht="15" customHeight="1" x14ac:dyDescent="0.3">
      <c r="A5" s="18"/>
      <c r="B5" s="20" t="s">
        <v>185</v>
      </c>
      <c r="C5" s="21" t="s">
        <v>186</v>
      </c>
      <c r="D5" s="22" t="s">
        <v>187</v>
      </c>
      <c r="E5" s="22">
        <v>0</v>
      </c>
      <c r="F5" s="23">
        <v>322</v>
      </c>
      <c r="G5" s="23">
        <f>H5/F5</f>
        <v>5776.3975155279504</v>
      </c>
      <c r="H5" s="24">
        <v>1860000</v>
      </c>
      <c r="J5" s="25"/>
    </row>
    <row r="6" spans="1:10" x14ac:dyDescent="0.3">
      <c r="A6" s="18"/>
      <c r="B6" s="20" t="s">
        <v>185</v>
      </c>
      <c r="C6" s="21" t="s">
        <v>186</v>
      </c>
      <c r="D6" s="22" t="s">
        <v>188</v>
      </c>
      <c r="E6" s="22">
        <v>0</v>
      </c>
      <c r="F6" s="23">
        <v>427</v>
      </c>
      <c r="G6" s="23">
        <f t="shared" ref="G6:G12" si="0">H6/F6</f>
        <v>5620.6088992974237</v>
      </c>
      <c r="H6" s="24">
        <v>2400000</v>
      </c>
      <c r="J6" s="25"/>
    </row>
    <row r="7" spans="1:10" ht="15" customHeight="1" x14ac:dyDescent="0.3">
      <c r="A7" s="18"/>
      <c r="B7" s="20" t="s">
        <v>185</v>
      </c>
      <c r="C7" s="21" t="s">
        <v>186</v>
      </c>
      <c r="D7" s="22" t="s">
        <v>187</v>
      </c>
      <c r="E7" s="22">
        <v>0</v>
      </c>
      <c r="F7" s="23">
        <v>378</v>
      </c>
      <c r="G7" s="23">
        <f t="shared" si="0"/>
        <v>6058.201058201058</v>
      </c>
      <c r="H7" s="24">
        <v>2290000</v>
      </c>
      <c r="J7" s="25"/>
    </row>
    <row r="8" spans="1:10" ht="15" customHeight="1" x14ac:dyDescent="0.3">
      <c r="A8" s="18"/>
      <c r="B8" s="20" t="s">
        <v>185</v>
      </c>
      <c r="C8" s="21" t="s">
        <v>186</v>
      </c>
      <c r="D8" s="22" t="s">
        <v>188</v>
      </c>
      <c r="E8" s="22">
        <v>0</v>
      </c>
      <c r="F8" s="23">
        <v>750</v>
      </c>
      <c r="G8" s="23">
        <f t="shared" si="0"/>
        <v>4666.666666666667</v>
      </c>
      <c r="H8" s="24">
        <v>3500000</v>
      </c>
      <c r="J8" s="25"/>
    </row>
    <row r="9" spans="1:10" x14ac:dyDescent="0.3">
      <c r="A9" s="18"/>
      <c r="B9" s="20" t="s">
        <v>189</v>
      </c>
      <c r="C9" s="21" t="s">
        <v>186</v>
      </c>
      <c r="D9" s="22" t="s">
        <v>187</v>
      </c>
      <c r="E9" s="22">
        <v>367</v>
      </c>
      <c r="F9" s="23">
        <f>E9*1.45</f>
        <v>532.15</v>
      </c>
      <c r="G9" s="23">
        <f t="shared" si="0"/>
        <v>4697.9235178051304</v>
      </c>
      <c r="H9" s="24">
        <v>2500000</v>
      </c>
      <c r="J9" s="25"/>
    </row>
    <row r="10" spans="1:10" ht="15" customHeight="1" x14ac:dyDescent="0.3">
      <c r="A10" s="18"/>
      <c r="B10" s="20" t="s">
        <v>189</v>
      </c>
      <c r="C10" s="21" t="s">
        <v>186</v>
      </c>
      <c r="D10" s="22" t="s">
        <v>187</v>
      </c>
      <c r="E10" s="22">
        <v>368</v>
      </c>
      <c r="F10" s="23">
        <f>E10*1.45</f>
        <v>533.6</v>
      </c>
      <c r="G10" s="23">
        <f t="shared" si="0"/>
        <v>4696.4017991004494</v>
      </c>
      <c r="H10" s="24">
        <v>2506000</v>
      </c>
      <c r="J10" s="25"/>
    </row>
    <row r="11" spans="1:10" x14ac:dyDescent="0.3">
      <c r="A11" s="18"/>
      <c r="B11" s="20" t="s">
        <v>189</v>
      </c>
      <c r="C11" s="21" t="s">
        <v>186</v>
      </c>
      <c r="D11" s="22" t="s">
        <v>190</v>
      </c>
      <c r="E11" s="22">
        <v>427</v>
      </c>
      <c r="F11" s="23">
        <f>E11*1.45</f>
        <v>619.15</v>
      </c>
      <c r="G11" s="23">
        <f t="shared" si="0"/>
        <v>4603.084874424615</v>
      </c>
      <c r="H11" s="24">
        <v>2850000</v>
      </c>
      <c r="J11" s="25"/>
    </row>
    <row r="12" spans="1:10" x14ac:dyDescent="0.3">
      <c r="A12" s="18"/>
      <c r="B12" s="20" t="s">
        <v>189</v>
      </c>
      <c r="C12" s="21" t="s">
        <v>186</v>
      </c>
      <c r="D12" s="22" t="s">
        <v>190</v>
      </c>
      <c r="E12" s="22">
        <v>437</v>
      </c>
      <c r="F12" s="23">
        <f>E12*1.45</f>
        <v>633.65</v>
      </c>
      <c r="G12" s="23">
        <f t="shared" si="0"/>
        <v>4603.4877298193014</v>
      </c>
      <c r="H12" s="24">
        <v>2917000</v>
      </c>
      <c r="J12" s="25"/>
    </row>
    <row r="13" spans="1:10" ht="15" customHeight="1" x14ac:dyDescent="0.3">
      <c r="A13" s="18"/>
      <c r="B13" s="26" t="s">
        <v>191</v>
      </c>
      <c r="C13" s="22"/>
      <c r="D13" s="22"/>
      <c r="E13" s="22">
        <v>0</v>
      </c>
      <c r="F13" s="23">
        <f>E13*1.5</f>
        <v>0</v>
      </c>
      <c r="G13" s="27">
        <f>AVERAGE(G5:G12)</f>
        <v>5090.3465076053253</v>
      </c>
      <c r="H13" s="22"/>
      <c r="J13" s="25"/>
    </row>
    <row r="14" spans="1:10" ht="15" customHeight="1" x14ac:dyDescent="0.3">
      <c r="B14" s="26" t="s">
        <v>192</v>
      </c>
      <c r="C14" s="22"/>
      <c r="D14" s="22"/>
      <c r="E14" s="22"/>
      <c r="F14" s="28"/>
      <c r="G14" s="26">
        <v>5000</v>
      </c>
      <c r="H14" s="26"/>
      <c r="I14" s="29"/>
      <c r="J14" s="25"/>
    </row>
    <row r="15" spans="1:10" ht="15" customHeight="1" x14ac:dyDescent="0.3">
      <c r="G15" s="30"/>
    </row>
    <row r="16" spans="1:10" x14ac:dyDescent="0.3">
      <c r="E16" s="30"/>
      <c r="G16" s="30"/>
    </row>
    <row r="17" spans="2:7" x14ac:dyDescent="0.3">
      <c r="E17" s="30"/>
      <c r="G17" s="30"/>
    </row>
    <row r="18" spans="2:7" x14ac:dyDescent="0.3">
      <c r="E18" s="30"/>
      <c r="G18" s="30"/>
    </row>
    <row r="19" spans="2:7" x14ac:dyDescent="0.3">
      <c r="E19" s="30"/>
      <c r="G19" s="30"/>
    </row>
    <row r="20" spans="2:7" x14ac:dyDescent="0.3">
      <c r="E20" s="30"/>
      <c r="G20" s="30"/>
    </row>
    <row r="21" spans="2:7" x14ac:dyDescent="0.3">
      <c r="E21" s="30"/>
      <c r="G21" s="30"/>
    </row>
    <row r="22" spans="2:7" x14ac:dyDescent="0.3">
      <c r="G22" s="30"/>
    </row>
    <row r="23" spans="2:7" x14ac:dyDescent="0.3">
      <c r="G23" s="30"/>
    </row>
    <row r="24" spans="2:7" x14ac:dyDescent="0.3">
      <c r="B24" s="31"/>
      <c r="G24" s="30"/>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D7" sqref="D7"/>
    </sheetView>
  </sheetViews>
  <sheetFormatPr defaultRowHeight="14.4" x14ac:dyDescent="0.3"/>
  <cols>
    <col min="1" max="1" width="11" customWidth="1"/>
    <col min="2" max="2" width="11.109375" customWidth="1"/>
  </cols>
  <sheetData>
    <row r="1" spans="1:3" x14ac:dyDescent="0.3">
      <c r="A1" t="s">
        <v>171</v>
      </c>
      <c r="B1" t="s">
        <v>193</v>
      </c>
      <c r="C1" t="s">
        <v>194</v>
      </c>
    </row>
    <row r="2" spans="1:3" x14ac:dyDescent="0.3">
      <c r="C2"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0"/>
  <sheetViews>
    <sheetView workbookViewId="0">
      <selection activeCell="A63" sqref="A63:J63"/>
    </sheetView>
  </sheetViews>
  <sheetFormatPr defaultRowHeight="14.4" x14ac:dyDescent="0.3"/>
  <cols>
    <col min="2" max="2" width="11.6640625" customWidth="1"/>
  </cols>
  <sheetData>
    <row r="2" spans="1:16" x14ac:dyDescent="0.3">
      <c r="A2" t="s">
        <v>84</v>
      </c>
      <c r="B2" s="10" t="s">
        <v>104</v>
      </c>
      <c r="C2" s="5">
        <v>7</v>
      </c>
    </row>
    <row r="3" spans="1:16" x14ac:dyDescent="0.3">
      <c r="B3" t="s">
        <v>85</v>
      </c>
      <c r="C3" t="s">
        <v>86</v>
      </c>
    </row>
    <row r="4" spans="1:16" x14ac:dyDescent="0.3">
      <c r="A4" t="s">
        <v>87</v>
      </c>
      <c r="B4" s="4">
        <v>10</v>
      </c>
      <c r="C4" s="11">
        <v>10</v>
      </c>
      <c r="E4">
        <f>C4*10</f>
        <v>100</v>
      </c>
    </row>
    <row r="5" spans="1:16" x14ac:dyDescent="0.3">
      <c r="A5" t="s">
        <v>88</v>
      </c>
      <c r="B5" t="s">
        <v>89</v>
      </c>
      <c r="C5" t="s">
        <v>90</v>
      </c>
      <c r="J5" s="4" t="s">
        <v>91</v>
      </c>
      <c r="K5" s="4" t="s">
        <v>92</v>
      </c>
      <c r="L5" s="4" t="s">
        <v>93</v>
      </c>
      <c r="M5" s="4" t="s">
        <v>37</v>
      </c>
      <c r="N5" s="4" t="s">
        <v>43</v>
      </c>
      <c r="O5" s="4" t="s">
        <v>94</v>
      </c>
      <c r="P5" s="4" t="s">
        <v>44</v>
      </c>
    </row>
    <row r="6" spans="1:16" x14ac:dyDescent="0.3">
      <c r="B6" s="4">
        <f>C2+1</f>
        <v>8</v>
      </c>
      <c r="C6" s="11">
        <v>8</v>
      </c>
      <c r="E6">
        <f>(100/B6)*C6</f>
        <v>100</v>
      </c>
      <c r="G6" s="6" t="s">
        <v>95</v>
      </c>
      <c r="J6" s="6">
        <f>C4</f>
        <v>10</v>
      </c>
      <c r="K6" s="6">
        <f>40/B6*C6</f>
        <v>40</v>
      </c>
      <c r="L6" s="6">
        <f>15/B8*C8</f>
        <v>15</v>
      </c>
      <c r="M6" s="6">
        <f>10/B10*C10</f>
        <v>10</v>
      </c>
      <c r="N6" s="6">
        <f>10/B12*C12</f>
        <v>1.4285714285714286</v>
      </c>
      <c r="O6" s="6">
        <f>5/B14*C14</f>
        <v>0</v>
      </c>
      <c r="P6" s="6">
        <f>5/B16*C16</f>
        <v>0</v>
      </c>
    </row>
    <row r="7" spans="1:16" x14ac:dyDescent="0.3">
      <c r="A7" t="s">
        <v>96</v>
      </c>
      <c r="B7" t="s">
        <v>97</v>
      </c>
      <c r="C7" t="s">
        <v>98</v>
      </c>
      <c r="G7" s="4" t="s">
        <v>99</v>
      </c>
      <c r="H7" s="4"/>
      <c r="I7" s="4"/>
      <c r="J7" s="4">
        <f>J6+20</f>
        <v>30</v>
      </c>
      <c r="K7" s="4">
        <f>30/B6*C6</f>
        <v>30</v>
      </c>
      <c r="L7" s="4">
        <f>15/B8*C8</f>
        <v>15</v>
      </c>
      <c r="M7" s="4">
        <f>10/B10*C10</f>
        <v>10</v>
      </c>
      <c r="N7" s="4">
        <f>5/B12*C12</f>
        <v>0.7142857142857143</v>
      </c>
      <c r="O7" s="4">
        <f>5/B14*C14</f>
        <v>0</v>
      </c>
      <c r="P7" s="4">
        <f>5/B16*C16</f>
        <v>0</v>
      </c>
    </row>
    <row r="8" spans="1:16" x14ac:dyDescent="0.3">
      <c r="B8" s="4">
        <f>C2</f>
        <v>7</v>
      </c>
      <c r="C8" s="11">
        <v>7</v>
      </c>
      <c r="E8">
        <f>(100/B8)*C8</f>
        <v>100</v>
      </c>
    </row>
    <row r="9" spans="1:16" x14ac:dyDescent="0.3">
      <c r="A9" t="s">
        <v>100</v>
      </c>
      <c r="B9" t="s">
        <v>97</v>
      </c>
      <c r="C9" t="s">
        <v>98</v>
      </c>
    </row>
    <row r="10" spans="1:16" x14ac:dyDescent="0.3">
      <c r="B10" s="4">
        <f>C2</f>
        <v>7</v>
      </c>
      <c r="C10" s="11">
        <v>7</v>
      </c>
      <c r="E10">
        <f>(100/B10)*C10</f>
        <v>100</v>
      </c>
    </row>
    <row r="11" spans="1:16" x14ac:dyDescent="0.3">
      <c r="A11" t="s">
        <v>43</v>
      </c>
      <c r="B11" t="s">
        <v>97</v>
      </c>
      <c r="C11" t="s">
        <v>98</v>
      </c>
    </row>
    <row r="12" spans="1:16" x14ac:dyDescent="0.3">
      <c r="B12" s="4">
        <f>C2</f>
        <v>7</v>
      </c>
      <c r="C12" s="11">
        <v>1</v>
      </c>
      <c r="E12" s="14">
        <f>(100/B12)*C12</f>
        <v>14.285714285714286</v>
      </c>
      <c r="J12" s="4"/>
      <c r="K12" s="4" t="s">
        <v>95</v>
      </c>
      <c r="L12" s="4" t="s">
        <v>101</v>
      </c>
      <c r="M12" t="s">
        <v>102</v>
      </c>
    </row>
    <row r="13" spans="1:16" ht="28.8" x14ac:dyDescent="0.3">
      <c r="A13" s="7" t="s">
        <v>94</v>
      </c>
      <c r="B13" t="s">
        <v>97</v>
      </c>
      <c r="C13" t="s">
        <v>98</v>
      </c>
      <c r="J13" s="4" t="s">
        <v>35</v>
      </c>
      <c r="K13" s="4">
        <f>J6</f>
        <v>10</v>
      </c>
      <c r="L13" s="4">
        <f>J7</f>
        <v>30</v>
      </c>
      <c r="M13" t="s">
        <v>102</v>
      </c>
    </row>
    <row r="14" spans="1:16" x14ac:dyDescent="0.3">
      <c r="B14" s="4">
        <f>C2</f>
        <v>7</v>
      </c>
      <c r="C14" s="11">
        <v>0</v>
      </c>
      <c r="E14">
        <f>(100/B14)*C14</f>
        <v>0</v>
      </c>
      <c r="J14" s="4" t="s">
        <v>36</v>
      </c>
      <c r="K14" s="4">
        <f>K6</f>
        <v>40</v>
      </c>
      <c r="L14" s="4">
        <f>K7</f>
        <v>30</v>
      </c>
    </row>
    <row r="15" spans="1:16" x14ac:dyDescent="0.3">
      <c r="A15" t="s">
        <v>44</v>
      </c>
      <c r="B15" t="s">
        <v>97</v>
      </c>
      <c r="C15" t="s">
        <v>98</v>
      </c>
      <c r="J15" s="4" t="s">
        <v>93</v>
      </c>
      <c r="K15" s="4">
        <f>L6</f>
        <v>15</v>
      </c>
      <c r="L15" s="4">
        <f>L7</f>
        <v>15</v>
      </c>
    </row>
    <row r="16" spans="1:16" x14ac:dyDescent="0.3">
      <c r="B16" s="4">
        <f>C2</f>
        <v>7</v>
      </c>
      <c r="C16" s="11">
        <v>0</v>
      </c>
      <c r="E16">
        <f>(100/B16)*C16</f>
        <v>0</v>
      </c>
      <c r="J16" s="4" t="s">
        <v>37</v>
      </c>
      <c r="K16" s="4">
        <f>M6</f>
        <v>10</v>
      </c>
      <c r="L16" s="4">
        <f>M7</f>
        <v>10</v>
      </c>
    </row>
    <row r="17" spans="10:12" x14ac:dyDescent="0.3">
      <c r="J17" s="4" t="s">
        <v>43</v>
      </c>
      <c r="K17" s="4">
        <f>N6</f>
        <v>1.4285714285714286</v>
      </c>
      <c r="L17" s="4">
        <f>N7</f>
        <v>0.7142857142857143</v>
      </c>
    </row>
    <row r="18" spans="10:12" ht="28.8" x14ac:dyDescent="0.3">
      <c r="J18" s="8" t="s">
        <v>94</v>
      </c>
      <c r="K18" s="4">
        <f>O6</f>
        <v>0</v>
      </c>
      <c r="L18" s="4">
        <f>O7</f>
        <v>0</v>
      </c>
    </row>
    <row r="19" spans="10:12" x14ac:dyDescent="0.3">
      <c r="J19" s="4" t="s">
        <v>44</v>
      </c>
      <c r="K19" s="4">
        <f>P6</f>
        <v>0</v>
      </c>
      <c r="L19" s="4">
        <f>P7</f>
        <v>0</v>
      </c>
    </row>
    <row r="20" spans="10:12" x14ac:dyDescent="0.3">
      <c r="J20" s="4" t="s">
        <v>103</v>
      </c>
      <c r="K20" s="4">
        <f>K13+K14+K15+K16+K17+K18+K19</f>
        <v>76.428571428571431</v>
      </c>
      <c r="L20" s="4">
        <f>L13+L14+L15+L16+L17+L18+L19</f>
        <v>85.714285714285708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20"/>
  <sheetViews>
    <sheetView workbookViewId="0">
      <selection activeCell="A63" sqref="A63:J63"/>
    </sheetView>
  </sheetViews>
  <sheetFormatPr defaultRowHeight="14.4" x14ac:dyDescent="0.3"/>
  <cols>
    <col min="2" max="2" width="11.6640625" customWidth="1"/>
  </cols>
  <sheetData>
    <row r="2" spans="1:16" x14ac:dyDescent="0.3">
      <c r="A2" t="s">
        <v>84</v>
      </c>
      <c r="B2" s="5" t="s">
        <v>104</v>
      </c>
      <c r="C2" s="5">
        <v>4</v>
      </c>
    </row>
    <row r="3" spans="1:16" x14ac:dyDescent="0.3">
      <c r="B3" t="s">
        <v>85</v>
      </c>
      <c r="C3" t="s">
        <v>86</v>
      </c>
    </row>
    <row r="4" spans="1:16" x14ac:dyDescent="0.3">
      <c r="A4" t="s">
        <v>87</v>
      </c>
      <c r="B4" s="4">
        <v>10</v>
      </c>
      <c r="C4" s="11">
        <v>0</v>
      </c>
      <c r="E4">
        <f>C4*10</f>
        <v>0</v>
      </c>
    </row>
    <row r="5" spans="1:16" x14ac:dyDescent="0.3">
      <c r="A5" t="s">
        <v>88</v>
      </c>
      <c r="B5" t="s">
        <v>89</v>
      </c>
      <c r="C5" t="s">
        <v>90</v>
      </c>
      <c r="J5" s="4" t="s">
        <v>91</v>
      </c>
      <c r="K5" s="4" t="s">
        <v>92</v>
      </c>
      <c r="L5" s="4" t="s">
        <v>93</v>
      </c>
      <c r="M5" s="4" t="s">
        <v>37</v>
      </c>
      <c r="N5" s="4" t="s">
        <v>43</v>
      </c>
      <c r="O5" s="4" t="s">
        <v>94</v>
      </c>
      <c r="P5" s="4" t="s">
        <v>44</v>
      </c>
    </row>
    <row r="6" spans="1:16" x14ac:dyDescent="0.3">
      <c r="B6" s="4">
        <f>C2+1</f>
        <v>5</v>
      </c>
      <c r="C6" s="11">
        <v>0</v>
      </c>
      <c r="E6">
        <f>(100/B6)*C6</f>
        <v>0</v>
      </c>
      <c r="G6" s="6" t="s">
        <v>95</v>
      </c>
      <c r="J6" s="6">
        <f>C4</f>
        <v>0</v>
      </c>
      <c r="K6" s="6">
        <f>40/B6*C6</f>
        <v>0</v>
      </c>
      <c r="L6" s="6">
        <f>15/B8*C8</f>
        <v>0</v>
      </c>
      <c r="M6" s="6">
        <f>10/B10*C10</f>
        <v>0</v>
      </c>
      <c r="N6" s="6">
        <f>10/B12*C12</f>
        <v>0</v>
      </c>
      <c r="O6" s="6">
        <f>5/B14*C14</f>
        <v>0</v>
      </c>
      <c r="P6" s="6">
        <f>5/B16*C16</f>
        <v>0</v>
      </c>
    </row>
    <row r="7" spans="1:16" x14ac:dyDescent="0.3">
      <c r="A7" t="s">
        <v>96</v>
      </c>
      <c r="B7" t="s">
        <v>97</v>
      </c>
      <c r="C7" t="s">
        <v>98</v>
      </c>
      <c r="G7" s="4" t="s">
        <v>99</v>
      </c>
      <c r="H7" s="4"/>
      <c r="I7" s="4"/>
      <c r="J7" s="4">
        <f>J6+20</f>
        <v>20</v>
      </c>
      <c r="K7" s="4">
        <f>30/B6*C6</f>
        <v>0</v>
      </c>
      <c r="L7" s="4">
        <f>15/B8*C8</f>
        <v>0</v>
      </c>
      <c r="M7" s="4">
        <f>10/B10*C10</f>
        <v>0</v>
      </c>
      <c r="N7" s="4">
        <f>5/B12*C12</f>
        <v>0</v>
      </c>
      <c r="O7" s="4">
        <f>5/B14*C14</f>
        <v>0</v>
      </c>
      <c r="P7" s="4">
        <f>5/B16*C16</f>
        <v>0</v>
      </c>
    </row>
    <row r="8" spans="1:16" x14ac:dyDescent="0.3">
      <c r="B8" s="4">
        <f>C2</f>
        <v>4</v>
      </c>
      <c r="C8" s="11">
        <v>0</v>
      </c>
      <c r="E8">
        <f>(100/B8)*C8</f>
        <v>0</v>
      </c>
    </row>
    <row r="9" spans="1:16" x14ac:dyDescent="0.3">
      <c r="A9" t="s">
        <v>100</v>
      </c>
      <c r="B9" t="s">
        <v>97</v>
      </c>
      <c r="C9" t="s">
        <v>98</v>
      </c>
    </row>
    <row r="10" spans="1:16" x14ac:dyDescent="0.3">
      <c r="B10" s="4">
        <f>C2</f>
        <v>4</v>
      </c>
      <c r="C10" s="11">
        <v>0</v>
      </c>
      <c r="E10">
        <f>(100/B10)*C10</f>
        <v>0</v>
      </c>
    </row>
    <row r="11" spans="1:16" x14ac:dyDescent="0.3">
      <c r="A11" t="s">
        <v>43</v>
      </c>
      <c r="B11" t="s">
        <v>97</v>
      </c>
      <c r="C11" t="s">
        <v>98</v>
      </c>
    </row>
    <row r="12" spans="1:16" x14ac:dyDescent="0.3">
      <c r="B12" s="4">
        <f>C2</f>
        <v>4</v>
      </c>
      <c r="C12" s="11">
        <v>0</v>
      </c>
      <c r="E12">
        <f>(100/B12)*C12</f>
        <v>0</v>
      </c>
      <c r="J12" s="4"/>
      <c r="K12" s="4" t="s">
        <v>95</v>
      </c>
      <c r="L12" s="4" t="s">
        <v>101</v>
      </c>
      <c r="M12" t="s">
        <v>102</v>
      </c>
    </row>
    <row r="13" spans="1:16" ht="28.8" x14ac:dyDescent="0.3">
      <c r="A13" s="7" t="s">
        <v>94</v>
      </c>
      <c r="B13" t="s">
        <v>97</v>
      </c>
      <c r="C13" t="s">
        <v>98</v>
      </c>
      <c r="J13" s="4" t="s">
        <v>35</v>
      </c>
      <c r="K13" s="4">
        <f>J6</f>
        <v>0</v>
      </c>
      <c r="L13" s="4">
        <f>J7</f>
        <v>20</v>
      </c>
      <c r="M13" t="s">
        <v>102</v>
      </c>
    </row>
    <row r="14" spans="1:16" x14ac:dyDescent="0.3">
      <c r="B14" s="4">
        <f>C2</f>
        <v>4</v>
      </c>
      <c r="C14" s="11">
        <v>0</v>
      </c>
      <c r="E14">
        <f>(100/B14)*C14</f>
        <v>0</v>
      </c>
      <c r="J14" s="4" t="s">
        <v>36</v>
      </c>
      <c r="K14" s="4">
        <f>K6</f>
        <v>0</v>
      </c>
      <c r="L14" s="4">
        <f>K7</f>
        <v>0</v>
      </c>
    </row>
    <row r="15" spans="1:16" x14ac:dyDescent="0.3">
      <c r="A15" t="s">
        <v>44</v>
      </c>
      <c r="B15" t="s">
        <v>97</v>
      </c>
      <c r="C15" t="s">
        <v>98</v>
      </c>
      <c r="J15" s="4" t="s">
        <v>93</v>
      </c>
      <c r="K15" s="4">
        <f>L6</f>
        <v>0</v>
      </c>
      <c r="L15" s="4">
        <f>L7</f>
        <v>0</v>
      </c>
    </row>
    <row r="16" spans="1:16" x14ac:dyDescent="0.3">
      <c r="B16" s="4">
        <f>C2</f>
        <v>4</v>
      </c>
      <c r="C16" s="11">
        <v>0</v>
      </c>
      <c r="E16">
        <f>(100/B16)*C16</f>
        <v>0</v>
      </c>
      <c r="J16" s="4" t="s">
        <v>37</v>
      </c>
      <c r="K16" s="4">
        <f>M6</f>
        <v>0</v>
      </c>
      <c r="L16" s="4">
        <f>M7</f>
        <v>0</v>
      </c>
    </row>
    <row r="17" spans="10:12" x14ac:dyDescent="0.3">
      <c r="J17" s="4" t="s">
        <v>43</v>
      </c>
      <c r="K17" s="4">
        <f>N6</f>
        <v>0</v>
      </c>
      <c r="L17" s="4">
        <f>N7</f>
        <v>0</v>
      </c>
    </row>
    <row r="18" spans="10:12" ht="28.8" x14ac:dyDescent="0.3">
      <c r="J18" s="8" t="s">
        <v>94</v>
      </c>
      <c r="K18" s="4">
        <f>O6</f>
        <v>0</v>
      </c>
      <c r="L18" s="4">
        <f>O7</f>
        <v>0</v>
      </c>
    </row>
    <row r="19" spans="10:12" x14ac:dyDescent="0.3">
      <c r="J19" s="4" t="s">
        <v>44</v>
      </c>
      <c r="K19" s="4">
        <f>P6</f>
        <v>0</v>
      </c>
      <c r="L19" s="4">
        <f>P7</f>
        <v>0</v>
      </c>
    </row>
    <row r="20" spans="10:12" x14ac:dyDescent="0.3">
      <c r="J20" s="4" t="s">
        <v>103</v>
      </c>
      <c r="K20" s="4">
        <f>K13+K14+K15+K16+K17+K18+K19</f>
        <v>0</v>
      </c>
      <c r="L20" s="4">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VALUATION</vt:lpstr>
      <vt:lpstr>NOTE</vt:lpstr>
      <vt:lpstr>Construction % (2)</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Kunal Kadam</cp:lastModifiedBy>
  <cp:lastPrinted>2025-08-19T14:02:53Z</cp:lastPrinted>
  <dcterms:created xsi:type="dcterms:W3CDTF">2013-11-23T05:32:33Z</dcterms:created>
  <dcterms:modified xsi:type="dcterms:W3CDTF">2025-08-19T14:03:59Z</dcterms:modified>
</cp:coreProperties>
</file>